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filterPrivacy="1" defaultThemeVersion="124226"/>
  <xr:revisionPtr revIDLastSave="0" documentId="13_ncr:1_{7B9F23AE-74E1-4973-890E-95E89D689280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Caso 3" sheetId="2" r:id="rId1"/>
  </sheets>
  <definedNames>
    <definedName name="_xlnm.Print_Area" localSheetId="0">'Caso 3'!$C$34:$V$67</definedName>
  </definedNames>
  <calcPr calcId="171026"/>
</workbook>
</file>

<file path=xl/calcChain.xml><?xml version="1.0" encoding="utf-8"?>
<calcChain xmlns="http://schemas.openxmlformats.org/spreadsheetml/2006/main">
  <c r="K54" i="2" l="1"/>
  <c r="D49" i="2"/>
  <c r="K38" i="2"/>
  <c r="D53" i="2"/>
  <c r="D54" i="2"/>
  <c r="D39" i="2"/>
  <c r="O51" i="2"/>
  <c r="D45" i="2"/>
  <c r="D44" i="2"/>
  <c r="D46" i="2"/>
  <c r="D48" i="2"/>
  <c r="D47" i="2"/>
  <c r="D37" i="2"/>
  <c r="H39" i="2"/>
  <c r="S48" i="2"/>
  <c r="T47" i="2"/>
  <c r="D13" i="2"/>
  <c r="G13" i="2"/>
  <c r="K51" i="2"/>
  <c r="D40" i="2"/>
  <c r="T49" i="2"/>
  <c r="D50" i="2"/>
  <c r="D51" i="2"/>
  <c r="D52" i="2"/>
  <c r="K56" i="2"/>
  <c r="K62" i="2"/>
  <c r="K52" i="2"/>
  <c r="N48" i="2"/>
  <c r="D38" i="2"/>
  <c r="D55" i="2"/>
  <c r="H38" i="2"/>
  <c r="H40" i="2"/>
  <c r="K37" i="2"/>
  <c r="K39" i="2"/>
  <c r="H42" i="2"/>
  <c r="H49" i="2"/>
  <c r="O47" i="2"/>
  <c r="O49" i="2"/>
  <c r="H46" i="2"/>
  <c r="K42" i="2"/>
  <c r="L52" i="2"/>
  <c r="K63" i="2"/>
  <c r="K64" i="2"/>
  <c r="K65" i="2"/>
  <c r="K53" i="2"/>
  <c r="O52" i="2"/>
  <c r="O53" i="2"/>
  <c r="O55" i="2"/>
  <c r="K57" i="2"/>
  <c r="H47" i="2"/>
  <c r="L53" i="2"/>
  <c r="K59" i="2"/>
  <c r="K60" i="2"/>
  <c r="K55" i="2"/>
  <c r="T51" i="2"/>
  <c r="O61" i="2"/>
  <c r="H43" i="2"/>
  <c r="T52" i="2"/>
  <c r="T53" i="2"/>
  <c r="T55" i="2"/>
  <c r="O58" i="2"/>
  <c r="O38" i="2"/>
  <c r="O39" i="2"/>
  <c r="K58" i="2"/>
  <c r="O59" i="2"/>
  <c r="O60" i="2"/>
  <c r="O40" i="2"/>
  <c r="O41" i="2"/>
</calcChain>
</file>

<file path=xl/sharedStrings.xml><?xml version="1.0" encoding="utf-8"?>
<sst xmlns="http://schemas.openxmlformats.org/spreadsheetml/2006/main" count="121" uniqueCount="92">
  <si>
    <t>A Cia. Expert apresentou as seguintes informações contábeis nos últimos exercícios (valores médios):</t>
  </si>
  <si>
    <t>Ativo – valores médios</t>
  </si>
  <si>
    <t>Passivo+PL</t>
  </si>
  <si>
    <t>Disponibilidades</t>
  </si>
  <si>
    <t>Fornecedores</t>
  </si>
  <si>
    <t>Aplicações financeiras</t>
  </si>
  <si>
    <t>Salários e encargos</t>
  </si>
  <si>
    <t>Contas a receber</t>
  </si>
  <si>
    <t>Tributos a pagar</t>
  </si>
  <si>
    <t>Estoques</t>
  </si>
  <si>
    <t>Empréstimos</t>
  </si>
  <si>
    <t>Imobilizado líquido</t>
  </si>
  <si>
    <t>Financiamentos</t>
  </si>
  <si>
    <t>Capital</t>
  </si>
  <si>
    <t>Lucros acumulados</t>
  </si>
  <si>
    <t>T OTAL</t>
  </si>
  <si>
    <t>Receitas líq. de vendas</t>
  </si>
  <si>
    <t>Ouras Info</t>
  </si>
  <si>
    <t>(-) CPV</t>
  </si>
  <si>
    <t>Ke</t>
  </si>
  <si>
    <t>(=) Lucro bruto</t>
  </si>
  <si>
    <t>IR</t>
  </si>
  <si>
    <t>(-) Desp. Comerciais</t>
  </si>
  <si>
    <t>(-) Desp. Administrat.</t>
  </si>
  <si>
    <t>(-) Desp. Financeiras</t>
  </si>
  <si>
    <t>(+) Receitas financeiras</t>
  </si>
  <si>
    <t>(=) Lucro operacional</t>
  </si>
  <si>
    <t>(-) IR (35%)</t>
  </si>
  <si>
    <t>(=) Lucro líquido</t>
  </si>
  <si>
    <t>1. Apure o ROI, ROE em suas formulações analíticas bem
como seu GAF.</t>
  </si>
  <si>
    <t>2. Apure EVA e o MVA da empresa.</t>
  </si>
  <si>
    <t>3. A alta gestão da empresa está implantando estratégias operacionais e financeiras. Suas conseqüências são uma melhora da eficiência no uso dos ativos e a conseqüente redução do investimento em 15%; e o aumento do endividamento (P/PL) para 1,0, o que faz com que o custo bruto do capital de terceiros aumente para 27,5%. Qual será o efeito (em $) sobre o EVA e o MVA?</t>
  </si>
  <si>
    <t>4. Quanto (em $) desse efeito é conseqüência da estratégia operacional e quanto é conseqüência da estratégia financeira?</t>
  </si>
  <si>
    <t>RESPOSTAS</t>
  </si>
  <si>
    <t>Dados Caculados</t>
  </si>
  <si>
    <t>Investimento</t>
  </si>
  <si>
    <t>1)</t>
  </si>
  <si>
    <t>ROI = Mg x Giro</t>
  </si>
  <si>
    <t>2)</t>
  </si>
  <si>
    <t>(=) Lucro Líquido</t>
  </si>
  <si>
    <t>4)</t>
  </si>
  <si>
    <t>ROE = ROI + [(ROI - Ki) x (P/PL)]</t>
  </si>
  <si>
    <t>NOPAT</t>
  </si>
  <si>
    <t>Margem</t>
  </si>
  <si>
    <t>(-) Custo Cap. Próprio</t>
  </si>
  <si>
    <t>ROI</t>
  </si>
  <si>
    <t>Ki (líquido de IR)</t>
  </si>
  <si>
    <t>Giro</t>
  </si>
  <si>
    <t>(=) EVA</t>
  </si>
  <si>
    <t>[(ROI - Ki) x (P/PL)]</t>
  </si>
  <si>
    <t>WACC</t>
  </si>
  <si>
    <t>ROE</t>
  </si>
  <si>
    <t>EVA = (ROI - WACC) x Investimento</t>
  </si>
  <si>
    <t>GAF</t>
  </si>
  <si>
    <t xml:space="preserve">ROE </t>
  </si>
  <si>
    <t xml:space="preserve">EVA </t>
  </si>
  <si>
    <t>ROE Analítico</t>
  </si>
  <si>
    <t>Par resolver essa questão, vamos dividir em duas análises. Alterando, reduzindo apenas o investimento (mantendo a estrutura de capital de 20% passivo e 80% PL) e, num segundo momento, altera a estratégia financeira (estrutura de 50% de passivo e de PL) e mantendo o investimento em $ 200.000</t>
  </si>
  <si>
    <t>Receita</t>
  </si>
  <si>
    <t>3)</t>
  </si>
  <si>
    <t>Dados</t>
  </si>
  <si>
    <t>EVA Operacional</t>
  </si>
  <si>
    <t>EVA Estratégia Financeira</t>
  </si>
  <si>
    <t>Passivo</t>
  </si>
  <si>
    <t>P/PL</t>
  </si>
  <si>
    <t>Ki (bruto)</t>
  </si>
  <si>
    <t>PL</t>
  </si>
  <si>
    <t>GAF = ROE / ROI</t>
  </si>
  <si>
    <t>(=) EBIT</t>
  </si>
  <si>
    <t>Cálculos</t>
  </si>
  <si>
    <t>WACC (antigo)</t>
  </si>
  <si>
    <t>WACC (Novo)</t>
  </si>
  <si>
    <t>(=) NOPAT</t>
  </si>
  <si>
    <t>ROI (novo)</t>
  </si>
  <si>
    <t>ROI (antigo)</t>
  </si>
  <si>
    <t>(-) Desp Fin</t>
  </si>
  <si>
    <t>EVA (Operacional)</t>
  </si>
  <si>
    <t>EVA (estrat finan)</t>
  </si>
  <si>
    <t>(+) IR (35%)</t>
  </si>
  <si>
    <t>Variação EVA Operacional</t>
  </si>
  <si>
    <t>Variação EVA Estrat Finan</t>
  </si>
  <si>
    <t>EVA</t>
  </si>
  <si>
    <t>Soma das Variações</t>
  </si>
  <si>
    <t>Lucro Líquido</t>
  </si>
  <si>
    <t>Variação EVA Total</t>
  </si>
  <si>
    <t>Diferença</t>
  </si>
  <si>
    <r>
      <t xml:space="preserve">Essa diferença decorre da </t>
    </r>
    <r>
      <rPr>
        <b/>
        <u/>
        <sz val="11"/>
        <color theme="1"/>
        <rFont val="Calibri"/>
        <family val="2"/>
        <scheme val="minor"/>
      </rPr>
      <t>sinergia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das alterações operacionais e financeiras</t>
    </r>
  </si>
  <si>
    <t>Onde está a diferença?</t>
  </si>
  <si>
    <t>Diferença entre os WACCs multiplicado pela diferença do investmento</t>
  </si>
  <si>
    <t>Sinergia Positiva = variação do EVA conjunto &gt; variação EVA Operacional e financeira</t>
  </si>
  <si>
    <t>Sinergia Negativa = variação do EVA conjunto &lt; variação EVA Operacional e financeira</t>
  </si>
  <si>
    <t>(ganho do WACC não se aplica a todo investimento)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</si>
</sst>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.000"/>
    <numFmt numFmtId="166" formatCode="0.000%"/>
    <numFmt numFmtId="167" formatCode="_-* #,##0.000_-;\-* #,##0.000_-;_-* &quot;-&quot;??_-;_-@_-"/>
    <numFmt numFmtId="168" formatCode="#,##0.0"/>
    <numFmt numFmtId="169" formatCode="0.0%"/>
    <numFmt numFmtId="170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3" fontId="0" fillId="2" borderId="0" xfId="0" applyNumberFormat="1" applyFill="1"/>
    <xf numFmtId="9" fontId="0" fillId="2" borderId="0" xfId="0" applyNumberFormat="1" applyFill="1"/>
    <xf numFmtId="0" fontId="0" fillId="2" borderId="0" xfId="0" applyFill="1" applyAlignment="1"/>
    <xf numFmtId="0" fontId="2" fillId="2" borderId="0" xfId="0" applyFont="1" applyFill="1"/>
    <xf numFmtId="3" fontId="2" fillId="2" borderId="0" xfId="0" applyNumberFormat="1" applyFont="1" applyFill="1"/>
    <xf numFmtId="0" fontId="2" fillId="2" borderId="1" xfId="0" applyFont="1" applyFill="1" applyBorder="1"/>
    <xf numFmtId="0" fontId="0" fillId="2" borderId="1" xfId="0" applyFill="1" applyBorder="1"/>
    <xf numFmtId="0" fontId="0" fillId="2" borderId="0" xfId="0" applyFill="1" applyAlignment="1">
      <alignment horizontal="right"/>
    </xf>
    <xf numFmtId="10" fontId="0" fillId="2" borderId="0" xfId="1" applyNumberFormat="1" applyFont="1" applyFill="1"/>
    <xf numFmtId="165" fontId="0" fillId="2" borderId="0" xfId="0" applyNumberFormat="1" applyFill="1"/>
    <xf numFmtId="10" fontId="0" fillId="2" borderId="0" xfId="1" applyNumberFormat="1" applyFont="1" applyFill="1" applyAlignment="1">
      <alignment horizontal="center"/>
    </xf>
    <xf numFmtId="10" fontId="0" fillId="2" borderId="0" xfId="0" applyNumberFormat="1" applyFill="1"/>
    <xf numFmtId="166" fontId="0" fillId="2" borderId="0" xfId="1" applyNumberFormat="1" applyFont="1" applyFill="1"/>
    <xf numFmtId="167" fontId="0" fillId="2" borderId="0" xfId="2" applyNumberFormat="1" applyFont="1" applyFill="1" applyAlignment="1">
      <alignment horizontal="center"/>
    </xf>
    <xf numFmtId="168" fontId="0" fillId="2" borderId="0" xfId="0" applyNumberFormat="1" applyFill="1"/>
    <xf numFmtId="0" fontId="3" fillId="2" borderId="0" xfId="0" applyFont="1" applyFill="1"/>
    <xf numFmtId="169" fontId="0" fillId="2" borderId="0" xfId="1" applyNumberFormat="1" applyFont="1" applyFill="1"/>
    <xf numFmtId="170" fontId="0" fillId="2" borderId="0" xfId="2" applyNumberFormat="1" applyFont="1" applyFill="1"/>
    <xf numFmtId="4" fontId="0" fillId="2" borderId="0" xfId="0" applyNumberFormat="1" applyFill="1"/>
    <xf numFmtId="164" fontId="0" fillId="2" borderId="0" xfId="3" applyFont="1" applyFill="1"/>
    <xf numFmtId="164" fontId="0" fillId="2" borderId="0" xfId="0" applyNumberForma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3" xfId="3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4">
    <cellStyle name="Moeda" xfId="3" builtinId="4"/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581024</xdr:colOff>
      <xdr:row>55</xdr:row>
      <xdr:rowOff>9525</xdr:rowOff>
    </xdr:from>
    <xdr:to>
      <xdr:col>14</xdr:col>
      <xdr:colOff>581028</xdr:colOff>
      <xdr:row>57</xdr:row>
      <xdr:rowOff>3</xdr:rowOff>
    </xdr:to>
    <xdr:cxnSp macro="">
      <xdr:nvCxnSpPr>
        <xdr:cNvPr id="3" name="Conector de seta ret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rot="16200000" flipH="1">
          <a:off x="12482512" y="10672762"/>
          <a:ext cx="371478" cy="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85725</xdr:colOff>
      <xdr:row>55</xdr:row>
      <xdr:rowOff>19048</xdr:rowOff>
    </xdr:from>
    <xdr:to>
      <xdr:col>19</xdr:col>
      <xdr:colOff>523879</xdr:colOff>
      <xdr:row>57</xdr:row>
      <xdr:rowOff>95249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rot="10800000" flipV="1">
          <a:off x="13125450" y="10496548"/>
          <a:ext cx="3219454" cy="45720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V65"/>
  <sheetViews>
    <sheetView tabSelected="1" topLeftCell="A44" workbookViewId="0">
      <selection activeCell="A59" sqref="A59"/>
    </sheetView>
  </sheetViews>
  <sheetFormatPr defaultRowHeight="15" x14ac:dyDescent="0.25"/>
  <cols>
    <col min="1" max="2" width="9.140625" style="1"/>
    <col min="3" max="3" width="21" style="1" customWidth="1"/>
    <col min="4" max="4" width="9.140625" style="1"/>
    <col min="5" max="5" width="4.7109375" style="1" customWidth="1"/>
    <col min="6" max="6" width="19" style="1" customWidth="1"/>
    <col min="7" max="7" width="20.28515625" style="1" bestFit="1" customWidth="1"/>
    <col min="8" max="8" width="9.140625" style="1"/>
    <col min="9" max="9" width="15.85546875" style="1" bestFit="1" customWidth="1"/>
    <col min="10" max="10" width="20.140625" style="1" bestFit="1" customWidth="1"/>
    <col min="11" max="11" width="9.85546875" style="1" bestFit="1" customWidth="1"/>
    <col min="12" max="12" width="9.140625" style="1"/>
    <col min="13" max="13" width="15.28515625" style="1" customWidth="1"/>
    <col min="14" max="14" width="15.5703125" style="1" bestFit="1" customWidth="1"/>
    <col min="15" max="15" width="14.28515625" style="1" bestFit="1" customWidth="1"/>
    <col min="16" max="18" width="9.140625" style="1"/>
    <col min="19" max="20" width="14.28515625" style="1" bestFit="1" customWidth="1"/>
    <col min="21" max="22" width="9.140625" style="1"/>
    <col min="23" max="23" width="10.5703125" style="1" bestFit="1" customWidth="1"/>
    <col min="24" max="16384" width="9.140625" style="1"/>
  </cols>
  <sheetData>
    <row r="3" spans="3:10" x14ac:dyDescent="0.25">
      <c r="C3" s="1" t="s">
        <v>0</v>
      </c>
    </row>
    <row r="5" spans="3:10" x14ac:dyDescent="0.25">
      <c r="C5" s="31" t="s">
        <v>1</v>
      </c>
      <c r="D5" s="31"/>
      <c r="E5" s="5"/>
      <c r="F5" s="31" t="s">
        <v>2</v>
      </c>
      <c r="G5" s="31"/>
    </row>
    <row r="6" spans="3:10" x14ac:dyDescent="0.25">
      <c r="C6" s="1" t="s">
        <v>3</v>
      </c>
      <c r="D6" s="2">
        <v>10000</v>
      </c>
      <c r="F6" s="1" t="s">
        <v>4</v>
      </c>
      <c r="G6" s="2">
        <v>40000</v>
      </c>
    </row>
    <row r="7" spans="3:10" x14ac:dyDescent="0.25">
      <c r="C7" s="1" t="s">
        <v>5</v>
      </c>
      <c r="D7" s="2">
        <v>5000</v>
      </c>
      <c r="F7" s="1" t="s">
        <v>6</v>
      </c>
      <c r="G7" s="2">
        <v>15000</v>
      </c>
    </row>
    <row r="8" spans="3:10" x14ac:dyDescent="0.25">
      <c r="C8" s="1" t="s">
        <v>7</v>
      </c>
      <c r="D8" s="2">
        <v>60000</v>
      </c>
      <c r="F8" s="1" t="s">
        <v>8</v>
      </c>
      <c r="G8" s="2">
        <v>5000</v>
      </c>
    </row>
    <row r="9" spans="3:10" x14ac:dyDescent="0.25">
      <c r="C9" s="1" t="s">
        <v>9</v>
      </c>
      <c r="D9" s="2">
        <v>85000</v>
      </c>
      <c r="F9" s="1" t="s">
        <v>10</v>
      </c>
      <c r="G9" s="2">
        <v>15000</v>
      </c>
    </row>
    <row r="10" spans="3:10" x14ac:dyDescent="0.25">
      <c r="C10" s="1" t="s">
        <v>11</v>
      </c>
      <c r="D10" s="2">
        <v>100000</v>
      </c>
      <c r="F10" s="1" t="s">
        <v>12</v>
      </c>
      <c r="G10" s="2">
        <v>25000</v>
      </c>
    </row>
    <row r="11" spans="3:10" x14ac:dyDescent="0.25">
      <c r="F11" s="1" t="s">
        <v>13</v>
      </c>
      <c r="G11" s="2">
        <v>150000</v>
      </c>
      <c r="J11" s="11"/>
    </row>
    <row r="12" spans="3:10" x14ac:dyDescent="0.25">
      <c r="F12" s="1" t="s">
        <v>14</v>
      </c>
      <c r="G12" s="2">
        <v>10000</v>
      </c>
      <c r="J12" s="11"/>
    </row>
    <row r="13" spans="3:10" x14ac:dyDescent="0.25">
      <c r="C13" s="5" t="s">
        <v>15</v>
      </c>
      <c r="D13" s="6">
        <f>SUM(D6:D12)</f>
        <v>260000</v>
      </c>
      <c r="E13" s="5"/>
      <c r="F13" s="5" t="s">
        <v>15</v>
      </c>
      <c r="G13" s="6">
        <f>SUM(G6:G12)</f>
        <v>260000</v>
      </c>
    </row>
    <row r="17" spans="3:7" x14ac:dyDescent="0.25">
      <c r="C17" s="1" t="s">
        <v>16</v>
      </c>
      <c r="D17" s="2">
        <v>500000</v>
      </c>
      <c r="F17" s="1" t="s">
        <v>17</v>
      </c>
    </row>
    <row r="18" spans="3:7" x14ac:dyDescent="0.25">
      <c r="C18" s="1" t="s">
        <v>18</v>
      </c>
      <c r="D18" s="2">
        <v>-350000</v>
      </c>
      <c r="F18" s="1" t="s">
        <v>19</v>
      </c>
      <c r="G18" s="3">
        <v>0.2</v>
      </c>
    </row>
    <row r="19" spans="3:7" x14ac:dyDescent="0.25">
      <c r="C19" s="1" t="s">
        <v>20</v>
      </c>
      <c r="D19" s="2">
        <v>150000</v>
      </c>
      <c r="F19" s="1" t="s">
        <v>21</v>
      </c>
      <c r="G19" s="3">
        <v>0.35</v>
      </c>
    </row>
    <row r="20" spans="3:7" x14ac:dyDescent="0.25">
      <c r="C20" s="1" t="s">
        <v>22</v>
      </c>
      <c r="D20" s="2">
        <v>-60000</v>
      </c>
    </row>
    <row r="21" spans="3:7" x14ac:dyDescent="0.25">
      <c r="C21" s="1" t="s">
        <v>23</v>
      </c>
      <c r="D21" s="2">
        <v>-30000</v>
      </c>
    </row>
    <row r="22" spans="3:7" x14ac:dyDescent="0.25">
      <c r="C22" s="1" t="s">
        <v>24</v>
      </c>
      <c r="D22" s="2">
        <v>-10000</v>
      </c>
    </row>
    <row r="23" spans="3:7" x14ac:dyDescent="0.25">
      <c r="C23" s="1" t="s">
        <v>25</v>
      </c>
      <c r="D23" s="1">
        <v>250</v>
      </c>
    </row>
    <row r="24" spans="3:7" x14ac:dyDescent="0.25">
      <c r="C24" s="1" t="s">
        <v>26</v>
      </c>
      <c r="D24" s="2">
        <v>50250</v>
      </c>
    </row>
    <row r="25" spans="3:7" x14ac:dyDescent="0.25">
      <c r="C25" s="1" t="s">
        <v>27</v>
      </c>
      <c r="D25" s="2">
        <v>-17588</v>
      </c>
    </row>
    <row r="26" spans="3:7" x14ac:dyDescent="0.25">
      <c r="C26" s="1" t="s">
        <v>28</v>
      </c>
      <c r="D26" s="2">
        <v>32663</v>
      </c>
    </row>
    <row r="29" spans="3:7" x14ac:dyDescent="0.25">
      <c r="C29" s="4" t="s">
        <v>29</v>
      </c>
    </row>
    <row r="30" spans="3:7" x14ac:dyDescent="0.25">
      <c r="C30" s="4" t="s">
        <v>30</v>
      </c>
    </row>
    <row r="31" spans="3:7" x14ac:dyDescent="0.25">
      <c r="C31" s="4" t="s">
        <v>31</v>
      </c>
    </row>
    <row r="32" spans="3:7" x14ac:dyDescent="0.25">
      <c r="C32" s="4" t="s">
        <v>32</v>
      </c>
    </row>
    <row r="34" spans="3:21" x14ac:dyDescent="0.25">
      <c r="C34" s="7" t="s">
        <v>33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6" spans="3:21" x14ac:dyDescent="0.25">
      <c r="C36" s="7" t="s">
        <v>34</v>
      </c>
    </row>
    <row r="37" spans="3:21" x14ac:dyDescent="0.25">
      <c r="C37" s="1" t="s">
        <v>35</v>
      </c>
      <c r="D37" s="2">
        <f>SUM(G9:G12)</f>
        <v>200000</v>
      </c>
      <c r="F37" s="9" t="s">
        <v>36</v>
      </c>
      <c r="G37" s="32" t="s">
        <v>37</v>
      </c>
      <c r="H37" s="32"/>
      <c r="I37" s="9" t="s">
        <v>38</v>
      </c>
      <c r="J37" s="1" t="s">
        <v>39</v>
      </c>
      <c r="K37" s="16">
        <f>D55</f>
        <v>32662.5</v>
      </c>
      <c r="M37" s="9" t="s">
        <v>40</v>
      </c>
      <c r="N37" s="32" t="s">
        <v>41</v>
      </c>
      <c r="O37" s="32"/>
    </row>
    <row r="38" spans="3:21" x14ac:dyDescent="0.25">
      <c r="C38" s="1" t="s">
        <v>42</v>
      </c>
      <c r="D38" s="2">
        <f>D52</f>
        <v>39162.5</v>
      </c>
      <c r="G38" s="1" t="s">
        <v>43</v>
      </c>
      <c r="H38" s="29">
        <f>D52/D44</f>
        <v>7.8325000000000006E-2</v>
      </c>
      <c r="J38" s="1" t="s">
        <v>44</v>
      </c>
      <c r="K38" s="2">
        <f>-G18*SUM(G11:G12)</f>
        <v>-32000</v>
      </c>
      <c r="N38" s="1" t="s">
        <v>45</v>
      </c>
      <c r="O38" s="13">
        <f>K57</f>
        <v>0.23036764705882354</v>
      </c>
      <c r="P38" s="13"/>
    </row>
    <row r="39" spans="3:21" x14ac:dyDescent="0.25">
      <c r="C39" s="1" t="s">
        <v>46</v>
      </c>
      <c r="D39" s="10">
        <f>-SUM(D53:D54)/SUM(G9:G10)</f>
        <v>0.16250000000000001</v>
      </c>
      <c r="G39" s="1" t="s">
        <v>47</v>
      </c>
      <c r="H39" s="29">
        <f>D44/D37</f>
        <v>2.5</v>
      </c>
      <c r="J39" s="1" t="s">
        <v>48</v>
      </c>
      <c r="K39" s="16">
        <f>SUM(K37:K38)</f>
        <v>662.5</v>
      </c>
      <c r="N39" s="9" t="s">
        <v>49</v>
      </c>
      <c r="O39" s="14">
        <f>(K57-K54)*K47</f>
        <v>5.1617647058823518E-2</v>
      </c>
    </row>
    <row r="40" spans="3:21" x14ac:dyDescent="0.25">
      <c r="C40" s="1" t="s">
        <v>50</v>
      </c>
      <c r="D40" s="10">
        <f>(G18*((SUM(G11:G12)/SUM(G9:G12))))+(D39*((SUM(G9:G10)/SUM(G9:G12))))</f>
        <v>0.19250000000000003</v>
      </c>
      <c r="G40" s="1" t="s">
        <v>45</v>
      </c>
      <c r="H40" s="12">
        <f>H38*H39</f>
        <v>0.1958125</v>
      </c>
      <c r="N40" s="1" t="s">
        <v>51</v>
      </c>
      <c r="O40" s="13">
        <f>SUM(O38:O39)</f>
        <v>0.28198529411764706</v>
      </c>
      <c r="P40" s="13"/>
    </row>
    <row r="41" spans="3:21" x14ac:dyDescent="0.25">
      <c r="J41" s="1" t="s">
        <v>52</v>
      </c>
      <c r="N41" s="1" t="s">
        <v>53</v>
      </c>
      <c r="O41" s="19">
        <f>O40/O38</f>
        <v>1.2240663900414936</v>
      </c>
    </row>
    <row r="42" spans="3:21" x14ac:dyDescent="0.25">
      <c r="G42" s="1" t="s">
        <v>54</v>
      </c>
      <c r="H42" s="12">
        <f>D55/SUM(G11:G12)</f>
        <v>0.20414062499999999</v>
      </c>
      <c r="J42" s="1" t="s">
        <v>55</v>
      </c>
      <c r="K42" s="1">
        <f>(H40-D40)*D37</f>
        <v>662.49999999999363</v>
      </c>
    </row>
    <row r="43" spans="3:21" x14ac:dyDescent="0.25">
      <c r="G43" s="1" t="s">
        <v>56</v>
      </c>
      <c r="H43" s="12">
        <f>H46+H47</f>
        <v>0.20414062499999999</v>
      </c>
      <c r="N43" s="5" t="s">
        <v>57</v>
      </c>
    </row>
    <row r="44" spans="3:21" x14ac:dyDescent="0.25">
      <c r="C44" s="1" t="s">
        <v>58</v>
      </c>
      <c r="D44" s="2">
        <f>D17</f>
        <v>500000</v>
      </c>
    </row>
    <row r="45" spans="3:21" x14ac:dyDescent="0.25">
      <c r="C45" s="1" t="s">
        <v>18</v>
      </c>
      <c r="D45" s="2">
        <f>D18</f>
        <v>-350000</v>
      </c>
      <c r="G45" s="31" t="s">
        <v>41</v>
      </c>
      <c r="H45" s="31"/>
      <c r="I45" s="9" t="s">
        <v>59</v>
      </c>
      <c r="J45" s="17" t="s">
        <v>60</v>
      </c>
      <c r="N45" s="30" t="s">
        <v>61</v>
      </c>
      <c r="O45" s="30"/>
      <c r="S45" s="30" t="s">
        <v>62</v>
      </c>
      <c r="T45" s="30"/>
    </row>
    <row r="46" spans="3:21" x14ac:dyDescent="0.25">
      <c r="C46" s="1" t="s">
        <v>20</v>
      </c>
      <c r="D46" s="2">
        <f>SUM(D44:D45)</f>
        <v>150000</v>
      </c>
      <c r="G46" s="1" t="s">
        <v>45</v>
      </c>
      <c r="H46" s="13">
        <f>H40</f>
        <v>0.1958125</v>
      </c>
      <c r="J46" s="1" t="s">
        <v>35</v>
      </c>
      <c r="K46" s="3">
        <v>-0.15</v>
      </c>
      <c r="N46" s="23"/>
      <c r="O46" s="23" t="s">
        <v>63</v>
      </c>
      <c r="S46" s="23"/>
      <c r="T46" s="23" t="s">
        <v>63</v>
      </c>
    </row>
    <row r="47" spans="3:21" x14ac:dyDescent="0.25">
      <c r="C47" s="1" t="s">
        <v>22</v>
      </c>
      <c r="D47" s="2">
        <f>D20</f>
        <v>-60000</v>
      </c>
      <c r="G47" s="1" t="s">
        <v>49</v>
      </c>
      <c r="H47" s="14">
        <f>(H40-D39)*(SUM(G9:G10)/SUM(G11:G12))</f>
        <v>8.3281249999999987E-3</v>
      </c>
      <c r="J47" s="1" t="s">
        <v>64</v>
      </c>
      <c r="K47" s="1">
        <v>1</v>
      </c>
      <c r="N47" s="24" t="s">
        <v>35</v>
      </c>
      <c r="O47" s="25">
        <f>N48*P47</f>
        <v>34000</v>
      </c>
      <c r="P47" s="3">
        <v>0.2</v>
      </c>
      <c r="S47" s="24" t="s">
        <v>35</v>
      </c>
      <c r="T47" s="25">
        <f>S48*U47</f>
        <v>100000</v>
      </c>
      <c r="U47" s="3">
        <v>0.5</v>
      </c>
    </row>
    <row r="48" spans="3:21" x14ac:dyDescent="0.25">
      <c r="C48" s="1" t="s">
        <v>23</v>
      </c>
      <c r="D48" s="2">
        <f>D21</f>
        <v>-30000</v>
      </c>
      <c r="J48" s="1" t="s">
        <v>65</v>
      </c>
      <c r="K48" s="13">
        <v>0.27500000000000002</v>
      </c>
      <c r="N48" s="26">
        <f>K51</f>
        <v>170000</v>
      </c>
      <c r="O48" s="24" t="s">
        <v>66</v>
      </c>
      <c r="S48" s="26">
        <f>D37</f>
        <v>200000</v>
      </c>
      <c r="T48" s="24" t="s">
        <v>66</v>
      </c>
    </row>
    <row r="49" spans="3:22" x14ac:dyDescent="0.25">
      <c r="C49" s="1" t="s">
        <v>25</v>
      </c>
      <c r="D49" s="1">
        <f>D23</f>
        <v>250</v>
      </c>
      <c r="G49" s="1" t="s">
        <v>67</v>
      </c>
      <c r="H49" s="15">
        <f>H42/H40</f>
        <v>1.0425311203319501</v>
      </c>
      <c r="N49" s="27"/>
      <c r="O49" s="28">
        <f>N48*P49</f>
        <v>136000</v>
      </c>
      <c r="P49" s="3">
        <v>0.8</v>
      </c>
      <c r="S49" s="27"/>
      <c r="T49" s="28">
        <f>S48*U49</f>
        <v>100000</v>
      </c>
      <c r="U49" s="3">
        <v>0.5</v>
      </c>
    </row>
    <row r="50" spans="3:22" x14ac:dyDescent="0.25">
      <c r="C50" s="1" t="s">
        <v>68</v>
      </c>
      <c r="D50" s="2">
        <f>SUM(D46:D49)</f>
        <v>60250</v>
      </c>
      <c r="J50" s="17" t="s">
        <v>69</v>
      </c>
    </row>
    <row r="51" spans="3:22" x14ac:dyDescent="0.25">
      <c r="C51" s="1" t="s">
        <v>27</v>
      </c>
      <c r="D51" s="2">
        <f>D50*-G19</f>
        <v>-21087.5</v>
      </c>
      <c r="J51" s="1" t="s">
        <v>35</v>
      </c>
      <c r="K51" s="2">
        <f>D37*(1+K46)</f>
        <v>170000</v>
      </c>
      <c r="N51" s="1" t="s">
        <v>70</v>
      </c>
      <c r="O51" s="13">
        <f>P47*D39+P49*G18</f>
        <v>0.19250000000000003</v>
      </c>
      <c r="S51" s="1" t="s">
        <v>71</v>
      </c>
      <c r="T51" s="13">
        <f>K55</f>
        <v>0.18937500000000002</v>
      </c>
    </row>
    <row r="52" spans="3:22" x14ac:dyDescent="0.25">
      <c r="C52" s="1" t="s">
        <v>72</v>
      </c>
      <c r="D52" s="2">
        <f>SUM(D50:D51)</f>
        <v>39162.5</v>
      </c>
      <c r="F52" s="2"/>
      <c r="J52" s="1" t="s">
        <v>63</v>
      </c>
      <c r="K52" s="2">
        <f>K51*(K47/(1+K47))</f>
        <v>85000</v>
      </c>
      <c r="L52" s="18">
        <f>K52/K51</f>
        <v>0.5</v>
      </c>
      <c r="N52" s="1" t="s">
        <v>73</v>
      </c>
      <c r="O52" s="10">
        <f>K56/K51</f>
        <v>0.23036764705882354</v>
      </c>
      <c r="S52" s="1" t="s">
        <v>74</v>
      </c>
      <c r="T52" s="13">
        <f>H46</f>
        <v>0.1958125</v>
      </c>
    </row>
    <row r="53" spans="3:22" x14ac:dyDescent="0.25">
      <c r="C53" s="1" t="s">
        <v>75</v>
      </c>
      <c r="D53" s="2">
        <f>D22</f>
        <v>-10000</v>
      </c>
      <c r="J53" s="1" t="s">
        <v>66</v>
      </c>
      <c r="K53" s="2">
        <f>K51-K52</f>
        <v>85000</v>
      </c>
      <c r="L53" s="18">
        <f>K53/K51</f>
        <v>0.5</v>
      </c>
      <c r="N53" s="9" t="s">
        <v>76</v>
      </c>
      <c r="O53" s="22">
        <f>(O52-O51)*N48</f>
        <v>6437.4999999999964</v>
      </c>
      <c r="S53" s="9" t="s">
        <v>77</v>
      </c>
      <c r="T53" s="22">
        <f>(T52-T51)*S48</f>
        <v>1287.499999999997</v>
      </c>
    </row>
    <row r="54" spans="3:22" x14ac:dyDescent="0.25">
      <c r="C54" s="1" t="s">
        <v>78</v>
      </c>
      <c r="D54" s="2">
        <f>D53*-G19</f>
        <v>3500</v>
      </c>
      <c r="J54" s="1" t="s">
        <v>46</v>
      </c>
      <c r="K54" s="10">
        <f>K48*(1-G19)</f>
        <v>0.17875000000000002</v>
      </c>
    </row>
    <row r="55" spans="3:22" x14ac:dyDescent="0.25">
      <c r="C55" s="1" t="s">
        <v>39</v>
      </c>
      <c r="D55" s="16">
        <f>SUM(D52:D54)</f>
        <v>32662.5</v>
      </c>
      <c r="F55" s="2"/>
      <c r="J55" s="1" t="s">
        <v>50</v>
      </c>
      <c r="K55" s="13">
        <f>K54*L52+G18*L53</f>
        <v>0.18937500000000002</v>
      </c>
      <c r="N55" s="9" t="s">
        <v>79</v>
      </c>
      <c r="O55" s="22">
        <f>O53-K42</f>
        <v>5775.0000000000027</v>
      </c>
      <c r="S55" s="9" t="s">
        <v>80</v>
      </c>
      <c r="T55" s="22">
        <f>T53-K42</f>
        <v>625.00000000000341</v>
      </c>
    </row>
    <row r="56" spans="3:22" x14ac:dyDescent="0.25">
      <c r="J56" s="1" t="s">
        <v>42</v>
      </c>
      <c r="K56" s="2">
        <f>D52</f>
        <v>39162.5</v>
      </c>
    </row>
    <row r="57" spans="3:22" x14ac:dyDescent="0.25">
      <c r="J57" s="1" t="s">
        <v>45</v>
      </c>
      <c r="K57" s="10">
        <f>K56/K51</f>
        <v>0.23036764705882354</v>
      </c>
    </row>
    <row r="58" spans="3:22" x14ac:dyDescent="0.25">
      <c r="J58" s="1" t="s">
        <v>81</v>
      </c>
      <c r="K58" s="20">
        <f>(K57-K55)*K51</f>
        <v>6968.7499999999991</v>
      </c>
      <c r="N58" s="9" t="s">
        <v>82</v>
      </c>
      <c r="O58" s="22">
        <f>SUM(O55,T55)</f>
        <v>6400.0000000000064</v>
      </c>
    </row>
    <row r="59" spans="3:22" x14ac:dyDescent="0.25">
      <c r="J59" s="1" t="s">
        <v>83</v>
      </c>
      <c r="K59" s="20">
        <f>D52-(K53*K54)</f>
        <v>23968.75</v>
      </c>
      <c r="N59" s="9" t="s">
        <v>84</v>
      </c>
      <c r="O59" s="21">
        <f>K58-K42</f>
        <v>6306.2500000000055</v>
      </c>
    </row>
    <row r="60" spans="3:22" x14ac:dyDescent="0.25">
      <c r="J60" s="1" t="s">
        <v>51</v>
      </c>
      <c r="K60" s="10">
        <f>K59/K53</f>
        <v>0.28198529411764706</v>
      </c>
      <c r="N60" s="9" t="s">
        <v>85</v>
      </c>
      <c r="O60" s="22">
        <f>O59-O58</f>
        <v>-93.750000000000909</v>
      </c>
      <c r="P60" s="1" t="s">
        <v>86</v>
      </c>
    </row>
    <row r="61" spans="3:22" x14ac:dyDescent="0.25">
      <c r="N61" s="9" t="s">
        <v>87</v>
      </c>
      <c r="O61" s="21">
        <f>(O51-T51)*(S48-N48)</f>
        <v>93.750000000000497</v>
      </c>
      <c r="P61" s="1" t="s">
        <v>88</v>
      </c>
      <c r="V61" s="1" t="s">
        <v>91</v>
      </c>
    </row>
    <row r="62" spans="3:22" x14ac:dyDescent="0.25">
      <c r="J62" s="1" t="s">
        <v>72</v>
      </c>
      <c r="K62" s="20">
        <f>D52</f>
        <v>39162.5</v>
      </c>
    </row>
    <row r="63" spans="3:22" x14ac:dyDescent="0.25">
      <c r="J63" s="1" t="s">
        <v>75</v>
      </c>
      <c r="K63" s="20">
        <f>K48*-K52</f>
        <v>-23375.000000000004</v>
      </c>
      <c r="O63" s="1" t="s">
        <v>89</v>
      </c>
    </row>
    <row r="64" spans="3:22" x14ac:dyDescent="0.25">
      <c r="J64" s="1" t="s">
        <v>78</v>
      </c>
      <c r="K64" s="20">
        <f>K63*-G19</f>
        <v>8181.2500000000009</v>
      </c>
      <c r="O64" s="1" t="s">
        <v>90</v>
      </c>
    </row>
    <row r="65" spans="10:11" x14ac:dyDescent="0.25">
      <c r="J65" s="1" t="s">
        <v>39</v>
      </c>
      <c r="K65" s="20">
        <f>SUM(K62:K64)</f>
        <v>23968.749999999996</v>
      </c>
    </row>
  </sheetData>
  <mergeCells count="7">
    <mergeCell ref="S45:T45"/>
    <mergeCell ref="C5:D5"/>
    <mergeCell ref="F5:G5"/>
    <mergeCell ref="G37:H37"/>
    <mergeCell ref="G45:H45"/>
    <mergeCell ref="N37:O37"/>
    <mergeCell ref="N45:O45"/>
  </mergeCells>
  <pageMargins left="0.511811024" right="0.511811024" top="0.78740157499999996" bottom="0.78740157499999996" header="0.31496062000000002" footer="0.31496062000000002"/>
  <pageSetup paperSize="9" scale="52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Caso 3</vt:lpstr>
      <vt:lpstr>'Caso 3'!Area_de_impressao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2018-03-14T13:25:45Z</dcterms:created>
  <dcterms:modified xsi:type="dcterms:W3CDTF">2018-03-14T13:25:52Z</dcterms:modified>
  <cp:category/>
  <cp:contentStatus/>
</cp:coreProperties>
</file>