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45" windowWidth="12435" windowHeight="11640" tabRatio="840" activeTab="2"/>
  </bookViews>
  <sheets>
    <sheet name="Principal" sheetId="1" r:id="rId1"/>
    <sheet name="Dados Geométricos" sheetId="2" r:id="rId2"/>
    <sheet name="Coeficientes Longitudinais" sheetId="3" r:id="rId3"/>
    <sheet name="Coeficientes Latero-Direcionais" sheetId="4" r:id="rId4"/>
    <sheet name="Coeficientes de Controle" sheetId="5" r:id="rId5"/>
    <sheet name="Coeficientes de Flapes e Slats" sheetId="6" r:id="rId6"/>
    <sheet name="Partes" sheetId="7" state="hidden" r:id="rId7"/>
    <sheet name="Roskam Downwash" sheetId="8" state="hidden" r:id="rId8"/>
    <sheet name="ESDU C01.01.03" sheetId="9" state="hidden" r:id="rId9"/>
    <sheet name="ESDU C04.01.01" sheetId="10" state="hidden" r:id="rId10"/>
    <sheet name="ESDU C04.01.02" sheetId="11" state="hidden" r:id="rId11"/>
    <sheet name="ESDU C04.01.08" sheetId="12" state="hidden" r:id="rId12"/>
    <sheet name="ESDU C04.01.03" sheetId="13" state="hidden" r:id="rId13"/>
    <sheet name="ESDU 89009" sheetId="14" state="hidden" r:id="rId14"/>
    <sheet name="ESDU 88003" sheetId="15" state="hidden" r:id="rId15"/>
    <sheet name="ESDU 87008" sheetId="16" state="hidden" r:id="rId16"/>
    <sheet name="ESDU 70011" sheetId="17" state="hidden" r:id="rId17"/>
    <sheet name="ESDU 99004" sheetId="18" state="hidden" r:id="rId18"/>
    <sheet name="ESDU 93019" sheetId="19" state="hidden" r:id="rId19"/>
    <sheet name="ESDU 83040" sheetId="20" state="hidden" r:id="rId20"/>
    <sheet name="Roskam Derivadas Dinâmicas" sheetId="21" state="hidden" r:id="rId21"/>
    <sheet name="ESDU 76015" sheetId="22" state="hidden" r:id="rId22"/>
    <sheet name="ESDU 87001" sheetId="23" state="hidden" r:id="rId23"/>
    <sheet name="ESDU 89042" sheetId="24" state="hidden" r:id="rId24"/>
    <sheet name="ESDU 74011" sheetId="25" state="hidden" r:id="rId25"/>
    <sheet name="ESDU 78013" sheetId="26" state="hidden" r:id="rId26"/>
    <sheet name="ESDU 80020" sheetId="27" state="hidden" r:id="rId27"/>
    <sheet name="ESDU 87031" sheetId="28" state="hidden" r:id="rId28"/>
    <sheet name="ESDU 71017" sheetId="29" state="hidden" r:id="rId29"/>
    <sheet name="ESDU 72021" sheetId="30" state="hidden" r:id="rId30"/>
    <sheet name="ESDU 73006" sheetId="31" state="hidden" r:id="rId31"/>
    <sheet name="ESDU 79006" sheetId="32" state="hidden" r:id="rId32"/>
    <sheet name="ESDU 81014" sheetId="33" state="hidden" r:id="rId33"/>
    <sheet name="ESDU 82010" sheetId="34" state="hidden" r:id="rId34"/>
    <sheet name="ESDU A06.01.01" sheetId="35" state="hidden" r:id="rId35"/>
    <sheet name="ESDU A06.01.03" sheetId="36" state="hidden" r:id="rId36"/>
  </sheets>
  <definedNames>
    <definedName name="fig2" localSheetId="14">'ESDU 88003'!$B$48:$C$53</definedName>
    <definedName name="fig2_1" localSheetId="14">'ESDU 88003'!$B$48:$C$53</definedName>
  </definedNames>
  <calcPr fullCalcOnLoad="1"/>
</workbook>
</file>

<file path=xl/comments1.xml><?xml version="1.0" encoding="utf-8"?>
<comments xmlns="http://schemas.openxmlformats.org/spreadsheetml/2006/main">
  <authors>
    <author>RSMELLO</author>
  </authors>
  <commentList>
    <comment ref="M43" authorId="0">
      <text>
        <r>
          <rPr>
            <b/>
            <sz val="8"/>
            <rFont val="Tahoma"/>
            <family val="2"/>
          </rPr>
          <t xml:space="preserve">RSMELLO:
</t>
        </r>
        <r>
          <rPr>
            <sz val="8"/>
            <rFont val="Tahoma"/>
            <family val="2"/>
          </rPr>
          <t>Metodo compatibilizado para a formulação do DBANK Embraer</t>
        </r>
        <r>
          <rPr>
            <sz val="8"/>
            <rFont val="Tahoma"/>
            <family val="2"/>
          </rPr>
          <t xml:space="preserve">
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RSMELLO:
</t>
        </r>
        <r>
          <rPr>
            <sz val="8"/>
            <rFont val="Tahoma"/>
            <family val="2"/>
          </rPr>
          <t>Metodo compatibilizado para a formulação do DBANK Embraer</t>
        </r>
        <r>
          <rPr>
            <sz val="8"/>
            <rFont val="Tahoma"/>
            <family val="2"/>
          </rPr>
          <t xml:space="preserve">
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RSMELLO:
</t>
        </r>
        <r>
          <rPr>
            <sz val="8"/>
            <rFont val="Tahoma"/>
            <family val="2"/>
          </rPr>
          <t>Metodo compatibilizado para a formulação do DBANK Embraer</t>
        </r>
        <r>
          <rPr>
            <sz val="8"/>
            <rFont val="Tahoma"/>
            <family val="2"/>
          </rPr>
          <t xml:space="preserve">
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RSMELLO:
</t>
        </r>
        <r>
          <rPr>
            <sz val="8"/>
            <rFont val="Tahoma"/>
            <family val="2"/>
          </rPr>
          <t>Metodo compatibilizado para a formulação do DBANK Embraer</t>
        </r>
        <r>
          <rPr>
            <sz val="8"/>
            <rFont val="Tahoma"/>
            <family val="2"/>
          </rPr>
          <t xml:space="preserve">
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RSMELLO:
</t>
        </r>
        <r>
          <rPr>
            <sz val="8"/>
            <rFont val="Tahoma"/>
            <family val="2"/>
          </rPr>
          <t>Metodo compatibilizado para a formulação do DBANK Embraer</t>
        </r>
        <r>
          <rPr>
            <sz val="8"/>
            <rFont val="Tahoma"/>
            <family val="2"/>
          </rPr>
          <t xml:space="preserve">
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RSMELLO:
</t>
        </r>
        <r>
          <rPr>
            <sz val="8"/>
            <rFont val="Tahoma"/>
            <family val="2"/>
          </rPr>
          <t>Metodo compatibilizado para a formulação do DBANK Embraer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RSMELLO</author>
  </authors>
  <commentList>
    <comment ref="I33" authorId="0">
      <text>
        <r>
          <rPr>
            <b/>
            <sz val="8"/>
            <rFont val="Tahoma"/>
            <family val="2"/>
          </rPr>
          <t>RSMELLO:</t>
        </r>
        <r>
          <rPr>
            <sz val="8"/>
            <rFont val="Tahoma"/>
            <family val="2"/>
          </rPr>
          <t xml:space="preserve">
Somado EPS = - 0.5 para ajustar EPS0 para o EMB-145 e EMB-500</t>
        </r>
      </text>
    </comment>
    <comment ref="K14" authorId="0">
      <text>
        <r>
          <rPr>
            <b/>
            <sz val="8"/>
            <rFont val="Tahoma"/>
            <family val="2"/>
          </rPr>
          <t>RSMELLO:</t>
        </r>
        <r>
          <rPr>
            <sz val="8"/>
            <rFont val="Tahoma"/>
            <family val="2"/>
          </rPr>
          <t xml:space="preserve">
Foi somado Alpha = -.80 para ajustar EMB-145 e EMB-500</t>
        </r>
      </text>
    </comment>
    <comment ref="O13" authorId="0">
      <text>
        <r>
          <rPr>
            <b/>
            <sz val="8"/>
            <rFont val="Tahoma"/>
            <family val="2"/>
          </rPr>
          <t>RSMELLO:</t>
        </r>
        <r>
          <rPr>
            <sz val="8"/>
            <rFont val="Tahoma"/>
            <family val="2"/>
          </rPr>
          <t xml:space="preserve">
Foi inserido um valor de CM0 = -.04 para ajustar EMB-145 e EMB-500</t>
        </r>
      </text>
    </comment>
  </commentList>
</comments>
</file>

<file path=xl/comments6.xml><?xml version="1.0" encoding="utf-8"?>
<comments xmlns="http://schemas.openxmlformats.org/spreadsheetml/2006/main">
  <authors>
    <author>RSMELLO</author>
  </authors>
  <commentList>
    <comment ref="E36" authorId="0">
      <text>
        <r>
          <rPr>
            <b/>
            <sz val="8"/>
            <rFont val="Tahoma"/>
            <family val="2"/>
          </rPr>
          <t>RSMELLO:</t>
        </r>
        <r>
          <rPr>
            <sz val="8"/>
            <rFont val="Tahoma"/>
            <family val="2"/>
          </rPr>
          <t xml:space="preserve">
Modificado para 1.5 para ajustar EMB-500</t>
        </r>
      </text>
    </comment>
  </commentList>
</comments>
</file>

<file path=xl/sharedStrings.xml><?xml version="1.0" encoding="utf-8"?>
<sst xmlns="http://schemas.openxmlformats.org/spreadsheetml/2006/main" count="2124" uniqueCount="997">
  <si>
    <t>mf</t>
  </si>
  <si>
    <t>zcrf</t>
  </si>
  <si>
    <t>Sf</t>
  </si>
  <si>
    <t>Af</t>
  </si>
  <si>
    <t>TRf</t>
  </si>
  <si>
    <t>Mach</t>
  </si>
  <si>
    <t>A</t>
  </si>
  <si>
    <t>Total</t>
  </si>
  <si>
    <t>Alpha</t>
  </si>
  <si>
    <t>zcr</t>
  </si>
  <si>
    <t>CNp</t>
  </si>
  <si>
    <t>CYp</t>
  </si>
  <si>
    <t>CRp</t>
  </si>
  <si>
    <t>ESDU 71017</t>
  </si>
  <si>
    <t>NR0/CD0</t>
  </si>
  <si>
    <t>NRv/CL2</t>
  </si>
  <si>
    <t>AM</t>
  </si>
  <si>
    <t>lambda14M</t>
  </si>
  <si>
    <t>ESDU 72021</t>
  </si>
  <si>
    <t>g</t>
  </si>
  <si>
    <t>Lr0/gCL</t>
  </si>
  <si>
    <t>Lr0/CL</t>
  </si>
  <si>
    <t>Lr0/G</t>
  </si>
  <si>
    <t>Lr0/e</t>
  </si>
  <si>
    <t>LrM/Lr0</t>
  </si>
  <si>
    <t>tan(lambda12f)</t>
  </si>
  <si>
    <t>Beta</t>
  </si>
  <si>
    <t>JB</t>
  </si>
  <si>
    <t>XJB</t>
  </si>
  <si>
    <t>JT</t>
  </si>
  <si>
    <t>bt/hf</t>
  </si>
  <si>
    <t>(zt/hf)^2</t>
  </si>
  <si>
    <t>JW</t>
  </si>
  <si>
    <t>zw/hbw</t>
  </si>
  <si>
    <t>zt/hf</t>
  </si>
  <si>
    <t>zw</t>
  </si>
  <si>
    <t>ESDU 82010</t>
  </si>
  <si>
    <t>(Yr)fjw1</t>
  </si>
  <si>
    <t>z'f</t>
  </si>
  <si>
    <t>l'f</t>
  </si>
  <si>
    <t>K1</t>
  </si>
  <si>
    <t>K2</t>
  </si>
  <si>
    <t>[m]</t>
  </si>
  <si>
    <t>[-]</t>
  </si>
  <si>
    <t>Envergadura</t>
  </si>
  <si>
    <t>Afilamento</t>
  </si>
  <si>
    <t>Área em planta</t>
  </si>
  <si>
    <t>Ângulo de diedro</t>
  </si>
  <si>
    <t>Torção</t>
  </si>
  <si>
    <t>[graus]</t>
  </si>
  <si>
    <t>[m2]</t>
  </si>
  <si>
    <t>Dados da Asa</t>
  </si>
  <si>
    <t>Corda na raiz</t>
  </si>
  <si>
    <t>Corda na ponta</t>
  </si>
  <si>
    <t>Fator de correção para o efeito do gap</t>
  </si>
  <si>
    <t>Dados da Fuselagem</t>
  </si>
  <si>
    <t>CYr</t>
  </si>
  <si>
    <t>CNr</t>
  </si>
  <si>
    <t>CRr</t>
  </si>
  <si>
    <t>EV</t>
  </si>
  <si>
    <t>Fuselagem</t>
  </si>
  <si>
    <t>ESDU A06.01.01</t>
  </si>
  <si>
    <t>ESDU 81014</t>
  </si>
  <si>
    <t>beta</t>
  </si>
  <si>
    <t>(Yp)w/CL0</t>
  </si>
  <si>
    <t>k</t>
  </si>
  <si>
    <t>(Np)w/CL0</t>
  </si>
  <si>
    <t>betaA/k</t>
  </si>
  <si>
    <t>B</t>
  </si>
  <si>
    <t>lambdaE</t>
  </si>
  <si>
    <t>(Yp)w/CLM</t>
  </si>
  <si>
    <t>(Np)w/CLM</t>
  </si>
  <si>
    <t>(-betaLp/k)</t>
  </si>
  <si>
    <t>ESDU 85006</t>
  </si>
  <si>
    <t>CDavisc</t>
  </si>
  <si>
    <t>qsi</t>
  </si>
  <si>
    <t>zeta</t>
  </si>
  <si>
    <t>(Yp)G/(Lp)w</t>
  </si>
  <si>
    <t>(Np)G/(Lp)w</t>
  </si>
  <si>
    <t>(Lp)G/(Lp)w</t>
  </si>
  <si>
    <t>CNbmid</t>
  </si>
  <si>
    <t>z</t>
  </si>
  <si>
    <t>(CRb)b</t>
  </si>
  <si>
    <t>Fw</t>
  </si>
  <si>
    <t>b/d</t>
  </si>
  <si>
    <t>abs(z)/h</t>
  </si>
  <si>
    <t>F</t>
  </si>
  <si>
    <t>H/b</t>
  </si>
  <si>
    <t>abs(h0/h)</t>
  </si>
  <si>
    <t>h/H</t>
  </si>
  <si>
    <t>F1</t>
  </si>
  <si>
    <t>F2</t>
  </si>
  <si>
    <t>Área máxima de cross-section</t>
  </si>
  <si>
    <t>Asa-Fuselagem</t>
  </si>
  <si>
    <t>CYb</t>
  </si>
  <si>
    <t>CNb</t>
  </si>
  <si>
    <t>CRb</t>
  </si>
  <si>
    <t>A*Beta</t>
  </si>
  <si>
    <t>A*tan(lambda12)</t>
  </si>
  <si>
    <t>(CRb)h</t>
  </si>
  <si>
    <t>dcdda</t>
  </si>
  <si>
    <t>Lrp</t>
  </si>
  <si>
    <t>LrG</t>
  </si>
  <si>
    <t>Lre</t>
  </si>
  <si>
    <t>dCL/daW</t>
  </si>
  <si>
    <t>0.418/</t>
  </si>
  <si>
    <t>H0W</t>
  </si>
  <si>
    <t xml:space="preserve">A </t>
  </si>
  <si>
    <t>Abeta</t>
  </si>
  <si>
    <t>Atan(lambda12)</t>
  </si>
  <si>
    <t>lambda12</t>
  </si>
  <si>
    <t>ESDU 76015</t>
  </si>
  <si>
    <t>m/cr</t>
  </si>
  <si>
    <t>n/cr</t>
  </si>
  <si>
    <t>beta*d/cr</t>
  </si>
  <si>
    <t>G</t>
  </si>
  <si>
    <t>d/b</t>
  </si>
  <si>
    <t>ct/cr</t>
  </si>
  <si>
    <t>A*tan(lambda)</t>
  </si>
  <si>
    <t>beta*A</t>
  </si>
  <si>
    <t>Corda na raiz (asa exposta)</t>
  </si>
  <si>
    <t>DeltaHn</t>
  </si>
  <si>
    <t>tan(lambda12)</t>
  </si>
  <si>
    <t>dCL/daWB</t>
  </si>
  <si>
    <t>A'</t>
  </si>
  <si>
    <t>Abeta'</t>
  </si>
  <si>
    <t>S'</t>
  </si>
  <si>
    <t>b'</t>
  </si>
  <si>
    <t>Atan(lambda12)'</t>
  </si>
  <si>
    <t xml:space="preserve">dCL/daW' </t>
  </si>
  <si>
    <t>Afilamento'</t>
  </si>
  <si>
    <t>alpha0 do perfil da ponta</t>
  </si>
  <si>
    <t>dcl/da do perfil da ponta</t>
  </si>
  <si>
    <t>dcl/da do perfil da raiz</t>
  </si>
  <si>
    <t>alpha0 do perfil da raiz</t>
  </si>
  <si>
    <t>ESDU 87031</t>
  </si>
  <si>
    <t>a0r1</t>
  </si>
  <si>
    <t>Atan(lambda14)</t>
  </si>
  <si>
    <t>Afilamento = 0</t>
  </si>
  <si>
    <t>a0r2/deltat</t>
  </si>
  <si>
    <t>deltaet</t>
  </si>
  <si>
    <t>a0r2/deltaet</t>
  </si>
  <si>
    <t>a0r2</t>
  </si>
  <si>
    <t>a0W</t>
  </si>
  <si>
    <t>CL0</t>
  </si>
  <si>
    <t>CL0W</t>
  </si>
  <si>
    <t>Incidência da asa na fuselagem</t>
  </si>
  <si>
    <t>K2/K1</t>
  </si>
  <si>
    <t>da0r</t>
  </si>
  <si>
    <t>ESDU 89042</t>
  </si>
  <si>
    <t xml:space="preserve">ESDU 70011 </t>
  </si>
  <si>
    <t>Asa exposta</t>
  </si>
  <si>
    <t>Asa de referência</t>
  </si>
  <si>
    <t xml:space="preserve">a0WB </t>
  </si>
  <si>
    <t>Na corda da raiz</t>
  </si>
  <si>
    <t xml:space="preserve">a0W </t>
  </si>
  <si>
    <t>EH</t>
  </si>
  <si>
    <t>Largura da Nacele</t>
  </si>
  <si>
    <t>Comprimento da Nacele</t>
  </si>
  <si>
    <t>A1</t>
  </si>
  <si>
    <t>r´/s</t>
  </si>
  <si>
    <t>tan(lambda14)</t>
  </si>
  <si>
    <t>H</t>
  </si>
  <si>
    <t>r'</t>
  </si>
  <si>
    <t>Xt</t>
  </si>
  <si>
    <t>Zt</t>
  </si>
  <si>
    <t>qsit</t>
  </si>
  <si>
    <t>etat</t>
  </si>
  <si>
    <t>Zb</t>
  </si>
  <si>
    <t>Altura da LC da fuselagem em relação à LREF</t>
  </si>
  <si>
    <t>Na LREF</t>
  </si>
  <si>
    <t>ESDU 80020</t>
  </si>
  <si>
    <t>A tan(lambda12)</t>
  </si>
  <si>
    <t>Hp inf</t>
  </si>
  <si>
    <t>1/qsit</t>
  </si>
  <si>
    <t>zetat</t>
  </si>
  <si>
    <t>Hpe</t>
  </si>
  <si>
    <t>Hp</t>
  </si>
  <si>
    <t>DeltaHp</t>
  </si>
  <si>
    <t>zetab</t>
  </si>
  <si>
    <t>Afilamento = 0.25</t>
  </si>
  <si>
    <t>Afilamento = 0.5</t>
  </si>
  <si>
    <t>Afilamento = 1.0</t>
  </si>
  <si>
    <t>Figura 4 - Fator para downwash médio ao longo da empenagem horizontal: A tan(lambda12) = 0</t>
  </si>
  <si>
    <t>Figura 5 - Fator para downwash médio ao longo da empenagem horizontal: A tan(lambda12) = 2</t>
  </si>
  <si>
    <t>Figura 6 - Fator para downwash médio ao longo da empenagem horizontal: A tan(lambda12) = 4</t>
  </si>
  <si>
    <t>Figura 7 - Fator para downwash médio ao longo da empenagem horizontal: A tan(lambda12) = 6</t>
  </si>
  <si>
    <t>deda0*</t>
  </si>
  <si>
    <t>deda0/(a1*F/A)</t>
  </si>
  <si>
    <t>Figura 9 - Efeito da altuda da EH no Deda</t>
  </si>
  <si>
    <t>Figura 8 - Efeito da fuselagem no Deda0</t>
  </si>
  <si>
    <t xml:space="preserve">deda0 </t>
  </si>
  <si>
    <t>C</t>
  </si>
  <si>
    <t>Deda</t>
  </si>
  <si>
    <t>KM</t>
  </si>
  <si>
    <t>e0</t>
  </si>
  <si>
    <t>Figura 10 - Downwash para CL = 0</t>
  </si>
  <si>
    <t>Figura 11 - Efeito de Mach no Deda</t>
  </si>
  <si>
    <t>zetat-zetab</t>
  </si>
  <si>
    <t>M</t>
  </si>
  <si>
    <t>DedaM</t>
  </si>
  <si>
    <t>Asa</t>
  </si>
  <si>
    <t>dCL/da</t>
  </si>
  <si>
    <t>Alpha0</t>
  </si>
  <si>
    <t>dCM/da</t>
  </si>
  <si>
    <t>De/da</t>
  </si>
  <si>
    <t>V´EH</t>
  </si>
  <si>
    <t>FEH</t>
  </si>
  <si>
    <t>dCL/daEH</t>
  </si>
  <si>
    <t>H0</t>
  </si>
  <si>
    <t>VEH</t>
  </si>
  <si>
    <t>Aeronave Completa</t>
  </si>
  <si>
    <t>Efeito PN</t>
  </si>
  <si>
    <t>Dados dos Perfís da Asa</t>
  </si>
  <si>
    <t>Enflechamento em c/4</t>
  </si>
  <si>
    <t>ESDU 70011 -  Inclinção da Curva de Sustentação e Centro Aerodiâmico de Asas em Escoamento Subsônico Inviscido</t>
  </si>
  <si>
    <t xml:space="preserve">Figura 2b -  Centro aerodinâmico para Atan(lambda12) = 1 </t>
  </si>
  <si>
    <t xml:space="preserve">Figura 2a -  Centro aerodinâmico para Atan(lambda12) = 0 </t>
  </si>
  <si>
    <t>Figura 2c -  Centro aerodinâmico para Atan(lambda12) = 2</t>
  </si>
  <si>
    <t>Figura 2d -  Centro aerodinâmico para Atan(lambda12) = 3</t>
  </si>
  <si>
    <t>Figura 2d -  Centro aerodinâmico para Atan(lambda12) = 6</t>
  </si>
  <si>
    <t>Figura 2f -  Centro aerodinâmico para Atan(lambda12) = 5</t>
  </si>
  <si>
    <t>Figura 2e -  Centro aerodinâmico para Atan(lambda12) = 4</t>
  </si>
  <si>
    <t>Interpolação da Figura 2</t>
  </si>
  <si>
    <t>h0</t>
  </si>
  <si>
    <t>Figura 1a -  Inclinação da curva de sustentação para Lambda = 0</t>
  </si>
  <si>
    <t>Figura 1b -  Inclinação da curva de sustentação para Lambda = 0.125</t>
  </si>
  <si>
    <t>Figura 1c -  Inclinação da curva de sustentação para Lambda = 0.25</t>
  </si>
  <si>
    <t>Figura 1d -  Inclinação da curva de sustentação para Lambda = 0.50</t>
  </si>
  <si>
    <t>Figura 1e -  Inclinação da curva de sustentação para Lambda = 1.0</t>
  </si>
  <si>
    <t>1/A*dCL/da</t>
  </si>
  <si>
    <t>Interpolação da Figura 1 (Asa)</t>
  </si>
  <si>
    <t>Interp.da Figura 1 (Asa Exposta)</t>
  </si>
  <si>
    <t>Interpolação da Figura 1 (EH)</t>
  </si>
  <si>
    <t>Interpolação da Figura 1 (EV)</t>
  </si>
  <si>
    <t>ESDU 76015 - Centro Aerodinâmico de Configurações Asa-Fuselagem</t>
  </si>
  <si>
    <t>Figura 1 - Efeito dos comprimentos à frente e à retaguarda da asa</t>
  </si>
  <si>
    <t>Figura 2 - Efeito da largura da fuselagem</t>
  </si>
  <si>
    <t>Interpolação da Figura 3</t>
  </si>
  <si>
    <t>Figura 3a - Efeito do Enflechamento para d/b = 0.08</t>
  </si>
  <si>
    <t>Figura 3b - Efeito do Enflechamento para d/b = 0.12</t>
  </si>
  <si>
    <t>Figura 3c - Efeito do Enflechamento para d/b = 0.16</t>
  </si>
  <si>
    <t>Figura 4 - Correção para o efeito do Enflechamento</t>
  </si>
  <si>
    <t>Figura 2 - Parametro de downwash - (Reduzido por curva polinomial)</t>
  </si>
  <si>
    <t>ESDU 78013 - Centro Aerodinâmico de Combinações Asa-Fuselagem-Nacele: Naceles em Pilones na Fuselagem Traseira</t>
  </si>
  <si>
    <t>ESDU 80020 - Downwash Médio na Empenagem Horizontal em Baixos Ângulos de Ataque e Velocidades Subsônicas</t>
  </si>
  <si>
    <t>Figura 1a - Parâmetro de downwash numa distância infinita (Hp inf) - Afilamento = 0.0</t>
  </si>
  <si>
    <t>Figura 1 b- Parâmetro de downwash numa distância infinita (Hp inf) - Afilamento = 0.25</t>
  </si>
  <si>
    <t>Interpolação da Figura 1</t>
  </si>
  <si>
    <t>HPinf</t>
  </si>
  <si>
    <t>Figura 2 - Parâmetro de downwash para carregamento eliptico</t>
  </si>
  <si>
    <t xml:space="preserve"> (Hpe)</t>
  </si>
  <si>
    <t xml:space="preserve">Figura 3 - Correção do parâmetro de downwash </t>
  </si>
  <si>
    <t>(DeltaHp)</t>
  </si>
  <si>
    <t xml:space="preserve">Interpolação das Figuras 4 a 7 </t>
  </si>
  <si>
    <t>Figura 1 c- Parâmetro de downwash numa distância infinita (Hp inf) - Afilamento = 0.50</t>
  </si>
  <si>
    <t>Figura 1 d- Parâmetro de downwash numa distância infinita (Hp inf) - Afilamento = 1.0</t>
  </si>
  <si>
    <t>ESDU 87031 - Ângulo de Ataque da Asa para Sustentação Nula em Mach Subcríticos</t>
  </si>
  <si>
    <t>Figura 1a - Valores de a0r2/deltat para Afilamento = 0</t>
  </si>
  <si>
    <t>Figura 1d - Valores de a0r2/deltat para Afilamento = 1.00</t>
  </si>
  <si>
    <t>Figura 1c - Valores de a0r2/deltat para Afilamento = 0.50</t>
  </si>
  <si>
    <t>Figura 1b - Valores de a0r2/deltat para Afilamento = 0.25</t>
  </si>
  <si>
    <t>ESDU 71017 - Derivadas de Estabilidade Aeronormalizadas: Efeito da Asa no Momento de Guinada devido à Guinada</t>
  </si>
  <si>
    <t>Lambda14</t>
  </si>
  <si>
    <t>Figura 1a - Nr0/Cd0 para Afilamento = 1</t>
  </si>
  <si>
    <t>Fator</t>
  </si>
  <si>
    <t>Figura 1b - Correção para afilamento</t>
  </si>
  <si>
    <t xml:space="preserve">Figura 2a - Nrv/CL2 para Afilamento = 0 </t>
  </si>
  <si>
    <t>Figura 2b - Nrv/CL2 para Afilamento = 0.25</t>
  </si>
  <si>
    <t>Figura 2c - Nrv/CL2 para Afilamento = 0.50</t>
  </si>
  <si>
    <t>Figura 2d - Nrv/CL2 para Afilamento = 1.00</t>
  </si>
  <si>
    <t>Figure 3 - Função f</t>
  </si>
  <si>
    <t>bf/b</t>
  </si>
  <si>
    <t>Interpolação da figura 2</t>
  </si>
  <si>
    <t>Nrv/CL2</t>
  </si>
  <si>
    <t>ESDU 72021 - Efeito da Asa no Momento de Rolamento Devido à Guinada</t>
  </si>
  <si>
    <t>Figura 1a - Lr0/gCL</t>
  </si>
  <si>
    <t>Figura 1b - Função g</t>
  </si>
  <si>
    <t>Figura 3 - Fator Lr0/G</t>
  </si>
  <si>
    <t>Figura 4 - Fator Lr0/e</t>
  </si>
  <si>
    <t>Etai,Eta0</t>
  </si>
  <si>
    <t>Figura 5b - Fator f2 para efeito dos flaps</t>
  </si>
  <si>
    <t>Figura 5a - Efeito dos Flaps</t>
  </si>
  <si>
    <t>f2</t>
  </si>
  <si>
    <t>Figura 6a - Efeito Mach em Lr para Mach = 0.4</t>
  </si>
  <si>
    <t>Figura 6b - Efeito Mach em Lr para Mach = 0.6</t>
  </si>
  <si>
    <t>Figura 6c - Efeito Mach em Lr para Mach = 0.7</t>
  </si>
  <si>
    <t>Figura 6e - Efeito Mach em Lr para Mach = 0.9</t>
  </si>
  <si>
    <t>Figura 6d - Efeito Mach em Lr para Mach = 0.8</t>
  </si>
  <si>
    <t>Interpolação da Figura 6</t>
  </si>
  <si>
    <t>Lr/L0</t>
  </si>
  <si>
    <t>abs(h/H)</t>
  </si>
  <si>
    <t>Figura 1a - abs(Lvh)/((1+W/H)f(A))</t>
  </si>
  <si>
    <t>ESDU 73006 - Efeitos de um Corpo Isolado e Interferência Asa-Fuselagem no Momento de Rolamento devido a Derrapagem</t>
  </si>
  <si>
    <t>Figura 1b - f(A)</t>
  </si>
  <si>
    <t>f(A)</t>
  </si>
  <si>
    <t>Figura 2 - Fator k</t>
  </si>
  <si>
    <t>abs(h0/H)</t>
  </si>
  <si>
    <t>ESDU 73006/ESDU 79006</t>
  </si>
  <si>
    <t>h1/h2</t>
  </si>
  <si>
    <t>lb2/Sb</t>
  </si>
  <si>
    <t>Figura 1 - Derivada de Momento de Guinada</t>
  </si>
  <si>
    <t>ESDU 79006 - Derivadas de Momento de Guinada e de Força Lateral devido a Derrapagem</t>
  </si>
  <si>
    <t>Figura 2 - Efeito da altura da asa e da largura da fuselagem</t>
  </si>
  <si>
    <t>Figura 3 - Fator de forma em planta da asa</t>
  </si>
  <si>
    <t>ESDU 81014 - Contribuição da Forma em Planta da Asa nas Derivadas de Força Lateral e de Momento de Guinada devido a Rolamento</t>
  </si>
  <si>
    <t>Figura 1a - Contribuição linear para (Np)w para xac/b = 0</t>
  </si>
  <si>
    <t>Figura 1b - Contribuição linear para (Np)w para xac/b = 0.1</t>
  </si>
  <si>
    <t>Figura 1c - Contribuição linear para (Np)w para xac/b = 0.2</t>
  </si>
  <si>
    <t>Figura 2 - Força Lateral devido a Rolamento</t>
  </si>
  <si>
    <t>(Np)w/CL</t>
  </si>
  <si>
    <t>xac/b</t>
  </si>
  <si>
    <t>Figura 3 - Varição de Delta(Np)w/(dCD/da) com o alongamento e enflechamento</t>
  </si>
  <si>
    <t>ESDU 82010 - Contribuição da EV nas Derivadas de Força Lateral, Momento de Guinada e de Rolamento devido a Derrapagem</t>
  </si>
  <si>
    <t>Figura 1 - Fator de Correção de Fuselagem-EV</t>
  </si>
  <si>
    <t>hbf/(hbf+hf)</t>
  </si>
  <si>
    <t>Figura 2b - Fator de Corrção devido a EH (em T ou em cruz)</t>
  </si>
  <si>
    <t>Figura 3b - Fator de correção devido a asa (em T ou cruz)</t>
  </si>
  <si>
    <t>Figura 4 - Fator zf/hf</t>
  </si>
  <si>
    <t>zf/hf</t>
  </si>
  <si>
    <t>ESDU A06.01.01 - Derivada de Estabilidade Lp, Momento de Rolamento devido ao Rolamento de asas Enflechadas e Afiladas</t>
  </si>
  <si>
    <t>Figura 1 - Fator -beta*Lp/k  para afilamento = 0</t>
  </si>
  <si>
    <t>(-beta*Lp/k)</t>
  </si>
  <si>
    <t>beta*A/k</t>
  </si>
  <si>
    <t>Enflechamento</t>
  </si>
  <si>
    <t>Figura 1c - Fator -beta*Lp/k  para afilamento = 0.5</t>
  </si>
  <si>
    <t>Figura 1d - Fator -beta*Lp/k  para afilamento = 1.0</t>
  </si>
  <si>
    <t>Figura 1b - Fator -beta*Lp/k  para afilamento = 0.25</t>
  </si>
  <si>
    <t>Interpolação da figura 1</t>
  </si>
  <si>
    <t>Lambda</t>
  </si>
  <si>
    <t>Componente</t>
  </si>
  <si>
    <t>Coeficiente</t>
  </si>
  <si>
    <t>Valor</t>
  </si>
  <si>
    <t>X</t>
  </si>
  <si>
    <t>Nariz</t>
  </si>
  <si>
    <t>W</t>
  </si>
  <si>
    <t>Y</t>
  </si>
  <si>
    <t>ZL</t>
  </si>
  <si>
    <t>ZU</t>
  </si>
  <si>
    <t>Cauda</t>
  </si>
  <si>
    <t>S</t>
  </si>
  <si>
    <t>DeltaF</t>
  </si>
  <si>
    <t>DeltaT</t>
  </si>
  <si>
    <t>Z</t>
  </si>
  <si>
    <t>cmg</t>
  </si>
  <si>
    <t>L1/4</t>
  </si>
  <si>
    <t>Dados de Entrada para Cálculo de Coeficientes Aerodinâmicos</t>
  </si>
  <si>
    <t>DeltabEH</t>
  </si>
  <si>
    <t>X1/4</t>
  </si>
  <si>
    <t>Empenagem Horizontal</t>
  </si>
  <si>
    <t>Cálculos Intermediarios dos Coeficientes Latero-Direcionais de Estabilidade</t>
  </si>
  <si>
    <t>Profundor</t>
  </si>
  <si>
    <t>Posição lateral da raiz</t>
  </si>
  <si>
    <t>Enflechamento da HL</t>
  </si>
  <si>
    <t>Ângulo do bordo de fuga</t>
  </si>
  <si>
    <t>ESDU C01.01.03</t>
  </si>
  <si>
    <t>cf/c</t>
  </si>
  <si>
    <t>t/c</t>
  </si>
  <si>
    <t>ESDU C01.01.03 - Taxa de Variação do Coeficiente de Sustentação com a Deflexão de Controle em Escoamento Incompressível 2D</t>
  </si>
  <si>
    <t>Figura 1 - a2 Teórico</t>
  </si>
  <si>
    <t>Figura 2 - Razão entre a2 e a2 teórico</t>
  </si>
  <si>
    <t>ESDU W01.01.05</t>
  </si>
  <si>
    <t>Re</t>
  </si>
  <si>
    <t>ESDU C04.01.01</t>
  </si>
  <si>
    <t>ESDU C04.01.01 - Coeficiente de Taxa de Variação do Coeficiente de Momento de Articulação com o Ângulo de Ataque para Controles Plenos 2D (b1)0</t>
  </si>
  <si>
    <t>Figura 1 - (b1)0T - Coeficiente de momento de articulação teórico</t>
  </si>
  <si>
    <t>Figura 2 - Razão entre (b1)0 e (b1)0T</t>
  </si>
  <si>
    <t>(a1)0/(a1)0T</t>
  </si>
  <si>
    <t>(b1)0</t>
  </si>
  <si>
    <t>(a1)0T*</t>
  </si>
  <si>
    <t>(a1)0*</t>
  </si>
  <si>
    <t>tau(std)</t>
  </si>
  <si>
    <t>(a1)0T</t>
  </si>
  <si>
    <t>(a1)0</t>
  </si>
  <si>
    <t>(a1)0*/(a1)0T*</t>
  </si>
  <si>
    <t>(a2)0T*</t>
  </si>
  <si>
    <t>(a2)0T</t>
  </si>
  <si>
    <t>(a2)0/(a2)0T</t>
  </si>
  <si>
    <t>(a2)0</t>
  </si>
  <si>
    <t>(a2)0/(a2)0T*</t>
  </si>
  <si>
    <t>(b1)0T*</t>
  </si>
  <si>
    <t>(b1)0*/(b1)0T*</t>
  </si>
  <si>
    <t>(b1)0*</t>
  </si>
  <si>
    <t>ESDU C04.01.02</t>
  </si>
  <si>
    <t>Figura 1 - (b2)0T - Coeficiente de momento de articulação teórico</t>
  </si>
  <si>
    <t>ESDU C04.01.02 - Coeficiente de Taxa de Variação do Coeficiente de Momento de Articulação com o Deflexão de Controles Plenos 2D (b2)0</t>
  </si>
  <si>
    <t>Figura 2 - Razão entre (b2)0 e (b2)0T</t>
  </si>
  <si>
    <t>(b2)0T*</t>
  </si>
  <si>
    <t>(b2)0*/(b2)0T*</t>
  </si>
  <si>
    <t>(b2)0*</t>
  </si>
  <si>
    <t>(b2)0</t>
  </si>
  <si>
    <t>(a2)0*</t>
  </si>
  <si>
    <t>ESDU C04.01.03</t>
  </si>
  <si>
    <t>BAL</t>
  </si>
  <si>
    <t>Nariz Agudo</t>
  </si>
  <si>
    <t>Nariz Elíptico</t>
  </si>
  <si>
    <t>Nariz Arredondado</t>
  </si>
  <si>
    <t xml:space="preserve">Pontos Experimentais </t>
  </si>
  <si>
    <t>(b1)bal/b1</t>
  </si>
  <si>
    <t>Curvas Extrapoladas</t>
  </si>
  <si>
    <t>Tratamento nos dados experimentais apresentados no ESDU C04.01.03 (Figura 1)</t>
  </si>
  <si>
    <t>Tratamento nos dados experimentais apresentados no ESDU C04.01.03 (Figura 2)</t>
  </si>
  <si>
    <t>(b1)0bal/(b1)0</t>
  </si>
  <si>
    <t>(b2)0bal/(b2)0</t>
  </si>
  <si>
    <t>(b1)0bal</t>
  </si>
  <si>
    <t>(b2)0bal</t>
  </si>
  <si>
    <t>ESDU C04.01.03 - Efeito do Balanceamento de Nariz nos Coeficientes de Momento de Articulação 2D</t>
  </si>
  <si>
    <t>tan(Lambda14)/beta</t>
  </si>
  <si>
    <t>2piBetaG1/(Fb(a1)0cosHL)</t>
  </si>
  <si>
    <t>BetaA</t>
  </si>
  <si>
    <t>A*beta</t>
  </si>
  <si>
    <t>tan(lbd14)/b</t>
  </si>
  <si>
    <t>Figura 1a - Contribuição do arqueamento induzido para controles full-span - cf/c = 0.2</t>
  </si>
  <si>
    <t>Figura 1b - Contribuição do arqueamento induzido para controles full-span - cf/c = 0.3</t>
  </si>
  <si>
    <t>Figura 1c - Contribuição do arqueamento induzido para controles full-span - cf/c = 0.4</t>
  </si>
  <si>
    <t>Figura 1d - Contribuição do arqueamento induzido para controles full-span - cf/c = 0.5</t>
  </si>
  <si>
    <t>Interpolação da Figura 1 - Profundor</t>
  </si>
  <si>
    <t>Interpolação da Figura 1 - Leme</t>
  </si>
  <si>
    <t>Interpolação da Figura 1 - Aileron</t>
  </si>
  <si>
    <t>Figura 2 - Efeito do balanceamento no fator de arqueamento induzido</t>
  </si>
  <si>
    <t>cb/cf</t>
  </si>
  <si>
    <t>Figura 3 - Correção Part-Span de b1 para arqueamento induzido</t>
  </si>
  <si>
    <t>etai</t>
  </si>
  <si>
    <t>eta</t>
  </si>
  <si>
    <t>Fb</t>
  </si>
  <si>
    <t>G1</t>
  </si>
  <si>
    <t>2piBetaG2/(Fb(a1)0cosHL)</t>
  </si>
  <si>
    <t>G2</t>
  </si>
  <si>
    <t>DeltaB1</t>
  </si>
  <si>
    <t>B1</t>
  </si>
  <si>
    <t>2piBetaG3/(Fb(a1)0cosHL)</t>
  </si>
  <si>
    <t>G3</t>
  </si>
  <si>
    <t>B2</t>
  </si>
  <si>
    <t>Aileron</t>
  </si>
  <si>
    <t>Leme</t>
  </si>
  <si>
    <t>ESDU 88009 - Coeficiente de Momento de Articulação de Controles de Bordo de Fuga em Velocidades Subsônicas</t>
  </si>
  <si>
    <t>ESDU 89009</t>
  </si>
  <si>
    <t>xt</t>
  </si>
  <si>
    <t>DeltaSEH</t>
  </si>
  <si>
    <t>Geometria para Geração dos Desenhos</t>
  </si>
  <si>
    <t>Hn</t>
  </si>
  <si>
    <t>DeltaXW</t>
  </si>
  <si>
    <t>cr</t>
  </si>
  <si>
    <t>b</t>
  </si>
  <si>
    <t>ct</t>
  </si>
  <si>
    <t>posEV</t>
  </si>
  <si>
    <t>posW</t>
  </si>
  <si>
    <t>lfus</t>
  </si>
  <si>
    <t>alater</t>
  </si>
  <si>
    <t>diant</t>
  </si>
  <si>
    <t>Cálculos Intermediarios dos Coeficientes Longitudinais de Estabilidade</t>
  </si>
  <si>
    <t>posEH</t>
  </si>
  <si>
    <t>cm0th</t>
  </si>
  <si>
    <t>Figura 1 - Fator F</t>
  </si>
  <si>
    <t>(-cm0th)</t>
  </si>
  <si>
    <t>cm0i1</t>
  </si>
  <si>
    <t>cm01</t>
  </si>
  <si>
    <t>cm0i2</t>
  </si>
  <si>
    <t>cm02</t>
  </si>
  <si>
    <t>ESDU 87001 - Momento de Arfagem para Sustentação Nula da Asa em Mach Subcrítico</t>
  </si>
  <si>
    <t>ESDU 87001</t>
  </si>
  <si>
    <t>cm0 do perfil da raiz</t>
  </si>
  <si>
    <t>cm0 do perfil na ponta</t>
  </si>
  <si>
    <t>[1/rad]</t>
  </si>
  <si>
    <t>Ângulo de nariz da fuselagem</t>
  </si>
  <si>
    <t>Ângulo de cauda da fuselagem</t>
  </si>
  <si>
    <t>w2/Sb</t>
  </si>
  <si>
    <t>Sbnlbn/(Sblb)</t>
  </si>
  <si>
    <t>ESDU 89042 - Efeito da Fuselagem no Ângulo de Ataque e Momento de Arfagem para Sustentação Nula em Baixas Velocidades</t>
  </si>
  <si>
    <t>Figura 2 - Efeito da fuselagem no momento de arfagem para sustentação nula para asas retas no meio da fuselagem</t>
  </si>
  <si>
    <t>Psi</t>
  </si>
  <si>
    <t>Cm0B</t>
  </si>
  <si>
    <t>DeltaZCm0</t>
  </si>
  <si>
    <t>DeltaSCm0</t>
  </si>
  <si>
    <t>DCm0B</t>
  </si>
  <si>
    <t>Cm0WB</t>
  </si>
  <si>
    <t>Cm0W</t>
  </si>
  <si>
    <t>Cálculos Itermediários dos Coeficientes de Controle e de Momento de Articulação</t>
  </si>
  <si>
    <t>1/betaA</t>
  </si>
  <si>
    <t>k1</t>
  </si>
  <si>
    <t>k2</t>
  </si>
  <si>
    <t>ESDU 74011 - Taxa de Variação do Coeficiente de Sustentação com a Variação da Deflexão para Controles Full-Span</t>
  </si>
  <si>
    <t>Figura 1 - Parâmetro (dCL/ddelta)/(dCL/da)</t>
  </si>
  <si>
    <t>Figura 2 - Parâmetro k1</t>
  </si>
  <si>
    <t>Figura 3 - Parâmetro k2</t>
  </si>
  <si>
    <t>(t/c)sec(lambda12)</t>
  </si>
  <si>
    <t>log10R</t>
  </si>
  <si>
    <t>ESDU 74011</t>
  </si>
  <si>
    <t>(dCL/ddelta/A1)T</t>
  </si>
  <si>
    <t>(dCL/ddelta)T</t>
  </si>
  <si>
    <t>log10(R)</t>
  </si>
  <si>
    <t>A2</t>
  </si>
  <si>
    <t>A3</t>
  </si>
  <si>
    <t>B3</t>
  </si>
  <si>
    <t>Asa-Fuselagem-Pilone-Nacele</t>
  </si>
  <si>
    <t>Pilone-Nacele</t>
  </si>
  <si>
    <t>Posição vertical da 1/4 comprimento da nacele</t>
  </si>
  <si>
    <t>enfl</t>
  </si>
  <si>
    <t>zfbar/hf</t>
  </si>
  <si>
    <t>ESDU 87008</t>
  </si>
  <si>
    <t>a1F</t>
  </si>
  <si>
    <t>fig1X</t>
  </si>
  <si>
    <t>JRo</t>
  </si>
  <si>
    <t>JR</t>
  </si>
  <si>
    <t>YvFR</t>
  </si>
  <si>
    <t>YvFRSw/SF</t>
  </si>
  <si>
    <t>1/Afeq</t>
  </si>
  <si>
    <t>Afeq</t>
  </si>
  <si>
    <t>ESDU 87008 - Derivadas de Força Lateral, Momento de Guinada e de Rolamento para Leme</t>
  </si>
  <si>
    <t>AF</t>
  </si>
  <si>
    <t>(hbr+dbr)/(hbr+dbr+2hfr)</t>
  </si>
  <si>
    <t>1/AFeq</t>
  </si>
  <si>
    <t>cr/c</t>
  </si>
  <si>
    <t>alphath</t>
  </si>
  <si>
    <t>alphadth</t>
  </si>
  <si>
    <t>t/cfsec(lambda12)</t>
  </si>
  <si>
    <t>Figura 4b - Fator de correção para espessura do perfil</t>
  </si>
  <si>
    <t>Figura 2 - Fator de correção devido a fuselagem</t>
  </si>
  <si>
    <t>Figura 4a - Eficiência de controle</t>
  </si>
  <si>
    <t>t/cfsec(lambda12f)</t>
  </si>
  <si>
    <t>alphad</t>
  </si>
  <si>
    <t>etao</t>
  </si>
  <si>
    <t>Figura 5a - Fator de correção de envergadura parcial para cauda em T</t>
  </si>
  <si>
    <t>ztr/hfr</t>
  </si>
  <si>
    <t>PHI1</t>
  </si>
  <si>
    <t>K1i</t>
  </si>
  <si>
    <t>K1o</t>
  </si>
  <si>
    <t>Atan(lambda12)-8TR</t>
  </si>
  <si>
    <t>K2i</t>
  </si>
  <si>
    <t>K2o</t>
  </si>
  <si>
    <t>Sigmai</t>
  </si>
  <si>
    <t>Sigmao</t>
  </si>
  <si>
    <t>CRda</t>
  </si>
  <si>
    <t>CYdr</t>
  </si>
  <si>
    <t>eps0</t>
  </si>
  <si>
    <t>TAB</t>
  </si>
  <si>
    <t>ct/c</t>
  </si>
  <si>
    <t>B3/G</t>
  </si>
  <si>
    <t>ESDU C04.01.08</t>
  </si>
  <si>
    <t>A*</t>
  </si>
  <si>
    <t>fA*</t>
  </si>
  <si>
    <t>(CRb)wenf/CL</t>
  </si>
  <si>
    <t>f1</t>
  </si>
  <si>
    <t>(CRb)w0/CL</t>
  </si>
  <si>
    <t>(CRb)/CL</t>
  </si>
  <si>
    <t>(CRb)gamma</t>
  </si>
  <si>
    <t>ESDU 80033</t>
  </si>
  <si>
    <t>ESDU A06.01.03</t>
  </si>
  <si>
    <t>ESDU A06.01.03 - Derivada de Estabilidade Lp, Momento de Rolamento devido ao Rolamento de asas Enflechadas e Afiladas</t>
  </si>
  <si>
    <t>A*beta/k</t>
  </si>
  <si>
    <t>Figura 1 - Fator -beta*Lv/(k*gamma)  para afilamento = 0</t>
  </si>
  <si>
    <t>Figura 1 - Fator -beta*Lv/(k*gamma)  para afilamento = 0.25</t>
  </si>
  <si>
    <t>Figura 1 - Fator -beta*Lv/(k*gamma)  para afilamento = 0.5</t>
  </si>
  <si>
    <t>Figura 1 - Fator -beta*Lv/(k*gamma)  para afilamento = 1.0</t>
  </si>
  <si>
    <t>(-betaLv/kgamma)</t>
  </si>
  <si>
    <t>Fator de Gap</t>
  </si>
  <si>
    <t>CRdqsi</t>
  </si>
  <si>
    <t>lambda 12f</t>
  </si>
  <si>
    <t>AfeqTanlambda12)-8afl</t>
  </si>
  <si>
    <t>CNdr</t>
  </si>
  <si>
    <t>CYqsi</t>
  </si>
  <si>
    <t>CNqsi</t>
  </si>
  <si>
    <t>CRqsi</t>
  </si>
  <si>
    <t>lr/b</t>
  </si>
  <si>
    <t>zr/b</t>
  </si>
  <si>
    <t>CRdr</t>
  </si>
  <si>
    <t>VEV</t>
  </si>
  <si>
    <t>DeltaEtaAil</t>
  </si>
  <si>
    <t>A1Eff</t>
  </si>
  <si>
    <t>DeltabEV</t>
  </si>
  <si>
    <t>bEV</t>
  </si>
  <si>
    <t>bLeme</t>
  </si>
  <si>
    <t>bEVexp</t>
  </si>
  <si>
    <t>zEH</t>
  </si>
  <si>
    <t>zEHexp</t>
  </si>
  <si>
    <t>DeltaZEH</t>
  </si>
  <si>
    <t>DeltaEnflEV</t>
  </si>
  <si>
    <t>DeltaEnflEV2</t>
  </si>
  <si>
    <t>z'f/b</t>
  </si>
  <si>
    <t>l'f/b</t>
  </si>
  <si>
    <t>(CYp)w</t>
  </si>
  <si>
    <t>(CNp)w</t>
  </si>
  <si>
    <t>(CYp)G</t>
  </si>
  <si>
    <t>(Lp)w</t>
  </si>
  <si>
    <t>(CRp)G</t>
  </si>
  <si>
    <t>(CNp)G</t>
  </si>
  <si>
    <t>(CNr)w</t>
  </si>
  <si>
    <t>(Nr)w</t>
  </si>
  <si>
    <t>(Lr)w</t>
  </si>
  <si>
    <t>(CRr)w</t>
  </si>
  <si>
    <t>(Lr)b</t>
  </si>
  <si>
    <t>(Nr)b</t>
  </si>
  <si>
    <t>(Yr)b</t>
  </si>
  <si>
    <t>(CYr)b</t>
  </si>
  <si>
    <t>(CNr)b</t>
  </si>
  <si>
    <t>(CRr)b</t>
  </si>
  <si>
    <t>(CRp)w</t>
  </si>
  <si>
    <t>(CYb)wb</t>
  </si>
  <si>
    <t>(CNb)wb</t>
  </si>
  <si>
    <t>(CRb)wb</t>
  </si>
  <si>
    <t>(CYb)vt</t>
  </si>
  <si>
    <t>(CNb)vt</t>
  </si>
  <si>
    <t>(CRb)vt</t>
  </si>
  <si>
    <t>ESDU 83026</t>
  </si>
  <si>
    <t>ESDU 88013</t>
  </si>
  <si>
    <t>Envergadura do Horn</t>
  </si>
  <si>
    <t>Nariz do Horn</t>
  </si>
  <si>
    <t>ESDU 88003</t>
  </si>
  <si>
    <t>sh/sf</t>
  </si>
  <si>
    <t>ch/cfbar</t>
  </si>
  <si>
    <t>cf</t>
  </si>
  <si>
    <t>cfbar</t>
  </si>
  <si>
    <t>ch</t>
  </si>
  <si>
    <t>xh(c)h</t>
  </si>
  <si>
    <t>cbh/ch</t>
  </si>
  <si>
    <t>(c)h</t>
  </si>
  <si>
    <t>Ah</t>
  </si>
  <si>
    <t>N</t>
  </si>
  <si>
    <t>K</t>
  </si>
  <si>
    <t>deltaB1</t>
  </si>
  <si>
    <t>deltaB2</t>
  </si>
  <si>
    <t>[t/c - tan1/2tau]</t>
  </si>
  <si>
    <t>Y1</t>
  </si>
  <si>
    <t>Y2</t>
  </si>
  <si>
    <t>xh</t>
  </si>
  <si>
    <t>ESDU 88003 - Efeito de Balanceamento por Horns no Momento de Articulação de Controles em Baixa Velocidade</t>
  </si>
  <si>
    <t>Figura 1 - Derivada do momento de articulação devido ao ângulo de ataque</t>
  </si>
  <si>
    <t>Figura 2 - Derivada do momento de articulação devido a deflexão do comando</t>
  </si>
  <si>
    <t xml:space="preserve"> Figura 5 - Correção da Forma do BA</t>
  </si>
  <si>
    <t>[t/c - tan.5tau]</t>
  </si>
  <si>
    <t>Dados do Horn do Profundor</t>
  </si>
  <si>
    <t>Dados do Tab do Profundor</t>
  </si>
  <si>
    <t>Dados do Profundor</t>
  </si>
  <si>
    <t>Dados do Leme</t>
  </si>
  <si>
    <t>Dados do Aileron</t>
  </si>
  <si>
    <t>ESDU C04.01.08 - Derivada do Coeficiente de Momento de Articulação Devido ao Tab</t>
  </si>
  <si>
    <t>Figura 1 - Derivada do Coeficiente de Momento de Articulação do Tab</t>
  </si>
  <si>
    <t>Figura 2 - Fator F</t>
  </si>
  <si>
    <t>tau</t>
  </si>
  <si>
    <t>Dados do Tab do Leme</t>
  </si>
  <si>
    <t>Dados do Horn do Aileron</t>
  </si>
  <si>
    <t>Dados do Tab do Aileron</t>
  </si>
  <si>
    <t>CYqsit</t>
  </si>
  <si>
    <t>CRdtab</t>
  </si>
  <si>
    <t>CYdtab</t>
  </si>
  <si>
    <t>Corda na Raiz</t>
  </si>
  <si>
    <t>Corda na Ponta</t>
  </si>
  <si>
    <t>Dados da Nacele</t>
  </si>
  <si>
    <t>Posição lateral da linha de centro da nacele</t>
  </si>
  <si>
    <t>Dados do Pilone (Motor Atras)</t>
  </si>
  <si>
    <t>Interpolação da Figura 1 (Pilone)</t>
  </si>
  <si>
    <t>Interpolação da Figura 1 (Pne Exp)</t>
  </si>
  <si>
    <t>dCL/daP</t>
  </si>
  <si>
    <t>Pilone de Exposto</t>
  </si>
  <si>
    <t>ESDU 78013/Adaptado</t>
  </si>
  <si>
    <t>Pilone de Referência</t>
  </si>
  <si>
    <t>dCM/daP</t>
  </si>
  <si>
    <t>AP</t>
  </si>
  <si>
    <t>KP</t>
  </si>
  <si>
    <t>KN</t>
  </si>
  <si>
    <t>r1/4P</t>
  </si>
  <si>
    <t>w/l</t>
  </si>
  <si>
    <t>wl</t>
  </si>
  <si>
    <t>AN</t>
  </si>
  <si>
    <t>n</t>
  </si>
  <si>
    <t>dCL/daN</t>
  </si>
  <si>
    <t>AP'</t>
  </si>
  <si>
    <t>dCM/daN</t>
  </si>
  <si>
    <t>dCL/daPN</t>
  </si>
  <si>
    <t>dCM/daPN</t>
  </si>
  <si>
    <t>A1PN</t>
  </si>
  <si>
    <t>x/c</t>
  </si>
  <si>
    <t>Crbenf</t>
  </si>
  <si>
    <t>(betaLv/kgamma)</t>
  </si>
  <si>
    <t>Posição horizontal do 1/4 de comprimento da nacele</t>
  </si>
  <si>
    <t>cl0</t>
  </si>
  <si>
    <t>cm0</t>
  </si>
  <si>
    <t>lambda</t>
  </si>
  <si>
    <t>deltat</t>
  </si>
  <si>
    <t>c't1</t>
  </si>
  <si>
    <t>c'/c</t>
  </si>
  <si>
    <t>c't1/c'</t>
  </si>
  <si>
    <t>Jt1</t>
  </si>
  <si>
    <t>DCL'1</t>
  </si>
  <si>
    <t>DCL0't</t>
  </si>
  <si>
    <t>h'2t</t>
  </si>
  <si>
    <t>h'2</t>
  </si>
  <si>
    <t>DCmta0</t>
  </si>
  <si>
    <t>h2</t>
  </si>
  <si>
    <t>Kf</t>
  </si>
  <si>
    <t>Kfenf</t>
  </si>
  <si>
    <t>Ki</t>
  </si>
  <si>
    <t>Ko</t>
  </si>
  <si>
    <t>pi</t>
  </si>
  <si>
    <t>po</t>
  </si>
  <si>
    <t>Kenfi</t>
  </si>
  <si>
    <t>Kenfo</t>
  </si>
  <si>
    <t>DCMa0</t>
  </si>
  <si>
    <t>Eta</t>
  </si>
  <si>
    <t>Painel Interno</t>
  </si>
  <si>
    <t>phii</t>
  </si>
  <si>
    <t>phio</t>
  </si>
  <si>
    <t>DCL0</t>
  </si>
  <si>
    <t>Painel Externo</t>
  </si>
  <si>
    <t>etab</t>
  </si>
  <si>
    <t>PHI</t>
  </si>
  <si>
    <t xml:space="preserve">Corda relativa do elemento 1 </t>
  </si>
  <si>
    <t>Z  maximo relativo  do perfil base</t>
  </si>
  <si>
    <t xml:space="preserve">Posição lateral da raiz </t>
  </si>
  <si>
    <t xml:space="preserve">Posição lateral da ponta </t>
  </si>
  <si>
    <t>Tipo de flape</t>
  </si>
  <si>
    <t>Dados do Painel Interno do Flape</t>
  </si>
  <si>
    <t>ESDU 93019/83040</t>
  </si>
  <si>
    <t>ESDU 99004</t>
  </si>
  <si>
    <t xml:space="preserve">ESDU 99004 - </t>
  </si>
  <si>
    <t xml:space="preserve">ESDU 93019 - </t>
  </si>
  <si>
    <t>Figura 5 -</t>
  </si>
  <si>
    <t>beta*A = 1.5</t>
  </si>
  <si>
    <t>beta*A = 3</t>
  </si>
  <si>
    <t>beta*A = 5</t>
  </si>
  <si>
    <t>beta*A = 8</t>
  </si>
  <si>
    <t>beta*A = 12</t>
  </si>
  <si>
    <t>A*tan(enf12)</t>
  </si>
  <si>
    <t xml:space="preserve">ESDU 83040 - </t>
  </si>
  <si>
    <t>CMa0</t>
  </si>
  <si>
    <t>CM0</t>
  </si>
  <si>
    <t>DAlpha0</t>
  </si>
  <si>
    <t>r1/4N</t>
  </si>
  <si>
    <t>Incidência do pilone</t>
  </si>
  <si>
    <t>Flap</t>
  </si>
  <si>
    <t>Elemento 1</t>
  </si>
  <si>
    <t>Deflexão</t>
  </si>
  <si>
    <t>Overlap</t>
  </si>
  <si>
    <t>Elemento 2</t>
  </si>
  <si>
    <t>delta t</t>
  </si>
  <si>
    <t>Dct1/c</t>
  </si>
  <si>
    <t>Dados do Painel Externo do Flape</t>
  </si>
  <si>
    <t>xCG</t>
  </si>
  <si>
    <t>Condições</t>
  </si>
  <si>
    <t>Flap (1-4)</t>
  </si>
  <si>
    <t>Deflexões e Overlaps dos Flapes</t>
  </si>
  <si>
    <t>2Ht/b</t>
  </si>
  <si>
    <t>DefAbf/bDCLf</t>
  </si>
  <si>
    <t>2H/b</t>
  </si>
  <si>
    <t>DefAbf/bDCLw</t>
  </si>
  <si>
    <t>DATCOM - Downwash</t>
  </si>
  <si>
    <t>Fig 8.70 (Roskam v.6)</t>
  </si>
  <si>
    <t>DEPSFPN</t>
  </si>
  <si>
    <t>DEPSFHT</t>
  </si>
  <si>
    <t>clar</t>
  </si>
  <si>
    <t>clat</t>
  </si>
  <si>
    <t>cm0r</t>
  </si>
  <si>
    <t>cm0t</t>
  </si>
  <si>
    <t>a0r</t>
  </si>
  <si>
    <t>a0t</t>
  </si>
  <si>
    <t>Configuração de Motor</t>
  </si>
  <si>
    <t>Sw</t>
  </si>
  <si>
    <t>tr</t>
  </si>
  <si>
    <t>lambda14</t>
  </si>
  <si>
    <t>gamma</t>
  </si>
  <si>
    <t>iw</t>
  </si>
  <si>
    <t>Corda de Referência</t>
  </si>
  <si>
    <t>Área de Referência</t>
  </si>
  <si>
    <t>cref</t>
  </si>
  <si>
    <t>ycref</t>
  </si>
  <si>
    <t>xw</t>
  </si>
  <si>
    <t>crexp</t>
  </si>
  <si>
    <t>lnac</t>
  </si>
  <si>
    <t>wnac</t>
  </si>
  <si>
    <t>xnac</t>
  </si>
  <si>
    <t>ynac</t>
  </si>
  <si>
    <t>znac</t>
  </si>
  <si>
    <t>wb</t>
  </si>
  <si>
    <t>wbnac</t>
  </si>
  <si>
    <t>thetan</t>
  </si>
  <si>
    <t>thetat</t>
  </si>
  <si>
    <t>lb</t>
  </si>
  <si>
    <t>lbn</t>
  </si>
  <si>
    <t>wbw14</t>
  </si>
  <si>
    <t>Área lateral</t>
  </si>
  <si>
    <t>Área de base</t>
  </si>
  <si>
    <t>Área em planta a frente da corda na raiz (asa exposta)</t>
  </si>
  <si>
    <t>hbw14</t>
  </si>
  <si>
    <t>hb14</t>
  </si>
  <si>
    <t>hb34</t>
  </si>
  <si>
    <t>hblc</t>
  </si>
  <si>
    <t>Sb</t>
  </si>
  <si>
    <t>Sbn</t>
  </si>
  <si>
    <t>Sbl</t>
  </si>
  <si>
    <t>Sbcs</t>
  </si>
  <si>
    <t>Sbbase</t>
  </si>
  <si>
    <t>Símbolo</t>
  </si>
  <si>
    <t>Dimensão</t>
  </si>
  <si>
    <t>crht</t>
  </si>
  <si>
    <t>ctht</t>
  </si>
  <si>
    <t>bht</t>
  </si>
  <si>
    <t>lambda14ht</t>
  </si>
  <si>
    <t>xht</t>
  </si>
  <si>
    <t>ycrefht</t>
  </si>
  <si>
    <t>zht</t>
  </si>
  <si>
    <t>fgapht</t>
  </si>
  <si>
    <t>Dados da Empenagem Horizontal</t>
  </si>
  <si>
    <t>Comprimento</t>
  </si>
  <si>
    <t>Comprimento a frente da corda na raiz (asa exposta)</t>
  </si>
  <si>
    <t>Largura máxima da seção cilíndrica</t>
  </si>
  <si>
    <t>Altura a 25% do comprimento</t>
  </si>
  <si>
    <t>Altura a 75% do comprimento</t>
  </si>
  <si>
    <t>wbrudhl</t>
  </si>
  <si>
    <t>hbrudhl</t>
  </si>
  <si>
    <t>hbvt14</t>
  </si>
  <si>
    <t>wbvt14</t>
  </si>
  <si>
    <t>wbht14</t>
  </si>
  <si>
    <t>hbht14</t>
  </si>
  <si>
    <t>Posição vertical do ápice</t>
  </si>
  <si>
    <t>Posição horizontal do ápice</t>
  </si>
  <si>
    <t>Configuração da Empenagem Horizontal</t>
  </si>
  <si>
    <t>cfgeng</t>
  </si>
  <si>
    <t>cfght</t>
  </si>
  <si>
    <t>Largura na seção definida pela linha de 25% de corda da asa</t>
  </si>
  <si>
    <t>Largura na seção definida pela linha de 25% de corda na raiz da EH</t>
  </si>
  <si>
    <t>Largura na seção definida pela linha de 25% de corda na raiz da EV</t>
  </si>
  <si>
    <t>Largura na seção definida pela linha de articulação</t>
  </si>
  <si>
    <t>Largura na seção definida pelo plano da tomada de ar da nacele</t>
  </si>
  <si>
    <t>Altura na seção definida pela linha de articulação</t>
  </si>
  <si>
    <t>Altura na seção definida pela linha de 25% de corda na raiz da EV</t>
  </si>
  <si>
    <t>Altura na seção definida pela linha de 25% de corda na raiz da EH</t>
  </si>
  <si>
    <t>Altura na seção definida pela linha de 25% de corda da asa</t>
  </si>
  <si>
    <t>Enflechamento na linha de 25% de corda</t>
  </si>
  <si>
    <t>Posição vertical do ápice (medido em relação à raiz da EV)</t>
  </si>
  <si>
    <t>Posição lateral da corda de referência</t>
  </si>
  <si>
    <t>bvt</t>
  </si>
  <si>
    <t>bvthl</t>
  </si>
  <si>
    <t>ctvt</t>
  </si>
  <si>
    <t>crvt</t>
  </si>
  <si>
    <t>lambda14vt</t>
  </si>
  <si>
    <t>xvt</t>
  </si>
  <si>
    <t>zvt</t>
  </si>
  <si>
    <t>Posição vertical da raiz (a partir interseção da HL com a fuselagem)</t>
  </si>
  <si>
    <t>Corda relativa</t>
  </si>
  <si>
    <t>Posição vertical da interseção da HL do leme com a fuselagem</t>
  </si>
  <si>
    <t>zhthl</t>
  </si>
  <si>
    <t>zhl</t>
  </si>
  <si>
    <t>zcrrud</t>
  </si>
  <si>
    <t>fgapvt</t>
  </si>
  <si>
    <t>Largura na seção definida pelo plano do bordo de ataque do pilone</t>
  </si>
  <si>
    <t>wbpyl</t>
  </si>
  <si>
    <t>crpy</t>
  </si>
  <si>
    <t>ctpy</t>
  </si>
  <si>
    <t>bpy</t>
  </si>
  <si>
    <t>lambdapy14</t>
  </si>
  <si>
    <t>xpy</t>
  </si>
  <si>
    <t>ipy</t>
  </si>
  <si>
    <t>belv</t>
  </si>
  <si>
    <t>celv/cht</t>
  </si>
  <si>
    <t>Razão da corda antes da HL pela corda atras da HL</t>
  </si>
  <si>
    <t>cbelv/celv</t>
  </si>
  <si>
    <t>ycrelv</t>
  </si>
  <si>
    <t>telvhl/celv</t>
  </si>
  <si>
    <t>Dados dos Perfís da Empenagem Horizontal</t>
  </si>
  <si>
    <t>Espessura relativa máxima</t>
  </si>
  <si>
    <t>claht</t>
  </si>
  <si>
    <t>tauht</t>
  </si>
  <si>
    <t>t/cht</t>
  </si>
  <si>
    <t>epsilonw</t>
  </si>
  <si>
    <t>dcl/dalpha (obtido extenamente)</t>
  </si>
  <si>
    <t>dcl/delv  (obtido extenamente)</t>
  </si>
  <si>
    <t>x</t>
  </si>
  <si>
    <t>clde</t>
  </si>
  <si>
    <t>elvnose</t>
  </si>
  <si>
    <t>chelv/celv</t>
  </si>
  <si>
    <t>bhornelv</t>
  </si>
  <si>
    <t>cetb/cht</t>
  </si>
  <si>
    <t>betb</t>
  </si>
  <si>
    <t>ycretb</t>
  </si>
  <si>
    <t>lambdahletb</t>
  </si>
  <si>
    <t>lambdahlelv</t>
  </si>
  <si>
    <t>t/cvt</t>
  </si>
  <si>
    <t>tauvt</t>
  </si>
  <si>
    <t>clavt</t>
  </si>
  <si>
    <t>cldrud</t>
  </si>
  <si>
    <t>dcl/drud  (obtido extenamente)</t>
  </si>
  <si>
    <t>thl/crud</t>
  </si>
  <si>
    <t>cbrud/crud</t>
  </si>
  <si>
    <t>Forma do nariz</t>
  </si>
  <si>
    <t>Corda relativa (tomada no plano médio do horn)</t>
  </si>
  <si>
    <t>rudnose</t>
  </si>
  <si>
    <t>elvhnose</t>
  </si>
  <si>
    <t>crud/cvt</t>
  </si>
  <si>
    <t>brud</t>
  </si>
  <si>
    <t>lambdahlrud</t>
  </si>
  <si>
    <t>Dados da Empenagem Vertical</t>
  </si>
  <si>
    <t>Elemento 3</t>
  </si>
  <si>
    <t xml:space="preserve">Corda relativa do elemento 2 </t>
  </si>
  <si>
    <t>Corda relativa do elemento 3</t>
  </si>
  <si>
    <t>Posição relativa do bordo de fuga do extradorso do perfil base</t>
  </si>
  <si>
    <t>Dados da Asa, Aileron e Dispositivos Hipersustentadores</t>
  </si>
  <si>
    <t>Opções de Configuração</t>
  </si>
  <si>
    <t>Data</t>
  </si>
  <si>
    <t>Dados da Fuselagem e Conjunto Pilone-Nacele</t>
  </si>
  <si>
    <t>Dados das Empenagens Horizontal, Vertical, Profundor e Leme</t>
  </si>
  <si>
    <t>Empenagem Vertical</t>
  </si>
  <si>
    <t>Coeficientes Látero-Direcionais</t>
  </si>
  <si>
    <t>Coeficientes Aerodinâmicos de Estabilidade e Controle no Eixo de Estabilidade</t>
  </si>
  <si>
    <t>Parâmetros</t>
  </si>
  <si>
    <t>Coeficientes Longitudinais</t>
  </si>
  <si>
    <t>Variações Paramétricas</t>
  </si>
  <si>
    <t>Entradas</t>
  </si>
  <si>
    <t>Coeficientes de Controle e Momento de Articulação</t>
  </si>
  <si>
    <t>Feito Por</t>
  </si>
  <si>
    <t>Controle</t>
  </si>
  <si>
    <t>Deflexão dos Flapes</t>
  </si>
  <si>
    <t>zCG (m)</t>
  </si>
  <si>
    <t>Alpha (graus)</t>
  </si>
  <si>
    <t>Aeronave</t>
  </si>
  <si>
    <t>Generalidades</t>
  </si>
  <si>
    <t>a2</t>
  </si>
  <si>
    <t>a3</t>
  </si>
  <si>
    <t>b10</t>
  </si>
  <si>
    <t>b20</t>
  </si>
  <si>
    <t>b1</t>
  </si>
  <si>
    <t>b2</t>
  </si>
  <si>
    <t>b3</t>
  </si>
  <si>
    <t>a1</t>
  </si>
  <si>
    <t>a1 (efetivo)</t>
  </si>
  <si>
    <t>Espessura relativa na HL (em relação a corda da superfície)</t>
  </si>
  <si>
    <t>Ângulo do bordo de fuga da raiz</t>
  </si>
  <si>
    <t>Ângulo do bordo de fuga da ponta</t>
  </si>
  <si>
    <t>Espessura máxima relativa do perfil da raiz</t>
  </si>
  <si>
    <t>Espessura máxima relativa do perfil da ponta</t>
  </si>
  <si>
    <t>t/cr</t>
  </si>
  <si>
    <t>t/ct</t>
  </si>
  <si>
    <t>taur</t>
  </si>
  <si>
    <t>taut</t>
  </si>
  <si>
    <t>cail/c</t>
  </si>
  <si>
    <t>bail</t>
  </si>
  <si>
    <t>lambdahlail</t>
  </si>
  <si>
    <t>ycrail</t>
  </si>
  <si>
    <t>ailnose</t>
  </si>
  <si>
    <t>cbail/cail</t>
  </si>
  <si>
    <t>tailhl/cail</t>
  </si>
  <si>
    <t>fgapail</t>
  </si>
  <si>
    <t>Corda do Horn em relação a corda atrás da HL (seção média do horn)</t>
  </si>
  <si>
    <t>chail/cail</t>
  </si>
  <si>
    <t>bhornail</t>
  </si>
  <si>
    <t>ailhnose</t>
  </si>
  <si>
    <t>catb/c</t>
  </si>
  <si>
    <t>batb</t>
  </si>
  <si>
    <t>ycratb</t>
  </si>
  <si>
    <t>lambdahlatb</t>
  </si>
  <si>
    <t>yifl1</t>
  </si>
  <si>
    <t>yofl1</t>
  </si>
  <si>
    <t>tf1</t>
  </si>
  <si>
    <t>zumf1</t>
  </si>
  <si>
    <t>Z  maximo relativo do perfil base</t>
  </si>
  <si>
    <t>xtf/c1</t>
  </si>
  <si>
    <t>yifl2</t>
  </si>
  <si>
    <t>yofl2</t>
  </si>
  <si>
    <t>tf2</t>
  </si>
  <si>
    <t>zumf2</t>
  </si>
  <si>
    <t>xtf/c2</t>
  </si>
  <si>
    <t>cef1/c2</t>
  </si>
  <si>
    <t>cef2/c2</t>
  </si>
  <si>
    <t>cef3/c2</t>
  </si>
  <si>
    <t>Cálculos Itermediários dos Coeficientes de Flapes e Slats</t>
  </si>
  <si>
    <t>Nacele</t>
  </si>
  <si>
    <t>Pilone</t>
  </si>
  <si>
    <t>Flap 0</t>
  </si>
  <si>
    <t>!FLAP = 0</t>
  </si>
  <si>
    <t>Flap 20</t>
  </si>
  <si>
    <t>!FLAP = 20</t>
  </si>
  <si>
    <t>Flap 35</t>
  </si>
  <si>
    <t>!FLAP = 35</t>
  </si>
  <si>
    <t>CLqW@M0</t>
  </si>
  <si>
    <t>CLqW</t>
  </si>
  <si>
    <t>Airplane Design VI (Roskam)</t>
  </si>
  <si>
    <t>Roskam - Downwash</t>
  </si>
  <si>
    <t>Roskam - Derivadas Dinâmicas</t>
  </si>
  <si>
    <t>Kw</t>
  </si>
  <si>
    <t>CMqW@M0</t>
  </si>
  <si>
    <t>CMqW</t>
  </si>
  <si>
    <t>P</t>
  </si>
  <si>
    <t>RUD</t>
  </si>
  <si>
    <t>Aeronave/Configuração</t>
  </si>
  <si>
    <t>Embraer MSJ (EMB-515)</t>
  </si>
  <si>
    <t>W/WP</t>
  </si>
  <si>
    <t>H/HP</t>
  </si>
  <si>
    <t>V/VP</t>
  </si>
  <si>
    <t>AIL/AHO</t>
  </si>
  <si>
    <t>ATB</t>
  </si>
  <si>
    <t>ETB</t>
  </si>
  <si>
    <t>RTB</t>
  </si>
  <si>
    <t>TC</t>
  </si>
  <si>
    <t>FN</t>
  </si>
  <si>
    <t>FL</t>
  </si>
  <si>
    <t>ELV/EHO</t>
  </si>
  <si>
    <t>Planilha DAP/GAR para Cálculo de Coeficientes Aerodinâmicos v1.1</t>
  </si>
  <si>
    <t>Marcelo</t>
  </si>
</sst>
</file>

<file path=xl/styles.xml><?xml version="1.0" encoding="utf-8"?>
<styleSheet xmlns="http://schemas.openxmlformats.org/spreadsheetml/2006/main">
  <numFmts count="6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"/>
    <numFmt numFmtId="171" formatCode="0.0"/>
    <numFmt numFmtId="172" formatCode="0.0000E+00"/>
    <numFmt numFmtId="173" formatCode="0.000"/>
    <numFmt numFmtId="174" formatCode="0.000000"/>
    <numFmt numFmtId="175" formatCode="0.00000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_(* #,##0.00000000_);_(* \(#,##0.00000000\);_(* &quot;-&quot;??_);_(@_)"/>
    <numFmt numFmtId="182" formatCode="_(* #,##0.000000000_);_(* \(#,##0.000000000\);_(* &quot;-&quot;??_);_(@_)"/>
    <numFmt numFmtId="183" formatCode="_(* #,##0.0000000000_);_(* \(#,##0.0000000000\);_(* &quot;-&quot;??_);_(@_)"/>
    <numFmt numFmtId="184" formatCode="_(* #,##0.00000000000_);_(* \(#,##0.00000000000\);_(* &quot;-&quot;??_);_(@_)"/>
    <numFmt numFmtId="185" formatCode="_(* #,##0.000000000000_);_(* \(#,##0.000000000000\);_(* &quot;-&quot;??_);_(@_)"/>
    <numFmt numFmtId="186" formatCode="0.0000000"/>
    <numFmt numFmtId="187" formatCode="0.00000000"/>
    <numFmt numFmtId="188" formatCode="0.0E+00"/>
    <numFmt numFmtId="189" formatCode="_(* #,##0.0_);_(* \(#,##0.0\);_(* &quot;-&quot;??_);_(@_)"/>
    <numFmt numFmtId="190" formatCode="_(* #,##0_);_(* \(#,##0\);_(* &quot;-&quot;??_);_(@_)"/>
    <numFmt numFmtId="191" formatCode="0.00000000000000"/>
    <numFmt numFmtId="192" formatCode="0.0000000000000"/>
    <numFmt numFmtId="193" formatCode="0.000000000000"/>
    <numFmt numFmtId="194" formatCode="0.00000000000"/>
    <numFmt numFmtId="195" formatCode="0.0000000000"/>
    <numFmt numFmtId="196" formatCode="0.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[$-416]dddd\,\ d&quot; de &quot;mmmm&quot; de &quot;yyyy"/>
    <numFmt numFmtId="203" formatCode="0.0%"/>
    <numFmt numFmtId="204" formatCode="0.000E+00"/>
    <numFmt numFmtId="205" formatCode="0E+00"/>
    <numFmt numFmtId="206" formatCode="#,##0.0000"/>
    <numFmt numFmtId="207" formatCode="&quot;R$ &quot;#,##0.00"/>
    <numFmt numFmtId="208" formatCode="#,##0.0"/>
    <numFmt numFmtId="209" formatCode="#,##0.000"/>
    <numFmt numFmtId="210" formatCode="0.000%"/>
    <numFmt numFmtId="211" formatCode="&quot;Sim&quot;;&quot;Sim&quot;;&quot;Não&quot;"/>
    <numFmt numFmtId="212" formatCode="&quot;Verdadeiro&quot;;&quot;Verdadeiro&quot;;&quot;Falso&quot;"/>
    <numFmt numFmtId="213" formatCode="&quot;Ativar&quot;;&quot;Ativar&quot;;&quot;Desativar&quot;"/>
    <numFmt numFmtId="214" formatCode="[$€-2]\ #,##0.00_);[Red]\([$€-2]\ #,##0.00\)"/>
    <numFmt numFmtId="215" formatCode="&quot;R$ &quot;#,##0.0"/>
    <numFmt numFmtId="216" formatCode="0.E+00"/>
  </numFmts>
  <fonts count="56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88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170" fontId="0" fillId="0" borderId="13" xfId="0" applyNumberFormat="1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0" borderId="12" xfId="0" applyNumberFormat="1" applyBorder="1" applyAlignment="1">
      <alignment horizontal="center"/>
    </xf>
    <xf numFmtId="177" fontId="0" fillId="0" borderId="0" xfId="53" applyNumberFormat="1" applyFont="1" applyBorder="1" applyAlignment="1">
      <alignment horizontal="center"/>
    </xf>
    <xf numFmtId="11" fontId="0" fillId="0" borderId="13" xfId="0" applyNumberForma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170" fontId="0" fillId="33" borderId="12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170" fontId="0" fillId="33" borderId="14" xfId="0" applyNumberFormat="1" applyFill="1" applyBorder="1" applyAlignment="1">
      <alignment horizontal="center"/>
    </xf>
    <xf numFmtId="0" fontId="0" fillId="33" borderId="16" xfId="0" applyFill="1" applyBorder="1" applyAlignment="1">
      <alignment horizontal="left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/>
    </xf>
    <xf numFmtId="170" fontId="0" fillId="33" borderId="0" xfId="0" applyNumberForma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170" fontId="0" fillId="33" borderId="22" xfId="0" applyNumberFormat="1" applyFill="1" applyBorder="1" applyAlignment="1">
      <alignment horizontal="center"/>
    </xf>
    <xf numFmtId="11" fontId="0" fillId="33" borderId="22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34" borderId="27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3" borderId="16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1" fontId="0" fillId="0" borderId="14" xfId="0" applyNumberFormat="1" applyBorder="1" applyAlignment="1">
      <alignment horizontal="center"/>
    </xf>
    <xf numFmtId="0" fontId="0" fillId="33" borderId="11" xfId="0" applyFill="1" applyBorder="1" applyAlignment="1">
      <alignment/>
    </xf>
    <xf numFmtId="177" fontId="0" fillId="0" borderId="12" xfId="53" applyNumberFormat="1" applyFont="1" applyBorder="1" applyAlignment="1">
      <alignment horizontal="center"/>
    </xf>
    <xf numFmtId="177" fontId="0" fillId="0" borderId="13" xfId="53" applyNumberFormat="1" applyFont="1" applyBorder="1" applyAlignment="1">
      <alignment horizontal="center"/>
    </xf>
    <xf numFmtId="177" fontId="0" fillId="0" borderId="14" xfId="53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171" fontId="0" fillId="0" borderId="31" xfId="0" applyNumberFormat="1" applyBorder="1" applyAlignment="1">
      <alignment horizontal="center"/>
    </xf>
    <xf numFmtId="171" fontId="0" fillId="0" borderId="23" xfId="0" applyNumberFormat="1" applyBorder="1" applyAlignment="1">
      <alignment horizontal="center"/>
    </xf>
    <xf numFmtId="171" fontId="0" fillId="0" borderId="24" xfId="0" applyNumberFormat="1" applyBorder="1" applyAlignment="1">
      <alignment horizontal="center"/>
    </xf>
    <xf numFmtId="11" fontId="0" fillId="0" borderId="23" xfId="0" applyNumberFormat="1" applyBorder="1" applyAlignment="1">
      <alignment horizontal="center"/>
    </xf>
    <xf numFmtId="11" fontId="0" fillId="0" borderId="24" xfId="0" applyNumberFormat="1" applyBorder="1" applyAlignment="1">
      <alignment horizontal="center"/>
    </xf>
    <xf numFmtId="0" fontId="0" fillId="33" borderId="25" xfId="0" applyFill="1" applyBorder="1" applyAlignment="1">
      <alignment/>
    </xf>
    <xf numFmtId="170" fontId="0" fillId="0" borderId="23" xfId="0" applyNumberFormat="1" applyBorder="1" applyAlignment="1">
      <alignment horizontal="center"/>
    </xf>
    <xf numFmtId="170" fontId="0" fillId="0" borderId="24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33" borderId="16" xfId="0" applyFont="1" applyFill="1" applyBorder="1" applyAlignment="1">
      <alignment/>
    </xf>
    <xf numFmtId="2" fontId="0" fillId="33" borderId="31" xfId="0" applyNumberFormat="1" applyFill="1" applyBorder="1" applyAlignment="1">
      <alignment horizontal="center"/>
    </xf>
    <xf numFmtId="2" fontId="0" fillId="33" borderId="23" xfId="0" applyNumberFormat="1" applyFill="1" applyBorder="1" applyAlignment="1">
      <alignment horizontal="center"/>
    </xf>
    <xf numFmtId="2" fontId="0" fillId="33" borderId="24" xfId="0" applyNumberForma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170" fontId="0" fillId="33" borderId="19" xfId="0" applyNumberFormat="1" applyFill="1" applyBorder="1" applyAlignment="1">
      <alignment horizontal="center"/>
    </xf>
    <xf numFmtId="170" fontId="0" fillId="33" borderId="20" xfId="0" applyNumberFormat="1" applyFill="1" applyBorder="1" applyAlignment="1">
      <alignment horizontal="center"/>
    </xf>
    <xf numFmtId="170" fontId="0" fillId="33" borderId="13" xfId="0" applyNumberForma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170" fontId="0" fillId="33" borderId="23" xfId="0" applyNumberFormat="1" applyFill="1" applyBorder="1" applyAlignment="1">
      <alignment horizontal="center"/>
    </xf>
    <xf numFmtId="170" fontId="0" fillId="33" borderId="24" xfId="0" applyNumberFormat="1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2" fontId="0" fillId="33" borderId="20" xfId="0" applyNumberFormat="1" applyFill="1" applyBorder="1" applyAlignment="1">
      <alignment horizontal="center"/>
    </xf>
    <xf numFmtId="11" fontId="0" fillId="33" borderId="0" xfId="0" applyNumberFormat="1" applyFill="1" applyBorder="1" applyAlignment="1">
      <alignment/>
    </xf>
    <xf numFmtId="170" fontId="0" fillId="33" borderId="0" xfId="0" applyNumberFormat="1" applyFill="1" applyBorder="1" applyAlignment="1">
      <alignment/>
    </xf>
    <xf numFmtId="170" fontId="0" fillId="33" borderId="12" xfId="0" applyNumberForma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33" borderId="22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71" fontId="0" fillId="33" borderId="23" xfId="0" applyNumberFormat="1" applyFill="1" applyBorder="1" applyAlignment="1">
      <alignment horizontal="center"/>
    </xf>
    <xf numFmtId="0" fontId="0" fillId="0" borderId="25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 wrapText="1"/>
    </xf>
    <xf numFmtId="0" fontId="0" fillId="33" borderId="22" xfId="0" applyFill="1" applyBorder="1" applyAlignment="1">
      <alignment/>
    </xf>
    <xf numFmtId="2" fontId="0" fillId="33" borderId="19" xfId="0" applyNumberFormat="1" applyFill="1" applyBorder="1" applyAlignment="1">
      <alignment/>
    </xf>
    <xf numFmtId="2" fontId="0" fillId="33" borderId="20" xfId="0" applyNumberForma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170" fontId="0" fillId="33" borderId="13" xfId="0" applyNumberFormat="1" applyFill="1" applyBorder="1" applyAlignment="1">
      <alignment/>
    </xf>
    <xf numFmtId="170" fontId="0" fillId="33" borderId="14" xfId="0" applyNumberFormat="1" applyFill="1" applyBorder="1" applyAlignment="1">
      <alignment/>
    </xf>
    <xf numFmtId="170" fontId="0" fillId="33" borderId="23" xfId="0" applyNumberFormat="1" applyFill="1" applyBorder="1" applyAlignment="1">
      <alignment/>
    </xf>
    <xf numFmtId="170" fontId="0" fillId="33" borderId="24" xfId="0" applyNumberForma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11" fontId="0" fillId="33" borderId="0" xfId="0" applyNumberForma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170" fontId="0" fillId="33" borderId="34" xfId="0" applyNumberFormat="1" applyFill="1" applyBorder="1" applyAlignment="1">
      <alignment horizontal="center"/>
    </xf>
    <xf numFmtId="170" fontId="0" fillId="33" borderId="35" xfId="0" applyNumberForma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170" fontId="0" fillId="33" borderId="36" xfId="0" applyNumberFormat="1" applyFill="1" applyBorder="1" applyAlignment="1">
      <alignment horizontal="center"/>
    </xf>
    <xf numFmtId="170" fontId="0" fillId="33" borderId="37" xfId="0" applyNumberFormat="1" applyFill="1" applyBorder="1" applyAlignment="1">
      <alignment horizontal="center"/>
    </xf>
    <xf numFmtId="170" fontId="0" fillId="33" borderId="38" xfId="0" applyNumberFormat="1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170" fontId="0" fillId="33" borderId="40" xfId="0" applyNumberFormat="1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37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0" xfId="0" applyFill="1" applyAlignment="1">
      <alignment/>
    </xf>
    <xf numFmtId="170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26" xfId="0" applyFill="1" applyBorder="1" applyAlignment="1">
      <alignment/>
    </xf>
    <xf numFmtId="0" fontId="0" fillId="33" borderId="17" xfId="0" applyFill="1" applyBorder="1" applyAlignment="1">
      <alignment horizontal="left"/>
    </xf>
    <xf numFmtId="0" fontId="0" fillId="33" borderId="27" xfId="0" applyFill="1" applyBorder="1" applyAlignment="1">
      <alignment/>
    </xf>
    <xf numFmtId="170" fontId="0" fillId="33" borderId="18" xfId="0" applyNumberFormat="1" applyFill="1" applyBorder="1" applyAlignment="1">
      <alignment horizontal="center"/>
    </xf>
    <xf numFmtId="173" fontId="0" fillId="33" borderId="17" xfId="0" applyNumberFormat="1" applyFill="1" applyBorder="1" applyAlignment="1">
      <alignment horizontal="center"/>
    </xf>
    <xf numFmtId="173" fontId="0" fillId="33" borderId="12" xfId="0" applyNumberFormat="1" applyFill="1" applyBorder="1" applyAlignment="1">
      <alignment horizontal="center"/>
    </xf>
    <xf numFmtId="173" fontId="0" fillId="33" borderId="0" xfId="0" applyNumberFormat="1" applyFill="1" applyBorder="1" applyAlignment="1">
      <alignment horizontal="center"/>
    </xf>
    <xf numFmtId="170" fontId="0" fillId="33" borderId="42" xfId="0" applyNumberFormat="1" applyFill="1" applyBorder="1" applyAlignment="1">
      <alignment horizontal="center"/>
    </xf>
    <xf numFmtId="2" fontId="0" fillId="33" borderId="36" xfId="0" applyNumberFormat="1" applyFill="1" applyBorder="1" applyAlignment="1">
      <alignment horizontal="center"/>
    </xf>
    <xf numFmtId="0" fontId="0" fillId="33" borderId="36" xfId="0" applyFill="1" applyBorder="1" applyAlignment="1">
      <alignment/>
    </xf>
    <xf numFmtId="173" fontId="0" fillId="33" borderId="36" xfId="0" applyNumberFormat="1" applyFill="1" applyBorder="1" applyAlignment="1">
      <alignment horizontal="center"/>
    </xf>
    <xf numFmtId="2" fontId="0" fillId="33" borderId="42" xfId="0" applyNumberFormat="1" applyFill="1" applyBorder="1" applyAlignment="1">
      <alignment horizontal="center"/>
    </xf>
    <xf numFmtId="0" fontId="0" fillId="33" borderId="38" xfId="0" applyFill="1" applyBorder="1" applyAlignment="1">
      <alignment/>
    </xf>
    <xf numFmtId="0" fontId="0" fillId="33" borderId="37" xfId="0" applyFill="1" applyBorder="1" applyAlignment="1">
      <alignment/>
    </xf>
    <xf numFmtId="173" fontId="0" fillId="33" borderId="42" xfId="0" applyNumberFormat="1" applyFill="1" applyBorder="1" applyAlignment="1">
      <alignment horizontal="center"/>
    </xf>
    <xf numFmtId="170" fontId="0" fillId="33" borderId="43" xfId="0" applyNumberFormat="1" applyFill="1" applyBorder="1" applyAlignment="1">
      <alignment horizontal="center"/>
    </xf>
    <xf numFmtId="11" fontId="0" fillId="33" borderId="0" xfId="0" applyNumberFormat="1" applyFill="1" applyAlignment="1">
      <alignment/>
    </xf>
    <xf numFmtId="0" fontId="0" fillId="33" borderId="0" xfId="0" applyFill="1" applyBorder="1" applyAlignment="1">
      <alignment vertical="center" textRotation="90"/>
    </xf>
    <xf numFmtId="0" fontId="0" fillId="33" borderId="13" xfId="0" applyFill="1" applyBorder="1" applyAlignment="1">
      <alignment/>
    </xf>
    <xf numFmtId="206" fontId="0" fillId="33" borderId="0" xfId="0" applyNumberFormat="1" applyFill="1" applyBorder="1" applyAlignment="1">
      <alignment horizontal="center"/>
    </xf>
    <xf numFmtId="206" fontId="0" fillId="33" borderId="12" xfId="0" applyNumberFormat="1" applyFill="1" applyBorder="1" applyAlignment="1">
      <alignment horizontal="center"/>
    </xf>
    <xf numFmtId="206" fontId="0" fillId="33" borderId="13" xfId="0" applyNumberFormat="1" applyFill="1" applyBorder="1" applyAlignment="1">
      <alignment horizontal="center"/>
    </xf>
    <xf numFmtId="206" fontId="0" fillId="33" borderId="14" xfId="0" applyNumberFormat="1" applyFill="1" applyBorder="1" applyAlignment="1">
      <alignment horizontal="center"/>
    </xf>
    <xf numFmtId="11" fontId="0" fillId="33" borderId="0" xfId="0" applyNumberFormat="1" applyFill="1" applyAlignment="1">
      <alignment horizontal="center"/>
    </xf>
    <xf numFmtId="0" fontId="0" fillId="33" borderId="28" xfId="0" applyFill="1" applyBorder="1" applyAlignment="1">
      <alignment/>
    </xf>
    <xf numFmtId="170" fontId="0" fillId="33" borderId="17" xfId="0" applyNumberForma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6" borderId="41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173" fontId="0" fillId="33" borderId="39" xfId="0" applyNumberFormat="1" applyFill="1" applyBorder="1" applyAlignment="1">
      <alignment horizontal="center"/>
    </xf>
    <xf numFmtId="173" fontId="0" fillId="33" borderId="41" xfId="0" applyNumberFormat="1" applyFill="1" applyBorder="1" applyAlignment="1">
      <alignment horizontal="center"/>
    </xf>
    <xf numFmtId="170" fontId="0" fillId="38" borderId="17" xfId="0" applyNumberFormat="1" applyFill="1" applyBorder="1" applyAlignment="1">
      <alignment horizontal="center"/>
    </xf>
    <xf numFmtId="170" fontId="0" fillId="38" borderId="35" xfId="0" applyNumberFormat="1" applyFill="1" applyBorder="1" applyAlignment="1">
      <alignment horizontal="center"/>
    </xf>
    <xf numFmtId="170" fontId="0" fillId="38" borderId="36" xfId="0" applyNumberFormat="1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33" borderId="35" xfId="0" applyFill="1" applyBorder="1" applyAlignment="1">
      <alignment/>
    </xf>
    <xf numFmtId="0" fontId="0" fillId="33" borderId="34" xfId="0" applyFill="1" applyBorder="1" applyAlignment="1">
      <alignment/>
    </xf>
    <xf numFmtId="170" fontId="0" fillId="33" borderId="17" xfId="0" applyNumberFormat="1" applyFill="1" applyBorder="1" applyAlignment="1">
      <alignment/>
    </xf>
    <xf numFmtId="0" fontId="0" fillId="33" borderId="28" xfId="0" applyFill="1" applyBorder="1" applyAlignment="1">
      <alignment horizontal="center"/>
    </xf>
    <xf numFmtId="170" fontId="0" fillId="33" borderId="0" xfId="0" applyNumberFormat="1" applyFill="1" applyBorder="1" applyAlignment="1">
      <alignment/>
    </xf>
    <xf numFmtId="170" fontId="0" fillId="33" borderId="12" xfId="0" applyNumberFormat="1" applyFill="1" applyBorder="1" applyAlignment="1">
      <alignment/>
    </xf>
    <xf numFmtId="170" fontId="0" fillId="33" borderId="13" xfId="0" applyNumberFormat="1" applyFill="1" applyBorder="1" applyAlignment="1">
      <alignment/>
    </xf>
    <xf numFmtId="170" fontId="0" fillId="33" borderId="14" xfId="0" applyNumberFormat="1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11" fontId="0" fillId="34" borderId="14" xfId="0" applyNumberForma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70" fontId="0" fillId="38" borderId="0" xfId="0" applyNumberFormat="1" applyFill="1" applyBorder="1" applyAlignment="1">
      <alignment horizontal="center"/>
    </xf>
    <xf numFmtId="170" fontId="0" fillId="38" borderId="12" xfId="0" applyNumberFormat="1" applyFill="1" applyBorder="1" applyAlignment="1">
      <alignment horizontal="center"/>
    </xf>
    <xf numFmtId="170" fontId="0" fillId="38" borderId="13" xfId="0" applyNumberFormat="1" applyFill="1" applyBorder="1" applyAlignment="1">
      <alignment horizontal="center"/>
    </xf>
    <xf numFmtId="170" fontId="0" fillId="38" borderId="14" xfId="0" applyNumberFormat="1" applyFill="1" applyBorder="1" applyAlignment="1">
      <alignment horizontal="center"/>
    </xf>
    <xf numFmtId="170" fontId="0" fillId="38" borderId="39" xfId="0" applyNumberFormat="1" applyFill="1" applyBorder="1" applyAlignment="1">
      <alignment horizontal="center"/>
    </xf>
    <xf numFmtId="170" fontId="0" fillId="38" borderId="18" xfId="0" applyNumberFormat="1" applyFill="1" applyBorder="1" applyAlignment="1">
      <alignment horizontal="center"/>
    </xf>
    <xf numFmtId="170" fontId="0" fillId="38" borderId="41" xfId="0" applyNumberFormat="1" applyFill="1" applyBorder="1" applyAlignment="1">
      <alignment horizontal="center"/>
    </xf>
    <xf numFmtId="170" fontId="0" fillId="38" borderId="26" xfId="0" applyNumberFormat="1" applyFill="1" applyBorder="1" applyAlignment="1">
      <alignment horizontal="center"/>
    </xf>
    <xf numFmtId="170" fontId="0" fillId="38" borderId="28" xfId="0" applyNumberFormat="1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2" fontId="0" fillId="33" borderId="35" xfId="0" applyNumberFormat="1" applyFill="1" applyBorder="1" applyAlignment="1">
      <alignment horizontal="center"/>
    </xf>
    <xf numFmtId="170" fontId="0" fillId="33" borderId="26" xfId="0" applyNumberFormat="1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171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173" fontId="0" fillId="33" borderId="40" xfId="0" applyNumberFormat="1" applyFill="1" applyBorder="1" applyAlignment="1">
      <alignment horizontal="center"/>
    </xf>
    <xf numFmtId="173" fontId="0" fillId="33" borderId="49" xfId="0" applyNumberFormat="1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170" fontId="0" fillId="33" borderId="12" xfId="0" applyNumberFormat="1" applyFont="1" applyFill="1" applyBorder="1" applyAlignment="1">
      <alignment horizontal="center"/>
    </xf>
    <xf numFmtId="170" fontId="0" fillId="33" borderId="14" xfId="0" applyNumberFormat="1" applyFont="1" applyFill="1" applyBorder="1" applyAlignment="1">
      <alignment horizontal="center"/>
    </xf>
    <xf numFmtId="170" fontId="0" fillId="33" borderId="0" xfId="0" applyNumberFormat="1" applyFont="1" applyFill="1" applyBorder="1" applyAlignment="1">
      <alignment horizontal="center"/>
    </xf>
    <xf numFmtId="170" fontId="0" fillId="33" borderId="52" xfId="0" applyNumberFormat="1" applyFill="1" applyBorder="1" applyAlignment="1">
      <alignment horizontal="center"/>
    </xf>
    <xf numFmtId="170" fontId="0" fillId="33" borderId="0" xfId="0" applyNumberFormat="1" applyFill="1" applyBorder="1" applyAlignment="1">
      <alignment horizontal="center" vertical="center"/>
    </xf>
    <xf numFmtId="170" fontId="0" fillId="33" borderId="12" xfId="0" applyNumberFormat="1" applyFill="1" applyBorder="1" applyAlignment="1">
      <alignment horizontal="center" vertical="center"/>
    </xf>
    <xf numFmtId="170" fontId="0" fillId="33" borderId="13" xfId="0" applyNumberFormat="1" applyFill="1" applyBorder="1" applyAlignment="1">
      <alignment horizontal="center" vertical="center"/>
    </xf>
    <xf numFmtId="170" fontId="0" fillId="33" borderId="14" xfId="0" applyNumberFormat="1" applyFill="1" applyBorder="1" applyAlignment="1">
      <alignment horizontal="center" vertical="center"/>
    </xf>
    <xf numFmtId="0" fontId="0" fillId="33" borderId="53" xfId="0" applyFill="1" applyBorder="1" applyAlignment="1">
      <alignment/>
    </xf>
    <xf numFmtId="0" fontId="0" fillId="33" borderId="54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170" fontId="0" fillId="33" borderId="56" xfId="0" applyNumberFormat="1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170" fontId="0" fillId="33" borderId="36" xfId="0" applyNumberFormat="1" applyFill="1" applyBorder="1" applyAlignment="1">
      <alignment/>
    </xf>
    <xf numFmtId="173" fontId="0" fillId="33" borderId="26" xfId="0" applyNumberFormat="1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1" fontId="0" fillId="33" borderId="19" xfId="0" applyNumberFormat="1" applyFill="1" applyBorder="1" applyAlignment="1">
      <alignment horizontal="center"/>
    </xf>
    <xf numFmtId="1" fontId="0" fillId="33" borderId="19" xfId="0" applyNumberFormat="1" applyFill="1" applyBorder="1" applyAlignment="1" quotePrefix="1">
      <alignment horizontal="center"/>
    </xf>
    <xf numFmtId="1" fontId="0" fillId="33" borderId="20" xfId="0" applyNumberFormat="1" applyFill="1" applyBorder="1" applyAlignment="1">
      <alignment horizontal="center"/>
    </xf>
    <xf numFmtId="170" fontId="0" fillId="40" borderId="36" xfId="0" applyNumberFormat="1" applyFill="1" applyBorder="1" applyAlignment="1">
      <alignment horizontal="center"/>
    </xf>
    <xf numFmtId="170" fontId="0" fillId="40" borderId="38" xfId="0" applyNumberFormat="1" applyFill="1" applyBorder="1" applyAlignment="1">
      <alignment horizontal="center"/>
    </xf>
    <xf numFmtId="170" fontId="0" fillId="40" borderId="34" xfId="0" applyNumberFormat="1" applyFill="1" applyBorder="1" applyAlignment="1">
      <alignment horizontal="center"/>
    </xf>
    <xf numFmtId="170" fontId="0" fillId="40" borderId="35" xfId="0" applyNumberFormat="1" applyFill="1" applyBorder="1" applyAlignment="1">
      <alignment horizontal="center"/>
    </xf>
    <xf numFmtId="173" fontId="0" fillId="40" borderId="36" xfId="0" applyNumberFormat="1" applyFill="1" applyBorder="1" applyAlignment="1">
      <alignment horizontal="center"/>
    </xf>
    <xf numFmtId="173" fontId="0" fillId="40" borderId="38" xfId="0" applyNumberForma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206" fontId="0" fillId="40" borderId="38" xfId="53" applyNumberFormat="1" applyFont="1" applyFill="1" applyBorder="1" applyAlignment="1">
      <alignment horizontal="center"/>
    </xf>
    <xf numFmtId="173" fontId="0" fillId="33" borderId="37" xfId="0" applyNumberFormat="1" applyFill="1" applyBorder="1" applyAlignment="1">
      <alignment horizontal="center"/>
    </xf>
    <xf numFmtId="0" fontId="0" fillId="0" borderId="37" xfId="0" applyBorder="1" applyAlignment="1">
      <alignment horizontal="center"/>
    </xf>
    <xf numFmtId="170" fontId="3" fillId="33" borderId="0" xfId="0" applyNumberFormat="1" applyFont="1" applyFill="1" applyAlignment="1">
      <alignment horizontal="center"/>
    </xf>
    <xf numFmtId="170" fontId="0" fillId="33" borderId="13" xfId="0" applyNumberFormat="1" applyFont="1" applyFill="1" applyBorder="1" applyAlignment="1">
      <alignment horizontal="center"/>
    </xf>
    <xf numFmtId="0" fontId="0" fillId="40" borderId="17" xfId="0" applyFill="1" applyBorder="1" applyAlignment="1">
      <alignment horizontal="center"/>
    </xf>
    <xf numFmtId="173" fontId="0" fillId="40" borderId="17" xfId="0" applyNumberFormat="1" applyFill="1" applyBorder="1" applyAlignment="1">
      <alignment horizontal="center"/>
    </xf>
    <xf numFmtId="0" fontId="0" fillId="40" borderId="18" xfId="0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 textRotation="90"/>
    </xf>
    <xf numFmtId="11" fontId="0" fillId="33" borderId="12" xfId="0" applyNumberForma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53" xfId="0" applyFill="1" applyBorder="1" applyAlignment="1">
      <alignment horizontal="center"/>
    </xf>
    <xf numFmtId="173" fontId="0" fillId="33" borderId="36" xfId="0" applyNumberFormat="1" applyFont="1" applyFill="1" applyBorder="1" applyAlignment="1">
      <alignment horizontal="center"/>
    </xf>
    <xf numFmtId="170" fontId="0" fillId="33" borderId="54" xfId="0" applyNumberFormat="1" applyFill="1" applyBorder="1" applyAlignment="1">
      <alignment horizontal="center"/>
    </xf>
    <xf numFmtId="170" fontId="0" fillId="33" borderId="55" xfId="0" applyNumberFormat="1" applyFill="1" applyBorder="1" applyAlignment="1">
      <alignment horizontal="center"/>
    </xf>
    <xf numFmtId="0" fontId="0" fillId="33" borderId="58" xfId="0" applyFill="1" applyBorder="1" applyAlignment="1">
      <alignment/>
    </xf>
    <xf numFmtId="170" fontId="0" fillId="33" borderId="43" xfId="0" applyNumberFormat="1" applyFill="1" applyBorder="1" applyAlignment="1">
      <alignment/>
    </xf>
    <xf numFmtId="170" fontId="0" fillId="33" borderId="27" xfId="0" applyNumberFormat="1" applyFill="1" applyBorder="1" applyAlignment="1">
      <alignment/>
    </xf>
    <xf numFmtId="170" fontId="0" fillId="33" borderId="30" xfId="0" applyNumberFormat="1" applyFill="1" applyBorder="1" applyAlignment="1">
      <alignment/>
    </xf>
    <xf numFmtId="170" fontId="0" fillId="33" borderId="35" xfId="0" applyNumberFormat="1" applyFill="1" applyBorder="1" applyAlignment="1">
      <alignment/>
    </xf>
    <xf numFmtId="170" fontId="0" fillId="33" borderId="34" xfId="0" applyNumberFormat="1" applyFill="1" applyBorder="1" applyAlignment="1">
      <alignment/>
    </xf>
    <xf numFmtId="0" fontId="0" fillId="40" borderId="38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37" xfId="0" applyFill="1" applyBorder="1" applyAlignment="1">
      <alignment/>
    </xf>
    <xf numFmtId="173" fontId="0" fillId="33" borderId="38" xfId="0" applyNumberFormat="1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2" fontId="0" fillId="33" borderId="19" xfId="0" applyNumberFormat="1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3" borderId="59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10" xfId="0" applyFill="1" applyBorder="1" applyAlignment="1">
      <alignment/>
    </xf>
    <xf numFmtId="2" fontId="0" fillId="33" borderId="40" xfId="0" applyNumberFormat="1" applyFill="1" applyBorder="1" applyAlignment="1">
      <alignment horizontal="center"/>
    </xf>
    <xf numFmtId="2" fontId="0" fillId="33" borderId="37" xfId="0" applyNumberFormat="1" applyFill="1" applyBorder="1" applyAlignment="1">
      <alignment horizontal="center"/>
    </xf>
    <xf numFmtId="171" fontId="0" fillId="33" borderId="36" xfId="0" applyNumberFormat="1" applyFill="1" applyBorder="1" applyAlignment="1">
      <alignment horizontal="center"/>
    </xf>
    <xf numFmtId="173" fontId="0" fillId="33" borderId="35" xfId="0" applyNumberFormat="1" applyFill="1" applyBorder="1" applyAlignment="1">
      <alignment horizontal="center"/>
    </xf>
    <xf numFmtId="173" fontId="0" fillId="33" borderId="0" xfId="0" applyNumberFormat="1" applyFont="1" applyFill="1" applyBorder="1" applyAlignment="1">
      <alignment horizontal="center"/>
    </xf>
    <xf numFmtId="173" fontId="0" fillId="33" borderId="17" xfId="0" applyNumberFormat="1" applyFont="1" applyFill="1" applyBorder="1" applyAlignment="1">
      <alignment horizontal="center"/>
    </xf>
    <xf numFmtId="173" fontId="0" fillId="33" borderId="17" xfId="0" applyNumberFormat="1" applyFill="1" applyBorder="1" applyAlignment="1">
      <alignment/>
    </xf>
    <xf numFmtId="173" fontId="0" fillId="33" borderId="36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43" xfId="0" applyFill="1" applyBorder="1" applyAlignment="1">
      <alignment/>
    </xf>
    <xf numFmtId="173" fontId="0" fillId="33" borderId="35" xfId="0" applyNumberFormat="1" applyFont="1" applyFill="1" applyBorder="1" applyAlignment="1">
      <alignment horizontal="center"/>
    </xf>
    <xf numFmtId="0" fontId="0" fillId="33" borderId="35" xfId="0" applyFill="1" applyBorder="1" applyAlignment="1">
      <alignment/>
    </xf>
    <xf numFmtId="173" fontId="0" fillId="33" borderId="27" xfId="0" applyNumberFormat="1" applyFill="1" applyBorder="1" applyAlignment="1">
      <alignment/>
    </xf>
    <xf numFmtId="173" fontId="0" fillId="40" borderId="18" xfId="0" applyNumberFormat="1" applyFill="1" applyBorder="1" applyAlignment="1">
      <alignment horizontal="center"/>
    </xf>
    <xf numFmtId="173" fontId="0" fillId="40" borderId="0" xfId="0" applyNumberFormat="1" applyFill="1" applyBorder="1" applyAlignment="1">
      <alignment horizontal="center"/>
    </xf>
    <xf numFmtId="173" fontId="0" fillId="33" borderId="43" xfId="0" applyNumberFormat="1" applyFill="1" applyBorder="1" applyAlignment="1">
      <alignment/>
    </xf>
    <xf numFmtId="173" fontId="0" fillId="40" borderId="13" xfId="0" applyNumberFormat="1" applyFont="1" applyFill="1" applyBorder="1" applyAlignment="1">
      <alignment horizontal="center"/>
    </xf>
    <xf numFmtId="0" fontId="0" fillId="40" borderId="36" xfId="0" applyFill="1" applyBorder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 vertical="center"/>
    </xf>
    <xf numFmtId="173" fontId="0" fillId="33" borderId="23" xfId="0" applyNumberFormat="1" applyFill="1" applyBorder="1" applyAlignment="1">
      <alignment horizontal="center"/>
    </xf>
    <xf numFmtId="171" fontId="0" fillId="33" borderId="13" xfId="0" applyNumberFormat="1" applyFill="1" applyBorder="1" applyAlignment="1">
      <alignment horizontal="center"/>
    </xf>
    <xf numFmtId="0" fontId="0" fillId="33" borderId="27" xfId="0" applyFill="1" applyBorder="1" applyAlignment="1">
      <alignment/>
    </xf>
    <xf numFmtId="173" fontId="0" fillId="33" borderId="0" xfId="0" applyNumberFormat="1" applyFill="1" applyAlignment="1">
      <alignment/>
    </xf>
    <xf numFmtId="0" fontId="0" fillId="34" borderId="18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5" borderId="21" xfId="0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2" fillId="41" borderId="26" xfId="0" applyFont="1" applyFill="1" applyBorder="1" applyAlignment="1">
      <alignment horizontal="center"/>
    </xf>
    <xf numFmtId="0" fontId="2" fillId="41" borderId="27" xfId="0" applyFont="1" applyFill="1" applyBorder="1" applyAlignment="1">
      <alignment horizontal="center"/>
    </xf>
    <xf numFmtId="0" fontId="2" fillId="41" borderId="30" xfId="0" applyFont="1" applyFill="1" applyBorder="1" applyAlignment="1">
      <alignment horizontal="center"/>
    </xf>
    <xf numFmtId="0" fontId="0" fillId="35" borderId="18" xfId="0" applyFill="1" applyBorder="1" applyAlignment="1">
      <alignment horizontal="left"/>
    </xf>
    <xf numFmtId="0" fontId="0" fillId="35" borderId="13" xfId="0" applyFill="1" applyBorder="1" applyAlignment="1">
      <alignment horizontal="left"/>
    </xf>
    <xf numFmtId="0" fontId="0" fillId="35" borderId="14" xfId="0" applyFill="1" applyBorder="1" applyAlignment="1">
      <alignment horizontal="left"/>
    </xf>
    <xf numFmtId="170" fontId="3" fillId="33" borderId="0" xfId="0" applyNumberFormat="1" applyFont="1" applyFill="1" applyBorder="1" applyAlignment="1">
      <alignment horizontal="center"/>
    </xf>
    <xf numFmtId="0" fontId="0" fillId="35" borderId="51" xfId="0" applyFill="1" applyBorder="1" applyAlignment="1">
      <alignment/>
    </xf>
    <xf numFmtId="0" fontId="0" fillId="35" borderId="50" xfId="0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33" borderId="13" xfId="0" applyFill="1" applyBorder="1" applyAlignment="1">
      <alignment/>
    </xf>
    <xf numFmtId="0" fontId="0" fillId="35" borderId="10" xfId="0" applyFill="1" applyBorder="1" applyAlignment="1">
      <alignment horizontal="center"/>
    </xf>
    <xf numFmtId="173" fontId="0" fillId="33" borderId="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173" fontId="0" fillId="33" borderId="36" xfId="0" applyNumberFormat="1" applyFill="1" applyBorder="1" applyAlignment="1">
      <alignment/>
    </xf>
    <xf numFmtId="173" fontId="0" fillId="33" borderId="18" xfId="0" applyNumberFormat="1" applyFill="1" applyBorder="1" applyAlignment="1">
      <alignment horizontal="center"/>
    </xf>
    <xf numFmtId="2" fontId="0" fillId="40" borderId="36" xfId="0" applyNumberFormat="1" applyFill="1" applyBorder="1" applyAlignment="1">
      <alignment horizontal="center"/>
    </xf>
    <xf numFmtId="173" fontId="0" fillId="33" borderId="0" xfId="0" applyNumberFormat="1" applyFill="1" applyAlignment="1">
      <alignment/>
    </xf>
    <xf numFmtId="16" fontId="0" fillId="33" borderId="0" xfId="0" applyNumberFormat="1" applyFill="1" applyBorder="1" applyAlignment="1">
      <alignment/>
    </xf>
    <xf numFmtId="170" fontId="0" fillId="33" borderId="40" xfId="0" applyNumberFormat="1" applyFont="1" applyFill="1" applyBorder="1" applyAlignment="1">
      <alignment horizontal="center"/>
    </xf>
    <xf numFmtId="173" fontId="0" fillId="33" borderId="40" xfId="0" applyNumberFormat="1" applyFont="1" applyFill="1" applyBorder="1" applyAlignment="1">
      <alignment horizontal="center"/>
    </xf>
    <xf numFmtId="173" fontId="0" fillId="33" borderId="28" xfId="0" applyNumberFormat="1" applyFont="1" applyFill="1" applyBorder="1" applyAlignment="1">
      <alignment horizontal="center" vertical="center"/>
    </xf>
    <xf numFmtId="173" fontId="0" fillId="33" borderId="39" xfId="0" applyNumberFormat="1" applyFont="1" applyFill="1" applyBorder="1" applyAlignment="1">
      <alignment horizontal="center" vertical="center"/>
    </xf>
    <xf numFmtId="173" fontId="0" fillId="33" borderId="41" xfId="0" applyNumberFormat="1" applyFont="1" applyFill="1" applyBorder="1" applyAlignment="1">
      <alignment horizontal="center" vertical="center"/>
    </xf>
    <xf numFmtId="173" fontId="0" fillId="33" borderId="28" xfId="0" applyNumberFormat="1" applyFont="1" applyFill="1" applyBorder="1" applyAlignment="1">
      <alignment horizontal="center"/>
    </xf>
    <xf numFmtId="173" fontId="0" fillId="33" borderId="39" xfId="0" applyNumberFormat="1" applyFont="1" applyFill="1" applyBorder="1" applyAlignment="1">
      <alignment horizontal="center"/>
    </xf>
    <xf numFmtId="173" fontId="0" fillId="33" borderId="41" xfId="0" applyNumberFormat="1" applyFont="1" applyFill="1" applyBorder="1" applyAlignment="1">
      <alignment horizontal="center"/>
    </xf>
    <xf numFmtId="173" fontId="0" fillId="33" borderId="0" xfId="0" applyNumberFormat="1" applyFill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2" fontId="0" fillId="33" borderId="23" xfId="0" applyNumberFormat="1" applyFill="1" applyBorder="1" applyAlignment="1">
      <alignment/>
    </xf>
    <xf numFmtId="171" fontId="0" fillId="33" borderId="19" xfId="0" applyNumberFormat="1" applyFill="1" applyBorder="1" applyAlignment="1">
      <alignment/>
    </xf>
    <xf numFmtId="171" fontId="0" fillId="33" borderId="20" xfId="0" applyNumberFormat="1" applyFill="1" applyBorder="1" applyAlignment="1">
      <alignment/>
    </xf>
    <xf numFmtId="2" fontId="0" fillId="38" borderId="24" xfId="0" applyNumberFormat="1" applyFill="1" applyBorder="1" applyAlignment="1">
      <alignment/>
    </xf>
    <xf numFmtId="170" fontId="0" fillId="38" borderId="13" xfId="0" applyNumberFormat="1" applyFill="1" applyBorder="1" applyAlignment="1">
      <alignment/>
    </xf>
    <xf numFmtId="170" fontId="0" fillId="38" borderId="14" xfId="0" applyNumberFormat="1" applyFill="1" applyBorder="1" applyAlignment="1">
      <alignment/>
    </xf>
    <xf numFmtId="170" fontId="0" fillId="33" borderId="60" xfId="0" applyNumberFormat="1" applyFill="1" applyBorder="1" applyAlignment="1">
      <alignment horizontal="center"/>
    </xf>
    <xf numFmtId="0" fontId="0" fillId="33" borderId="0" xfId="0" applyFill="1" applyAlignment="1">
      <alignment horizontal="left"/>
    </xf>
    <xf numFmtId="173" fontId="0" fillId="33" borderId="0" xfId="0" applyNumberFormat="1" applyFill="1" applyAlignment="1">
      <alignment horizontal="left"/>
    </xf>
    <xf numFmtId="173" fontId="0" fillId="33" borderId="60" xfId="0" applyNumberFormat="1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173" fontId="0" fillId="33" borderId="14" xfId="0" applyNumberFormat="1" applyFill="1" applyBorder="1" applyAlignment="1">
      <alignment horizontal="center"/>
    </xf>
    <xf numFmtId="171" fontId="0" fillId="33" borderId="0" xfId="0" applyNumberFormat="1" applyFill="1" applyAlignment="1">
      <alignment horizontal="center"/>
    </xf>
    <xf numFmtId="171" fontId="0" fillId="33" borderId="22" xfId="0" applyNumberFormat="1" applyFill="1" applyBorder="1" applyAlignment="1">
      <alignment horizontal="center"/>
    </xf>
    <xf numFmtId="171" fontId="0" fillId="33" borderId="24" xfId="0" applyNumberFormat="1" applyFill="1" applyBorder="1" applyAlignment="1">
      <alignment horizontal="center"/>
    </xf>
    <xf numFmtId="173" fontId="0" fillId="33" borderId="13" xfId="0" applyNumberFormat="1" applyFill="1" applyBorder="1" applyAlignment="1">
      <alignment horizontal="center"/>
    </xf>
    <xf numFmtId="171" fontId="0" fillId="33" borderId="19" xfId="0" applyNumberForma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173" fontId="0" fillId="33" borderId="19" xfId="0" applyNumberFormat="1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173" fontId="0" fillId="33" borderId="36" xfId="0" applyNumberFormat="1" applyFill="1" applyBorder="1" applyAlignment="1" quotePrefix="1">
      <alignment horizontal="center"/>
    </xf>
    <xf numFmtId="0" fontId="0" fillId="33" borderId="61" xfId="0" applyFill="1" applyBorder="1" applyAlignment="1">
      <alignment horizontal="center"/>
    </xf>
    <xf numFmtId="173" fontId="0" fillId="33" borderId="30" xfId="0" applyNumberFormat="1" applyFill="1" applyBorder="1" applyAlignment="1">
      <alignment horizontal="center"/>
    </xf>
    <xf numFmtId="0" fontId="0" fillId="33" borderId="36" xfId="0" applyFill="1" applyBorder="1" applyAlignment="1">
      <alignment/>
    </xf>
    <xf numFmtId="0" fontId="0" fillId="33" borderId="50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30" xfId="0" applyFill="1" applyBorder="1" applyAlignment="1">
      <alignment/>
    </xf>
    <xf numFmtId="2" fontId="0" fillId="40" borderId="42" xfId="0" applyNumberFormat="1" applyFill="1" applyBorder="1" applyAlignment="1">
      <alignment horizontal="center"/>
    </xf>
    <xf numFmtId="2" fontId="0" fillId="40" borderId="38" xfId="0" applyNumberFormat="1" applyFill="1" applyBorder="1" applyAlignment="1">
      <alignment horizontal="center"/>
    </xf>
    <xf numFmtId="171" fontId="0" fillId="33" borderId="27" xfId="0" applyNumberFormat="1" applyFill="1" applyBorder="1" applyAlignment="1">
      <alignment horizontal="center"/>
    </xf>
    <xf numFmtId="171" fontId="0" fillId="33" borderId="60" xfId="0" applyNumberFormat="1" applyFill="1" applyBorder="1" applyAlignment="1">
      <alignment horizontal="center"/>
    </xf>
    <xf numFmtId="173" fontId="0" fillId="40" borderId="62" xfId="0" applyNumberForma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63" xfId="0" applyFill="1" applyBorder="1" applyAlignment="1">
      <alignment horizontal="center"/>
    </xf>
    <xf numFmtId="2" fontId="0" fillId="33" borderId="64" xfId="0" applyNumberForma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170" fontId="0" fillId="33" borderId="65" xfId="0" applyNumberFormat="1" applyFill="1" applyBorder="1" applyAlignment="1">
      <alignment/>
    </xf>
    <xf numFmtId="170" fontId="0" fillId="33" borderId="66" xfId="0" applyNumberFormat="1" applyFill="1" applyBorder="1" applyAlignment="1">
      <alignment/>
    </xf>
    <xf numFmtId="173" fontId="0" fillId="33" borderId="56" xfId="0" applyNumberFormat="1" applyFill="1" applyBorder="1" applyAlignment="1">
      <alignment horizontal="center"/>
    </xf>
    <xf numFmtId="0" fontId="0" fillId="33" borderId="56" xfId="0" applyFill="1" applyBorder="1" applyAlignment="1">
      <alignment/>
    </xf>
    <xf numFmtId="170" fontId="0" fillId="40" borderId="62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203" fontId="0" fillId="33" borderId="0" xfId="0" applyNumberFormat="1" applyFill="1" applyBorder="1" applyAlignment="1">
      <alignment horizontal="center"/>
    </xf>
    <xf numFmtId="173" fontId="0" fillId="33" borderId="54" xfId="0" applyNumberFormat="1" applyFill="1" applyBorder="1" applyAlignment="1">
      <alignment horizontal="center"/>
    </xf>
    <xf numFmtId="0" fontId="0" fillId="0" borderId="40" xfId="0" applyBorder="1" applyAlignment="1">
      <alignment horizontal="center"/>
    </xf>
    <xf numFmtId="171" fontId="0" fillId="33" borderId="40" xfId="0" applyNumberFormat="1" applyFill="1" applyBorder="1" applyAlignment="1">
      <alignment horizontal="center"/>
    </xf>
    <xf numFmtId="0" fontId="0" fillId="35" borderId="48" xfId="0" applyFont="1" applyFill="1" applyBorder="1" applyAlignment="1">
      <alignment horizontal="center"/>
    </xf>
    <xf numFmtId="170" fontId="0" fillId="35" borderId="48" xfId="0" applyNumberFormat="1" applyFill="1" applyBorder="1" applyAlignment="1">
      <alignment horizontal="center"/>
    </xf>
    <xf numFmtId="0" fontId="0" fillId="35" borderId="47" xfId="0" applyFill="1" applyBorder="1" applyAlignment="1">
      <alignment horizontal="center"/>
    </xf>
    <xf numFmtId="2" fontId="0" fillId="33" borderId="49" xfId="0" applyNumberFormat="1" applyFill="1" applyBorder="1" applyAlignment="1">
      <alignment horizontal="center"/>
    </xf>
    <xf numFmtId="1" fontId="0" fillId="33" borderId="40" xfId="0" applyNumberFormat="1" applyFont="1" applyFill="1" applyBorder="1" applyAlignment="1">
      <alignment horizontal="center"/>
    </xf>
    <xf numFmtId="171" fontId="0" fillId="33" borderId="40" xfId="0" applyNumberFormat="1" applyFont="1" applyFill="1" applyBorder="1" applyAlignment="1">
      <alignment horizontal="center"/>
    </xf>
    <xf numFmtId="173" fontId="0" fillId="33" borderId="27" xfId="0" applyNumberFormat="1" applyFill="1" applyBorder="1" applyAlignment="1">
      <alignment horizontal="center"/>
    </xf>
    <xf numFmtId="173" fontId="0" fillId="0" borderId="40" xfId="0" applyNumberFormat="1" applyBorder="1" applyAlignment="1">
      <alignment horizontal="center"/>
    </xf>
    <xf numFmtId="173" fontId="0" fillId="33" borderId="12" xfId="0" applyNumberFormat="1" applyFont="1" applyFill="1" applyBorder="1" applyAlignment="1">
      <alignment horizontal="center"/>
    </xf>
    <xf numFmtId="173" fontId="0" fillId="33" borderId="60" xfId="0" applyNumberFormat="1" applyFont="1" applyFill="1" applyBorder="1" applyAlignment="1">
      <alignment horizontal="center"/>
    </xf>
    <xf numFmtId="0" fontId="0" fillId="35" borderId="46" xfId="0" applyFont="1" applyFill="1" applyBorder="1" applyAlignment="1">
      <alignment horizontal="center"/>
    </xf>
    <xf numFmtId="173" fontId="0" fillId="33" borderId="49" xfId="0" applyNumberFormat="1" applyFont="1" applyFill="1" applyBorder="1" applyAlignment="1">
      <alignment horizontal="center"/>
    </xf>
    <xf numFmtId="0" fontId="0" fillId="35" borderId="58" xfId="0" applyFont="1" applyFill="1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0" fillId="33" borderId="66" xfId="0" applyFill="1" applyBorder="1" applyAlignment="1">
      <alignment horizontal="center"/>
    </xf>
    <xf numFmtId="0" fontId="0" fillId="33" borderId="54" xfId="0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61" xfId="0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67" xfId="0" applyFill="1" applyBorder="1" applyAlignment="1">
      <alignment horizontal="center"/>
    </xf>
    <xf numFmtId="173" fontId="0" fillId="33" borderId="0" xfId="0" applyNumberFormat="1" applyFill="1" applyBorder="1" applyAlignment="1">
      <alignment/>
    </xf>
    <xf numFmtId="0" fontId="7" fillId="33" borderId="0" xfId="0" applyFont="1" applyFill="1" applyBorder="1" applyAlignment="1">
      <alignment vertical="center" textRotation="90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2" fontId="0" fillId="33" borderId="38" xfId="0" applyNumberFormat="1" applyFill="1" applyBorder="1" applyAlignment="1">
      <alignment horizontal="center"/>
    </xf>
    <xf numFmtId="171" fontId="0" fillId="33" borderId="28" xfId="0" applyNumberFormat="1" applyFill="1" applyBorder="1" applyAlignment="1">
      <alignment horizontal="center"/>
    </xf>
    <xf numFmtId="171" fontId="0" fillId="33" borderId="39" xfId="0" applyNumberFormat="1" applyFill="1" applyBorder="1" applyAlignment="1">
      <alignment horizontal="center"/>
    </xf>
    <xf numFmtId="188" fontId="0" fillId="33" borderId="39" xfId="0" applyNumberFormat="1" applyFill="1" applyBorder="1" applyAlignment="1">
      <alignment horizontal="center"/>
    </xf>
    <xf numFmtId="2" fontId="0" fillId="33" borderId="39" xfId="0" applyNumberFormat="1" applyFill="1" applyBorder="1" applyAlignment="1">
      <alignment horizontal="center"/>
    </xf>
    <xf numFmtId="1" fontId="0" fillId="33" borderId="39" xfId="0" applyNumberFormat="1" applyFill="1" applyBorder="1" applyAlignment="1">
      <alignment horizontal="center"/>
    </xf>
    <xf numFmtId="2" fontId="0" fillId="33" borderId="28" xfId="0" applyNumberFormat="1" applyFill="1" applyBorder="1" applyAlignment="1">
      <alignment horizontal="center"/>
    </xf>
    <xf numFmtId="203" fontId="0" fillId="33" borderId="39" xfId="0" applyNumberFormat="1" applyFill="1" applyBorder="1" applyAlignment="1">
      <alignment horizontal="center"/>
    </xf>
    <xf numFmtId="203" fontId="0" fillId="33" borderId="41" xfId="0" applyNumberFormat="1" applyFill="1" applyBorder="1" applyAlignment="1">
      <alignment horizontal="center"/>
    </xf>
    <xf numFmtId="9" fontId="0" fillId="33" borderId="39" xfId="0" applyNumberForma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61" xfId="0" applyFont="1" applyFill="1" applyBorder="1" applyAlignment="1">
      <alignment horizontal="center"/>
    </xf>
    <xf numFmtId="2" fontId="0" fillId="33" borderId="36" xfId="0" applyNumberFormat="1" applyFill="1" applyBorder="1" applyAlignment="1" quotePrefix="1">
      <alignment horizontal="center"/>
    </xf>
    <xf numFmtId="171" fontId="0" fillId="33" borderId="36" xfId="0" applyNumberFormat="1" applyFont="1" applyFill="1" applyBorder="1" applyAlignment="1">
      <alignment horizontal="center"/>
    </xf>
    <xf numFmtId="171" fontId="0" fillId="33" borderId="64" xfId="0" applyNumberFormat="1" applyFill="1" applyBorder="1" applyAlignment="1">
      <alignment horizontal="center"/>
    </xf>
    <xf numFmtId="171" fontId="0" fillId="33" borderId="15" xfId="0" applyNumberForma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0" fillId="33" borderId="5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14" fontId="0" fillId="34" borderId="12" xfId="0" applyNumberFormat="1" applyFill="1" applyBorder="1" applyAlignment="1">
      <alignment/>
    </xf>
    <xf numFmtId="173" fontId="0" fillId="33" borderId="28" xfId="0" applyNumberForma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170" fontId="0" fillId="33" borderId="17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170" fontId="0" fillId="33" borderId="37" xfId="0" applyNumberFormat="1" applyFont="1" applyFill="1" applyBorder="1" applyAlignment="1">
      <alignment horizontal="center"/>
    </xf>
    <xf numFmtId="170" fontId="0" fillId="33" borderId="36" xfId="0" applyNumberFormat="1" applyFont="1" applyFill="1" applyBorder="1" applyAlignment="1">
      <alignment horizontal="center"/>
    </xf>
    <xf numFmtId="2" fontId="0" fillId="33" borderId="38" xfId="0" applyNumberFormat="1" applyFont="1" applyFill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171" fontId="0" fillId="33" borderId="34" xfId="0" applyNumberFormat="1" applyFill="1" applyBorder="1" applyAlignment="1">
      <alignment horizontal="center"/>
    </xf>
    <xf numFmtId="0" fontId="0" fillId="33" borderId="52" xfId="0" applyFill="1" applyBorder="1" applyAlignment="1">
      <alignment/>
    </xf>
    <xf numFmtId="0" fontId="0" fillId="33" borderId="66" xfId="0" applyFill="1" applyBorder="1" applyAlignment="1">
      <alignment/>
    </xf>
    <xf numFmtId="0" fontId="0" fillId="33" borderId="68" xfId="0" applyFill="1" applyBorder="1" applyAlignment="1">
      <alignment/>
    </xf>
    <xf numFmtId="0" fontId="0" fillId="33" borderId="6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7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1" fontId="0" fillId="33" borderId="0" xfId="0" applyNumberFormat="1" applyFill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173" fontId="0" fillId="33" borderId="43" xfId="0" applyNumberFormat="1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173" fontId="0" fillId="33" borderId="35" xfId="0" applyNumberFormat="1" applyFill="1" applyBorder="1" applyAlignment="1" quotePrefix="1">
      <alignment horizontal="center"/>
    </xf>
    <xf numFmtId="173" fontId="0" fillId="33" borderId="34" xfId="0" applyNumberFormat="1" applyFill="1" applyBorder="1" applyAlignment="1">
      <alignment horizontal="center"/>
    </xf>
    <xf numFmtId="2" fontId="0" fillId="33" borderId="40" xfId="0" applyNumberFormat="1" applyFont="1" applyFill="1" applyBorder="1" applyAlignment="1">
      <alignment horizontal="center"/>
    </xf>
    <xf numFmtId="2" fontId="0" fillId="33" borderId="49" xfId="0" applyNumberFormat="1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171" fontId="0" fillId="33" borderId="49" xfId="0" applyNumberFormat="1" applyFont="1" applyFill="1" applyBorder="1" applyAlignment="1">
      <alignment horizontal="center"/>
    </xf>
    <xf numFmtId="170" fontId="0" fillId="35" borderId="45" xfId="0" applyNumberFormat="1" applyFill="1" applyBorder="1" applyAlignment="1">
      <alignment horizontal="center"/>
    </xf>
    <xf numFmtId="170" fontId="0" fillId="35" borderId="63" xfId="0" applyNumberFormat="1" applyFill="1" applyBorder="1" applyAlignment="1">
      <alignment horizontal="center"/>
    </xf>
    <xf numFmtId="1" fontId="0" fillId="33" borderId="71" xfId="0" applyNumberFormat="1" applyFill="1" applyBorder="1" applyAlignment="1">
      <alignment horizontal="center"/>
    </xf>
    <xf numFmtId="1" fontId="0" fillId="33" borderId="29" xfId="0" applyNumberFormat="1" applyFill="1" applyBorder="1" applyAlignment="1">
      <alignment horizontal="center"/>
    </xf>
    <xf numFmtId="1" fontId="0" fillId="33" borderId="50" xfId="0" applyNumberFormat="1" applyFill="1" applyBorder="1" applyAlignment="1">
      <alignment horizontal="center"/>
    </xf>
    <xf numFmtId="1" fontId="0" fillId="33" borderId="18" xfId="0" applyNumberFormat="1" applyFill="1" applyBorder="1" applyAlignment="1">
      <alignment horizontal="center"/>
    </xf>
    <xf numFmtId="1" fontId="0" fillId="33" borderId="63" xfId="0" applyNumberFormat="1" applyFill="1" applyBorder="1" applyAlignment="1">
      <alignment horizontal="center"/>
    </xf>
    <xf numFmtId="1" fontId="0" fillId="33" borderId="45" xfId="0" applyNumberFormat="1" applyFill="1" applyBorder="1" applyAlignment="1">
      <alignment horizontal="center"/>
    </xf>
    <xf numFmtId="1" fontId="0" fillId="35" borderId="63" xfId="0" applyNumberFormat="1" applyFill="1" applyBorder="1" applyAlignment="1">
      <alignment horizontal="center"/>
    </xf>
    <xf numFmtId="1" fontId="0" fillId="35" borderId="72" xfId="0" applyNumberFormat="1" applyFill="1" applyBorder="1" applyAlignment="1">
      <alignment horizontal="center"/>
    </xf>
    <xf numFmtId="1" fontId="0" fillId="35" borderId="41" xfId="0" applyNumberFormat="1" applyFill="1" applyBorder="1" applyAlignment="1">
      <alignment horizontal="center"/>
    </xf>
    <xf numFmtId="173" fontId="0" fillId="38" borderId="43" xfId="0" applyNumberFormat="1" applyFill="1" applyBorder="1" applyAlignment="1">
      <alignment horizontal="center"/>
    </xf>
    <xf numFmtId="173" fontId="0" fillId="38" borderId="35" xfId="0" applyNumberFormat="1" applyFill="1" applyBorder="1" applyAlignment="1">
      <alignment horizontal="center"/>
    </xf>
    <xf numFmtId="173" fontId="0" fillId="42" borderId="17" xfId="0" applyNumberFormat="1" applyFill="1" applyBorder="1" applyAlignment="1">
      <alignment horizontal="center"/>
    </xf>
    <xf numFmtId="173" fontId="0" fillId="42" borderId="36" xfId="0" applyNumberFormat="1" applyFill="1" applyBorder="1" applyAlignment="1">
      <alignment horizontal="center"/>
    </xf>
    <xf numFmtId="0" fontId="0" fillId="42" borderId="17" xfId="0" applyFill="1" applyBorder="1" applyAlignment="1">
      <alignment horizontal="center"/>
    </xf>
    <xf numFmtId="170" fontId="0" fillId="42" borderId="36" xfId="0" applyNumberFormat="1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0" fillId="42" borderId="49" xfId="0" applyFill="1" applyBorder="1" applyAlignment="1">
      <alignment horizontal="center"/>
    </xf>
    <xf numFmtId="170" fontId="0" fillId="42" borderId="49" xfId="0" applyNumberFormat="1" applyFill="1" applyBorder="1" applyAlignment="1">
      <alignment horizontal="center"/>
    </xf>
    <xf numFmtId="171" fontId="0" fillId="0" borderId="73" xfId="0" applyNumberFormat="1" applyFill="1" applyBorder="1" applyAlignment="1">
      <alignment horizontal="center"/>
    </xf>
    <xf numFmtId="0" fontId="0" fillId="33" borderId="2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2" fillId="43" borderId="21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center" vertical="center"/>
    </xf>
    <xf numFmtId="0" fontId="2" fillId="43" borderId="11" xfId="0" applyFont="1" applyFill="1" applyBorder="1" applyAlignment="1">
      <alignment horizontal="center" vertical="center"/>
    </xf>
    <xf numFmtId="0" fontId="10" fillId="44" borderId="26" xfId="0" applyFont="1" applyFill="1" applyBorder="1" applyAlignment="1">
      <alignment horizontal="center" vertical="center"/>
    </xf>
    <xf numFmtId="0" fontId="10" fillId="44" borderId="27" xfId="0" applyFont="1" applyFill="1" applyBorder="1" applyAlignment="1">
      <alignment horizontal="center" vertical="center"/>
    </xf>
    <xf numFmtId="0" fontId="10" fillId="44" borderId="30" xfId="0" applyFont="1" applyFill="1" applyBorder="1" applyAlignment="1">
      <alignment horizontal="center" vertical="center"/>
    </xf>
    <xf numFmtId="0" fontId="10" fillId="44" borderId="17" xfId="0" applyFont="1" applyFill="1" applyBorder="1" applyAlignment="1">
      <alignment horizontal="center" vertical="center"/>
    </xf>
    <xf numFmtId="0" fontId="10" fillId="44" borderId="0" xfId="0" applyFont="1" applyFill="1" applyBorder="1" applyAlignment="1">
      <alignment horizontal="center" vertical="center"/>
    </xf>
    <xf numFmtId="0" fontId="10" fillId="44" borderId="12" xfId="0" applyFont="1" applyFill="1" applyBorder="1" applyAlignment="1">
      <alignment horizontal="center" vertical="center"/>
    </xf>
    <xf numFmtId="0" fontId="10" fillId="44" borderId="18" xfId="0" applyFont="1" applyFill="1" applyBorder="1" applyAlignment="1">
      <alignment horizontal="center" vertical="center"/>
    </xf>
    <xf numFmtId="0" fontId="10" fillId="44" borderId="13" xfId="0" applyFont="1" applyFill="1" applyBorder="1" applyAlignment="1">
      <alignment horizontal="center" vertical="center"/>
    </xf>
    <xf numFmtId="0" fontId="10" fillId="44" borderId="14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textRotation="90"/>
    </xf>
    <xf numFmtId="0" fontId="7" fillId="34" borderId="30" xfId="0" applyFont="1" applyFill="1" applyBorder="1" applyAlignment="1">
      <alignment horizontal="center" vertical="center" textRotation="90"/>
    </xf>
    <xf numFmtId="0" fontId="7" fillId="34" borderId="17" xfId="0" applyFont="1" applyFill="1" applyBorder="1" applyAlignment="1">
      <alignment horizontal="center" vertical="center" textRotation="90"/>
    </xf>
    <xf numFmtId="0" fontId="7" fillId="34" borderId="0" xfId="0" applyFont="1" applyFill="1" applyBorder="1" applyAlignment="1">
      <alignment horizontal="center" vertical="center" textRotation="90"/>
    </xf>
    <xf numFmtId="0" fontId="7" fillId="34" borderId="12" xfId="0" applyFont="1" applyFill="1" applyBorder="1" applyAlignment="1">
      <alignment horizontal="center" vertical="center" textRotation="90"/>
    </xf>
    <xf numFmtId="0" fontId="7" fillId="34" borderId="18" xfId="0" applyFont="1" applyFill="1" applyBorder="1" applyAlignment="1">
      <alignment horizontal="center" vertical="center" textRotation="90"/>
    </xf>
    <xf numFmtId="0" fontId="7" fillId="34" borderId="13" xfId="0" applyFont="1" applyFill="1" applyBorder="1" applyAlignment="1">
      <alignment horizontal="center" vertical="center" textRotation="90"/>
    </xf>
    <xf numFmtId="0" fontId="7" fillId="34" borderId="14" xfId="0" applyFont="1" applyFill="1" applyBorder="1" applyAlignment="1">
      <alignment horizontal="center" vertical="center" textRotation="90"/>
    </xf>
    <xf numFmtId="14" fontId="0" fillId="33" borderId="26" xfId="0" applyNumberFormat="1" applyFill="1" applyBorder="1" applyAlignment="1">
      <alignment horizontal="center"/>
    </xf>
    <xf numFmtId="14" fontId="0" fillId="33" borderId="27" xfId="0" applyNumberFormat="1" applyFill="1" applyBorder="1" applyAlignment="1">
      <alignment horizontal="center"/>
    </xf>
    <xf numFmtId="14" fontId="0" fillId="33" borderId="30" xfId="0" applyNumberFormat="1" applyFill="1" applyBorder="1" applyAlignment="1">
      <alignment horizontal="center"/>
    </xf>
    <xf numFmtId="14" fontId="0" fillId="33" borderId="18" xfId="0" applyNumberFormat="1" applyFill="1" applyBorder="1" applyAlignment="1">
      <alignment horizontal="center"/>
    </xf>
    <xf numFmtId="14" fontId="0" fillId="33" borderId="13" xfId="0" applyNumberFormat="1" applyFill="1" applyBorder="1" applyAlignment="1">
      <alignment horizontal="center"/>
    </xf>
    <xf numFmtId="14" fontId="0" fillId="33" borderId="14" xfId="0" applyNumberForma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5" fillId="35" borderId="39" xfId="0" applyFont="1" applyFill="1" applyBorder="1" applyAlignment="1">
      <alignment horizontal="center" vertical="center" textRotation="90"/>
    </xf>
    <xf numFmtId="0" fontId="15" fillId="35" borderId="41" xfId="0" applyFont="1" applyFill="1" applyBorder="1" applyAlignment="1">
      <alignment horizontal="center" vertical="center" textRotation="90"/>
    </xf>
    <xf numFmtId="0" fontId="15" fillId="35" borderId="28" xfId="0" applyFont="1" applyFill="1" applyBorder="1" applyAlignment="1">
      <alignment horizontal="center" vertical="center" textRotation="90"/>
    </xf>
    <xf numFmtId="0" fontId="2" fillId="34" borderId="2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9" fillId="41" borderId="26" xfId="0" applyFont="1" applyFill="1" applyBorder="1" applyAlignment="1">
      <alignment horizontal="center" vertical="center"/>
    </xf>
    <xf numFmtId="0" fontId="9" fillId="41" borderId="27" xfId="0" applyFont="1" applyFill="1" applyBorder="1" applyAlignment="1">
      <alignment horizontal="center" vertical="center"/>
    </xf>
    <xf numFmtId="0" fontId="9" fillId="41" borderId="30" xfId="0" applyFont="1" applyFill="1" applyBorder="1" applyAlignment="1">
      <alignment horizontal="center" vertical="center"/>
    </xf>
    <xf numFmtId="0" fontId="2" fillId="43" borderId="21" xfId="0" applyFont="1" applyFill="1" applyBorder="1" applyAlignment="1">
      <alignment horizontal="center"/>
    </xf>
    <xf numFmtId="0" fontId="2" fillId="43" borderId="10" xfId="0" applyFont="1" applyFill="1" applyBorder="1" applyAlignment="1">
      <alignment horizontal="center"/>
    </xf>
    <xf numFmtId="0" fontId="2" fillId="43" borderId="11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2" fillId="43" borderId="26" xfId="0" applyFont="1" applyFill="1" applyBorder="1" applyAlignment="1">
      <alignment horizontal="center" vertical="center" wrapText="1"/>
    </xf>
    <xf numFmtId="0" fontId="2" fillId="43" borderId="27" xfId="0" applyFont="1" applyFill="1" applyBorder="1" applyAlignment="1">
      <alignment horizontal="center" vertical="center" wrapText="1"/>
    </xf>
    <xf numFmtId="0" fontId="2" fillId="43" borderId="30" xfId="0" applyFont="1" applyFill="1" applyBorder="1" applyAlignment="1">
      <alignment horizontal="center" vertical="center" wrapText="1"/>
    </xf>
    <xf numFmtId="0" fontId="2" fillId="43" borderId="17" xfId="0" applyFont="1" applyFill="1" applyBorder="1" applyAlignment="1">
      <alignment horizontal="center" vertical="center" wrapText="1"/>
    </xf>
    <xf numFmtId="0" fontId="2" fillId="43" borderId="0" xfId="0" applyFont="1" applyFill="1" applyBorder="1" applyAlignment="1">
      <alignment horizontal="center" vertical="center" wrapText="1"/>
    </xf>
    <xf numFmtId="0" fontId="2" fillId="43" borderId="12" xfId="0" applyFont="1" applyFill="1" applyBorder="1" applyAlignment="1">
      <alignment horizontal="center" vertical="center" wrapText="1"/>
    </xf>
    <xf numFmtId="0" fontId="2" fillId="43" borderId="18" xfId="0" applyFont="1" applyFill="1" applyBorder="1" applyAlignment="1">
      <alignment horizontal="center" vertical="center" wrapText="1"/>
    </xf>
    <xf numFmtId="0" fontId="2" fillId="43" borderId="13" xfId="0" applyFont="1" applyFill="1" applyBorder="1" applyAlignment="1">
      <alignment horizontal="center" vertical="center" wrapText="1"/>
    </xf>
    <xf numFmtId="0" fontId="2" fillId="43" borderId="14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58" xfId="0" applyFont="1" applyFill="1" applyBorder="1" applyAlignment="1">
      <alignment horizontal="center"/>
    </xf>
    <xf numFmtId="170" fontId="0" fillId="33" borderId="65" xfId="0" applyNumberFormat="1" applyFont="1" applyFill="1" applyBorder="1" applyAlignment="1">
      <alignment horizontal="center" vertical="center"/>
    </xf>
    <xf numFmtId="170" fontId="0" fillId="33" borderId="63" xfId="0" applyNumberFormat="1" applyFont="1" applyFill="1" applyBorder="1" applyAlignment="1">
      <alignment horizontal="center" vertical="center"/>
    </xf>
    <xf numFmtId="0" fontId="14" fillId="43" borderId="21" xfId="0" applyFont="1" applyFill="1" applyBorder="1" applyAlignment="1">
      <alignment horizontal="center"/>
    </xf>
    <xf numFmtId="0" fontId="14" fillId="43" borderId="10" xfId="0" applyFont="1" applyFill="1" applyBorder="1" applyAlignment="1">
      <alignment horizontal="center"/>
    </xf>
    <xf numFmtId="0" fontId="14" fillId="43" borderId="11" xfId="0" applyFont="1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9" fillId="41" borderId="21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center" vertical="center"/>
    </xf>
    <xf numFmtId="0" fontId="9" fillId="41" borderId="11" xfId="0" applyFont="1" applyFill="1" applyBorder="1" applyAlignment="1">
      <alignment horizontal="center" vertical="center"/>
    </xf>
    <xf numFmtId="0" fontId="4" fillId="44" borderId="17" xfId="0" applyFont="1" applyFill="1" applyBorder="1" applyAlignment="1">
      <alignment horizontal="center" vertical="center"/>
    </xf>
    <xf numFmtId="0" fontId="4" fillId="44" borderId="0" xfId="0" applyFont="1" applyFill="1" applyBorder="1" applyAlignment="1">
      <alignment horizontal="center" vertical="center"/>
    </xf>
    <xf numFmtId="0" fontId="4" fillId="44" borderId="12" xfId="0" applyFont="1" applyFill="1" applyBorder="1" applyAlignment="1">
      <alignment horizontal="center" vertical="center"/>
    </xf>
    <xf numFmtId="0" fontId="4" fillId="44" borderId="18" xfId="0" applyFont="1" applyFill="1" applyBorder="1" applyAlignment="1">
      <alignment horizontal="center" vertical="center"/>
    </xf>
    <xf numFmtId="0" fontId="4" fillId="44" borderId="13" xfId="0" applyFont="1" applyFill="1" applyBorder="1" applyAlignment="1">
      <alignment horizontal="center" vertical="center"/>
    </xf>
    <xf numFmtId="0" fontId="4" fillId="44" borderId="14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0" fontId="14" fillId="43" borderId="21" xfId="0" applyFont="1" applyFill="1" applyBorder="1" applyAlignment="1">
      <alignment horizontal="center" vertical="center"/>
    </xf>
    <xf numFmtId="0" fontId="14" fillId="43" borderId="10" xfId="0" applyFont="1" applyFill="1" applyBorder="1" applyAlignment="1">
      <alignment horizontal="center" vertical="center"/>
    </xf>
    <xf numFmtId="0" fontId="14" fillId="43" borderId="11" xfId="0" applyFont="1" applyFill="1" applyBorder="1" applyAlignment="1">
      <alignment horizontal="center" vertical="center"/>
    </xf>
    <xf numFmtId="170" fontId="0" fillId="33" borderId="67" xfId="0" applyNumberFormat="1" applyFont="1" applyFill="1" applyBorder="1" applyAlignment="1">
      <alignment horizontal="center" vertical="center"/>
    </xf>
    <xf numFmtId="170" fontId="0" fillId="33" borderId="41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170" fontId="0" fillId="33" borderId="28" xfId="0" applyNumberFormat="1" applyFont="1" applyFill="1" applyBorder="1" applyAlignment="1">
      <alignment horizontal="center" vertical="center"/>
    </xf>
    <xf numFmtId="170" fontId="0" fillId="33" borderId="33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45" borderId="21" xfId="0" applyFont="1" applyFill="1" applyBorder="1" applyAlignment="1">
      <alignment horizontal="center"/>
    </xf>
    <xf numFmtId="0" fontId="3" fillId="45" borderId="11" xfId="0" applyFont="1" applyFill="1" applyBorder="1" applyAlignment="1">
      <alignment horizontal="center"/>
    </xf>
    <xf numFmtId="0" fontId="2" fillId="41" borderId="21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/>
    </xf>
    <xf numFmtId="173" fontId="3" fillId="45" borderId="21" xfId="0" applyNumberFormat="1" applyFont="1" applyFill="1" applyBorder="1" applyAlignment="1">
      <alignment horizontal="center"/>
    </xf>
    <xf numFmtId="173" fontId="3" fillId="45" borderId="11" xfId="0" applyNumberFormat="1" applyFont="1" applyFill="1" applyBorder="1" applyAlignment="1">
      <alignment horizontal="center"/>
    </xf>
    <xf numFmtId="173" fontId="3" fillId="45" borderId="10" xfId="0" applyNumberFormat="1" applyFont="1" applyFill="1" applyBorder="1" applyAlignment="1">
      <alignment horizontal="center"/>
    </xf>
    <xf numFmtId="173" fontId="3" fillId="45" borderId="26" xfId="0" applyNumberFormat="1" applyFont="1" applyFill="1" applyBorder="1" applyAlignment="1">
      <alignment horizontal="center"/>
    </xf>
    <xf numFmtId="173" fontId="3" fillId="45" borderId="30" xfId="0" applyNumberFormat="1" applyFont="1" applyFill="1" applyBorder="1" applyAlignment="1">
      <alignment horizontal="center"/>
    </xf>
    <xf numFmtId="0" fontId="3" fillId="45" borderId="26" xfId="0" applyFont="1" applyFill="1" applyBorder="1" applyAlignment="1">
      <alignment horizontal="center"/>
    </xf>
    <xf numFmtId="0" fontId="3" fillId="45" borderId="27" xfId="0" applyFont="1" applyFill="1" applyBorder="1" applyAlignment="1">
      <alignment horizontal="center"/>
    </xf>
    <xf numFmtId="0" fontId="3" fillId="45" borderId="10" xfId="0" applyFont="1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173" fontId="0" fillId="35" borderId="50" xfId="0" applyNumberFormat="1" applyFill="1" applyBorder="1" applyAlignment="1">
      <alignment horizontal="center"/>
    </xf>
    <xf numFmtId="173" fontId="0" fillId="35" borderId="51" xfId="0" applyNumberFormat="1" applyFill="1" applyBorder="1" applyAlignment="1">
      <alignment horizontal="center"/>
    </xf>
    <xf numFmtId="173" fontId="3" fillId="46" borderId="21" xfId="0" applyNumberFormat="1" applyFont="1" applyFill="1" applyBorder="1" applyAlignment="1">
      <alignment horizontal="center"/>
    </xf>
    <xf numFmtId="173" fontId="3" fillId="46" borderId="11" xfId="0" applyNumberFormat="1" applyFont="1" applyFill="1" applyBorder="1" applyAlignment="1">
      <alignment horizontal="center"/>
    </xf>
    <xf numFmtId="0" fontId="3" fillId="46" borderId="21" xfId="0" applyFont="1" applyFill="1" applyBorder="1" applyAlignment="1">
      <alignment horizontal="center"/>
    </xf>
    <xf numFmtId="0" fontId="3" fillId="46" borderId="10" xfId="0" applyFont="1" applyFill="1" applyBorder="1" applyAlignment="1">
      <alignment horizontal="center"/>
    </xf>
    <xf numFmtId="0" fontId="3" fillId="46" borderId="11" xfId="0" applyFont="1" applyFill="1" applyBorder="1" applyAlignment="1">
      <alignment horizontal="center"/>
    </xf>
    <xf numFmtId="173" fontId="0" fillId="34" borderId="0" xfId="0" applyNumberFormat="1" applyFill="1" applyBorder="1" applyAlignment="1">
      <alignment horizontal="center"/>
    </xf>
    <xf numFmtId="173" fontId="0" fillId="34" borderId="13" xfId="0" applyNumberFormat="1" applyFill="1" applyBorder="1" applyAlignment="1">
      <alignment horizontal="center"/>
    </xf>
    <xf numFmtId="0" fontId="3" fillId="46" borderId="26" xfId="0" applyFont="1" applyFill="1" applyBorder="1" applyAlignment="1">
      <alignment horizontal="center"/>
    </xf>
    <xf numFmtId="0" fontId="3" fillId="46" borderId="30" xfId="0" applyFont="1" applyFill="1" applyBorder="1" applyAlignment="1">
      <alignment horizontal="center"/>
    </xf>
    <xf numFmtId="173" fontId="3" fillId="46" borderId="27" xfId="0" applyNumberFormat="1" applyFont="1" applyFill="1" applyBorder="1" applyAlignment="1">
      <alignment horizontal="center"/>
    </xf>
    <xf numFmtId="173" fontId="3" fillId="46" borderId="30" xfId="0" applyNumberFormat="1" applyFont="1" applyFill="1" applyBorder="1" applyAlignment="1">
      <alignment horizontal="center"/>
    </xf>
    <xf numFmtId="173" fontId="0" fillId="34" borderId="26" xfId="0" applyNumberFormat="1" applyFill="1" applyBorder="1" applyAlignment="1">
      <alignment horizontal="center"/>
    </xf>
    <xf numFmtId="173" fontId="0" fillId="34" borderId="27" xfId="0" applyNumberFormat="1" applyFill="1" applyBorder="1" applyAlignment="1">
      <alignment horizontal="center"/>
    </xf>
    <xf numFmtId="173" fontId="0" fillId="34" borderId="17" xfId="0" applyNumberFormat="1" applyFill="1" applyBorder="1" applyAlignment="1">
      <alignment horizontal="center"/>
    </xf>
    <xf numFmtId="173" fontId="0" fillId="34" borderId="18" xfId="0" applyNumberFormat="1" applyFill="1" applyBorder="1" applyAlignment="1">
      <alignment horizontal="center"/>
    </xf>
    <xf numFmtId="0" fontId="3" fillId="46" borderId="18" xfId="0" applyFont="1" applyFill="1" applyBorder="1" applyAlignment="1">
      <alignment horizontal="center"/>
    </xf>
    <xf numFmtId="0" fontId="3" fillId="46" borderId="14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3" fontId="0" fillId="34" borderId="30" xfId="0" applyNumberFormat="1" applyFill="1" applyBorder="1" applyAlignment="1">
      <alignment horizontal="center"/>
    </xf>
    <xf numFmtId="173" fontId="0" fillId="34" borderId="12" xfId="0" applyNumberFormat="1" applyFill="1" applyBorder="1" applyAlignment="1">
      <alignment horizontal="center"/>
    </xf>
    <xf numFmtId="173" fontId="0" fillId="34" borderId="14" xfId="0" applyNumberFormat="1" applyFill="1" applyBorder="1" applyAlignment="1">
      <alignment horizontal="center"/>
    </xf>
    <xf numFmtId="0" fontId="3" fillId="47" borderId="10" xfId="0" applyFont="1" applyFill="1" applyBorder="1" applyAlignment="1">
      <alignment horizontal="center"/>
    </xf>
    <xf numFmtId="0" fontId="3" fillId="47" borderId="11" xfId="0" applyFont="1" applyFill="1" applyBorder="1" applyAlignment="1">
      <alignment horizontal="center"/>
    </xf>
    <xf numFmtId="173" fontId="0" fillId="34" borderId="27" xfId="0" applyNumberFormat="1" applyFont="1" applyFill="1" applyBorder="1" applyAlignment="1">
      <alignment horizontal="center"/>
    </xf>
    <xf numFmtId="173" fontId="0" fillId="34" borderId="0" xfId="0" applyNumberFormat="1" applyFont="1" applyFill="1" applyBorder="1" applyAlignment="1">
      <alignment horizontal="center"/>
    </xf>
    <xf numFmtId="173" fontId="0" fillId="34" borderId="13" xfId="0" applyNumberFormat="1" applyFont="1" applyFill="1" applyBorder="1" applyAlignment="1">
      <alignment horizontal="center"/>
    </xf>
    <xf numFmtId="0" fontId="3" fillId="47" borderId="13" xfId="0" applyFont="1" applyFill="1" applyBorder="1" applyAlignment="1">
      <alignment horizontal="center"/>
    </xf>
    <xf numFmtId="0" fontId="3" fillId="47" borderId="14" xfId="0" applyFont="1" applyFill="1" applyBorder="1" applyAlignment="1">
      <alignment horizontal="center"/>
    </xf>
    <xf numFmtId="0" fontId="3" fillId="47" borderId="21" xfId="0" applyFont="1" applyFill="1" applyBorder="1" applyAlignment="1">
      <alignment horizontal="center"/>
    </xf>
    <xf numFmtId="0" fontId="3" fillId="47" borderId="10" xfId="0" applyFont="1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35" borderId="10" xfId="0" applyFill="1" applyBorder="1" applyAlignment="1">
      <alignment horizontal="center"/>
    </xf>
    <xf numFmtId="0" fontId="3" fillId="47" borderId="26" xfId="0" applyFont="1" applyFill="1" applyBorder="1" applyAlignment="1">
      <alignment horizontal="center"/>
    </xf>
    <xf numFmtId="0" fontId="3" fillId="47" borderId="30" xfId="0" applyFont="1" applyFill="1" applyBorder="1" applyAlignment="1">
      <alignment horizontal="center"/>
    </xf>
    <xf numFmtId="0" fontId="3" fillId="47" borderId="18" xfId="0" applyFont="1" applyFill="1" applyBorder="1" applyAlignment="1">
      <alignment horizontal="center"/>
    </xf>
    <xf numFmtId="170" fontId="0" fillId="34" borderId="27" xfId="0" applyNumberFormat="1" applyFill="1" applyBorder="1" applyAlignment="1">
      <alignment horizontal="center"/>
    </xf>
    <xf numFmtId="170" fontId="0" fillId="34" borderId="0" xfId="0" applyNumberFormat="1" applyFill="1" applyBorder="1" applyAlignment="1">
      <alignment horizontal="center"/>
    </xf>
    <xf numFmtId="170" fontId="0" fillId="34" borderId="13" xfId="0" applyNumberFormat="1" applyFill="1" applyBorder="1" applyAlignment="1">
      <alignment horizontal="center"/>
    </xf>
    <xf numFmtId="170" fontId="0" fillId="33" borderId="50" xfId="0" applyNumberFormat="1" applyFill="1" applyBorder="1" applyAlignment="1">
      <alignment horizontal="center"/>
    </xf>
    <xf numFmtId="170" fontId="0" fillId="33" borderId="51" xfId="0" applyNumberFormat="1" applyFill="1" applyBorder="1" applyAlignment="1">
      <alignment horizontal="center"/>
    </xf>
    <xf numFmtId="11" fontId="0" fillId="34" borderId="27" xfId="0" applyNumberFormat="1" applyFill="1" applyBorder="1" applyAlignment="1">
      <alignment horizontal="center"/>
    </xf>
    <xf numFmtId="11" fontId="0" fillId="34" borderId="30" xfId="0" applyNumberFormat="1" applyFill="1" applyBorder="1" applyAlignment="1">
      <alignment horizontal="center"/>
    </xf>
    <xf numFmtId="11" fontId="0" fillId="34" borderId="0" xfId="0" applyNumberFormat="1" applyFill="1" applyBorder="1" applyAlignment="1">
      <alignment horizontal="center"/>
    </xf>
    <xf numFmtId="11" fontId="0" fillId="34" borderId="12" xfId="0" applyNumberFormat="1" applyFill="1" applyBorder="1" applyAlignment="1">
      <alignment horizontal="center"/>
    </xf>
    <xf numFmtId="11" fontId="0" fillId="34" borderId="13" xfId="0" applyNumberFormat="1" applyFill="1" applyBorder="1" applyAlignment="1">
      <alignment horizontal="center"/>
    </xf>
    <xf numFmtId="11" fontId="0" fillId="34" borderId="14" xfId="0" applyNumberFormat="1" applyFill="1" applyBorder="1" applyAlignment="1">
      <alignment horizontal="center"/>
    </xf>
    <xf numFmtId="0" fontId="3" fillId="47" borderId="11" xfId="0" applyFont="1" applyFill="1" applyBorder="1" applyAlignment="1">
      <alignment horizontal="center"/>
    </xf>
    <xf numFmtId="0" fontId="3" fillId="47" borderId="18" xfId="0" applyFont="1" applyFill="1" applyBorder="1" applyAlignment="1">
      <alignment horizontal="center"/>
    </xf>
    <xf numFmtId="0" fontId="3" fillId="47" borderId="14" xfId="0" applyFont="1" applyFill="1" applyBorder="1" applyAlignment="1">
      <alignment horizontal="center"/>
    </xf>
    <xf numFmtId="0" fontId="3" fillId="47" borderId="21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3" fillId="47" borderId="17" xfId="0" applyFont="1" applyFill="1" applyBorder="1" applyAlignment="1">
      <alignment horizontal="center"/>
    </xf>
    <xf numFmtId="0" fontId="3" fillId="47" borderId="12" xfId="0" applyFon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3" fillId="48" borderId="21" xfId="0" applyFont="1" applyFill="1" applyBorder="1" applyAlignment="1">
      <alignment horizontal="center"/>
    </xf>
    <xf numFmtId="0" fontId="3" fillId="48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9" xfId="0" applyFill="1" applyBorder="1" applyAlignment="1">
      <alignment horizontal="center" vertical="center" textRotation="90"/>
    </xf>
    <xf numFmtId="0" fontId="0" fillId="33" borderId="41" xfId="0" applyFill="1" applyBorder="1" applyAlignment="1">
      <alignment horizontal="center" vertical="center" textRotation="90"/>
    </xf>
    <xf numFmtId="0" fontId="0" fillId="35" borderId="21" xfId="0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2" fillId="41" borderId="26" xfId="0" applyFont="1" applyFill="1" applyBorder="1" applyAlignment="1">
      <alignment horizontal="center"/>
    </xf>
    <xf numFmtId="0" fontId="2" fillId="41" borderId="27" xfId="0" applyFont="1" applyFill="1" applyBorder="1" applyAlignment="1">
      <alignment horizontal="center"/>
    </xf>
    <xf numFmtId="0" fontId="2" fillId="41" borderId="3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9" xfId="0" applyFill="1" applyBorder="1" applyAlignment="1">
      <alignment horizontal="center" vertical="center" textRotation="90"/>
    </xf>
    <xf numFmtId="0" fontId="0" fillId="0" borderId="41" xfId="0" applyFill="1" applyBorder="1" applyAlignment="1">
      <alignment horizontal="center" vertical="center" textRotation="90"/>
    </xf>
    <xf numFmtId="0" fontId="0" fillId="35" borderId="26" xfId="0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35" borderId="12" xfId="0" applyFill="1" applyBorder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28" xfId="0" applyFill="1" applyBorder="1" applyAlignment="1">
      <alignment horizontal="center" vertical="center" textRotation="90"/>
    </xf>
    <xf numFmtId="0" fontId="0" fillId="34" borderId="17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0" borderId="26" xfId="0" applyFill="1" applyBorder="1" applyAlignment="1">
      <alignment horizontal="center" vertical="center" textRotation="90"/>
    </xf>
    <xf numFmtId="0" fontId="0" fillId="0" borderId="17" xfId="0" applyFill="1" applyBorder="1" applyAlignment="1">
      <alignment horizontal="center" vertical="center" textRotation="90"/>
    </xf>
    <xf numFmtId="0" fontId="0" fillId="0" borderId="18" xfId="0" applyFill="1" applyBorder="1" applyAlignment="1">
      <alignment horizontal="center" vertical="center" textRotation="90"/>
    </xf>
    <xf numFmtId="0" fontId="0" fillId="37" borderId="21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2" fillId="41" borderId="13" xfId="0" applyFont="1" applyFill="1" applyBorder="1" applyAlignment="1">
      <alignment horizontal="center"/>
    </xf>
    <xf numFmtId="207" fontId="0" fillId="35" borderId="28" xfId="0" applyNumberFormat="1" applyFill="1" applyBorder="1" applyAlignment="1">
      <alignment horizontal="center" vertical="center"/>
    </xf>
    <xf numFmtId="207" fontId="0" fillId="35" borderId="63" xfId="0" applyNumberFormat="1" applyFill="1" applyBorder="1" applyAlignment="1">
      <alignment horizontal="center" vertical="center"/>
    </xf>
    <xf numFmtId="11" fontId="0" fillId="34" borderId="26" xfId="0" applyNumberFormat="1" applyFill="1" applyBorder="1" applyAlignment="1">
      <alignment horizontal="center"/>
    </xf>
    <xf numFmtId="11" fontId="0" fillId="34" borderId="17" xfId="0" applyNumberFormat="1" applyFill="1" applyBorder="1" applyAlignment="1">
      <alignment horizontal="center"/>
    </xf>
    <xf numFmtId="0" fontId="0" fillId="35" borderId="18" xfId="0" applyFill="1" applyBorder="1" applyAlignment="1">
      <alignment horizontal="left"/>
    </xf>
    <xf numFmtId="0" fontId="0" fillId="0" borderId="5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5" borderId="13" xfId="0" applyFill="1" applyBorder="1" applyAlignment="1">
      <alignment horizontal="left"/>
    </xf>
    <xf numFmtId="0" fontId="0" fillId="35" borderId="14" xfId="0" applyFill="1" applyBorder="1" applyAlignment="1">
      <alignment horizontal="left"/>
    </xf>
    <xf numFmtId="2" fontId="0" fillId="33" borderId="28" xfId="0" applyNumberFormat="1" applyFill="1" applyBorder="1" applyAlignment="1">
      <alignment horizontal="center" vertical="center" textRotation="90"/>
    </xf>
    <xf numFmtId="2" fontId="0" fillId="33" borderId="39" xfId="0" applyNumberFormat="1" applyFill="1" applyBorder="1" applyAlignment="1">
      <alignment horizontal="center" vertical="center" textRotation="90"/>
    </xf>
    <xf numFmtId="2" fontId="0" fillId="33" borderId="41" xfId="0" applyNumberFormat="1" applyFill="1" applyBorder="1" applyAlignment="1">
      <alignment horizontal="center" vertical="center" textRotation="90"/>
    </xf>
    <xf numFmtId="0" fontId="0" fillId="43" borderId="26" xfId="0" applyFill="1" applyBorder="1" applyAlignment="1">
      <alignment horizontal="center"/>
    </xf>
    <xf numFmtId="0" fontId="0" fillId="43" borderId="27" xfId="0" applyFill="1" applyBorder="1" applyAlignment="1">
      <alignment horizontal="center"/>
    </xf>
    <xf numFmtId="0" fontId="0" fillId="43" borderId="30" xfId="0" applyFill="1" applyBorder="1" applyAlignment="1">
      <alignment horizontal="center"/>
    </xf>
    <xf numFmtId="0" fontId="0" fillId="43" borderId="17" xfId="0" applyFill="1" applyBorder="1" applyAlignment="1">
      <alignment horizontal="center"/>
    </xf>
    <xf numFmtId="0" fontId="0" fillId="43" borderId="0" xfId="0" applyFill="1" applyBorder="1" applyAlignment="1">
      <alignment horizontal="center"/>
    </xf>
    <xf numFmtId="0" fontId="0" fillId="43" borderId="12" xfId="0" applyFill="1" applyBorder="1" applyAlignment="1">
      <alignment horizontal="center"/>
    </xf>
    <xf numFmtId="0" fontId="0" fillId="43" borderId="18" xfId="0" applyFill="1" applyBorder="1" applyAlignment="1">
      <alignment horizontal="center"/>
    </xf>
    <xf numFmtId="0" fontId="0" fillId="43" borderId="13" xfId="0" applyFill="1" applyBorder="1" applyAlignment="1">
      <alignment horizontal="center"/>
    </xf>
    <xf numFmtId="0" fontId="0" fillId="43" borderId="14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5" borderId="21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0" fontId="0" fillId="35" borderId="13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left"/>
    </xf>
    <xf numFmtId="170" fontId="0" fillId="35" borderId="21" xfId="0" applyNumberFormat="1" applyFill="1" applyBorder="1" applyAlignment="1">
      <alignment horizontal="left"/>
    </xf>
    <xf numFmtId="170" fontId="0" fillId="35" borderId="10" xfId="0" applyNumberFormat="1" applyFill="1" applyBorder="1" applyAlignment="1">
      <alignment horizontal="left"/>
    </xf>
    <xf numFmtId="170" fontId="0" fillId="35" borderId="11" xfId="0" applyNumberFormat="1" applyFill="1" applyBorder="1" applyAlignment="1">
      <alignment horizontal="left"/>
    </xf>
    <xf numFmtId="0" fontId="0" fillId="35" borderId="11" xfId="0" applyFill="1" applyBorder="1" applyAlignment="1">
      <alignment/>
    </xf>
    <xf numFmtId="170" fontId="0" fillId="33" borderId="34" xfId="0" applyNumberFormat="1" applyFill="1" applyBorder="1" applyAlignment="1">
      <alignment horizontal="center"/>
    </xf>
    <xf numFmtId="170" fontId="0" fillId="33" borderId="14" xfId="0" applyNumberFormat="1" applyFill="1" applyBorder="1" applyAlignment="1">
      <alignment horizontal="center"/>
    </xf>
    <xf numFmtId="170" fontId="0" fillId="33" borderId="43" xfId="0" applyNumberFormat="1" applyFill="1" applyBorder="1" applyAlignment="1">
      <alignment horizontal="center"/>
    </xf>
    <xf numFmtId="170" fontId="0" fillId="33" borderId="30" xfId="0" applyNumberFormat="1" applyFill="1" applyBorder="1" applyAlignment="1">
      <alignment horizontal="center"/>
    </xf>
    <xf numFmtId="170" fontId="0" fillId="33" borderId="35" xfId="0" applyNumberFormat="1" applyFill="1" applyBorder="1" applyAlignment="1">
      <alignment horizontal="center"/>
    </xf>
    <xf numFmtId="170" fontId="0" fillId="33" borderId="12" xfId="0" applyNumberFormat="1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170" fontId="0" fillId="33" borderId="36" xfId="0" applyNumberFormat="1" applyFill="1" applyBorder="1" applyAlignment="1">
      <alignment horizontal="center"/>
    </xf>
    <xf numFmtId="171" fontId="0" fillId="33" borderId="21" xfId="0" applyNumberFormat="1" applyFill="1" applyBorder="1" applyAlignment="1">
      <alignment horizontal="center"/>
    </xf>
    <xf numFmtId="171" fontId="0" fillId="33" borderId="10" xfId="0" applyNumberFormat="1" applyFill="1" applyBorder="1" applyAlignment="1">
      <alignment horizontal="center"/>
    </xf>
    <xf numFmtId="171" fontId="0" fillId="33" borderId="11" xfId="0" applyNumberFormat="1" applyFill="1" applyBorder="1" applyAlignment="1">
      <alignment horizontal="center"/>
    </xf>
    <xf numFmtId="2" fontId="0" fillId="33" borderId="21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175" fontId="0" fillId="33" borderId="34" xfId="0" applyNumberFormat="1" applyFill="1" applyBorder="1" applyAlignment="1">
      <alignment horizontal="center"/>
    </xf>
    <xf numFmtId="175" fontId="0" fillId="33" borderId="14" xfId="0" applyNumberFormat="1" applyFill="1" applyBorder="1" applyAlignment="1">
      <alignment horizontal="center"/>
    </xf>
    <xf numFmtId="2" fontId="0" fillId="33" borderId="46" xfId="0" applyNumberFormat="1" applyFill="1" applyBorder="1" applyAlignment="1">
      <alignment horizontal="center"/>
    </xf>
    <xf numFmtId="175" fontId="0" fillId="33" borderId="35" xfId="0" applyNumberFormat="1" applyFill="1" applyBorder="1" applyAlignment="1">
      <alignment horizontal="center"/>
    </xf>
    <xf numFmtId="175" fontId="0" fillId="33" borderId="12" xfId="0" applyNumberFormat="1" applyFill="1" applyBorder="1" applyAlignment="1">
      <alignment horizontal="center"/>
    </xf>
    <xf numFmtId="0" fontId="0" fillId="0" borderId="28" xfId="0" applyBorder="1" applyAlignment="1">
      <alignment horizontal="center" vertical="center" textRotation="90"/>
    </xf>
    <xf numFmtId="0" fontId="0" fillId="0" borderId="39" xfId="0" applyBorder="1" applyAlignment="1">
      <alignment horizontal="center" vertical="center" textRotation="90"/>
    </xf>
    <xf numFmtId="0" fontId="0" fillId="0" borderId="41" xfId="0" applyBorder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5" borderId="27" xfId="0" applyFill="1" applyBorder="1" applyAlignment="1">
      <alignment horizontal="left"/>
    </xf>
    <xf numFmtId="0" fontId="0" fillId="35" borderId="30" xfId="0" applyFill="1" applyBorder="1" applyAlignment="1">
      <alignment horizontal="left"/>
    </xf>
    <xf numFmtId="0" fontId="0" fillId="34" borderId="39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5" borderId="21" xfId="0" applyFill="1" applyBorder="1" applyAlignment="1">
      <alignment horizontal="left" vertical="center" wrapText="1" shrinkToFit="1"/>
    </xf>
    <xf numFmtId="0" fontId="0" fillId="35" borderId="10" xfId="0" applyFill="1" applyBorder="1" applyAlignment="1">
      <alignment horizontal="left" vertical="center" wrapText="1" shrinkToFit="1"/>
    </xf>
    <xf numFmtId="0" fontId="0" fillId="35" borderId="11" xfId="0" applyFill="1" applyBorder="1" applyAlignment="1">
      <alignment horizontal="left" vertical="center" wrapText="1" shrinkToFit="1"/>
    </xf>
    <xf numFmtId="2" fontId="0" fillId="33" borderId="17" xfId="0" applyNumberFormat="1" applyFill="1" applyBorder="1" applyAlignment="1">
      <alignment horizontal="center" vertical="center" textRotation="90"/>
    </xf>
    <xf numFmtId="2" fontId="0" fillId="33" borderId="18" xfId="0" applyNumberFormat="1" applyFill="1" applyBorder="1" applyAlignment="1">
      <alignment horizontal="center" vertical="center" textRotation="90"/>
    </xf>
    <xf numFmtId="0" fontId="0" fillId="35" borderId="18" xfId="0" applyFont="1" applyFill="1" applyBorder="1" applyAlignment="1">
      <alignment horizontal="left"/>
    </xf>
    <xf numFmtId="0" fontId="0" fillId="35" borderId="14" xfId="0" applyFont="1" applyFill="1" applyBorder="1" applyAlignment="1">
      <alignment horizontal="left"/>
    </xf>
    <xf numFmtId="0" fontId="0" fillId="34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43" borderId="28" xfId="0" applyFill="1" applyBorder="1" applyAlignment="1">
      <alignment horizontal="center"/>
    </xf>
    <xf numFmtId="0" fontId="0" fillId="43" borderId="39" xfId="0" applyFill="1" applyBorder="1" applyAlignment="1">
      <alignment horizontal="center"/>
    </xf>
    <xf numFmtId="0" fontId="0" fillId="43" borderId="41" xfId="0" applyFill="1" applyBorder="1" applyAlignment="1">
      <alignment horizontal="center"/>
    </xf>
    <xf numFmtId="0" fontId="0" fillId="33" borderId="28" xfId="0" applyFont="1" applyFill="1" applyBorder="1" applyAlignment="1">
      <alignment horizontal="center" vertical="center" textRotation="90"/>
    </xf>
    <xf numFmtId="0" fontId="0" fillId="33" borderId="39" xfId="0" applyFont="1" applyFill="1" applyBorder="1" applyAlignment="1">
      <alignment horizontal="center" vertical="center" textRotation="90"/>
    </xf>
    <xf numFmtId="0" fontId="0" fillId="33" borderId="41" xfId="0" applyFont="1" applyFill="1" applyBorder="1" applyAlignment="1">
      <alignment horizontal="center" vertical="center" textRotation="90"/>
    </xf>
    <xf numFmtId="0" fontId="0" fillId="33" borderId="2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2" fillId="41" borderId="17" xfId="0" applyFont="1" applyFill="1" applyBorder="1" applyAlignment="1">
      <alignment horizontal="center"/>
    </xf>
    <xf numFmtId="0" fontId="2" fillId="41" borderId="0" xfId="0" applyFont="1" applyFill="1" applyBorder="1" applyAlignment="1">
      <alignment horizontal="center"/>
    </xf>
    <xf numFmtId="170" fontId="0" fillId="33" borderId="35" xfId="0" applyNumberFormat="1" applyFont="1" applyFill="1" applyBorder="1" applyAlignment="1">
      <alignment horizontal="center"/>
    </xf>
    <xf numFmtId="170" fontId="0" fillId="33" borderId="12" xfId="0" applyNumberFormat="1" applyFont="1" applyFill="1" applyBorder="1" applyAlignment="1">
      <alignment horizontal="center"/>
    </xf>
    <xf numFmtId="170" fontId="0" fillId="33" borderId="34" xfId="0" applyNumberFormat="1" applyFont="1" applyFill="1" applyBorder="1" applyAlignment="1">
      <alignment horizontal="center"/>
    </xf>
    <xf numFmtId="170" fontId="0" fillId="33" borderId="14" xfId="0" applyNumberFormat="1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35" borderId="21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35" borderId="17" xfId="0" applyFill="1" applyBorder="1" applyAlignment="1">
      <alignment horizontal="left"/>
    </xf>
    <xf numFmtId="0" fontId="0" fillId="35" borderId="21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28" xfId="0" applyFill="1" applyBorder="1" applyAlignment="1">
      <alignment horizontal="center" vertical="center" textRotation="90"/>
    </xf>
    <xf numFmtId="0" fontId="0" fillId="33" borderId="17" xfId="0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 vertical="center" textRotation="90"/>
    </xf>
    <xf numFmtId="0" fontId="0" fillId="33" borderId="17" xfId="0" applyFont="1" applyFill="1" applyBorder="1" applyAlignment="1">
      <alignment horizontal="center" vertical="center" textRotation="90"/>
    </xf>
    <xf numFmtId="0" fontId="0" fillId="33" borderId="18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 vertical="center" textRotation="90"/>
    </xf>
    <xf numFmtId="0" fontId="0" fillId="0" borderId="41" xfId="0" applyFont="1" applyFill="1" applyBorder="1" applyAlignment="1">
      <alignment horizontal="center" vertical="center" textRotation="90"/>
    </xf>
    <xf numFmtId="0" fontId="0" fillId="35" borderId="26" xfId="0" applyFont="1" applyFill="1" applyBorder="1" applyAlignment="1">
      <alignment horizontal="left" wrapText="1"/>
    </xf>
    <xf numFmtId="0" fontId="0" fillId="35" borderId="27" xfId="0" applyFont="1" applyFill="1" applyBorder="1" applyAlignment="1">
      <alignment horizontal="left" wrapText="1"/>
    </xf>
    <xf numFmtId="0" fontId="0" fillId="35" borderId="30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center" vertical="center" textRotation="90" wrapText="1"/>
    </xf>
    <xf numFmtId="0" fontId="0" fillId="0" borderId="39" xfId="0" applyFont="1" applyFill="1" applyBorder="1" applyAlignment="1">
      <alignment horizontal="center" vertical="center" textRotation="90" wrapText="1"/>
    </xf>
    <xf numFmtId="0" fontId="0" fillId="0" borderId="41" xfId="0" applyFont="1" applyFill="1" applyBorder="1" applyAlignment="1">
      <alignment horizontal="center" vertical="center" textRotation="90" wrapText="1"/>
    </xf>
    <xf numFmtId="0" fontId="0" fillId="35" borderId="26" xfId="0" applyFont="1" applyFill="1" applyBorder="1" applyAlignment="1">
      <alignment horizontal="left"/>
    </xf>
    <xf numFmtId="0" fontId="0" fillId="35" borderId="27" xfId="0" applyFont="1" applyFill="1" applyBorder="1" applyAlignment="1">
      <alignment horizontal="left"/>
    </xf>
    <xf numFmtId="0" fontId="0" fillId="35" borderId="30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center" vertic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Vista Lateral (dimensões em m)</a:t>
            </a:r>
          </a:p>
        </c:rich>
      </c:tx>
      <c:layout>
        <c:manualLayout>
          <c:xMode val="factor"/>
          <c:yMode val="factor"/>
          <c:x val="0.00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"/>
          <c:w val="1"/>
          <c:h val="0.951"/>
        </c:manualLayout>
      </c:layout>
      <c:scatterChart>
        <c:scatterStyle val="smoothMarker"/>
        <c:varyColors val="0"/>
        <c:ser>
          <c:idx val="0"/>
          <c:order val="0"/>
          <c:tx>
            <c:v>Fuselagem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Partes!$F$5:$F$22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12.951</c:v>
                </c:pt>
                <c:pt idx="8">
                  <c:v>13.451</c:v>
                </c:pt>
                <c:pt idx="9">
                  <c:v>13.951</c:v>
                </c:pt>
                <c:pt idx="10">
                  <c:v>14.451</c:v>
                </c:pt>
                <c:pt idx="11">
                  <c:v>14.951</c:v>
                </c:pt>
                <c:pt idx="12">
                  <c:v>15.451</c:v>
                </c:pt>
                <c:pt idx="13">
                  <c:v>15.951</c:v>
                </c:pt>
                <c:pt idx="14">
                  <c:v>16.451</c:v>
                </c:pt>
                <c:pt idx="15">
                  <c:v>16.951</c:v>
                </c:pt>
                <c:pt idx="16">
                  <c:v>17.701</c:v>
                </c:pt>
                <c:pt idx="17">
                  <c:v>17.701</c:v>
                </c:pt>
              </c:numCache>
            </c:numRef>
          </c:xVal>
          <c:yVal>
            <c:numRef>
              <c:f>Partes!$H$5:$H$22</c:f>
              <c:numCache>
                <c:ptCount val="18"/>
                <c:pt idx="0">
                  <c:v>-0.785175</c:v>
                </c:pt>
                <c:pt idx="1">
                  <c:v>-1.0539300000000003</c:v>
                </c:pt>
                <c:pt idx="2">
                  <c:v>-1.110645</c:v>
                </c:pt>
                <c:pt idx="3">
                  <c:v>-1.1435624999999998</c:v>
                </c:pt>
                <c:pt idx="4">
                  <c:v>-1.1541075</c:v>
                </c:pt>
                <c:pt idx="5">
                  <c:v>-1.1652225</c:v>
                </c:pt>
                <c:pt idx="6">
                  <c:v>-1.2254999999999998</c:v>
                </c:pt>
                <c:pt idx="7">
                  <c:v>-1.3275300000000003</c:v>
                </c:pt>
                <c:pt idx="8">
                  <c:v>-1.2825</c:v>
                </c:pt>
                <c:pt idx="9">
                  <c:v>-1.2317700000000003</c:v>
                </c:pt>
                <c:pt idx="10">
                  <c:v>-1.1273175000000002</c:v>
                </c:pt>
                <c:pt idx="11">
                  <c:v>-1.0259999999999998</c:v>
                </c:pt>
                <c:pt idx="12">
                  <c:v>-0.8950425000000003</c:v>
                </c:pt>
                <c:pt idx="13">
                  <c:v>-0.7459875000000001</c:v>
                </c:pt>
                <c:pt idx="14">
                  <c:v>-0.6020625</c:v>
                </c:pt>
                <c:pt idx="15">
                  <c:v>-0.44303250000000033</c:v>
                </c:pt>
                <c:pt idx="16">
                  <c:v>0.17384999999999964</c:v>
                </c:pt>
                <c:pt idx="17">
                  <c:v>0.4413224999999999</c:v>
                </c:pt>
              </c:numCache>
            </c:numRef>
          </c:yVal>
          <c:smooth val="1"/>
        </c:ser>
        <c:ser>
          <c:idx val="1"/>
          <c:order val="1"/>
          <c:tx>
            <c:v>Fuselagem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Partes!$F$5:$F$22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12.951</c:v>
                </c:pt>
                <c:pt idx="8">
                  <c:v>13.451</c:v>
                </c:pt>
                <c:pt idx="9">
                  <c:v>13.951</c:v>
                </c:pt>
                <c:pt idx="10">
                  <c:v>14.451</c:v>
                </c:pt>
                <c:pt idx="11">
                  <c:v>14.951</c:v>
                </c:pt>
                <c:pt idx="12">
                  <c:v>15.451</c:v>
                </c:pt>
                <c:pt idx="13">
                  <c:v>15.951</c:v>
                </c:pt>
                <c:pt idx="14">
                  <c:v>16.451</c:v>
                </c:pt>
                <c:pt idx="15">
                  <c:v>16.951</c:v>
                </c:pt>
                <c:pt idx="16">
                  <c:v>17.701</c:v>
                </c:pt>
                <c:pt idx="17">
                  <c:v>17.701</c:v>
                </c:pt>
              </c:numCache>
            </c:numRef>
          </c:xVal>
          <c:yVal>
            <c:numRef>
              <c:f>Partes!$I$5:$I$22</c:f>
              <c:numCache>
                <c:ptCount val="18"/>
                <c:pt idx="0">
                  <c:v>-0.785175</c:v>
                </c:pt>
                <c:pt idx="1">
                  <c:v>-0.3146400000000006</c:v>
                </c:pt>
                <c:pt idx="2">
                  <c:v>-0.012682500000000343</c:v>
                </c:pt>
                <c:pt idx="3">
                  <c:v>0.3132149999999998</c:v>
                </c:pt>
                <c:pt idx="4">
                  <c:v>0.6731699999999993</c:v>
                </c:pt>
                <c:pt idx="5">
                  <c:v>1.0100399999999994</c:v>
                </c:pt>
                <c:pt idx="6">
                  <c:v>1.1162024999999995</c:v>
                </c:pt>
                <c:pt idx="7">
                  <c:v>1.1107874999999994</c:v>
                </c:pt>
                <c:pt idx="8">
                  <c:v>1.0791524999999997</c:v>
                </c:pt>
                <c:pt idx="9">
                  <c:v>1.0281374999999997</c:v>
                </c:pt>
                <c:pt idx="10">
                  <c:v>0.9577424999999993</c:v>
                </c:pt>
                <c:pt idx="11">
                  <c:v>0.8873474999999994</c:v>
                </c:pt>
                <c:pt idx="12">
                  <c:v>0.7861724999999993</c:v>
                </c:pt>
                <c:pt idx="13">
                  <c:v>0.6854249999999998</c:v>
                </c:pt>
                <c:pt idx="14">
                  <c:v>0.5681474999999999</c:v>
                </c:pt>
                <c:pt idx="15">
                  <c:v>0.5024549999999994</c:v>
                </c:pt>
                <c:pt idx="16">
                  <c:v>0.4413224999999996</c:v>
                </c:pt>
                <c:pt idx="17">
                  <c:v>0.4413224999999999</c:v>
                </c:pt>
              </c:numCache>
            </c:numRef>
          </c:yVal>
          <c:smooth val="1"/>
        </c:ser>
        <c:ser>
          <c:idx val="2"/>
          <c:order val="2"/>
          <c:tx>
            <c:v>EV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Partes!$J$5:$J$9</c:f>
              <c:numCache>
                <c:ptCount val="5"/>
                <c:pt idx="0">
                  <c:v>13.595</c:v>
                </c:pt>
                <c:pt idx="1">
                  <c:v>17.373</c:v>
                </c:pt>
                <c:pt idx="2">
                  <c:v>18.77230699560769</c:v>
                </c:pt>
                <c:pt idx="3">
                  <c:v>16.45330699560769</c:v>
                </c:pt>
                <c:pt idx="4">
                  <c:v>13.595</c:v>
                </c:pt>
              </c:numCache>
            </c:numRef>
          </c:xVal>
          <c:yVal>
            <c:numRef>
              <c:f>Partes!$K$5:$K$9</c:f>
              <c:numCache>
                <c:ptCount val="5"/>
                <c:pt idx="0">
                  <c:v>0.833</c:v>
                </c:pt>
                <c:pt idx="1">
                  <c:v>0.833</c:v>
                </c:pt>
                <c:pt idx="2">
                  <c:v>3.2409999999999997</c:v>
                </c:pt>
                <c:pt idx="3">
                  <c:v>3.2409999999999997</c:v>
                </c:pt>
                <c:pt idx="4">
                  <c:v>0.833</c:v>
                </c:pt>
              </c:numCache>
            </c:numRef>
          </c:yVal>
          <c:smooth val="1"/>
        </c:ser>
        <c:ser>
          <c:idx val="3"/>
          <c:order val="3"/>
          <c:tx>
            <c:v>EH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Partes!$J$13:$J$17</c:f>
              <c:numCache>
                <c:ptCount val="5"/>
                <c:pt idx="0">
                  <c:v>16.513</c:v>
                </c:pt>
                <c:pt idx="1">
                  <c:v>18.605</c:v>
                </c:pt>
                <c:pt idx="2">
                  <c:v>19.612908089690105</c:v>
                </c:pt>
                <c:pt idx="3">
                  <c:v>18.541908089690104</c:v>
                </c:pt>
                <c:pt idx="4">
                  <c:v>16.513</c:v>
                </c:pt>
              </c:numCache>
            </c:numRef>
          </c:xVal>
          <c:yVal>
            <c:numRef>
              <c:f>Partes!$K$13:$K$17</c:f>
              <c:numCache>
                <c:ptCount val="5"/>
                <c:pt idx="0">
                  <c:v>3.24</c:v>
                </c:pt>
                <c:pt idx="1">
                  <c:v>3.24</c:v>
                </c:pt>
                <c:pt idx="2">
                  <c:v>3.24</c:v>
                </c:pt>
                <c:pt idx="3">
                  <c:v>3.24</c:v>
                </c:pt>
                <c:pt idx="4">
                  <c:v>3.24</c:v>
                </c:pt>
              </c:numCache>
            </c:numRef>
          </c:yVal>
          <c:smooth val="1"/>
        </c:ser>
        <c:ser>
          <c:idx val="4"/>
          <c:order val="4"/>
          <c:tx>
            <c:v>Asa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Partes!$J$21:$J$25</c:f>
              <c:numCache>
                <c:ptCount val="5"/>
                <c:pt idx="0">
                  <c:v>6.646</c:v>
                </c:pt>
                <c:pt idx="1">
                  <c:v>10.253</c:v>
                </c:pt>
                <c:pt idx="2">
                  <c:v>12.977619439604366</c:v>
                </c:pt>
                <c:pt idx="3">
                  <c:v>11.902733439604367</c:v>
                </c:pt>
                <c:pt idx="4">
                  <c:v>6.646</c:v>
                </c:pt>
              </c:numCache>
            </c:numRef>
          </c:xVal>
          <c:yVal>
            <c:numRef>
              <c:f>Partes!$K$21:$K$25</c:f>
              <c:numCache>
                <c:ptCount val="5"/>
                <c:pt idx="0">
                  <c:v>-1.226</c:v>
                </c:pt>
                <c:pt idx="1">
                  <c:v>-1.226</c:v>
                </c:pt>
                <c:pt idx="2">
                  <c:v>-0.8951527712602908</c:v>
                </c:pt>
                <c:pt idx="3">
                  <c:v>-0.8951527712602908</c:v>
                </c:pt>
                <c:pt idx="4">
                  <c:v>-1.226</c:v>
                </c:pt>
              </c:numCache>
            </c:numRef>
          </c:yVal>
          <c:smooth val="1"/>
        </c:ser>
        <c:ser>
          <c:idx val="5"/>
          <c:order val="5"/>
          <c:tx>
            <c:v>PN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Partes!$M$5:$M$9</c:f>
              <c:numCache>
                <c:ptCount val="5"/>
                <c:pt idx="0">
                  <c:v>11.628</c:v>
                </c:pt>
                <c:pt idx="1">
                  <c:v>11.628</c:v>
                </c:pt>
                <c:pt idx="2">
                  <c:v>14.848</c:v>
                </c:pt>
                <c:pt idx="3">
                  <c:v>14.848</c:v>
                </c:pt>
                <c:pt idx="4">
                  <c:v>11.628</c:v>
                </c:pt>
              </c:numCache>
            </c:numRef>
          </c:xVal>
          <c:yVal>
            <c:numRef>
              <c:f>Partes!$N$5:$N$9</c:f>
              <c:numCache>
                <c:ptCount val="5"/>
                <c:pt idx="0">
                  <c:v>-0.008000000000000007</c:v>
                </c:pt>
                <c:pt idx="1">
                  <c:v>1.178</c:v>
                </c:pt>
                <c:pt idx="2">
                  <c:v>1.178</c:v>
                </c:pt>
                <c:pt idx="3">
                  <c:v>-0.008000000000000007</c:v>
                </c:pt>
                <c:pt idx="4">
                  <c:v>-0.008000000000000007</c:v>
                </c:pt>
              </c:numCache>
            </c:numRef>
          </c:yVal>
          <c:smooth val="1"/>
        </c:ser>
        <c:axId val="35747298"/>
        <c:axId val="65124539"/>
      </c:scatterChart>
      <c:valAx>
        <c:axId val="35747298"/>
        <c:scaling>
          <c:orientation val="minMax"/>
          <c:max val="22"/>
          <c:min val="-2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124539"/>
        <c:crosses val="autoZero"/>
        <c:crossBetween val="midCat"/>
        <c:dispUnits/>
        <c:majorUnit val="2"/>
      </c:valAx>
      <c:valAx>
        <c:axId val="65124539"/>
        <c:scaling>
          <c:orientation val="minMax"/>
          <c:max val="8"/>
          <c:min val="-6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747298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Vista de Topo (dimensões em m)</a:t>
            </a:r>
          </a:p>
        </c:rich>
      </c:tx>
      <c:layout>
        <c:manualLayout>
          <c:xMode val="factor"/>
          <c:yMode val="factor"/>
          <c:x val="-0.00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"/>
          <c:w val="1"/>
          <c:h val="0.951"/>
        </c:manualLayout>
      </c:layout>
      <c:scatterChart>
        <c:scatterStyle val="smoothMarker"/>
        <c:varyColors val="0"/>
        <c:ser>
          <c:idx val="1"/>
          <c:order val="0"/>
          <c:tx>
            <c:v>Fuselagem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Partes!$F$5:$F$22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12.951</c:v>
                </c:pt>
                <c:pt idx="8">
                  <c:v>13.451</c:v>
                </c:pt>
                <c:pt idx="9">
                  <c:v>13.951</c:v>
                </c:pt>
                <c:pt idx="10">
                  <c:v>14.451</c:v>
                </c:pt>
                <c:pt idx="11">
                  <c:v>14.951</c:v>
                </c:pt>
                <c:pt idx="12">
                  <c:v>15.451</c:v>
                </c:pt>
                <c:pt idx="13">
                  <c:v>15.951</c:v>
                </c:pt>
                <c:pt idx="14">
                  <c:v>16.451</c:v>
                </c:pt>
                <c:pt idx="15">
                  <c:v>16.951</c:v>
                </c:pt>
                <c:pt idx="16">
                  <c:v>17.701</c:v>
                </c:pt>
                <c:pt idx="17">
                  <c:v>17.701</c:v>
                </c:pt>
              </c:numCache>
            </c:numRef>
          </c:xVal>
          <c:yVal>
            <c:numRef>
              <c:f>Partes!$G$5:$G$22</c:f>
              <c:numCache>
                <c:ptCount val="18"/>
                <c:pt idx="0">
                  <c:v>0</c:v>
                </c:pt>
                <c:pt idx="1">
                  <c:v>0.5533275</c:v>
                </c:pt>
                <c:pt idx="2">
                  <c:v>0.8130337499999999</c:v>
                </c:pt>
                <c:pt idx="3">
                  <c:v>0.9976425</c:v>
                </c:pt>
                <c:pt idx="4">
                  <c:v>1.1060849999999998</c:v>
                </c:pt>
                <c:pt idx="5">
                  <c:v>1.14049875</c:v>
                </c:pt>
                <c:pt idx="6">
                  <c:v>1.14049875</c:v>
                </c:pt>
                <c:pt idx="7">
                  <c:v>1.1334449999999998</c:v>
                </c:pt>
                <c:pt idx="8">
                  <c:v>1.0982474999999998</c:v>
                </c:pt>
                <c:pt idx="9">
                  <c:v>1.0346212499999998</c:v>
                </c:pt>
                <c:pt idx="10">
                  <c:v>0.9454874999999998</c:v>
                </c:pt>
                <c:pt idx="11">
                  <c:v>0.8311312499999999</c:v>
                </c:pt>
                <c:pt idx="12">
                  <c:v>0.6914099999999999</c:v>
                </c:pt>
                <c:pt idx="13">
                  <c:v>0.5375812499999999</c:v>
                </c:pt>
                <c:pt idx="14">
                  <c:v>0.36544124999999994</c:v>
                </c:pt>
                <c:pt idx="15">
                  <c:v>0.17969249999999995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v>EV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Partes!$J$5:$J$9</c:f>
              <c:numCache>
                <c:ptCount val="5"/>
                <c:pt idx="0">
                  <c:v>13.595</c:v>
                </c:pt>
                <c:pt idx="1">
                  <c:v>17.373</c:v>
                </c:pt>
                <c:pt idx="2">
                  <c:v>18.77230699560769</c:v>
                </c:pt>
                <c:pt idx="3">
                  <c:v>16.45330699560769</c:v>
                </c:pt>
                <c:pt idx="4">
                  <c:v>13.595</c:v>
                </c:pt>
              </c:numCache>
            </c:numRef>
          </c:xVal>
          <c:yVal>
            <c:numRef>
              <c:f>Partes!$L$5:$L$9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3"/>
          <c:order val="2"/>
          <c:tx>
            <c:v>EH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Partes!$J$13:$J$17</c:f>
              <c:numCache>
                <c:ptCount val="5"/>
                <c:pt idx="0">
                  <c:v>16.513</c:v>
                </c:pt>
                <c:pt idx="1">
                  <c:v>18.605</c:v>
                </c:pt>
                <c:pt idx="2">
                  <c:v>19.612908089690105</c:v>
                </c:pt>
                <c:pt idx="3">
                  <c:v>18.541908089690104</c:v>
                </c:pt>
                <c:pt idx="4">
                  <c:v>16.513</c:v>
                </c:pt>
              </c:numCache>
            </c:numRef>
          </c:xVal>
          <c:yVal>
            <c:numRef>
              <c:f>Partes!$L$13:$L$17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3.481</c:v>
                </c:pt>
                <c:pt idx="3">
                  <c:v>3.481</c:v>
                </c:pt>
                <c:pt idx="4">
                  <c:v>0</c:v>
                </c:pt>
              </c:numCache>
            </c:numRef>
          </c:yVal>
          <c:smooth val="1"/>
        </c:ser>
        <c:ser>
          <c:idx val="0"/>
          <c:order val="3"/>
          <c:tx>
            <c:v>Asa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Partes!$J$21:$J$25</c:f>
              <c:numCache>
                <c:ptCount val="5"/>
                <c:pt idx="0">
                  <c:v>6.646</c:v>
                </c:pt>
                <c:pt idx="1">
                  <c:v>10.253</c:v>
                </c:pt>
                <c:pt idx="2">
                  <c:v>12.977619439604366</c:v>
                </c:pt>
                <c:pt idx="3">
                  <c:v>11.902733439604367</c:v>
                </c:pt>
                <c:pt idx="4">
                  <c:v>6.646</c:v>
                </c:pt>
              </c:numCache>
            </c:numRef>
          </c:xVal>
          <c:yVal>
            <c:numRef>
              <c:f>Partes!$L$21:$L$25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9.48</c:v>
                </c:pt>
                <c:pt idx="3">
                  <c:v>9.48</c:v>
                </c:pt>
                <c:pt idx="4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Nacele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Partes!$M$5:$M$9</c:f>
              <c:numCache>
                <c:ptCount val="5"/>
                <c:pt idx="0">
                  <c:v>11.628</c:v>
                </c:pt>
                <c:pt idx="1">
                  <c:v>11.628</c:v>
                </c:pt>
                <c:pt idx="2">
                  <c:v>14.848</c:v>
                </c:pt>
                <c:pt idx="3">
                  <c:v>14.848</c:v>
                </c:pt>
                <c:pt idx="4">
                  <c:v>11.628</c:v>
                </c:pt>
              </c:numCache>
            </c:numRef>
          </c:xVal>
          <c:yVal>
            <c:numRef>
              <c:f>Partes!$O$5:$O$9</c:f>
              <c:numCache>
                <c:ptCount val="5"/>
                <c:pt idx="0">
                  <c:v>1.3970000000000002</c:v>
                </c:pt>
                <c:pt idx="1">
                  <c:v>2.583</c:v>
                </c:pt>
                <c:pt idx="2">
                  <c:v>2.583</c:v>
                </c:pt>
                <c:pt idx="3">
                  <c:v>1.3970000000000002</c:v>
                </c:pt>
                <c:pt idx="4">
                  <c:v>1.3970000000000002</c:v>
                </c:pt>
              </c:numCache>
            </c:numRef>
          </c:yVal>
          <c:smooth val="1"/>
        </c:ser>
        <c:ser>
          <c:idx val="5"/>
          <c:order val="5"/>
          <c:tx>
            <c:v>Pilone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Partes!$M$12:$M$16</c:f>
              <c:numCache>
                <c:ptCount val="5"/>
                <c:pt idx="0">
                  <c:v>11.955</c:v>
                </c:pt>
                <c:pt idx="1">
                  <c:v>15.373000000000001</c:v>
                </c:pt>
                <c:pt idx="2">
                  <c:v>14.792029470701692</c:v>
                </c:pt>
                <c:pt idx="3">
                  <c:v>11.974029470701693</c:v>
                </c:pt>
                <c:pt idx="4">
                  <c:v>11.955</c:v>
                </c:pt>
              </c:numCache>
            </c:numRef>
          </c:xVal>
          <c:yVal>
            <c:numRef>
              <c:f>Partes!$O$12:$O$16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1.497</c:v>
                </c:pt>
                <c:pt idx="3">
                  <c:v>1.497</c:v>
                </c:pt>
                <c:pt idx="4">
                  <c:v>0</c:v>
                </c:pt>
              </c:numCache>
            </c:numRef>
          </c:yVal>
          <c:smooth val="1"/>
        </c:ser>
        <c:axId val="44923104"/>
        <c:axId val="8273761"/>
      </c:scatterChart>
      <c:valAx>
        <c:axId val="44923104"/>
        <c:scaling>
          <c:orientation val="minMax"/>
          <c:max val="22"/>
          <c:min val="-2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273761"/>
        <c:crosses val="autoZero"/>
        <c:crossBetween val="midCat"/>
        <c:dispUnits/>
        <c:majorUnit val="2"/>
      </c:valAx>
      <c:valAx>
        <c:axId val="8273761"/>
        <c:scaling>
          <c:orientation val="minMax"/>
          <c:max val="16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923104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6"/>
          <c:w val="0.86575"/>
          <c:h val="0.94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'ESDU C04.01.08'!$C$4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'ESDU C04.01.08'!$B$5:$B$23</c:f>
              <c:numCache/>
            </c:numRef>
          </c:xVal>
          <c:yVal>
            <c:numRef>
              <c:f>'ESDU C04.01.08'!$C$5:$C$23</c:f>
              <c:numCache/>
            </c:numRef>
          </c:yVal>
          <c:smooth val="1"/>
        </c:ser>
        <c:ser>
          <c:idx val="1"/>
          <c:order val="1"/>
          <c:tx>
            <c:strRef>
              <c:f>'ESDU C04.01.08'!$D$4</c:f>
              <c:strCache>
                <c:ptCount val="1"/>
                <c:pt idx="0">
                  <c:v>0,1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'ESDU C04.01.08'!$B$5:$B$23</c:f>
              <c:numCache/>
            </c:numRef>
          </c:xVal>
          <c:yVal>
            <c:numRef>
              <c:f>'ESDU C04.01.08'!$D$5:$D$23</c:f>
              <c:numCache/>
            </c:numRef>
          </c:yVal>
          <c:smooth val="1"/>
        </c:ser>
        <c:ser>
          <c:idx val="2"/>
          <c:order val="2"/>
          <c:tx>
            <c:strRef>
              <c:f>'ESDU C04.01.08'!$E$4</c:f>
              <c:strCache>
                <c:ptCount val="1"/>
                <c:pt idx="0">
                  <c:v>0,2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'ESDU C04.01.08'!$B$5:$B$23</c:f>
              <c:numCache/>
            </c:numRef>
          </c:xVal>
          <c:yVal>
            <c:numRef>
              <c:f>'ESDU C04.01.08'!$E$5:$E$23</c:f>
              <c:numCache/>
            </c:numRef>
          </c:yVal>
          <c:smooth val="1"/>
        </c:ser>
        <c:ser>
          <c:idx val="3"/>
          <c:order val="3"/>
          <c:tx>
            <c:strRef>
              <c:f>'ESDU C04.01.08'!$F$4</c:f>
              <c:strCache>
                <c:ptCount val="1"/>
                <c:pt idx="0">
                  <c:v>0,3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'ESDU C04.01.08'!$B$5:$B$23</c:f>
              <c:numCache/>
            </c:numRef>
          </c:xVal>
          <c:yVal>
            <c:numRef>
              <c:f>'ESDU C04.01.08'!$F$5:$F$23</c:f>
              <c:numCache/>
            </c:numRef>
          </c:yVal>
          <c:smooth val="1"/>
        </c:ser>
        <c:ser>
          <c:idx val="4"/>
          <c:order val="4"/>
          <c:tx>
            <c:strRef>
              <c:f>'ESDU C04.01.08'!$G$4</c:f>
              <c:strCache>
                <c:ptCount val="1"/>
                <c:pt idx="0">
                  <c:v>0,4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'ESDU C04.01.08'!$B$5:$B$23</c:f>
              <c:numCache/>
            </c:numRef>
          </c:xVal>
          <c:yVal>
            <c:numRef>
              <c:f>'ESDU C04.01.08'!$G$5:$G$23</c:f>
              <c:numCache/>
            </c:numRef>
          </c:yVal>
          <c:smooth val="1"/>
        </c:ser>
        <c:ser>
          <c:idx val="5"/>
          <c:order val="5"/>
          <c:tx>
            <c:strRef>
              <c:f>'ESDU C04.01.08'!$H$4</c:f>
              <c:strCache>
                <c:ptCount val="1"/>
                <c:pt idx="0">
                  <c:v>0,5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'ESDU C04.01.08'!$B$5:$B$23</c:f>
              <c:numCache/>
            </c:numRef>
          </c:xVal>
          <c:yVal>
            <c:numRef>
              <c:f>'ESDU C04.01.08'!$H$5:$H$23</c:f>
              <c:numCache/>
            </c:numRef>
          </c:yVal>
          <c:smooth val="1"/>
        </c:ser>
        <c:ser>
          <c:idx val="6"/>
          <c:order val="6"/>
          <c:tx>
            <c:strRef>
              <c:f>'ESDU C04.01.08'!$I$4</c:f>
              <c:strCache>
                <c:ptCount val="1"/>
                <c:pt idx="0">
                  <c:v>0,6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'ESDU C04.01.08'!$B$5:$B$23</c:f>
              <c:numCache/>
            </c:numRef>
          </c:xVal>
          <c:yVal>
            <c:numRef>
              <c:f>'ESDU C04.01.08'!$I$5:$I$23</c:f>
              <c:numCache/>
            </c:numRef>
          </c:yVal>
          <c:smooth val="1"/>
        </c:ser>
        <c:ser>
          <c:idx val="7"/>
          <c:order val="7"/>
          <c:tx>
            <c:strRef>
              <c:f>'ESDU C04.01.08'!$J$4</c:f>
              <c:strCache>
                <c:ptCount val="1"/>
                <c:pt idx="0">
                  <c:v>0,7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'ESDU C04.01.08'!$B$5:$B$23</c:f>
              <c:numCache/>
            </c:numRef>
          </c:xVal>
          <c:yVal>
            <c:numRef>
              <c:f>'ESDU C04.01.08'!$J$5:$J$23</c:f>
              <c:numCache/>
            </c:numRef>
          </c:yVal>
          <c:smooth val="1"/>
        </c:ser>
        <c:ser>
          <c:idx val="8"/>
          <c:order val="8"/>
          <c:tx>
            <c:strRef>
              <c:f>'ESDU C04.01.08'!$K$4</c:f>
              <c:strCache>
                <c:ptCount val="1"/>
                <c:pt idx="0">
                  <c:v>0,8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'ESDU C04.01.08'!$B$5:$B$23</c:f>
              <c:numCache/>
            </c:numRef>
          </c:xVal>
          <c:yVal>
            <c:numRef>
              <c:f>'ESDU C04.01.08'!$K$5:$K$23</c:f>
              <c:numCache/>
            </c:numRef>
          </c:yVal>
          <c:smooth val="1"/>
        </c:ser>
        <c:axId val="36774926"/>
        <c:axId val="44258935"/>
      </c:scatterChart>
      <c:valAx>
        <c:axId val="36774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58935"/>
        <c:crosses val="autoZero"/>
        <c:crossBetween val="midCat"/>
        <c:dispUnits/>
      </c:valAx>
      <c:valAx>
        <c:axId val="44258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749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75"/>
          <c:y val="0.2285"/>
          <c:w val="0.0935"/>
          <c:h val="0.4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25"/>
          <c:y val="0.04075"/>
          <c:w val="0.888"/>
          <c:h val="0.82925"/>
        </c:manualLayout>
      </c:layout>
      <c:scatterChart>
        <c:scatterStyle val="lineMarker"/>
        <c:varyColors val="0"/>
        <c:ser>
          <c:idx val="0"/>
          <c:order val="0"/>
          <c:tx>
            <c:v>Nariz Arredondado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12700">
                <a:solidFill>
                  <a:srgbClr val="FF99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'ESDU C04.01.03'!$E$6:$E$10</c:f>
              <c:numCache/>
            </c:numRef>
          </c:xVal>
          <c:yVal>
            <c:numRef>
              <c:f>'ESDU C04.01.03'!$F$6:$F$10</c:f>
              <c:numCache/>
            </c:numRef>
          </c:yVal>
          <c:smooth val="0"/>
        </c:ser>
        <c:ser>
          <c:idx val="1"/>
          <c:order val="1"/>
          <c:tx>
            <c:v>Nariz Elíptico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trendline>
            <c:spPr>
              <a:ln w="12700">
                <a:solidFill>
                  <a:srgbClr val="99CC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'ESDU C04.01.03'!$C$6:$C$9</c:f>
              <c:numCache/>
            </c:numRef>
          </c:xVal>
          <c:yVal>
            <c:numRef>
              <c:f>'ESDU C04.01.03'!$D$6:$D$9</c:f>
              <c:numCache/>
            </c:numRef>
          </c:yVal>
          <c:smooth val="0"/>
        </c:ser>
        <c:ser>
          <c:idx val="2"/>
          <c:order val="2"/>
          <c:tx>
            <c:v>Nariz Agudo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poly"/>
            <c:order val="2"/>
            <c:backward val="0.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'ESDU C04.01.03'!$A$6:$A$8</c:f>
              <c:numCache/>
            </c:numRef>
          </c:xVal>
          <c:yVal>
            <c:numRef>
              <c:f>'ESDU C04.01.03'!$B$6:$B$8</c:f>
              <c:numCache/>
            </c:numRef>
          </c:yVal>
          <c:smooth val="0"/>
        </c:ser>
        <c:axId val="45495020"/>
        <c:axId val="34009981"/>
      </c:scatterChart>
      <c:valAx>
        <c:axId val="4549502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</a:t>
                </a:r>
              </a:p>
            </c:rich>
          </c:tx>
          <c:layout>
            <c:manualLayout>
              <c:xMode val="factor"/>
              <c:yMode val="factor"/>
              <c:x val="-0.03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09981"/>
        <c:crosses val="autoZero"/>
        <c:crossBetween val="midCat"/>
        <c:dispUnits/>
      </c:valAx>
      <c:valAx>
        <c:axId val="34009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(a1)bal/a1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950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25"/>
          <c:y val="0.04075"/>
          <c:w val="0.888"/>
          <c:h val="0.82925"/>
        </c:manualLayout>
      </c:layout>
      <c:scatterChart>
        <c:scatterStyle val="lineMarker"/>
        <c:varyColors val="0"/>
        <c:ser>
          <c:idx val="0"/>
          <c:order val="0"/>
          <c:tx>
            <c:v>Nariz Arredondado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12700">
                <a:solidFill>
                  <a:srgbClr val="FF99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'ESDU C04.01.03'!$E$31:$E$36</c:f>
              <c:numCache/>
            </c:numRef>
          </c:xVal>
          <c:yVal>
            <c:numRef>
              <c:f>'ESDU C04.01.03'!$F$31:$F$36</c:f>
              <c:numCache/>
            </c:numRef>
          </c:yVal>
          <c:smooth val="0"/>
        </c:ser>
        <c:ser>
          <c:idx val="1"/>
          <c:order val="1"/>
          <c:tx>
            <c:v>Nariz Elíptico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trendline>
            <c:spPr>
              <a:ln w="12700">
                <a:solidFill>
                  <a:srgbClr val="99CC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'ESDU C04.01.03'!$C$31:$C$36</c:f>
              <c:numCache/>
            </c:numRef>
          </c:xVal>
          <c:yVal>
            <c:numRef>
              <c:f>'ESDU C04.01.03'!$D$31:$D$36</c:f>
              <c:numCache/>
            </c:numRef>
          </c:yVal>
          <c:smooth val="0"/>
        </c:ser>
        <c:ser>
          <c:idx val="2"/>
          <c:order val="2"/>
          <c:tx>
            <c:v>Nariz Agudo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linear"/>
            <c:backward val="0.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'ESDU C04.01.03'!$A$31:$A$33</c:f>
              <c:numCache/>
            </c:numRef>
          </c:xVal>
          <c:yVal>
            <c:numRef>
              <c:f>'ESDU C04.01.03'!$B$31:$B$33</c:f>
              <c:numCache/>
            </c:numRef>
          </c:yVal>
          <c:smooth val="0"/>
        </c:ser>
        <c:axId val="54054138"/>
        <c:axId val="16517107"/>
      </c:scatterChart>
      <c:valAx>
        <c:axId val="5405413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</a:t>
                </a:r>
              </a:p>
            </c:rich>
          </c:tx>
          <c:layout>
            <c:manualLayout>
              <c:xMode val="factor"/>
              <c:yMode val="factor"/>
              <c:x val="-0.03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17107"/>
        <c:crosses val="autoZero"/>
        <c:crossBetween val="midCat"/>
        <c:dispUnits/>
      </c:valAx>
      <c:valAx>
        <c:axId val="16517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(a1)bal/a1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541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12</xdr:col>
      <xdr:colOff>342900</xdr:colOff>
      <xdr:row>21</xdr:row>
      <xdr:rowOff>161925</xdr:rowOff>
    </xdr:to>
    <xdr:graphicFrame>
      <xdr:nvGraphicFramePr>
        <xdr:cNvPr id="1" name="Chart 1"/>
        <xdr:cNvGraphicFramePr/>
      </xdr:nvGraphicFramePr>
      <xdr:xfrm>
        <a:off x="4124325" y="1000125"/>
        <a:ext cx="40767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342900</xdr:colOff>
      <xdr:row>5</xdr:row>
      <xdr:rowOff>0</xdr:rowOff>
    </xdr:from>
    <xdr:to>
      <xdr:col>18</xdr:col>
      <xdr:colOff>428625</xdr:colOff>
      <xdr:row>21</xdr:row>
      <xdr:rowOff>161925</xdr:rowOff>
    </xdr:to>
    <xdr:graphicFrame>
      <xdr:nvGraphicFramePr>
        <xdr:cNvPr id="2" name="Chart 2"/>
        <xdr:cNvGraphicFramePr/>
      </xdr:nvGraphicFramePr>
      <xdr:xfrm>
        <a:off x="8201025" y="1000125"/>
        <a:ext cx="39243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9</xdr:row>
      <xdr:rowOff>76200</xdr:rowOff>
    </xdr:from>
    <xdr:to>
      <xdr:col>18</xdr:col>
      <xdr:colOff>514350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5562600" y="1562100"/>
        <a:ext cx="58864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6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1838325"/>
        <a:ext cx="36576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9525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953125"/>
        <a:ext cx="36576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6"/>
  <dimension ref="B1:AZ81"/>
  <sheetViews>
    <sheetView zoomScale="85" zoomScaleNormal="85" zoomScalePageLayoutView="0" workbookViewId="0" topLeftCell="A19">
      <selection activeCell="E25" sqref="E25"/>
    </sheetView>
  </sheetViews>
  <sheetFormatPr defaultColWidth="9.140625" defaultRowHeight="12.75"/>
  <cols>
    <col min="1" max="1" width="2.140625" style="232" bestFit="1" customWidth="1"/>
    <col min="2" max="2" width="7.140625" style="152" customWidth="1"/>
    <col min="3" max="3" width="14.8515625" style="152" customWidth="1"/>
    <col min="4" max="4" width="12.00390625" style="152" customWidth="1"/>
    <col min="5" max="5" width="11.57421875" style="153" customWidth="1"/>
    <col min="6" max="6" width="6.8515625" style="153" bestFit="1" customWidth="1"/>
    <col min="7" max="7" width="7.28125" style="154" customWidth="1"/>
    <col min="8" max="8" width="17.57421875" style="152" customWidth="1"/>
    <col min="9" max="10" width="9.7109375" style="152" customWidth="1"/>
    <col min="11" max="11" width="9.28125" style="152" bestFit="1" customWidth="1"/>
    <col min="12" max="13" width="9.7109375" style="152" customWidth="1"/>
    <col min="14" max="14" width="6.421875" style="152" bestFit="1" customWidth="1"/>
    <col min="15" max="15" width="7.421875" style="152" customWidth="1"/>
    <col min="16" max="16" width="14.57421875" style="152" customWidth="1"/>
    <col min="17" max="18" width="9.7109375" style="152" customWidth="1"/>
    <col min="19" max="19" width="6.421875" style="152" bestFit="1" customWidth="1"/>
    <col min="20" max="20" width="3.8515625" style="152" customWidth="1"/>
    <col min="21" max="21" width="9.140625" style="232" hidden="1" customWidth="1"/>
    <col min="22" max="22" width="14.140625" style="232" hidden="1" customWidth="1"/>
    <col min="23" max="23" width="4.57421875" style="232" customWidth="1"/>
    <col min="24" max="28" width="7.140625" style="154" hidden="1" customWidth="1"/>
    <col min="29" max="50" width="9.140625" style="232" hidden="1" customWidth="1"/>
    <col min="51" max="51" width="47.00390625" style="232" hidden="1" customWidth="1"/>
    <col min="52" max="16384" width="9.140625" style="232" customWidth="1"/>
  </cols>
  <sheetData>
    <row r="1" spans="2:4" ht="13.5" thickBot="1">
      <c r="B1" s="457"/>
      <c r="C1" s="457"/>
      <c r="D1" s="457"/>
    </row>
    <row r="2" spans="2:19" ht="26.25" customHeight="1" thickBot="1">
      <c r="B2" s="568" t="s">
        <v>995</v>
      </c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70"/>
    </row>
    <row r="3" spans="2:51" ht="13.5" customHeight="1" thickBot="1">
      <c r="B3" s="571" t="s">
        <v>906</v>
      </c>
      <c r="C3" s="572"/>
      <c r="D3" s="573"/>
      <c r="E3" s="578" t="s">
        <v>982</v>
      </c>
      <c r="F3" s="579"/>
      <c r="G3" s="580"/>
      <c r="H3" s="534" t="s">
        <v>983</v>
      </c>
      <c r="I3" s="535"/>
      <c r="J3" s="535"/>
      <c r="K3" s="535"/>
      <c r="L3" s="535"/>
      <c r="M3" s="535"/>
      <c r="N3" s="536"/>
      <c r="O3" s="571" t="s">
        <v>909</v>
      </c>
      <c r="P3" s="572"/>
      <c r="Q3" s="572"/>
      <c r="R3" s="572"/>
      <c r="S3" s="573"/>
      <c r="U3" s="574" t="s">
        <v>903</v>
      </c>
      <c r="V3" s="575"/>
      <c r="W3" s="497"/>
      <c r="X3" s="161">
        <v>0.0647375476391554</v>
      </c>
      <c r="Y3" s="161">
        <v>0.02599110028094862</v>
      </c>
      <c r="Z3" s="161">
        <v>-0.012755347077258155</v>
      </c>
      <c r="AA3" s="161">
        <v>-0.05150179443546493</v>
      </c>
      <c r="AB3" s="161">
        <v>-0.09024824179367172</v>
      </c>
      <c r="AD3" s="154" t="s">
        <v>966</v>
      </c>
      <c r="AE3" s="377">
        <f>X3</f>
        <v>0.0647375476391554</v>
      </c>
      <c r="AF3" s="377">
        <f aca="true" t="shared" si="0" ref="AF3:AI5">Y3</f>
        <v>0.02599110028094862</v>
      </c>
      <c r="AG3" s="377">
        <f t="shared" si="0"/>
        <v>-0.012755347077258155</v>
      </c>
      <c r="AH3" s="377">
        <f t="shared" si="0"/>
        <v>-0.05150179443546493</v>
      </c>
      <c r="AI3" s="377">
        <f t="shared" si="0"/>
        <v>-0.09024824179367172</v>
      </c>
      <c r="AJ3" s="377"/>
      <c r="AK3" s="20" t="str">
        <f aca="true" t="shared" si="1" ref="AK3:AO4">CONCATENATE(FIXED(AE3,3),",")</f>
        <v>0,065,</v>
      </c>
      <c r="AL3" s="20" t="str">
        <f t="shared" si="1"/>
        <v>0,026,</v>
      </c>
      <c r="AM3" s="20" t="str">
        <f t="shared" si="1"/>
        <v>-0,013,</v>
      </c>
      <c r="AN3" s="20" t="str">
        <f t="shared" si="1"/>
        <v>-0,052,</v>
      </c>
      <c r="AO3" s="20" t="str">
        <f t="shared" si="1"/>
        <v>-0,090,</v>
      </c>
      <c r="AP3" s="20"/>
      <c r="AQ3" s="70" t="str">
        <f aca="true" t="shared" si="2" ref="AQ3:AQ21">CONCATENATE("     X")</f>
        <v>     X</v>
      </c>
      <c r="AR3" s="20" t="str">
        <f>IF(LEN(AK3)=7,CONCATENATE(" ",AK3),IF(LEN(AK3)=6,CONCATENATE("  ",AK3),IF(LEN(AK3)=5,CONCATENATE("   ",AK3),IF(LEN(AK3)=4,CONCATENATE("   ",AK3)))))</f>
        <v>  0,065,</v>
      </c>
      <c r="AS3" s="20" t="str">
        <f aca="true" t="shared" si="3" ref="AS3:AV5">IF(LEN(AL3)=7,CONCATENATE(" ",AL3),IF(LEN(AL3)=6,CONCATENATE("  ",AL3),IF(LEN(AL3)=5,CONCATENATE("   ",AL3),IF(LEN(AL3)=4,CONCATENATE("   ",AL3)))))</f>
        <v>  0,026,</v>
      </c>
      <c r="AT3" s="20" t="str">
        <f t="shared" si="3"/>
        <v> -0,013,</v>
      </c>
      <c r="AU3" s="20" t="str">
        <f t="shared" si="3"/>
        <v> -0,052,</v>
      </c>
      <c r="AV3" s="20" t="str">
        <f t="shared" si="3"/>
        <v> -0,090,</v>
      </c>
      <c r="AW3" s="20" t="s">
        <v>967</v>
      </c>
      <c r="AX3" s="152"/>
      <c r="AY3" s="152" t="str">
        <f>CONCATENATE(AQ3,AR3,AS3,AT3,AU3,AV3,AW3)</f>
        <v>     X  0,065,  0,026, -0,013, -0,052, -0,090,!FLAP = 0</v>
      </c>
    </row>
    <row r="4" spans="2:51" ht="12.75" customHeight="1">
      <c r="B4" s="562" t="s">
        <v>738</v>
      </c>
      <c r="C4" s="38" t="s">
        <v>912</v>
      </c>
      <c r="D4" s="459">
        <v>0</v>
      </c>
      <c r="E4" s="581"/>
      <c r="F4" s="582"/>
      <c r="G4" s="583"/>
      <c r="H4" s="537"/>
      <c r="I4" s="538"/>
      <c r="J4" s="538"/>
      <c r="K4" s="538"/>
      <c r="L4" s="538"/>
      <c r="M4" s="538"/>
      <c r="N4" s="539"/>
      <c r="O4" s="566" t="s">
        <v>908</v>
      </c>
      <c r="P4" s="567"/>
      <c r="Q4" s="552" t="s">
        <v>996</v>
      </c>
      <c r="R4" s="553"/>
      <c r="S4" s="554"/>
      <c r="U4" s="479" t="s">
        <v>444</v>
      </c>
      <c r="V4" s="482">
        <f>((1+Principal!$D$14)^0.5)*'Dados Geométricos'!$E$82</f>
        <v>1.071</v>
      </c>
      <c r="W4" s="239"/>
      <c r="X4" s="161">
        <v>0.011854962869179482</v>
      </c>
      <c r="Y4" s="161">
        <v>-0.026891484489027298</v>
      </c>
      <c r="Z4" s="161">
        <v>-0.06563793184723407</v>
      </c>
      <c r="AA4" s="161">
        <v>-0.10438437920544086</v>
      </c>
      <c r="AB4" s="161">
        <v>-0.14313082656364762</v>
      </c>
      <c r="AD4" s="154" t="s">
        <v>968</v>
      </c>
      <c r="AE4" s="377">
        <f>X4</f>
        <v>0.011854962869179482</v>
      </c>
      <c r="AF4" s="377">
        <f t="shared" si="0"/>
        <v>-0.026891484489027298</v>
      </c>
      <c r="AG4" s="377">
        <f t="shared" si="0"/>
        <v>-0.06563793184723407</v>
      </c>
      <c r="AH4" s="377">
        <f t="shared" si="0"/>
        <v>-0.10438437920544086</v>
      </c>
      <c r="AI4" s="377">
        <f t="shared" si="0"/>
        <v>-0.14313082656364762</v>
      </c>
      <c r="AJ4" s="377"/>
      <c r="AK4" s="20" t="str">
        <f t="shared" si="1"/>
        <v>0,012,</v>
      </c>
      <c r="AL4" s="20" t="str">
        <f t="shared" si="1"/>
        <v>-0,027,</v>
      </c>
      <c r="AM4" s="20" t="str">
        <f t="shared" si="1"/>
        <v>-0,066,</v>
      </c>
      <c r="AN4" s="20" t="str">
        <f t="shared" si="1"/>
        <v>-0,104,</v>
      </c>
      <c r="AO4" s="20" t="str">
        <f t="shared" si="1"/>
        <v>-0,143,</v>
      </c>
      <c r="AP4" s="20"/>
      <c r="AQ4" s="70" t="str">
        <f t="shared" si="2"/>
        <v>     X</v>
      </c>
      <c r="AR4" s="20" t="str">
        <f>IF(LEN(AK4)=7,CONCATENATE(" ",AK4),IF(LEN(AK4)=6,CONCATENATE("  ",AK4),IF(LEN(AK4)=5,CONCATENATE("   ",AK4),IF(LEN(AK4)=4,CONCATENATE("   ",AK4)))))</f>
        <v>  0,012,</v>
      </c>
      <c r="AS4" s="20" t="str">
        <f t="shared" si="3"/>
        <v> -0,027,</v>
      </c>
      <c r="AT4" s="20" t="str">
        <f t="shared" si="3"/>
        <v> -0,066,</v>
      </c>
      <c r="AU4" s="20" t="str">
        <f t="shared" si="3"/>
        <v> -0,104,</v>
      </c>
      <c r="AV4" s="20" t="str">
        <f t="shared" si="3"/>
        <v> -0,143,</v>
      </c>
      <c r="AW4" s="20" t="s">
        <v>969</v>
      </c>
      <c r="AX4" s="152"/>
      <c r="AY4" s="152" t="str">
        <f>CONCATENATE(AQ4,AR4,AS4,AT4,AU4,AV4,AW4)</f>
        <v>     X  0,012, -0,027, -0,066, -0,104, -0,143,!FLAP = 20</v>
      </c>
    </row>
    <row r="5" spans="2:51" ht="12.75" customHeight="1" thickBot="1">
      <c r="B5" s="560"/>
      <c r="C5" s="25" t="s">
        <v>5</v>
      </c>
      <c r="D5" s="462">
        <v>0.3</v>
      </c>
      <c r="E5" s="584"/>
      <c r="F5" s="585"/>
      <c r="G5" s="586"/>
      <c r="H5" s="540"/>
      <c r="I5" s="541"/>
      <c r="J5" s="541"/>
      <c r="K5" s="541"/>
      <c r="L5" s="541"/>
      <c r="M5" s="541"/>
      <c r="N5" s="542"/>
      <c r="O5" s="576" t="s">
        <v>897</v>
      </c>
      <c r="P5" s="577"/>
      <c r="Q5" s="555">
        <v>38554</v>
      </c>
      <c r="R5" s="556"/>
      <c r="S5" s="557"/>
      <c r="U5" s="480" t="s">
        <v>442</v>
      </c>
      <c r="V5" s="483">
        <f>((1+Principal!$D$14)^0.5)*'Dados Geométricos'!$E$81</f>
        <v>2.092</v>
      </c>
      <c r="W5" s="239"/>
      <c r="X5" s="377">
        <v>-0.01777874781025124</v>
      </c>
      <c r="Y5" s="377">
        <v>-0.05652519516845802</v>
      </c>
      <c r="Z5" s="377">
        <v>-0.09527164252666478</v>
      </c>
      <c r="AA5" s="377">
        <v>-0.13401808988487157</v>
      </c>
      <c r="AB5" s="377">
        <v>-0.17276453724307836</v>
      </c>
      <c r="AD5" s="154" t="s">
        <v>970</v>
      </c>
      <c r="AE5" s="377">
        <f>X5</f>
        <v>-0.01777874781025124</v>
      </c>
      <c r="AF5" s="377">
        <f t="shared" si="0"/>
        <v>-0.05652519516845802</v>
      </c>
      <c r="AG5" s="377">
        <f t="shared" si="0"/>
        <v>-0.09527164252666478</v>
      </c>
      <c r="AH5" s="377">
        <f t="shared" si="0"/>
        <v>-0.13401808988487157</v>
      </c>
      <c r="AI5" s="377">
        <f t="shared" si="0"/>
        <v>-0.17276453724307836</v>
      </c>
      <c r="AJ5" s="377"/>
      <c r="AK5" s="20" t="str">
        <f>CONCATENATE(FIXED(AE5,3),",")</f>
        <v>-0,018,</v>
      </c>
      <c r="AL5" s="20" t="str">
        <f>CONCATENATE(FIXED(AF5,3),",")</f>
        <v>-0,057,</v>
      </c>
      <c r="AM5" s="20" t="str">
        <f>CONCATENATE(FIXED(AG5,3),",")</f>
        <v>-0,095,</v>
      </c>
      <c r="AN5" s="20" t="str">
        <f>CONCATENATE(FIXED(AH5,3),",")</f>
        <v>-0,134,</v>
      </c>
      <c r="AO5" s="20" t="str">
        <f>CONCATENATE(FIXED(AI5,3),"/")</f>
        <v>-0,173/</v>
      </c>
      <c r="AP5" s="20"/>
      <c r="AQ5" s="70" t="str">
        <f t="shared" si="2"/>
        <v>     X</v>
      </c>
      <c r="AR5" s="20" t="str">
        <f>IF(LEN(AK5)=7,CONCATENATE(" ",AK5),IF(LEN(AK5)=6,CONCATENATE("  ",AK5),IF(LEN(AK5)=5,CONCATENATE("   ",AK5),IF(LEN(AK5)=4,CONCATENATE("   ",AK5)))))</f>
        <v> -0,018,</v>
      </c>
      <c r="AS5" s="20" t="str">
        <f t="shared" si="3"/>
        <v> -0,057,</v>
      </c>
      <c r="AT5" s="20" t="str">
        <f t="shared" si="3"/>
        <v> -0,095,</v>
      </c>
      <c r="AU5" s="20" t="str">
        <f t="shared" si="3"/>
        <v> -0,134,</v>
      </c>
      <c r="AV5" s="20" t="str">
        <f t="shared" si="3"/>
        <v> -0,173/</v>
      </c>
      <c r="AW5" s="20" t="s">
        <v>971</v>
      </c>
      <c r="AX5" s="152"/>
      <c r="AY5" s="152" t="str">
        <f>CONCATENATE(AQ5,AR5,AS5,AT5,AU5,AV5,AW5)</f>
        <v>     X -0,018, -0,057, -0,095, -0,134, -0,173/!FLAP = 35</v>
      </c>
    </row>
    <row r="6" spans="2:23" ht="12.75">
      <c r="B6" s="560"/>
      <c r="C6" s="25" t="s">
        <v>362</v>
      </c>
      <c r="D6" s="461">
        <v>12000000</v>
      </c>
      <c r="E6" s="507" t="s">
        <v>984</v>
      </c>
      <c r="F6" s="510">
        <v>1</v>
      </c>
      <c r="G6" s="514">
        <v>1</v>
      </c>
      <c r="H6" s="274"/>
      <c r="I6" s="274"/>
      <c r="J6" s="274"/>
      <c r="K6" s="274"/>
      <c r="L6" s="274"/>
      <c r="M6" s="274"/>
      <c r="N6" s="274"/>
      <c r="O6" s="40"/>
      <c r="P6" s="40"/>
      <c r="Q6" s="40"/>
      <c r="R6" s="40"/>
      <c r="S6" s="477"/>
      <c r="U6" s="480" t="s">
        <v>443</v>
      </c>
      <c r="V6" s="483">
        <f>((1+Principal!$D$14)^0.5)*'Dados Geométricos'!$E$83*(1+Principal!$D$13)</f>
        <v>6.962</v>
      </c>
      <c r="W6" s="239"/>
    </row>
    <row r="7" spans="2:51" ht="12.75">
      <c r="B7" s="560"/>
      <c r="C7" s="25" t="s">
        <v>737</v>
      </c>
      <c r="D7" s="467">
        <v>0.25</v>
      </c>
      <c r="E7" s="508" t="s">
        <v>343</v>
      </c>
      <c r="F7" s="509">
        <v>1</v>
      </c>
      <c r="G7" s="515"/>
      <c r="H7" s="274"/>
      <c r="I7" s="274"/>
      <c r="J7" s="274"/>
      <c r="K7" s="274"/>
      <c r="L7" s="274"/>
      <c r="M7" s="274"/>
      <c r="N7" s="274"/>
      <c r="O7" s="40"/>
      <c r="P7" s="40"/>
      <c r="Q7" s="40"/>
      <c r="R7" s="40"/>
      <c r="S7" s="477"/>
      <c r="U7" s="480" t="s">
        <v>451</v>
      </c>
      <c r="V7" s="483">
        <f>Principal!$D$11+'Dados Geométricos'!$E$85+(1-(1+Principal!D14)^0.5)*(0.25*'Dados Geométricos'!E81+'Dados Geométricos'!$E$86*TAN('Dados Geométricos'!$E$84*PI()/180))+Principal!V17*(TAN(Principal!V13*PI()/180)-TAN(Principal!V19*PI()/180))</f>
        <v>16.513</v>
      </c>
      <c r="W7" s="239"/>
      <c r="X7" s="153">
        <v>-0.41469318037793956</v>
      </c>
      <c r="Y7" s="153">
        <v>-0.1751215456202814</v>
      </c>
      <c r="Z7" s="153">
        <v>0.06445008913737676</v>
      </c>
      <c r="AA7" s="153">
        <v>0.3040217238950349</v>
      </c>
      <c r="AB7" s="153">
        <v>0.5435933586526931</v>
      </c>
      <c r="AD7" s="154" t="s">
        <v>966</v>
      </c>
      <c r="AE7" s="377">
        <f aca="true" t="shared" si="4" ref="AE7:AI9">X7</f>
        <v>-0.41469318037793956</v>
      </c>
      <c r="AF7" s="377">
        <f t="shared" si="4"/>
        <v>-0.1751215456202814</v>
      </c>
      <c r="AG7" s="377">
        <f t="shared" si="4"/>
        <v>0.06445008913737676</v>
      </c>
      <c r="AH7" s="377">
        <f t="shared" si="4"/>
        <v>0.3040217238950349</v>
      </c>
      <c r="AI7" s="377">
        <f t="shared" si="4"/>
        <v>0.5435933586526931</v>
      </c>
      <c r="AJ7" s="377"/>
      <c r="AK7" s="20" t="str">
        <f aca="true" t="shared" si="5" ref="AK7:AO8">CONCATENATE(FIXED(AE7,3),",")</f>
        <v>-0,415,</v>
      </c>
      <c r="AL7" s="20" t="str">
        <f t="shared" si="5"/>
        <v>-0,175,</v>
      </c>
      <c r="AM7" s="20" t="str">
        <f t="shared" si="5"/>
        <v>0,064,</v>
      </c>
      <c r="AN7" s="20" t="str">
        <f t="shared" si="5"/>
        <v>0,304,</v>
      </c>
      <c r="AO7" s="20" t="str">
        <f t="shared" si="5"/>
        <v>0,544,</v>
      </c>
      <c r="AP7" s="20"/>
      <c r="AQ7" s="70" t="str">
        <f t="shared" si="2"/>
        <v>     X</v>
      </c>
      <c r="AR7" s="20" t="str">
        <f aca="true" t="shared" si="6" ref="AR7:AV9">IF(LEN(AK7)=7,CONCATENATE(" ",AK7),IF(LEN(AK7)=6,CONCATENATE("  ",AK7),IF(LEN(AK7)=5,CONCATENATE("   ",AK7),IF(LEN(AK7)=4,CONCATENATE("   ",AK7)))))</f>
        <v> -0,415,</v>
      </c>
      <c r="AS7" s="20" t="str">
        <f t="shared" si="6"/>
        <v> -0,175,</v>
      </c>
      <c r="AT7" s="20" t="str">
        <f t="shared" si="6"/>
        <v>  0,064,</v>
      </c>
      <c r="AU7" s="20" t="str">
        <f t="shared" si="6"/>
        <v>  0,304,</v>
      </c>
      <c r="AV7" s="20" t="str">
        <f t="shared" si="6"/>
        <v>  0,544,</v>
      </c>
      <c r="AW7" s="20" t="s">
        <v>967</v>
      </c>
      <c r="AX7" s="152"/>
      <c r="AY7" s="152" t="str">
        <f>CONCATENATE(AQ7,AR7,AS7,AT7,AU7,AV7,AW7)</f>
        <v>     X -0,415, -0,175,  0,064,  0,304,  0,544,!FLAP = 0</v>
      </c>
    </row>
    <row r="8" spans="2:51" ht="12.75">
      <c r="B8" s="560"/>
      <c r="C8" s="25" t="s">
        <v>911</v>
      </c>
      <c r="D8" s="462">
        <v>0</v>
      </c>
      <c r="E8" s="508" t="s">
        <v>68</v>
      </c>
      <c r="F8" s="509">
        <v>1</v>
      </c>
      <c r="G8" s="515"/>
      <c r="H8" s="274"/>
      <c r="I8" s="274"/>
      <c r="J8" s="274"/>
      <c r="K8" s="274"/>
      <c r="L8" s="274"/>
      <c r="M8" s="274"/>
      <c r="N8" s="274"/>
      <c r="O8" s="40"/>
      <c r="P8" s="40"/>
      <c r="Q8" s="40"/>
      <c r="R8" s="40"/>
      <c r="S8" s="477"/>
      <c r="U8" s="479" t="s">
        <v>445</v>
      </c>
      <c r="V8" s="483">
        <f>'Dados Geométricos'!L85+Principal!D11</f>
        <v>13.595</v>
      </c>
      <c r="W8" s="239"/>
      <c r="X8" s="153">
        <v>-0.1336185486561288</v>
      </c>
      <c r="Y8" s="153">
        <v>0.10595308610152937</v>
      </c>
      <c r="Z8" s="153">
        <v>0.3455247208591875</v>
      </c>
      <c r="AA8" s="153">
        <v>0.5850963556168457</v>
      </c>
      <c r="AB8" s="153">
        <v>0.8246679903745038</v>
      </c>
      <c r="AD8" s="154" t="s">
        <v>968</v>
      </c>
      <c r="AE8" s="377">
        <f t="shared" si="4"/>
        <v>-0.1336185486561288</v>
      </c>
      <c r="AF8" s="377">
        <f t="shared" si="4"/>
        <v>0.10595308610152937</v>
      </c>
      <c r="AG8" s="377">
        <f t="shared" si="4"/>
        <v>0.3455247208591875</v>
      </c>
      <c r="AH8" s="377">
        <f t="shared" si="4"/>
        <v>0.5850963556168457</v>
      </c>
      <c r="AI8" s="377">
        <f t="shared" si="4"/>
        <v>0.8246679903745038</v>
      </c>
      <c r="AJ8" s="377"/>
      <c r="AK8" s="20" t="str">
        <f t="shared" si="5"/>
        <v>-0,134,</v>
      </c>
      <c r="AL8" s="20" t="str">
        <f t="shared" si="5"/>
        <v>0,106,</v>
      </c>
      <c r="AM8" s="20" t="str">
        <f t="shared" si="5"/>
        <v>0,346,</v>
      </c>
      <c r="AN8" s="20" t="str">
        <f t="shared" si="5"/>
        <v>0,585,</v>
      </c>
      <c r="AO8" s="20" t="str">
        <f t="shared" si="5"/>
        <v>0,825,</v>
      </c>
      <c r="AP8" s="20"/>
      <c r="AQ8" s="70" t="str">
        <f t="shared" si="2"/>
        <v>     X</v>
      </c>
      <c r="AR8" s="20" t="str">
        <f t="shared" si="6"/>
        <v> -0,134,</v>
      </c>
      <c r="AS8" s="20" t="str">
        <f t="shared" si="6"/>
        <v>  0,106,</v>
      </c>
      <c r="AT8" s="20" t="str">
        <f t="shared" si="6"/>
        <v>  0,346,</v>
      </c>
      <c r="AU8" s="20" t="str">
        <f t="shared" si="6"/>
        <v>  0,585,</v>
      </c>
      <c r="AV8" s="20" t="str">
        <f t="shared" si="6"/>
        <v>  0,825,</v>
      </c>
      <c r="AW8" s="20" t="s">
        <v>969</v>
      </c>
      <c r="AX8" s="152"/>
      <c r="AY8" s="152" t="str">
        <f>CONCATENATE(AQ8,AR8,AS8,AT8,AU8,AV8,AW8)</f>
        <v>     X -0,134,  0,106,  0,346,  0,585,  0,825,!FLAP = 20</v>
      </c>
    </row>
    <row r="9" spans="2:51" ht="13.5" thickBot="1">
      <c r="B9" s="560"/>
      <c r="C9" s="25" t="s">
        <v>739</v>
      </c>
      <c r="D9" s="463">
        <v>4</v>
      </c>
      <c r="E9" s="508" t="s">
        <v>991</v>
      </c>
      <c r="F9" s="509">
        <v>1</v>
      </c>
      <c r="G9" s="515"/>
      <c r="H9" s="274"/>
      <c r="I9" s="274"/>
      <c r="J9" s="274"/>
      <c r="K9" s="274"/>
      <c r="L9" s="274"/>
      <c r="M9" s="274"/>
      <c r="N9" s="274"/>
      <c r="O9" s="40"/>
      <c r="P9" s="40"/>
      <c r="Q9" s="40"/>
      <c r="R9" s="40"/>
      <c r="S9" s="477"/>
      <c r="U9" s="479" t="s">
        <v>446</v>
      </c>
      <c r="V9" s="483">
        <f>'Dados Geométricos'!E22+Principal!$D$12</f>
        <v>6.646</v>
      </c>
      <c r="W9" s="239"/>
      <c r="X9" s="153">
        <v>0.02388669341934236</v>
      </c>
      <c r="Y9" s="153">
        <v>0.2634583281770005</v>
      </c>
      <c r="Z9" s="153">
        <v>0.5030299629346586</v>
      </c>
      <c r="AA9" s="153">
        <v>0.7426015976923168</v>
      </c>
      <c r="AB9" s="153">
        <v>0.9821732324499749</v>
      </c>
      <c r="AD9" s="154" t="s">
        <v>970</v>
      </c>
      <c r="AE9" s="377">
        <f t="shared" si="4"/>
        <v>0.02388669341934236</v>
      </c>
      <c r="AF9" s="377">
        <f t="shared" si="4"/>
        <v>0.2634583281770005</v>
      </c>
      <c r="AG9" s="377">
        <f t="shared" si="4"/>
        <v>0.5030299629346586</v>
      </c>
      <c r="AH9" s="377">
        <f t="shared" si="4"/>
        <v>0.7426015976923168</v>
      </c>
      <c r="AI9" s="377">
        <f t="shared" si="4"/>
        <v>0.9821732324499749</v>
      </c>
      <c r="AJ9" s="377"/>
      <c r="AK9" s="20" t="str">
        <f>CONCATENATE(FIXED(AE9,3),",")</f>
        <v>0,024,</v>
      </c>
      <c r="AL9" s="20" t="str">
        <f>CONCATENATE(FIXED(AF9,3),",")</f>
        <v>0,263,</v>
      </c>
      <c r="AM9" s="20" t="str">
        <f>CONCATENATE(FIXED(AG9,3),",")</f>
        <v>0,503,</v>
      </c>
      <c r="AN9" s="20" t="str">
        <f>CONCATENATE(FIXED(AH9,3),",")</f>
        <v>0,743,</v>
      </c>
      <c r="AO9" s="20" t="str">
        <f>CONCATENATE(FIXED(AI9,3),"/")</f>
        <v>0,982/</v>
      </c>
      <c r="AP9" s="20"/>
      <c r="AQ9" s="70" t="str">
        <f t="shared" si="2"/>
        <v>     X</v>
      </c>
      <c r="AR9" s="20" t="str">
        <f t="shared" si="6"/>
        <v>  0,024,</v>
      </c>
      <c r="AS9" s="20" t="str">
        <f t="shared" si="6"/>
        <v>  0,263,</v>
      </c>
      <c r="AT9" s="20" t="str">
        <f t="shared" si="6"/>
        <v>  0,503,</v>
      </c>
      <c r="AU9" s="20" t="str">
        <f t="shared" si="6"/>
        <v>  0,743,</v>
      </c>
      <c r="AV9" s="20" t="str">
        <f t="shared" si="6"/>
        <v>  0,982/</v>
      </c>
      <c r="AW9" s="20" t="s">
        <v>971</v>
      </c>
      <c r="AX9" s="152"/>
      <c r="AY9" s="152" t="str">
        <f>CONCATENATE(AQ9,AR9,AS9,AT9,AU9,AV9,AW9)</f>
        <v>     X  0,024,  0,263,  0,503,  0,743,  0,982/!FLAP = 35</v>
      </c>
    </row>
    <row r="10" spans="2:28" ht="12.75">
      <c r="B10" s="562" t="s">
        <v>905</v>
      </c>
      <c r="C10" s="39" t="s">
        <v>341</v>
      </c>
      <c r="D10" s="464">
        <v>0</v>
      </c>
      <c r="E10" s="508" t="s">
        <v>992</v>
      </c>
      <c r="F10" s="509">
        <v>1</v>
      </c>
      <c r="G10" s="515"/>
      <c r="H10" s="274"/>
      <c r="I10" s="274"/>
      <c r="J10" s="274"/>
      <c r="K10" s="274"/>
      <c r="L10" s="274"/>
      <c r="M10" s="274"/>
      <c r="N10" s="274"/>
      <c r="O10" s="40"/>
      <c r="P10" s="40"/>
      <c r="Q10" s="40"/>
      <c r="R10" s="40"/>
      <c r="S10" s="477"/>
      <c r="U10" s="479" t="s">
        <v>447</v>
      </c>
      <c r="V10" s="483">
        <f>'Dados Geométricos'!E56+Principal!D10+Principal!D11</f>
        <v>17.701</v>
      </c>
      <c r="W10" s="239"/>
      <c r="X10" s="153"/>
      <c r="Y10" s="153"/>
      <c r="Z10" s="153"/>
      <c r="AA10" s="153"/>
      <c r="AB10" s="153"/>
    </row>
    <row r="11" spans="2:51" ht="12.75">
      <c r="B11" s="560"/>
      <c r="C11" s="20" t="s">
        <v>342</v>
      </c>
      <c r="D11" s="462">
        <v>0</v>
      </c>
      <c r="E11" s="508" t="s">
        <v>86</v>
      </c>
      <c r="F11" s="509">
        <v>1</v>
      </c>
      <c r="G11" s="515"/>
      <c r="H11" s="274"/>
      <c r="I11" s="274"/>
      <c r="J11" s="274"/>
      <c r="K11" s="274"/>
      <c r="L11" s="274"/>
      <c r="M11" s="274"/>
      <c r="N11" s="274"/>
      <c r="O11" s="40"/>
      <c r="P11" s="40"/>
      <c r="Q11" s="40"/>
      <c r="R11" s="40"/>
      <c r="S11" s="477"/>
      <c r="U11" s="479" t="s">
        <v>448</v>
      </c>
      <c r="V11" s="483">
        <f>'Dados Geométricos'!E76+'Dados Geométricos'!E58*(Principal!D10+Principal!D11)</f>
        <v>35.24</v>
      </c>
      <c r="W11" s="239"/>
      <c r="X11" s="153">
        <v>0.07014782124710357</v>
      </c>
      <c r="Y11" s="153">
        <v>0.025090049350246706</v>
      </c>
      <c r="Z11" s="153">
        <v>-0.019967722546610164</v>
      </c>
      <c r="AA11" s="153">
        <v>-0.06502549444346704</v>
      </c>
      <c r="AB11" s="153">
        <v>-0.11008326634032391</v>
      </c>
      <c r="AD11" s="154" t="s">
        <v>966</v>
      </c>
      <c r="AE11" s="377">
        <f aca="true" t="shared" si="7" ref="AE11:AI13">X11</f>
        <v>0.07014782124710357</v>
      </c>
      <c r="AF11" s="377">
        <f t="shared" si="7"/>
        <v>0.025090049350246706</v>
      </c>
      <c r="AG11" s="377">
        <f t="shared" si="7"/>
        <v>-0.019967722546610164</v>
      </c>
      <c r="AH11" s="377">
        <f t="shared" si="7"/>
        <v>-0.06502549444346704</v>
      </c>
      <c r="AI11" s="377">
        <f t="shared" si="7"/>
        <v>-0.11008326634032391</v>
      </c>
      <c r="AJ11" s="377"/>
      <c r="AK11" s="20" t="str">
        <f aca="true" t="shared" si="8" ref="AK11:AO12">CONCATENATE(FIXED(AE11,3),",")</f>
        <v>0,070,</v>
      </c>
      <c r="AL11" s="20" t="str">
        <f t="shared" si="8"/>
        <v>0,025,</v>
      </c>
      <c r="AM11" s="20" t="str">
        <f t="shared" si="8"/>
        <v>-0,020,</v>
      </c>
      <c r="AN11" s="20" t="str">
        <f t="shared" si="8"/>
        <v>-0,065,</v>
      </c>
      <c r="AO11" s="20" t="str">
        <f t="shared" si="8"/>
        <v>-0,110,</v>
      </c>
      <c r="AP11" s="20"/>
      <c r="AQ11" s="70" t="str">
        <f t="shared" si="2"/>
        <v>     X</v>
      </c>
      <c r="AR11" s="20" t="str">
        <f aca="true" t="shared" si="9" ref="AR11:AV13">IF(LEN(AK11)=7,CONCATENATE(" ",AK11),IF(LEN(AK11)=6,CONCATENATE("  ",AK11),IF(LEN(AK11)=5,CONCATENATE("   ",AK11),IF(LEN(AK11)=4,CONCATENATE("   ",AK11)))))</f>
        <v>  0,070,</v>
      </c>
      <c r="AS11" s="20" t="str">
        <f t="shared" si="9"/>
        <v>  0,025,</v>
      </c>
      <c r="AT11" s="20" t="str">
        <f t="shared" si="9"/>
        <v> -0,020,</v>
      </c>
      <c r="AU11" s="20" t="str">
        <f t="shared" si="9"/>
        <v> -0,065,</v>
      </c>
      <c r="AV11" s="20" t="str">
        <f t="shared" si="9"/>
        <v> -0,110,</v>
      </c>
      <c r="AW11" s="20" t="s">
        <v>967</v>
      </c>
      <c r="AX11" s="152"/>
      <c r="AY11" s="152" t="str">
        <f>CONCATENATE(AQ11,AR11,AS11,AT11,AU11,AV11,AW11)</f>
        <v>     X  0,070,  0,025, -0,020, -0,065, -0,110,!FLAP = 0</v>
      </c>
    </row>
    <row r="12" spans="2:51" ht="12.75">
      <c r="B12" s="560"/>
      <c r="C12" s="20" t="s">
        <v>441</v>
      </c>
      <c r="D12" s="462">
        <v>0</v>
      </c>
      <c r="E12" s="508" t="s">
        <v>980</v>
      </c>
      <c r="F12" s="509">
        <v>1</v>
      </c>
      <c r="G12" s="515"/>
      <c r="H12" s="274"/>
      <c r="I12" s="274"/>
      <c r="J12" s="274"/>
      <c r="K12" s="274"/>
      <c r="L12" s="274"/>
      <c r="M12" s="274"/>
      <c r="N12" s="274"/>
      <c r="O12" s="40"/>
      <c r="P12" s="40"/>
      <c r="Q12" s="40"/>
      <c r="R12" s="40"/>
      <c r="S12" s="477"/>
      <c r="U12" s="479" t="s">
        <v>449</v>
      </c>
      <c r="V12" s="483">
        <f>'Dados Geométricos'!E57+Principal!D10</f>
        <v>7.28</v>
      </c>
      <c r="W12" s="239"/>
      <c r="X12" s="153">
        <v>0.017284314868623342</v>
      </c>
      <c r="Y12" s="153">
        <v>-0.027773457028233528</v>
      </c>
      <c r="Z12" s="153">
        <v>-0.0728312289250904</v>
      </c>
      <c r="AA12" s="153">
        <v>-0.11788900082194727</v>
      </c>
      <c r="AB12" s="153">
        <v>-0.16294677271880412</v>
      </c>
      <c r="AD12" s="154" t="s">
        <v>968</v>
      </c>
      <c r="AE12" s="377">
        <f t="shared" si="7"/>
        <v>0.017284314868623342</v>
      </c>
      <c r="AF12" s="377">
        <f t="shared" si="7"/>
        <v>-0.027773457028233528</v>
      </c>
      <c r="AG12" s="377">
        <f t="shared" si="7"/>
        <v>-0.0728312289250904</v>
      </c>
      <c r="AH12" s="377">
        <f t="shared" si="7"/>
        <v>-0.11788900082194727</v>
      </c>
      <c r="AI12" s="377">
        <f t="shared" si="7"/>
        <v>-0.16294677271880412</v>
      </c>
      <c r="AJ12" s="377"/>
      <c r="AK12" s="20" t="str">
        <f t="shared" si="8"/>
        <v>0,017,</v>
      </c>
      <c r="AL12" s="20" t="str">
        <f t="shared" si="8"/>
        <v>-0,028,</v>
      </c>
      <c r="AM12" s="20" t="str">
        <f t="shared" si="8"/>
        <v>-0,073,</v>
      </c>
      <c r="AN12" s="20" t="str">
        <f t="shared" si="8"/>
        <v>-0,118,</v>
      </c>
      <c r="AO12" s="20" t="str">
        <f t="shared" si="8"/>
        <v>-0,163,</v>
      </c>
      <c r="AP12" s="20"/>
      <c r="AQ12" s="70" t="str">
        <f t="shared" si="2"/>
        <v>     X</v>
      </c>
      <c r="AR12" s="20" t="str">
        <f t="shared" si="9"/>
        <v>  0,017,</v>
      </c>
      <c r="AS12" s="20" t="str">
        <f t="shared" si="9"/>
        <v> -0,028,</v>
      </c>
      <c r="AT12" s="20" t="str">
        <f t="shared" si="9"/>
        <v> -0,073,</v>
      </c>
      <c r="AU12" s="20" t="str">
        <f t="shared" si="9"/>
        <v> -0,118,</v>
      </c>
      <c r="AV12" s="20" t="str">
        <f t="shared" si="9"/>
        <v> -0,163,</v>
      </c>
      <c r="AW12" s="20" t="s">
        <v>969</v>
      </c>
      <c r="AX12" s="152"/>
      <c r="AY12" s="152" t="str">
        <f>CONCATENATE(AQ12,AR12,AS12,AT12,AU12,AV12,AW12)</f>
        <v>     X  0,017, -0,028, -0,073, -0,118, -0,163,!FLAP = 20</v>
      </c>
    </row>
    <row r="13" spans="2:51" ht="12.75" customHeight="1">
      <c r="B13" s="560"/>
      <c r="C13" s="33" t="s">
        <v>347</v>
      </c>
      <c r="D13" s="465">
        <v>0</v>
      </c>
      <c r="E13" s="508" t="s">
        <v>617</v>
      </c>
      <c r="F13" s="509">
        <v>1</v>
      </c>
      <c r="G13" s="515"/>
      <c r="H13" s="40"/>
      <c r="I13" s="40"/>
      <c r="J13" s="40"/>
      <c r="K13" s="40"/>
      <c r="L13" s="40"/>
      <c r="M13" s="40"/>
      <c r="N13" s="40"/>
      <c r="O13" s="40"/>
      <c r="P13" s="274"/>
      <c r="Q13" s="274"/>
      <c r="R13" s="274"/>
      <c r="S13" s="477"/>
      <c r="T13" s="232"/>
      <c r="U13" s="479" t="s">
        <v>497</v>
      </c>
      <c r="V13" s="483">
        <f>Principal!V19+Principal!D15</f>
        <v>46</v>
      </c>
      <c r="W13" s="239"/>
      <c r="X13" s="153">
        <v>-0.012338704889849731</v>
      </c>
      <c r="Y13" s="153">
        <v>-0.0573964767867066</v>
      </c>
      <c r="Z13" s="153">
        <v>-0.10245424868356348</v>
      </c>
      <c r="AA13" s="153">
        <v>-0.14751202058042034</v>
      </c>
      <c r="AB13" s="153">
        <v>-0.1925697924772772</v>
      </c>
      <c r="AD13" s="154" t="s">
        <v>970</v>
      </c>
      <c r="AE13" s="377">
        <f t="shared" si="7"/>
        <v>-0.012338704889849731</v>
      </c>
      <c r="AF13" s="377">
        <f t="shared" si="7"/>
        <v>-0.0573964767867066</v>
      </c>
      <c r="AG13" s="377">
        <f t="shared" si="7"/>
        <v>-0.10245424868356348</v>
      </c>
      <c r="AH13" s="377">
        <f t="shared" si="7"/>
        <v>-0.14751202058042034</v>
      </c>
      <c r="AI13" s="377">
        <f t="shared" si="7"/>
        <v>-0.1925697924772772</v>
      </c>
      <c r="AJ13" s="377"/>
      <c r="AK13" s="20" t="str">
        <f>CONCATENATE(FIXED(AE13,3),",")</f>
        <v>-0,012,</v>
      </c>
      <c r="AL13" s="20" t="str">
        <f>CONCATENATE(FIXED(AF13,3),",")</f>
        <v>-0,057,</v>
      </c>
      <c r="AM13" s="20" t="str">
        <f>CONCATENATE(FIXED(AG13,3),",")</f>
        <v>-0,102,</v>
      </c>
      <c r="AN13" s="20" t="str">
        <f>CONCATENATE(FIXED(AH13,3),",")</f>
        <v>-0,148,</v>
      </c>
      <c r="AO13" s="20" t="str">
        <f>CONCATENATE(FIXED(AI13,3),"/")</f>
        <v>-0,193/</v>
      </c>
      <c r="AP13" s="20"/>
      <c r="AQ13" s="70" t="str">
        <f t="shared" si="2"/>
        <v>     X</v>
      </c>
      <c r="AR13" s="20" t="str">
        <f t="shared" si="9"/>
        <v> -0,012,</v>
      </c>
      <c r="AS13" s="20" t="str">
        <f t="shared" si="9"/>
        <v> -0,057,</v>
      </c>
      <c r="AT13" s="20" t="str">
        <f t="shared" si="9"/>
        <v> -0,102,</v>
      </c>
      <c r="AU13" s="20" t="str">
        <f t="shared" si="9"/>
        <v> -0,148,</v>
      </c>
      <c r="AV13" s="20" t="str">
        <f t="shared" si="9"/>
        <v> -0,193/</v>
      </c>
      <c r="AW13" s="20" t="s">
        <v>971</v>
      </c>
      <c r="AX13" s="152"/>
      <c r="AY13" s="152" t="str">
        <f>CONCATENATE(AQ13,AR13,AS13,AT13,AU13,AV13,AW13)</f>
        <v>     X -0,012, -0,057, -0,102, -0,148, -0,193/!FLAP = 35</v>
      </c>
    </row>
    <row r="14" spans="2:28" ht="12.75">
      <c r="B14" s="560"/>
      <c r="C14" s="33" t="s">
        <v>438</v>
      </c>
      <c r="D14" s="465">
        <v>0</v>
      </c>
      <c r="E14" s="508" t="s">
        <v>985</v>
      </c>
      <c r="F14" s="511">
        <v>1</v>
      </c>
      <c r="G14" s="513">
        <v>1</v>
      </c>
      <c r="H14" s="40"/>
      <c r="I14" s="40"/>
      <c r="J14" s="40"/>
      <c r="K14" s="40"/>
      <c r="L14" s="40"/>
      <c r="M14" s="40"/>
      <c r="N14" s="40"/>
      <c r="O14" s="40"/>
      <c r="P14" s="274"/>
      <c r="Q14" s="274"/>
      <c r="R14" s="274"/>
      <c r="S14" s="477"/>
      <c r="T14" s="232"/>
      <c r="U14" s="479" t="s">
        <v>570</v>
      </c>
      <c r="V14" s="483">
        <f>'Dados Geométricos'!L83+Principal!D18</f>
        <v>2.408</v>
      </c>
      <c r="W14" s="239"/>
      <c r="X14" s="153"/>
      <c r="Y14" s="153"/>
      <c r="Z14" s="153"/>
      <c r="AA14" s="153"/>
      <c r="AB14" s="153"/>
    </row>
    <row r="15" spans="2:51" ht="12.75">
      <c r="B15" s="560"/>
      <c r="C15" s="427" t="s">
        <v>576</v>
      </c>
      <c r="D15" s="462">
        <v>0</v>
      </c>
      <c r="E15" s="508" t="s">
        <v>986</v>
      </c>
      <c r="F15" s="509">
        <v>1</v>
      </c>
      <c r="G15" s="513">
        <v>1</v>
      </c>
      <c r="H15" s="40"/>
      <c r="I15" s="40"/>
      <c r="J15" s="40"/>
      <c r="K15" s="40"/>
      <c r="L15" s="40"/>
      <c r="M15" s="40"/>
      <c r="N15" s="40"/>
      <c r="O15" s="40"/>
      <c r="P15" s="274"/>
      <c r="Q15" s="274"/>
      <c r="R15" s="274"/>
      <c r="S15" s="477"/>
      <c r="T15" s="232"/>
      <c r="U15" s="479" t="s">
        <v>572</v>
      </c>
      <c r="V15" s="483">
        <f>'Coeficientes de Controle'!C31+Principal!D18</f>
        <v>2.5839999999999996</v>
      </c>
      <c r="W15" s="239"/>
      <c r="X15" s="153">
        <v>-0.017305249245062576</v>
      </c>
      <c r="Y15" s="153">
        <v>-0.012264056357193236</v>
      </c>
      <c r="Z15" s="153">
        <v>-0.012245455358610087</v>
      </c>
      <c r="AA15" s="153">
        <v>-0.01724944624931313</v>
      </c>
      <c r="AB15" s="153">
        <v>-0.02727602902930237</v>
      </c>
      <c r="AD15" s="154" t="s">
        <v>966</v>
      </c>
      <c r="AE15" s="377">
        <f aca="true" t="shared" si="10" ref="AE15:AI17">X15</f>
        <v>-0.017305249245062576</v>
      </c>
      <c r="AF15" s="377">
        <f t="shared" si="10"/>
        <v>-0.012264056357193236</v>
      </c>
      <c r="AG15" s="377">
        <f t="shared" si="10"/>
        <v>-0.012245455358610087</v>
      </c>
      <c r="AH15" s="377">
        <f t="shared" si="10"/>
        <v>-0.01724944624931313</v>
      </c>
      <c r="AI15" s="377">
        <f t="shared" si="10"/>
        <v>-0.02727602902930237</v>
      </c>
      <c r="AJ15" s="377"/>
      <c r="AK15" s="20" t="str">
        <f aca="true" t="shared" si="11" ref="AK15:AO16">CONCATENATE(FIXED(AE15,3),",")</f>
        <v>-0,017,</v>
      </c>
      <c r="AL15" s="20" t="str">
        <f t="shared" si="11"/>
        <v>-0,012,</v>
      </c>
      <c r="AM15" s="20" t="str">
        <f t="shared" si="11"/>
        <v>-0,012,</v>
      </c>
      <c r="AN15" s="20" t="str">
        <f t="shared" si="11"/>
        <v>-0,017,</v>
      </c>
      <c r="AO15" s="20" t="str">
        <f t="shared" si="11"/>
        <v>-0,027,</v>
      </c>
      <c r="AP15" s="20"/>
      <c r="AQ15" s="70" t="str">
        <f t="shared" si="2"/>
        <v>     X</v>
      </c>
      <c r="AR15" s="20" t="str">
        <f aca="true" t="shared" si="12" ref="AR15:AV17">IF(LEN(AK15)=7,CONCATENATE(" ",AK15),IF(LEN(AK15)=6,CONCATENATE("  ",AK15),IF(LEN(AK15)=5,CONCATENATE("   ",AK15),IF(LEN(AK15)=4,CONCATENATE("   ",AK15)))))</f>
        <v> -0,017,</v>
      </c>
      <c r="AS15" s="20" t="str">
        <f t="shared" si="12"/>
        <v> -0,012,</v>
      </c>
      <c r="AT15" s="20" t="str">
        <f t="shared" si="12"/>
        <v> -0,012,</v>
      </c>
      <c r="AU15" s="20" t="str">
        <f t="shared" si="12"/>
        <v> -0,017,</v>
      </c>
      <c r="AV15" s="20" t="str">
        <f t="shared" si="12"/>
        <v> -0,027,</v>
      </c>
      <c r="AW15" s="20" t="s">
        <v>967</v>
      </c>
      <c r="AX15" s="152"/>
      <c r="AY15" s="152" t="str">
        <f>CONCATENATE(AQ15,AR15,AS15,AT15,AU15,AV15,AW15)</f>
        <v>     X -0,017, -0,012, -0,012, -0,017, -0,027,!FLAP = 0</v>
      </c>
    </row>
    <row r="16" spans="2:51" ht="12.75">
      <c r="B16" s="560"/>
      <c r="C16" s="427" t="s">
        <v>577</v>
      </c>
      <c r="D16" s="462">
        <v>0</v>
      </c>
      <c r="E16" s="508" t="s">
        <v>993</v>
      </c>
      <c r="F16" s="509">
        <v>2</v>
      </c>
      <c r="G16" s="515"/>
      <c r="H16" s="40"/>
      <c r="I16" s="40"/>
      <c r="J16" s="40"/>
      <c r="K16" s="40"/>
      <c r="L16" s="40"/>
      <c r="M16" s="40"/>
      <c r="N16" s="40"/>
      <c r="O16" s="40"/>
      <c r="P16" s="274"/>
      <c r="Q16" s="274"/>
      <c r="R16" s="274"/>
      <c r="S16" s="477"/>
      <c r="T16" s="232"/>
      <c r="U16" s="479" t="s">
        <v>571</v>
      </c>
      <c r="V16" s="483">
        <f>'Dados Geométricos'!L95+Principal!D18</f>
        <v>2.184</v>
      </c>
      <c r="W16" s="239"/>
      <c r="X16" s="153">
        <v>-0.011901148992789065</v>
      </c>
      <c r="Y16" s="153">
        <v>-0.01275265357304076</v>
      </c>
      <c r="Z16" s="153">
        <v>-0.018626750042578653</v>
      </c>
      <c r="AA16" s="153">
        <v>-0.029523438401402737</v>
      </c>
      <c r="AB16" s="153">
        <v>-0.04544271864951301</v>
      </c>
      <c r="AD16" s="154" t="s">
        <v>968</v>
      </c>
      <c r="AE16" s="377">
        <f t="shared" si="10"/>
        <v>-0.011901148992789065</v>
      </c>
      <c r="AF16" s="377">
        <f t="shared" si="10"/>
        <v>-0.01275265357304076</v>
      </c>
      <c r="AG16" s="377">
        <f t="shared" si="10"/>
        <v>-0.018626750042578653</v>
      </c>
      <c r="AH16" s="377">
        <f t="shared" si="10"/>
        <v>-0.029523438401402737</v>
      </c>
      <c r="AI16" s="377">
        <f t="shared" si="10"/>
        <v>-0.04544271864951301</v>
      </c>
      <c r="AJ16" s="377"/>
      <c r="AK16" s="20" t="str">
        <f t="shared" si="11"/>
        <v>-0,012,</v>
      </c>
      <c r="AL16" s="20" t="str">
        <f t="shared" si="11"/>
        <v>-0,013,</v>
      </c>
      <c r="AM16" s="20" t="str">
        <f t="shared" si="11"/>
        <v>-0,019,</v>
      </c>
      <c r="AN16" s="20" t="str">
        <f t="shared" si="11"/>
        <v>-0,030,</v>
      </c>
      <c r="AO16" s="20" t="str">
        <f t="shared" si="11"/>
        <v>-0,045,</v>
      </c>
      <c r="AP16" s="20"/>
      <c r="AQ16" s="70" t="str">
        <f t="shared" si="2"/>
        <v>     X</v>
      </c>
      <c r="AR16" s="20" t="str">
        <f t="shared" si="12"/>
        <v> -0,012,</v>
      </c>
      <c r="AS16" s="20" t="str">
        <f t="shared" si="12"/>
        <v> -0,013,</v>
      </c>
      <c r="AT16" s="20" t="str">
        <f t="shared" si="12"/>
        <v> -0,019,</v>
      </c>
      <c r="AU16" s="20" t="str">
        <f t="shared" si="12"/>
        <v> -0,030,</v>
      </c>
      <c r="AV16" s="20" t="str">
        <f t="shared" si="12"/>
        <v> -0,045,</v>
      </c>
      <c r="AW16" s="20" t="s">
        <v>969</v>
      </c>
      <c r="AX16" s="152"/>
      <c r="AY16" s="152" t="str">
        <f>CONCATENATE(AQ16,AR16,AS16,AT16,AU16,AV16,AW16)</f>
        <v>     X -0,012, -0,013, -0,019, -0,030, -0,045,!FLAP = 20</v>
      </c>
    </row>
    <row r="17" spans="2:51" ht="12.75">
      <c r="B17" s="560"/>
      <c r="C17" s="20" t="s">
        <v>575</v>
      </c>
      <c r="D17" s="462">
        <v>0</v>
      </c>
      <c r="E17" s="508" t="s">
        <v>987</v>
      </c>
      <c r="F17" s="509">
        <v>2</v>
      </c>
      <c r="G17" s="513" t="s">
        <v>866</v>
      </c>
      <c r="H17" s="40"/>
      <c r="I17" s="40"/>
      <c r="J17" s="40"/>
      <c r="K17" s="40"/>
      <c r="L17" s="40"/>
      <c r="M17" s="40"/>
      <c r="N17" s="40"/>
      <c r="O17" s="40"/>
      <c r="P17" s="274"/>
      <c r="Q17" s="274"/>
      <c r="R17" s="274"/>
      <c r="S17" s="477"/>
      <c r="T17" s="232"/>
      <c r="U17" s="479" t="s">
        <v>573</v>
      </c>
      <c r="V17" s="277">
        <f>'Dados Geométricos'!E87+Principal!D17</f>
        <v>2.407</v>
      </c>
      <c r="W17" s="319"/>
      <c r="X17" s="153">
        <v>-0.011895395240499434</v>
      </c>
      <c r="Y17" s="153">
        <v>-0.016048979184898525</v>
      </c>
      <c r="Z17" s="153">
        <v>-0.025225155018583814</v>
      </c>
      <c r="AA17" s="153">
        <v>-0.03942392274155529</v>
      </c>
      <c r="AB17" s="153">
        <v>-0.058645282353812965</v>
      </c>
      <c r="AD17" s="154" t="s">
        <v>970</v>
      </c>
      <c r="AE17" s="377">
        <f t="shared" si="10"/>
        <v>-0.011895395240499434</v>
      </c>
      <c r="AF17" s="377">
        <f t="shared" si="10"/>
        <v>-0.016048979184898525</v>
      </c>
      <c r="AG17" s="377">
        <f t="shared" si="10"/>
        <v>-0.025225155018583814</v>
      </c>
      <c r="AH17" s="377">
        <f t="shared" si="10"/>
        <v>-0.03942392274155529</v>
      </c>
      <c r="AI17" s="377">
        <f t="shared" si="10"/>
        <v>-0.058645282353812965</v>
      </c>
      <c r="AJ17" s="377"/>
      <c r="AK17" s="20" t="str">
        <f>CONCATENATE(FIXED(AE17,3),",")</f>
        <v>-0,012,</v>
      </c>
      <c r="AL17" s="20" t="str">
        <f>CONCATENATE(FIXED(AF17,3),",")</f>
        <v>-0,016,</v>
      </c>
      <c r="AM17" s="20" t="str">
        <f>CONCATENATE(FIXED(AG17,3),",")</f>
        <v>-0,025,</v>
      </c>
      <c r="AN17" s="20" t="str">
        <f>CONCATENATE(FIXED(AH17,3),",")</f>
        <v>-0,039,</v>
      </c>
      <c r="AO17" s="20" t="str">
        <f>CONCATENATE(FIXED(AI17,3),"/")</f>
        <v>-0,059/</v>
      </c>
      <c r="AP17" s="20"/>
      <c r="AQ17" s="70" t="str">
        <f t="shared" si="2"/>
        <v>     X</v>
      </c>
      <c r="AR17" s="20" t="str">
        <f t="shared" si="12"/>
        <v> -0,012,</v>
      </c>
      <c r="AS17" s="20" t="str">
        <f t="shared" si="12"/>
        <v> -0,016,</v>
      </c>
      <c r="AT17" s="20" t="str">
        <f t="shared" si="12"/>
        <v> -0,025,</v>
      </c>
      <c r="AU17" s="20" t="str">
        <f t="shared" si="12"/>
        <v> -0,039,</v>
      </c>
      <c r="AV17" s="20" t="str">
        <f t="shared" si="12"/>
        <v> -0,059/</v>
      </c>
      <c r="AW17" s="20" t="s">
        <v>971</v>
      </c>
      <c r="AX17" s="152"/>
      <c r="AY17" s="152" t="str">
        <f>CONCATENATE(AQ17,AR17,AS17,AT17,AU17,AV17,AW17)</f>
        <v>     X -0,012, -0,016, -0,025, -0,039, -0,059/!FLAP = 35</v>
      </c>
    </row>
    <row r="18" spans="2:28" ht="12.75">
      <c r="B18" s="560"/>
      <c r="C18" s="25" t="s">
        <v>569</v>
      </c>
      <c r="D18" s="462">
        <v>0</v>
      </c>
      <c r="E18" s="508" t="s">
        <v>994</v>
      </c>
      <c r="F18" s="509">
        <v>2</v>
      </c>
      <c r="G18" s="513" t="s">
        <v>866</v>
      </c>
      <c r="H18" s="40"/>
      <c r="I18" s="40"/>
      <c r="J18" s="40"/>
      <c r="K18" s="40"/>
      <c r="L18" s="40"/>
      <c r="M18" s="40"/>
      <c r="N18" s="40"/>
      <c r="O18" s="40"/>
      <c r="P18" s="274"/>
      <c r="Q18" s="274"/>
      <c r="R18" s="274"/>
      <c r="S18" s="477"/>
      <c r="T18" s="232"/>
      <c r="U18" s="479" t="s">
        <v>574</v>
      </c>
      <c r="V18" s="483">
        <f>'Coeficientes de Controle'!C32+Principal!D17</f>
        <v>2.583</v>
      </c>
      <c r="W18" s="239"/>
      <c r="X18" s="153"/>
      <c r="Y18" s="153"/>
      <c r="Z18" s="153"/>
      <c r="AA18" s="153"/>
      <c r="AB18" s="153"/>
    </row>
    <row r="19" spans="2:51" ht="13.5" thickBot="1">
      <c r="B19" s="561"/>
      <c r="C19" s="27" t="s">
        <v>567</v>
      </c>
      <c r="D19" s="466">
        <v>0</v>
      </c>
      <c r="E19" s="508" t="s">
        <v>981</v>
      </c>
      <c r="F19" s="509">
        <v>2</v>
      </c>
      <c r="G19" s="515"/>
      <c r="H19" s="40"/>
      <c r="I19" s="40"/>
      <c r="J19" s="40"/>
      <c r="K19" s="40"/>
      <c r="L19" s="40"/>
      <c r="M19" s="40"/>
      <c r="N19" s="40"/>
      <c r="O19" s="40"/>
      <c r="P19" s="274"/>
      <c r="Q19" s="274"/>
      <c r="R19" s="274"/>
      <c r="S19" s="477"/>
      <c r="T19" s="232"/>
      <c r="U19" s="481" t="s">
        <v>497</v>
      </c>
      <c r="V19" s="484">
        <f>'Dados Geométricos'!L84+Principal!D16</f>
        <v>46</v>
      </c>
      <c r="W19" s="496"/>
      <c r="X19" s="153">
        <v>-0.16675750876691137</v>
      </c>
      <c r="Y19" s="153">
        <v>-0.038332085513919104</v>
      </c>
      <c r="Z19" s="153">
        <v>0.0900933377390731</v>
      </c>
      <c r="AA19" s="153">
        <v>0.2185187609920653</v>
      </c>
      <c r="AB19" s="153">
        <v>0.34694418424505746</v>
      </c>
      <c r="AD19" s="154" t="s">
        <v>966</v>
      </c>
      <c r="AE19" s="377">
        <f aca="true" t="shared" si="13" ref="AE19:AI21">X19</f>
        <v>-0.16675750876691137</v>
      </c>
      <c r="AF19" s="377">
        <f t="shared" si="13"/>
        <v>-0.038332085513919104</v>
      </c>
      <c r="AG19" s="377">
        <f t="shared" si="13"/>
        <v>0.0900933377390731</v>
      </c>
      <c r="AH19" s="377">
        <f t="shared" si="13"/>
        <v>0.2185187609920653</v>
      </c>
      <c r="AI19" s="377">
        <f t="shared" si="13"/>
        <v>0.34694418424505746</v>
      </c>
      <c r="AJ19" s="377"/>
      <c r="AK19" s="20" t="str">
        <f aca="true" t="shared" si="14" ref="AK19:AO20">CONCATENATE(FIXED(AE19,3),",")</f>
        <v>-0,167,</v>
      </c>
      <c r="AL19" s="20" t="str">
        <f t="shared" si="14"/>
        <v>-0,038,</v>
      </c>
      <c r="AM19" s="20" t="str">
        <f t="shared" si="14"/>
        <v>0,090,</v>
      </c>
      <c r="AN19" s="20" t="str">
        <f t="shared" si="14"/>
        <v>0,219,</v>
      </c>
      <c r="AO19" s="20" t="str">
        <f t="shared" si="14"/>
        <v>0,347,</v>
      </c>
      <c r="AP19" s="20"/>
      <c r="AQ19" s="70" t="str">
        <f t="shared" si="2"/>
        <v>     X</v>
      </c>
      <c r="AR19" s="20" t="str">
        <f aca="true" t="shared" si="15" ref="AR19:AV21">IF(LEN(AK19)=7,CONCATENATE(" ",AK19),IF(LEN(AK19)=6,CONCATENATE("  ",AK19),IF(LEN(AK19)=5,CONCATENATE("   ",AK19),IF(LEN(AK19)=4,CONCATENATE("   ",AK19)))))</f>
        <v> -0,167,</v>
      </c>
      <c r="AS19" s="20" t="str">
        <f t="shared" si="15"/>
        <v> -0,038,</v>
      </c>
      <c r="AT19" s="20" t="str">
        <f t="shared" si="15"/>
        <v>  0,090,</v>
      </c>
      <c r="AU19" s="20" t="str">
        <f t="shared" si="15"/>
        <v>  0,219,</v>
      </c>
      <c r="AV19" s="20" t="str">
        <f t="shared" si="15"/>
        <v>  0,347,</v>
      </c>
      <c r="AW19" s="20" t="s">
        <v>967</v>
      </c>
      <c r="AX19" s="152"/>
      <c r="AY19" s="152" t="str">
        <f>CONCATENATE(AQ19,AR19,AS19,AT19,AU19,AV19,AW19)</f>
        <v>     X -0,167, -0,038,  0,090,  0,219,  0,347,!FLAP = 0</v>
      </c>
    </row>
    <row r="20" spans="2:51" ht="13.5" thickBot="1">
      <c r="B20" s="563" t="s">
        <v>910</v>
      </c>
      <c r="C20" s="564"/>
      <c r="D20" s="565"/>
      <c r="E20" s="508" t="s">
        <v>988</v>
      </c>
      <c r="F20" s="511" t="s">
        <v>866</v>
      </c>
      <c r="G20" s="516"/>
      <c r="H20" s="40"/>
      <c r="I20" s="40"/>
      <c r="J20" s="40"/>
      <c r="K20" s="40"/>
      <c r="L20" s="40"/>
      <c r="M20" s="40"/>
      <c r="N20" s="40"/>
      <c r="O20" s="40"/>
      <c r="P20" s="274"/>
      <c r="Q20" s="274"/>
      <c r="R20" s="274"/>
      <c r="S20" s="477"/>
      <c r="T20" s="232"/>
      <c r="X20" s="153">
        <v>-0.16675750876691137</v>
      </c>
      <c r="Y20" s="153">
        <v>-0.038332085513919104</v>
      </c>
      <c r="Z20" s="153">
        <v>0.0900933377390731</v>
      </c>
      <c r="AA20" s="153">
        <v>0.2185187609920653</v>
      </c>
      <c r="AB20" s="153">
        <v>0.34694418424505746</v>
      </c>
      <c r="AD20" s="154" t="s">
        <v>968</v>
      </c>
      <c r="AE20" s="377">
        <f t="shared" si="13"/>
        <v>-0.16675750876691137</v>
      </c>
      <c r="AF20" s="377">
        <f t="shared" si="13"/>
        <v>-0.038332085513919104</v>
      </c>
      <c r="AG20" s="377">
        <f t="shared" si="13"/>
        <v>0.0900933377390731</v>
      </c>
      <c r="AH20" s="377">
        <f t="shared" si="13"/>
        <v>0.2185187609920653</v>
      </c>
      <c r="AI20" s="377">
        <f t="shared" si="13"/>
        <v>0.34694418424505746</v>
      </c>
      <c r="AJ20" s="377"/>
      <c r="AK20" s="20" t="str">
        <f t="shared" si="14"/>
        <v>-0,167,</v>
      </c>
      <c r="AL20" s="20" t="str">
        <f t="shared" si="14"/>
        <v>-0,038,</v>
      </c>
      <c r="AM20" s="20" t="str">
        <f t="shared" si="14"/>
        <v>0,090,</v>
      </c>
      <c r="AN20" s="20" t="str">
        <f t="shared" si="14"/>
        <v>0,219,</v>
      </c>
      <c r="AO20" s="20" t="str">
        <f t="shared" si="14"/>
        <v>0,347,</v>
      </c>
      <c r="AP20" s="20"/>
      <c r="AQ20" s="70" t="str">
        <f t="shared" si="2"/>
        <v>     X</v>
      </c>
      <c r="AR20" s="20" t="str">
        <f t="shared" si="15"/>
        <v> -0,167,</v>
      </c>
      <c r="AS20" s="20" t="str">
        <f t="shared" si="15"/>
        <v> -0,038,</v>
      </c>
      <c r="AT20" s="20" t="str">
        <f t="shared" si="15"/>
        <v>  0,090,</v>
      </c>
      <c r="AU20" s="20" t="str">
        <f t="shared" si="15"/>
        <v>  0,219,</v>
      </c>
      <c r="AV20" s="20" t="str">
        <f t="shared" si="15"/>
        <v>  0,347,</v>
      </c>
      <c r="AW20" s="20" t="s">
        <v>969</v>
      </c>
      <c r="AX20" s="152"/>
      <c r="AY20" s="152" t="str">
        <f>CONCATENATE(AQ20,AR20,AS20,AT20,AU20,AV20,AW20)</f>
        <v>     X -0,167, -0,038,  0,090,  0,219,  0,347,!FLAP = 20</v>
      </c>
    </row>
    <row r="21" spans="2:51" ht="12.75">
      <c r="B21" s="558" t="s">
        <v>699</v>
      </c>
      <c r="C21" s="559"/>
      <c r="D21" s="459">
        <f>'Coeficientes de Flapes e Slats'!E13</f>
        <v>35</v>
      </c>
      <c r="E21" s="508" t="s">
        <v>989</v>
      </c>
      <c r="F21" s="509" t="s">
        <v>866</v>
      </c>
      <c r="G21" s="515"/>
      <c r="H21" s="40"/>
      <c r="I21" s="40"/>
      <c r="J21" s="40"/>
      <c r="K21" s="40"/>
      <c r="L21" s="40"/>
      <c r="M21" s="40"/>
      <c r="N21" s="40"/>
      <c r="O21" s="40"/>
      <c r="P21" s="274"/>
      <c r="Q21" s="274"/>
      <c r="R21" s="274"/>
      <c r="S21" s="477"/>
      <c r="T21" s="232"/>
      <c r="X21" s="153">
        <v>-0.16675750876691137</v>
      </c>
      <c r="Y21" s="153">
        <v>-0.038332085513919104</v>
      </c>
      <c r="Z21" s="153">
        <v>0.0900933377390731</v>
      </c>
      <c r="AA21" s="153">
        <v>0.2185187609920653</v>
      </c>
      <c r="AB21" s="153">
        <v>0.34694418424505746</v>
      </c>
      <c r="AD21" s="154" t="s">
        <v>970</v>
      </c>
      <c r="AE21" s="377">
        <f t="shared" si="13"/>
        <v>-0.16675750876691137</v>
      </c>
      <c r="AF21" s="377">
        <f t="shared" si="13"/>
        <v>-0.038332085513919104</v>
      </c>
      <c r="AG21" s="377">
        <f t="shared" si="13"/>
        <v>0.0900933377390731</v>
      </c>
      <c r="AH21" s="377">
        <f t="shared" si="13"/>
        <v>0.2185187609920653</v>
      </c>
      <c r="AI21" s="377">
        <f t="shared" si="13"/>
        <v>0.34694418424505746</v>
      </c>
      <c r="AJ21" s="377"/>
      <c r="AK21" s="20" t="str">
        <f>CONCATENATE(FIXED(AE21,3),",")</f>
        <v>-0,167,</v>
      </c>
      <c r="AL21" s="20" t="str">
        <f>CONCATENATE(FIXED(AF21,3),",")</f>
        <v>-0,038,</v>
      </c>
      <c r="AM21" s="20" t="str">
        <f>CONCATENATE(FIXED(AG21,3),",")</f>
        <v>0,090,</v>
      </c>
      <c r="AN21" s="20" t="str">
        <f>CONCATENATE(FIXED(AH21,3),",")</f>
        <v>0,219,</v>
      </c>
      <c r="AO21" s="20" t="str">
        <f>CONCATENATE(FIXED(AI21,3),"/")</f>
        <v>0,347/</v>
      </c>
      <c r="AP21" s="20"/>
      <c r="AQ21" s="70" t="str">
        <f t="shared" si="2"/>
        <v>     X</v>
      </c>
      <c r="AR21" s="20" t="str">
        <f t="shared" si="15"/>
        <v> -0,167,</v>
      </c>
      <c r="AS21" s="20" t="str">
        <f t="shared" si="15"/>
        <v> -0,038,</v>
      </c>
      <c r="AT21" s="20" t="str">
        <f t="shared" si="15"/>
        <v>  0,090,</v>
      </c>
      <c r="AU21" s="20" t="str">
        <f t="shared" si="15"/>
        <v>  0,219,</v>
      </c>
      <c r="AV21" s="20" t="str">
        <f t="shared" si="15"/>
        <v>  0,347/</v>
      </c>
      <c r="AW21" s="20" t="s">
        <v>971</v>
      </c>
      <c r="AX21" s="152"/>
      <c r="AY21" s="152" t="str">
        <f>CONCATENATE(AQ21,AR21,AS21,AT21,AU21,AV21,AW21)</f>
        <v>     X -0,167, -0,038,  0,090,  0,219,  0,347/!FLAP = 35</v>
      </c>
    </row>
    <row r="22" spans="2:20" ht="13.5" thickBot="1">
      <c r="B22" s="558" t="s">
        <v>703</v>
      </c>
      <c r="C22" s="559"/>
      <c r="D22" s="460">
        <f>'Coeficientes de Flapes e Slats'!E34</f>
        <v>35</v>
      </c>
      <c r="E22" s="508" t="s">
        <v>990</v>
      </c>
      <c r="F22" s="512" t="s">
        <v>866</v>
      </c>
      <c r="G22" s="517"/>
      <c r="H22" s="40"/>
      <c r="I22" s="40"/>
      <c r="J22" s="40"/>
      <c r="K22" s="40"/>
      <c r="L22" s="40"/>
      <c r="M22" s="40"/>
      <c r="N22" s="40"/>
      <c r="O22" s="40"/>
      <c r="P22" s="274"/>
      <c r="Q22" s="274"/>
      <c r="R22" s="274"/>
      <c r="S22" s="477"/>
      <c r="T22" s="232"/>
    </row>
    <row r="23" spans="2:20" ht="21.75" customHeight="1" thickBot="1">
      <c r="B23" s="531" t="s">
        <v>902</v>
      </c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3"/>
      <c r="T23" s="271"/>
    </row>
    <row r="24" spans="2:19" ht="13.5" customHeight="1" thickBot="1">
      <c r="B24" s="560" t="s">
        <v>904</v>
      </c>
      <c r="C24" s="474" t="s">
        <v>330</v>
      </c>
      <c r="D24" s="475" t="s">
        <v>331</v>
      </c>
      <c r="E24" s="476" t="s">
        <v>332</v>
      </c>
      <c r="F24" s="468"/>
      <c r="G24" s="560" t="s">
        <v>901</v>
      </c>
      <c r="H24" s="468" t="s">
        <v>330</v>
      </c>
      <c r="I24" s="469" t="s">
        <v>331</v>
      </c>
      <c r="J24" s="498" t="s">
        <v>332</v>
      </c>
      <c r="K24" s="500" t="s">
        <v>792</v>
      </c>
      <c r="L24" s="469" t="s">
        <v>331</v>
      </c>
      <c r="M24" s="498" t="s">
        <v>332</v>
      </c>
      <c r="N24" s="500"/>
      <c r="O24" s="560" t="s">
        <v>907</v>
      </c>
      <c r="P24" s="474" t="s">
        <v>330</v>
      </c>
      <c r="Q24" s="475" t="s">
        <v>331</v>
      </c>
      <c r="R24" s="476" t="s">
        <v>332</v>
      </c>
      <c r="S24" s="468"/>
    </row>
    <row r="25" spans="2:42" ht="13.5" customHeight="1">
      <c r="B25" s="560"/>
      <c r="C25" s="587" t="s">
        <v>93</v>
      </c>
      <c r="D25" s="404" t="s">
        <v>202</v>
      </c>
      <c r="E25" s="405" t="e">
        <f>'Coeficientes Longitudinais'!M6</f>
        <v>#NAME?</v>
      </c>
      <c r="F25" s="186" t="s">
        <v>463</v>
      </c>
      <c r="G25" s="560"/>
      <c r="H25" s="528" t="s">
        <v>93</v>
      </c>
      <c r="I25" s="38" t="s">
        <v>94</v>
      </c>
      <c r="J25" s="499" t="e">
        <f>'Coeficientes Latero-Direcionais'!G20</f>
        <v>#NAME?</v>
      </c>
      <c r="K25" s="165" t="s">
        <v>463</v>
      </c>
      <c r="L25" s="39" t="s">
        <v>11</v>
      </c>
      <c r="M25" s="499" t="e">
        <f>'Coeficientes Latero-Direcionais'!I17+'Coeficientes Latero-Direcionais'!M13</f>
        <v>#NAME?</v>
      </c>
      <c r="N25" s="165" t="s">
        <v>463</v>
      </c>
      <c r="O25" s="560"/>
      <c r="P25" s="587" t="s">
        <v>351</v>
      </c>
      <c r="Q25" s="39" t="s">
        <v>915</v>
      </c>
      <c r="R25" s="371" t="e">
        <f>'Coeficientes de Controle'!C12</f>
        <v>#NAME?</v>
      </c>
      <c r="S25" s="478" t="s">
        <v>463</v>
      </c>
      <c r="X25" s="161">
        <v>0.0647375476391554</v>
      </c>
      <c r="Y25" s="161">
        <v>0.011854962869179482</v>
      </c>
      <c r="Z25" s="377">
        <v>-0.01777874781025124</v>
      </c>
      <c r="AB25" s="153">
        <v>-0.41469318037793956</v>
      </c>
      <c r="AC25" s="153">
        <v>-0.1336185486561288</v>
      </c>
      <c r="AD25" s="153">
        <v>0.02388669341934236</v>
      </c>
      <c r="AE25" s="153"/>
      <c r="AF25" s="153">
        <v>0.07014782124710357</v>
      </c>
      <c r="AG25" s="153">
        <v>0.017284314868623342</v>
      </c>
      <c r="AH25" s="153">
        <v>-0.012338704889849731</v>
      </c>
      <c r="AI25" s="495">
        <v>-10</v>
      </c>
      <c r="AJ25" s="153">
        <v>-0.017305249245062576</v>
      </c>
      <c r="AK25" s="153">
        <v>-0.011901148992789065</v>
      </c>
      <c r="AL25" s="153">
        <v>-0.011895395240499434</v>
      </c>
      <c r="AM25" s="153"/>
      <c r="AN25" s="153">
        <v>-0.16675750876691137</v>
      </c>
      <c r="AO25" s="153">
        <v>-0.16675750876691137</v>
      </c>
      <c r="AP25" s="153">
        <v>-0.16675750876691137</v>
      </c>
    </row>
    <row r="26" spans="2:42" ht="12.75">
      <c r="B26" s="560"/>
      <c r="C26" s="588"/>
      <c r="D26" s="246" t="s">
        <v>204</v>
      </c>
      <c r="E26" s="160" t="e">
        <f>(Principal!D7-E27)*E25</f>
        <v>#NAME?</v>
      </c>
      <c r="F26" s="186" t="s">
        <v>463</v>
      </c>
      <c r="G26" s="560"/>
      <c r="H26" s="529"/>
      <c r="I26" s="25" t="s">
        <v>95</v>
      </c>
      <c r="J26" s="318" t="e">
        <f>'Coeficientes Latero-Direcionais'!G21</f>
        <v>#NAME?</v>
      </c>
      <c r="K26" s="165" t="s">
        <v>463</v>
      </c>
      <c r="L26" s="20" t="s">
        <v>10</v>
      </c>
      <c r="M26" s="318" t="e">
        <f>'Coeficientes Latero-Direcionais'!I18+'Coeficientes Latero-Direcionais'!M14</f>
        <v>#NAME?</v>
      </c>
      <c r="N26" s="165" t="s">
        <v>463</v>
      </c>
      <c r="O26" s="560"/>
      <c r="P26" s="588"/>
      <c r="Q26" s="20" t="s">
        <v>916</v>
      </c>
      <c r="R26" s="372" t="e">
        <f>'Coeficientes de Controle'!C28</f>
        <v>#NAME?</v>
      </c>
      <c r="S26" s="186" t="s">
        <v>463</v>
      </c>
      <c r="X26" s="161">
        <v>0.02599110028094862</v>
      </c>
      <c r="Y26" s="161">
        <v>-0.026891484489027298</v>
      </c>
      <c r="Z26" s="377">
        <v>-0.05652519516845802</v>
      </c>
      <c r="AB26" s="153">
        <v>-0.1751215456202814</v>
      </c>
      <c r="AC26" s="153">
        <v>0.10595308610152937</v>
      </c>
      <c r="AD26" s="153">
        <v>0.2634583281770005</v>
      </c>
      <c r="AE26" s="153"/>
      <c r="AF26" s="153">
        <v>0.025090049350246706</v>
      </c>
      <c r="AG26" s="153">
        <v>-0.027773457028233528</v>
      </c>
      <c r="AH26" s="153">
        <v>-0.0573964767867066</v>
      </c>
      <c r="AI26" s="495">
        <v>-5</v>
      </c>
      <c r="AJ26" s="153">
        <v>-0.012264056357193236</v>
      </c>
      <c r="AK26" s="153">
        <v>-0.01275265357304076</v>
      </c>
      <c r="AL26" s="153">
        <v>-0.016048979184898525</v>
      </c>
      <c r="AM26" s="153"/>
      <c r="AN26" s="153">
        <v>-0.038332085513919104</v>
      </c>
      <c r="AO26" s="153">
        <v>-0.038332085513919104</v>
      </c>
      <c r="AP26" s="153">
        <v>-0.038332085513919104</v>
      </c>
    </row>
    <row r="27" spans="2:42" ht="12.75">
      <c r="B27" s="560"/>
      <c r="C27" s="588"/>
      <c r="D27" s="246" t="s">
        <v>209</v>
      </c>
      <c r="E27" s="393" t="e">
        <f>'Coeficientes Longitudinais'!E17</f>
        <v>#NAME?</v>
      </c>
      <c r="F27" s="462" t="s">
        <v>43</v>
      </c>
      <c r="G27" s="560"/>
      <c r="H27" s="529"/>
      <c r="I27" s="25" t="s">
        <v>96</v>
      </c>
      <c r="J27" s="318" t="e">
        <f>'Coeficientes Latero-Direcionais'!G22</f>
        <v>#NAME?</v>
      </c>
      <c r="K27" s="165" t="s">
        <v>463</v>
      </c>
      <c r="L27" s="20" t="s">
        <v>12</v>
      </c>
      <c r="M27" s="318" t="e">
        <f>'Coeficientes Latero-Direcionais'!O14+'Coeficientes Latero-Direcionais'!M15</f>
        <v>#NAME?</v>
      </c>
      <c r="N27" s="165" t="s">
        <v>463</v>
      </c>
      <c r="O27" s="560"/>
      <c r="P27" s="588"/>
      <c r="Q27" s="20" t="s">
        <v>917</v>
      </c>
      <c r="R27" s="372" t="e">
        <f>'Coeficientes de Controle'!O19</f>
        <v>#NAME?</v>
      </c>
      <c r="S27" s="186" t="s">
        <v>463</v>
      </c>
      <c r="X27" s="161">
        <v>-0.012755347077258155</v>
      </c>
      <c r="Y27" s="161">
        <v>-0.06563793184723407</v>
      </c>
      <c r="Z27" s="377">
        <v>-0.09527164252666478</v>
      </c>
      <c r="AB27" s="153">
        <v>0.06445008913737676</v>
      </c>
      <c r="AC27" s="153">
        <v>0.3455247208591875</v>
      </c>
      <c r="AD27" s="153">
        <v>0.5030299629346586</v>
      </c>
      <c r="AE27" s="153"/>
      <c r="AF27" s="153">
        <v>-0.019967722546610164</v>
      </c>
      <c r="AG27" s="153">
        <v>-0.0728312289250904</v>
      </c>
      <c r="AH27" s="153">
        <v>-0.10245424868356348</v>
      </c>
      <c r="AI27" s="495">
        <v>0</v>
      </c>
      <c r="AJ27" s="153">
        <v>-0.012245455358610087</v>
      </c>
      <c r="AK27" s="153">
        <v>-0.018626750042578653</v>
      </c>
      <c r="AL27" s="153">
        <v>-0.025225155018583814</v>
      </c>
      <c r="AM27" s="153"/>
      <c r="AN27" s="153">
        <v>0.0900933377390731</v>
      </c>
      <c r="AO27" s="153">
        <v>0.0900933377390731</v>
      </c>
      <c r="AP27" s="153">
        <v>0.0900933377390731</v>
      </c>
    </row>
    <row r="28" spans="2:42" ht="12.75">
      <c r="B28" s="560"/>
      <c r="C28" s="588"/>
      <c r="D28" s="246" t="s">
        <v>203</v>
      </c>
      <c r="E28" s="160" t="e">
        <f>'Coeficientes Longitudinais'!M29+'Coeficientes de Flapes e Slats'!C42</f>
        <v>#NAME?</v>
      </c>
      <c r="F28" s="186" t="s">
        <v>49</v>
      </c>
      <c r="G28" s="560"/>
      <c r="H28" s="529"/>
      <c r="I28" s="147"/>
      <c r="J28" s="192"/>
      <c r="K28" s="164"/>
      <c r="L28" s="20" t="s">
        <v>56</v>
      </c>
      <c r="M28" s="501">
        <f>'Coeficientes Latero-Direcionais'!C19</f>
        <v>-0.05935942249095501</v>
      </c>
      <c r="N28" s="403" t="s">
        <v>463</v>
      </c>
      <c r="O28" s="560"/>
      <c r="P28" s="588"/>
      <c r="Q28" s="20" t="s">
        <v>918</v>
      </c>
      <c r="R28" s="372" t="e">
        <f>'Coeficientes de Controle'!O24</f>
        <v>#NAME?</v>
      </c>
      <c r="S28" s="186" t="s">
        <v>463</v>
      </c>
      <c r="X28" s="161">
        <v>-0.05150179443546493</v>
      </c>
      <c r="Y28" s="161">
        <v>-0.10438437920544086</v>
      </c>
      <c r="Z28" s="377">
        <v>-0.13401808988487157</v>
      </c>
      <c r="AB28" s="153">
        <v>0.3040217238950349</v>
      </c>
      <c r="AC28" s="153">
        <v>0.5850963556168457</v>
      </c>
      <c r="AD28" s="153">
        <v>0.7426015976923168</v>
      </c>
      <c r="AE28" s="153"/>
      <c r="AF28" s="153">
        <v>-0.06502549444346704</v>
      </c>
      <c r="AG28" s="153">
        <v>-0.11788900082194727</v>
      </c>
      <c r="AH28" s="153">
        <v>-0.14751202058042034</v>
      </c>
      <c r="AI28" s="495">
        <v>5</v>
      </c>
      <c r="AJ28" s="153">
        <v>-0.01724944624931313</v>
      </c>
      <c r="AK28" s="153">
        <v>-0.029523438401402737</v>
      </c>
      <c r="AL28" s="153">
        <v>-0.03942392274155529</v>
      </c>
      <c r="AM28" s="153"/>
      <c r="AN28" s="153">
        <v>0.2185187609920653</v>
      </c>
      <c r="AO28" s="153">
        <v>0.2185187609920653</v>
      </c>
      <c r="AP28" s="153">
        <v>0.2185187609920653</v>
      </c>
    </row>
    <row r="29" spans="2:42" ht="12.75">
      <c r="B29" s="560"/>
      <c r="C29" s="588"/>
      <c r="D29" s="246" t="s">
        <v>144</v>
      </c>
      <c r="E29" s="165" t="e">
        <f>-E28*E25/57.3</f>
        <v>#NAME?</v>
      </c>
      <c r="F29" s="186" t="s">
        <v>43</v>
      </c>
      <c r="G29" s="560"/>
      <c r="H29" s="529"/>
      <c r="I29" s="147"/>
      <c r="J29" s="192"/>
      <c r="K29" s="164"/>
      <c r="L29" s="20" t="s">
        <v>57</v>
      </c>
      <c r="M29" s="318" t="e">
        <f>'Coeficientes Latero-Direcionais'!C13+'Coeficientes Latero-Direcionais'!C20</f>
        <v>#NAME?</v>
      </c>
      <c r="N29" s="165" t="s">
        <v>463</v>
      </c>
      <c r="O29" s="560"/>
      <c r="P29" s="588"/>
      <c r="Q29" s="20" t="s">
        <v>919</v>
      </c>
      <c r="R29" s="372" t="e">
        <f>R27+'Coeficientes de Controle'!S26</f>
        <v>#NAME?</v>
      </c>
      <c r="S29" s="186" t="s">
        <v>463</v>
      </c>
      <c r="X29" s="161">
        <v>-0.09024824179367172</v>
      </c>
      <c r="Y29" s="161">
        <v>-0.14313082656364762</v>
      </c>
      <c r="Z29" s="377">
        <v>-0.17276453724307836</v>
      </c>
      <c r="AB29" s="153">
        <v>0.5435933586526931</v>
      </c>
      <c r="AC29" s="153">
        <v>0.8246679903745038</v>
      </c>
      <c r="AD29" s="153">
        <v>0.9821732324499749</v>
      </c>
      <c r="AE29" s="153"/>
      <c r="AF29" s="153">
        <v>-0.11008326634032391</v>
      </c>
      <c r="AG29" s="153">
        <v>-0.16294677271880412</v>
      </c>
      <c r="AH29" s="153">
        <v>-0.1925697924772772</v>
      </c>
      <c r="AI29" s="495">
        <v>10</v>
      </c>
      <c r="AJ29" s="153">
        <v>-0.02727602902930237</v>
      </c>
      <c r="AK29" s="153">
        <v>-0.04544271864951301</v>
      </c>
      <c r="AL29" s="153">
        <v>-0.058645282353812965</v>
      </c>
      <c r="AM29" s="153"/>
      <c r="AN29" s="153">
        <v>0.34694418424505746</v>
      </c>
      <c r="AO29" s="153">
        <v>0.34694418424505746</v>
      </c>
      <c r="AP29" s="153">
        <v>0.34694418424505746</v>
      </c>
    </row>
    <row r="30" spans="2:19" ht="13.5" thickBot="1">
      <c r="B30" s="560"/>
      <c r="C30" s="588"/>
      <c r="D30" s="246" t="s">
        <v>724</v>
      </c>
      <c r="E30" s="160" t="e">
        <f>'Coeficientes Longitudinais'!M30-'Coeficientes Longitudinais'!$M$29*E26/57.3+'Coeficientes de Flapes e Slats'!E48</f>
        <v>#NAME?</v>
      </c>
      <c r="F30" s="186" t="s">
        <v>43</v>
      </c>
      <c r="G30" s="560"/>
      <c r="H30" s="530"/>
      <c r="I30" s="148"/>
      <c r="J30" s="193"/>
      <c r="K30" s="167"/>
      <c r="L30" s="22" t="s">
        <v>58</v>
      </c>
      <c r="M30" s="502" t="e">
        <f>'Coeficientes Latero-Direcionais'!E21</f>
        <v>#NAME?</v>
      </c>
      <c r="N30" s="165" t="s">
        <v>463</v>
      </c>
      <c r="O30" s="560"/>
      <c r="P30" s="588"/>
      <c r="Q30" s="20" t="s">
        <v>920</v>
      </c>
      <c r="R30" s="372" t="e">
        <f>R28+'Coeficientes de Controle'!S27</f>
        <v>#NAME?</v>
      </c>
      <c r="S30" s="186" t="s">
        <v>463</v>
      </c>
    </row>
    <row r="31" spans="2:19" ht="13.5" thickBot="1">
      <c r="B31" s="560"/>
      <c r="C31" s="589"/>
      <c r="D31" s="20" t="s">
        <v>725</v>
      </c>
      <c r="E31" s="165" t="e">
        <f>E30+E28*E26/57.3</f>
        <v>#NAME?</v>
      </c>
      <c r="F31" s="186" t="s">
        <v>43</v>
      </c>
      <c r="G31" s="560"/>
      <c r="H31" s="528" t="s">
        <v>495</v>
      </c>
      <c r="I31" s="38" t="s">
        <v>94</v>
      </c>
      <c r="J31" s="518">
        <v>0</v>
      </c>
      <c r="K31" s="165" t="s">
        <v>463</v>
      </c>
      <c r="L31" s="39" t="s">
        <v>11</v>
      </c>
      <c r="M31" s="499">
        <v>0</v>
      </c>
      <c r="N31" s="264" t="s">
        <v>463</v>
      </c>
      <c r="O31" s="560"/>
      <c r="P31" s="589"/>
      <c r="Q31" s="20" t="s">
        <v>921</v>
      </c>
      <c r="R31" s="373" t="e">
        <f>'Coeficientes de Controle'!Q10</f>
        <v>#NAME?</v>
      </c>
      <c r="S31" s="187" t="s">
        <v>463</v>
      </c>
    </row>
    <row r="32" spans="2:19" ht="12.75">
      <c r="B32" s="560"/>
      <c r="C32" s="587" t="s">
        <v>495</v>
      </c>
      <c r="D32" s="39" t="s">
        <v>668</v>
      </c>
      <c r="E32" s="264" t="e">
        <f>E34/(1-E33)</f>
        <v>#NAME?</v>
      </c>
      <c r="F32" s="478" t="s">
        <v>463</v>
      </c>
      <c r="G32" s="560"/>
      <c r="H32" s="529"/>
      <c r="I32" s="25" t="s">
        <v>95</v>
      </c>
      <c r="J32" s="519">
        <v>0</v>
      </c>
      <c r="K32" s="165" t="s">
        <v>463</v>
      </c>
      <c r="L32" s="20" t="s">
        <v>10</v>
      </c>
      <c r="M32" s="318">
        <v>0</v>
      </c>
      <c r="N32" s="165" t="s">
        <v>463</v>
      </c>
      <c r="O32" s="560"/>
      <c r="P32" s="587" t="s">
        <v>434</v>
      </c>
      <c r="Q32" s="137" t="s">
        <v>915</v>
      </c>
      <c r="R32" s="374" t="e">
        <f>'Coeficientes de Controle'!C51</f>
        <v>#NAME?</v>
      </c>
      <c r="S32" s="478" t="s">
        <v>463</v>
      </c>
    </row>
    <row r="33" spans="2:19" ht="12.75">
      <c r="B33" s="560"/>
      <c r="C33" s="588"/>
      <c r="D33" s="20" t="s">
        <v>205</v>
      </c>
      <c r="E33" s="165" t="e">
        <f>'Coeficientes Longitudinais'!G8</f>
        <v>#NAME?</v>
      </c>
      <c r="F33" s="186" t="s">
        <v>43</v>
      </c>
      <c r="G33" s="560"/>
      <c r="H33" s="529"/>
      <c r="I33" s="25" t="s">
        <v>96</v>
      </c>
      <c r="J33" s="519">
        <v>0</v>
      </c>
      <c r="K33" s="165" t="s">
        <v>463</v>
      </c>
      <c r="L33" s="20" t="s">
        <v>12</v>
      </c>
      <c r="M33" s="318">
        <v>0</v>
      </c>
      <c r="N33" s="165" t="s">
        <v>463</v>
      </c>
      <c r="O33" s="560"/>
      <c r="P33" s="588"/>
      <c r="Q33" s="21" t="s">
        <v>916</v>
      </c>
      <c r="R33" s="372" t="e">
        <f>'Coeficientes de Controle'!C67</f>
        <v>#NAME?</v>
      </c>
      <c r="S33" s="186" t="s">
        <v>463</v>
      </c>
    </row>
    <row r="34" spans="2:19" ht="12.75">
      <c r="B34" s="560"/>
      <c r="C34" s="588"/>
      <c r="D34" s="20" t="s">
        <v>202</v>
      </c>
      <c r="E34" s="165" t="e">
        <f>'Coeficientes Longitudinais'!G25</f>
        <v>#NAME?</v>
      </c>
      <c r="F34" s="186" t="s">
        <v>463</v>
      </c>
      <c r="G34" s="560"/>
      <c r="H34" s="529"/>
      <c r="I34" s="147"/>
      <c r="J34" s="192"/>
      <c r="K34" s="164"/>
      <c r="L34" s="20" t="s">
        <v>56</v>
      </c>
      <c r="M34" s="318">
        <v>0</v>
      </c>
      <c r="N34" s="403" t="s">
        <v>463</v>
      </c>
      <c r="O34" s="560"/>
      <c r="P34" s="588"/>
      <c r="Q34" s="20" t="s">
        <v>919</v>
      </c>
      <c r="R34" s="372" t="e">
        <f>'Coeficientes de Controle'!O45</f>
        <v>#NAME?</v>
      </c>
      <c r="S34" s="186" t="s">
        <v>463</v>
      </c>
    </row>
    <row r="35" spans="2:19" ht="12.75" customHeight="1">
      <c r="B35" s="560"/>
      <c r="C35" s="588"/>
      <c r="D35" s="20" t="s">
        <v>204</v>
      </c>
      <c r="E35" s="165" t="e">
        <f>'Coeficientes Longitudinais'!G26</f>
        <v>#NAME?</v>
      </c>
      <c r="F35" s="186" t="s">
        <v>463</v>
      </c>
      <c r="G35" s="560"/>
      <c r="H35" s="529"/>
      <c r="I35" s="147"/>
      <c r="J35" s="192"/>
      <c r="K35" s="164"/>
      <c r="L35" s="20" t="s">
        <v>57</v>
      </c>
      <c r="M35" s="318">
        <v>0</v>
      </c>
      <c r="N35" s="165" t="s">
        <v>463</v>
      </c>
      <c r="O35" s="560"/>
      <c r="P35" s="588"/>
      <c r="Q35" s="20" t="s">
        <v>920</v>
      </c>
      <c r="R35" s="372" t="e">
        <f>'Coeficientes de Controle'!O50</f>
        <v>#NAME?</v>
      </c>
      <c r="S35" s="186" t="s">
        <v>463</v>
      </c>
    </row>
    <row r="36" spans="2:20" ht="12.75" customHeight="1" thickBot="1">
      <c r="B36" s="560"/>
      <c r="C36" s="588"/>
      <c r="D36" s="20" t="s">
        <v>534</v>
      </c>
      <c r="E36" s="165" t="e">
        <f>'Coeficientes Longitudinais'!G9</f>
        <v>#NAME?</v>
      </c>
      <c r="F36" s="186" t="s">
        <v>49</v>
      </c>
      <c r="G36" s="560"/>
      <c r="H36" s="530"/>
      <c r="I36" s="148"/>
      <c r="J36" s="193"/>
      <c r="K36" s="167"/>
      <c r="L36" s="22" t="s">
        <v>58</v>
      </c>
      <c r="M36" s="502">
        <v>0</v>
      </c>
      <c r="N36" s="293" t="s">
        <v>463</v>
      </c>
      <c r="O36" s="560"/>
      <c r="P36" s="588"/>
      <c r="Q36" s="20" t="s">
        <v>921</v>
      </c>
      <c r="R36" s="372" t="e">
        <f>'Coeficientes de Controle'!Q36</f>
        <v>#NAME?</v>
      </c>
      <c r="S36" s="186" t="s">
        <v>463</v>
      </c>
      <c r="T36" s="272"/>
    </row>
    <row r="37" spans="2:28" ht="13.5" customHeight="1">
      <c r="B37" s="560"/>
      <c r="C37" s="588"/>
      <c r="D37" s="20" t="s">
        <v>702</v>
      </c>
      <c r="E37" s="165" t="e">
        <f>'Coeficientes Longitudinais'!G28</f>
        <v>#NAME?</v>
      </c>
      <c r="F37" s="186" t="s">
        <v>43</v>
      </c>
      <c r="G37" s="560"/>
      <c r="H37" s="528" t="s">
        <v>494</v>
      </c>
      <c r="I37" s="38" t="s">
        <v>94</v>
      </c>
      <c r="J37" s="499" t="e">
        <f>J25+J31</f>
        <v>#NAME?</v>
      </c>
      <c r="K37" s="165" t="s">
        <v>463</v>
      </c>
      <c r="L37" s="39" t="s">
        <v>11</v>
      </c>
      <c r="M37" s="499" t="e">
        <f aca="true" t="shared" si="16" ref="M37:M42">M25+M31</f>
        <v>#NAME?</v>
      </c>
      <c r="N37" s="165" t="s">
        <v>463</v>
      </c>
      <c r="O37" s="560"/>
      <c r="P37" s="588"/>
      <c r="Q37" s="21" t="s">
        <v>533</v>
      </c>
      <c r="R37" s="372" t="e">
        <f>'Coeficientes de Controle'!C52</f>
        <v>#NAME?</v>
      </c>
      <c r="S37" s="186" t="s">
        <v>463</v>
      </c>
      <c r="T37" s="172"/>
      <c r="X37" s="154">
        <v>0.032</v>
      </c>
      <c r="Y37" s="154">
        <v>0.01</v>
      </c>
      <c r="Z37" s="154">
        <v>-0.008</v>
      </c>
      <c r="AA37" s="154">
        <v>-0.017</v>
      </c>
      <c r="AB37" s="154">
        <v>-0.02</v>
      </c>
    </row>
    <row r="38" spans="2:52" ht="12.75" customHeight="1" thickBot="1">
      <c r="B38" s="560"/>
      <c r="C38" s="589"/>
      <c r="D38" s="22" t="s">
        <v>697</v>
      </c>
      <c r="E38" s="293" t="e">
        <f>'Coeficientes Longitudinais'!G29</f>
        <v>#NAME?</v>
      </c>
      <c r="F38" s="187" t="s">
        <v>43</v>
      </c>
      <c r="G38" s="560"/>
      <c r="H38" s="529"/>
      <c r="I38" s="25" t="s">
        <v>95</v>
      </c>
      <c r="J38" s="318" t="e">
        <f>J26+J32</f>
        <v>#NAME?</v>
      </c>
      <c r="K38" s="165" t="s">
        <v>463</v>
      </c>
      <c r="L38" s="20" t="s">
        <v>10</v>
      </c>
      <c r="M38" s="318" t="e">
        <f t="shared" si="16"/>
        <v>#NAME?</v>
      </c>
      <c r="N38" s="165" t="s">
        <v>463</v>
      </c>
      <c r="O38" s="560"/>
      <c r="P38" s="588"/>
      <c r="Q38" s="21" t="s">
        <v>644</v>
      </c>
      <c r="R38" s="375" t="e">
        <f>'Coeficientes de Controle'!C68</f>
        <v>#NAME?</v>
      </c>
      <c r="S38" s="186" t="s">
        <v>463</v>
      </c>
      <c r="T38" s="172"/>
      <c r="X38" s="154">
        <v>0.032</v>
      </c>
      <c r="AZ38" s="343"/>
    </row>
    <row r="39" spans="2:24" ht="12.75">
      <c r="B39" s="560"/>
      <c r="C39" s="528" t="s">
        <v>494</v>
      </c>
      <c r="D39" s="20" t="s">
        <v>202</v>
      </c>
      <c r="E39" s="165" t="e">
        <f>E25+E34</f>
        <v>#NAME?</v>
      </c>
      <c r="F39" s="186" t="s">
        <v>463</v>
      </c>
      <c r="G39" s="560"/>
      <c r="H39" s="529"/>
      <c r="I39" s="25" t="s">
        <v>96</v>
      </c>
      <c r="J39" s="318" t="e">
        <f>J27+J33</f>
        <v>#NAME?</v>
      </c>
      <c r="K39" s="165" t="s">
        <v>463</v>
      </c>
      <c r="L39" s="20" t="s">
        <v>12</v>
      </c>
      <c r="M39" s="318" t="e">
        <f t="shared" si="16"/>
        <v>#NAME?</v>
      </c>
      <c r="N39" s="165" t="s">
        <v>463</v>
      </c>
      <c r="O39" s="560"/>
      <c r="P39" s="588"/>
      <c r="Q39" s="21" t="s">
        <v>559</v>
      </c>
      <c r="R39" s="375" t="e">
        <f>'Coeficientes de Controle'!C55</f>
        <v>#NAME?</v>
      </c>
      <c r="S39" s="186" t="s">
        <v>463</v>
      </c>
      <c r="T39" s="172"/>
      <c r="X39" s="154">
        <v>0.01</v>
      </c>
    </row>
    <row r="40" spans="2:24" ht="12.75" customHeight="1" thickBot="1">
      <c r="B40" s="560"/>
      <c r="C40" s="529"/>
      <c r="D40" s="20" t="s">
        <v>204</v>
      </c>
      <c r="E40" s="165" t="e">
        <f>E25*(Principal!D7-E27)+E35</f>
        <v>#NAME?</v>
      </c>
      <c r="F40" s="186" t="s">
        <v>463</v>
      </c>
      <c r="G40" s="560"/>
      <c r="H40" s="529"/>
      <c r="I40" s="147"/>
      <c r="J40" s="192"/>
      <c r="K40" s="164"/>
      <c r="L40" s="20" t="s">
        <v>56</v>
      </c>
      <c r="M40" s="318">
        <f t="shared" si="16"/>
        <v>-0.05935942249095501</v>
      </c>
      <c r="N40" s="403" t="s">
        <v>463</v>
      </c>
      <c r="O40" s="560"/>
      <c r="P40" s="589"/>
      <c r="Q40" s="23" t="s">
        <v>565</v>
      </c>
      <c r="R40" s="376" t="e">
        <f>'Coeficientes de Controle'!C56</f>
        <v>#NAME?</v>
      </c>
      <c r="S40" s="187" t="s">
        <v>463</v>
      </c>
      <c r="T40" s="172"/>
      <c r="X40" s="154">
        <v>-0.008</v>
      </c>
    </row>
    <row r="41" spans="2:24" ht="13.5" customHeight="1">
      <c r="B41" s="560"/>
      <c r="C41" s="529"/>
      <c r="D41" s="20" t="s">
        <v>209</v>
      </c>
      <c r="E41" s="165" t="e">
        <f>Principal!D7-E40/E39</f>
        <v>#NAME?</v>
      </c>
      <c r="F41" s="186" t="s">
        <v>43</v>
      </c>
      <c r="G41" s="560"/>
      <c r="H41" s="529"/>
      <c r="I41" s="147"/>
      <c r="J41" s="192"/>
      <c r="K41" s="164"/>
      <c r="L41" s="20" t="s">
        <v>57</v>
      </c>
      <c r="M41" s="318" t="e">
        <f t="shared" si="16"/>
        <v>#NAME?</v>
      </c>
      <c r="N41" s="165" t="s">
        <v>463</v>
      </c>
      <c r="O41" s="560"/>
      <c r="P41" s="587" t="s">
        <v>433</v>
      </c>
      <c r="Q41" s="20" t="s">
        <v>917</v>
      </c>
      <c r="R41" s="372" t="e">
        <f>'Coeficientes de Controle'!O85</f>
        <v>#NAME?</v>
      </c>
      <c r="S41" s="160" t="s">
        <v>463</v>
      </c>
      <c r="T41" s="172"/>
      <c r="X41" s="154">
        <v>-0.017</v>
      </c>
    </row>
    <row r="42" spans="2:24" ht="13.5" customHeight="1" thickBot="1">
      <c r="B42" s="560"/>
      <c r="C42" s="529"/>
      <c r="D42" s="246" t="s">
        <v>203</v>
      </c>
      <c r="E42" s="160" t="e">
        <f>-E43/E39*57.3</f>
        <v>#NAME?</v>
      </c>
      <c r="F42" s="186" t="s">
        <v>49</v>
      </c>
      <c r="G42" s="560"/>
      <c r="H42" s="530"/>
      <c r="I42" s="148"/>
      <c r="J42" s="193"/>
      <c r="K42" s="167"/>
      <c r="L42" s="22" t="s">
        <v>58</v>
      </c>
      <c r="M42" s="502" t="e">
        <f t="shared" si="16"/>
        <v>#NAME?</v>
      </c>
      <c r="N42" s="165" t="s">
        <v>463</v>
      </c>
      <c r="O42" s="560"/>
      <c r="P42" s="588"/>
      <c r="Q42" s="20" t="s">
        <v>918</v>
      </c>
      <c r="R42" s="372" t="e">
        <f>'Coeficientes de Controle'!$O$90</f>
        <v>#NAME?</v>
      </c>
      <c r="S42" s="160" t="s">
        <v>463</v>
      </c>
      <c r="X42" s="154">
        <v>-0.02</v>
      </c>
    </row>
    <row r="43" spans="2:19" ht="12.75" customHeight="1">
      <c r="B43" s="560"/>
      <c r="C43" s="529"/>
      <c r="D43" s="246" t="s">
        <v>144</v>
      </c>
      <c r="E43" s="160" t="e">
        <f>E29+E37</f>
        <v>#NAME?</v>
      </c>
      <c r="F43" s="186" t="s">
        <v>43</v>
      </c>
      <c r="G43" s="560"/>
      <c r="H43" s="528" t="s">
        <v>900</v>
      </c>
      <c r="I43" s="38" t="s">
        <v>94</v>
      </c>
      <c r="J43" s="499" t="e">
        <f>'Coeficientes Latero-Direcionais'!K38</f>
        <v>#NAME?</v>
      </c>
      <c r="K43" s="165" t="s">
        <v>463</v>
      </c>
      <c r="L43" s="39" t="s">
        <v>11</v>
      </c>
      <c r="M43" s="499" t="e">
        <f>2*$J$43*('Coeficientes Latero-Direcionais'!$K$34*COS(Principal!D4/57.3)-'Coeficientes Latero-Direcionais'!$K$35*SIN(Principal!D4/57.3)-Principal!$D$8/'Dados Geométricos'!$E$13)</f>
        <v>#NAME?</v>
      </c>
      <c r="N43" s="264" t="s">
        <v>463</v>
      </c>
      <c r="O43" s="560"/>
      <c r="P43" s="588"/>
      <c r="Q43" s="20" t="s">
        <v>919</v>
      </c>
      <c r="R43" s="375" t="e">
        <f>$R$41+'Coeficientes de Controle'!$S$92</f>
        <v>#NAME?</v>
      </c>
      <c r="S43" s="160" t="s">
        <v>463</v>
      </c>
    </row>
    <row r="44" spans="2:19" ht="12.75" customHeight="1">
      <c r="B44" s="560"/>
      <c r="C44" s="529"/>
      <c r="D44" s="246" t="s">
        <v>724</v>
      </c>
      <c r="E44" s="160" t="e">
        <f>E30+E38</f>
        <v>#NAME?</v>
      </c>
      <c r="F44" s="186" t="s">
        <v>43</v>
      </c>
      <c r="G44" s="560"/>
      <c r="H44" s="529"/>
      <c r="I44" s="25" t="s">
        <v>95</v>
      </c>
      <c r="J44" s="318" t="e">
        <f>'Coeficientes Latero-Direcionais'!K39</f>
        <v>#NAME?</v>
      </c>
      <c r="K44" s="165" t="s">
        <v>463</v>
      </c>
      <c r="L44" s="20" t="s">
        <v>10</v>
      </c>
      <c r="M44" s="318" t="e">
        <f>-$M$43*('Coeficientes Latero-Direcionais'!$K$35*COS(Principal!$D$4*PI()/180)+'Coeficientes Latero-Direcionais'!$K$34*SIN(Principal!$D$4*PI()/180))</f>
        <v>#NAME?</v>
      </c>
      <c r="N44" s="165" t="s">
        <v>463</v>
      </c>
      <c r="O44" s="560"/>
      <c r="P44" s="588"/>
      <c r="Q44" s="20" t="s">
        <v>920</v>
      </c>
      <c r="R44" s="375" t="e">
        <f>$R$42+'Coeficientes de Controle'!$S$93</f>
        <v>#NAME?</v>
      </c>
      <c r="S44" s="160" t="s">
        <v>463</v>
      </c>
    </row>
    <row r="45" spans="2:19" ht="12.75" customHeight="1" thickBot="1">
      <c r="B45" s="560"/>
      <c r="C45" s="530"/>
      <c r="D45" s="20" t="s">
        <v>725</v>
      </c>
      <c r="E45" s="165" t="e">
        <f>E44+E42*E40/57.3</f>
        <v>#NAME?</v>
      </c>
      <c r="F45" s="186" t="s">
        <v>43</v>
      </c>
      <c r="G45" s="560"/>
      <c r="H45" s="529"/>
      <c r="I45" s="25" t="s">
        <v>96</v>
      </c>
      <c r="J45" s="318" t="e">
        <f>'Coeficientes Latero-Direcionais'!K40</f>
        <v>#NAME?</v>
      </c>
      <c r="K45" s="165" t="s">
        <v>463</v>
      </c>
      <c r="L45" s="20" t="s">
        <v>12</v>
      </c>
      <c r="M45" s="318" t="e">
        <f>$M$43*('Coeficientes Latero-Direcionais'!$K$34*COS(Principal!$D$4/57.3)-'Coeficientes Latero-Direcionais'!$K$35*SIN(Principal!$D$4/57.3))</f>
        <v>#NAME?</v>
      </c>
      <c r="N45" s="165" t="s">
        <v>463</v>
      </c>
      <c r="O45" s="560"/>
      <c r="P45" s="588"/>
      <c r="Q45" s="20" t="s">
        <v>921</v>
      </c>
      <c r="R45" s="372" t="e">
        <f>'Coeficientes de Controle'!$Q$76</f>
        <v>#NAME?</v>
      </c>
      <c r="S45" s="160" t="s">
        <v>463</v>
      </c>
    </row>
    <row r="46" spans="2:19" ht="11.25" customHeight="1">
      <c r="B46" s="560"/>
      <c r="C46" s="528" t="s">
        <v>349</v>
      </c>
      <c r="D46" s="39" t="s">
        <v>159</v>
      </c>
      <c r="E46" s="264" t="e">
        <f>'Coeficientes Longitudinais'!C35</f>
        <v>#NAME?</v>
      </c>
      <c r="F46" s="478" t="s">
        <v>463</v>
      </c>
      <c r="G46" s="560"/>
      <c r="H46" s="529"/>
      <c r="I46" s="25" t="s">
        <v>922</v>
      </c>
      <c r="J46" s="318" t="e">
        <f>'Coeficientes Latero-Direcionais'!K15</f>
        <v>#NAME?</v>
      </c>
      <c r="K46" s="165" t="s">
        <v>463</v>
      </c>
      <c r="L46" s="20" t="s">
        <v>56</v>
      </c>
      <c r="M46" s="318" t="e">
        <f>-2*$J$43*('Coeficientes Latero-Direcionais'!$K$35*COS(Principal!$D$4/57.3)+'Coeficientes Latero-Direcionais'!K34*SIN(Principal!$D$4/57.3))</f>
        <v>#NAME?</v>
      </c>
      <c r="N46" s="403" t="s">
        <v>463</v>
      </c>
      <c r="O46" s="560"/>
      <c r="P46" s="588"/>
      <c r="Q46" s="21" t="s">
        <v>532</v>
      </c>
      <c r="R46" s="375" t="e">
        <f>'Coeficientes de Controle'!$C$90/2*'Dados Geométricos'!$E$44</f>
        <v>#NAME?</v>
      </c>
      <c r="S46" s="160" t="s">
        <v>463</v>
      </c>
    </row>
    <row r="47" spans="2:19" ht="13.5" thickBot="1">
      <c r="B47" s="560"/>
      <c r="C47" s="529"/>
      <c r="D47" s="20" t="s">
        <v>205</v>
      </c>
      <c r="E47" s="165" t="e">
        <f>'Coeficientes Longitudinais'!I31</f>
        <v>#NAME?</v>
      </c>
      <c r="F47" s="186" t="s">
        <v>43</v>
      </c>
      <c r="G47" s="560"/>
      <c r="H47" s="529"/>
      <c r="I47" s="25" t="s">
        <v>923</v>
      </c>
      <c r="J47" s="318" t="e">
        <f>'Coeficientes Latero-Direcionais'!K16</f>
        <v>#NAME?</v>
      </c>
      <c r="K47" s="165" t="s">
        <v>463</v>
      </c>
      <c r="L47" s="20" t="s">
        <v>57</v>
      </c>
      <c r="M47" s="318" t="e">
        <f>-$M$46*('Coeficientes Latero-Direcionais'!$K$35*COS(Principal!$D$4*PI()/180)+'Coeficientes Latero-Direcionais'!$K$34*SIN(Principal!$D$4*PI()/180))</f>
        <v>#NAME?</v>
      </c>
      <c r="N47" s="165" t="s">
        <v>463</v>
      </c>
      <c r="O47" s="560"/>
      <c r="P47" s="588"/>
      <c r="Q47" s="21" t="s">
        <v>643</v>
      </c>
      <c r="R47" s="302" t="s">
        <v>333</v>
      </c>
      <c r="S47" s="160" t="s">
        <v>463</v>
      </c>
    </row>
    <row r="48" spans="2:19" ht="13.5" customHeight="1" thickBot="1">
      <c r="B48" s="560"/>
      <c r="C48" s="529"/>
      <c r="D48" s="20" t="s">
        <v>534</v>
      </c>
      <c r="E48" s="165" t="e">
        <f>'Coeficientes Longitudinais'!I33+'Coeficientes de Flapes e Slats'!G21</f>
        <v>#NAME?</v>
      </c>
      <c r="F48" s="186" t="s">
        <v>49</v>
      </c>
      <c r="G48" s="560"/>
      <c r="H48" s="530"/>
      <c r="I48" s="148"/>
      <c r="J48" s="193"/>
      <c r="K48" s="167"/>
      <c r="L48" s="22" t="s">
        <v>58</v>
      </c>
      <c r="M48" s="502" t="e">
        <f>$M$46*('Coeficientes Latero-Direcionais'!$K$34*COS(Principal!$D$4/57.3)-'Coeficientes Latero-Direcionais'!$K$35*SIN(Principal!$D$4/57.3))</f>
        <v>#NAME?</v>
      </c>
      <c r="N48" s="293" t="s">
        <v>463</v>
      </c>
      <c r="O48" s="543"/>
      <c r="P48" s="544"/>
      <c r="Q48" s="544"/>
      <c r="R48" s="544"/>
      <c r="S48" s="545"/>
    </row>
    <row r="49" spans="2:19" ht="13.5" customHeight="1">
      <c r="B49" s="560"/>
      <c r="C49" s="529"/>
      <c r="D49" s="20" t="s">
        <v>202</v>
      </c>
      <c r="E49" s="165" t="e">
        <f>'Coeficientes Longitudinais'!C41</f>
        <v>#NAME?</v>
      </c>
      <c r="F49" s="186" t="s">
        <v>463</v>
      </c>
      <c r="G49" s="560"/>
      <c r="H49" s="528" t="s">
        <v>211</v>
      </c>
      <c r="I49" s="25" t="s">
        <v>94</v>
      </c>
      <c r="J49" s="318" t="e">
        <f>J37+J43</f>
        <v>#NAME?</v>
      </c>
      <c r="K49" s="165" t="s">
        <v>463</v>
      </c>
      <c r="L49" s="20" t="s">
        <v>11</v>
      </c>
      <c r="M49" s="318" t="e">
        <f aca="true" t="shared" si="17" ref="M49:M54">M37+M43</f>
        <v>#NAME?</v>
      </c>
      <c r="N49" s="165" t="s">
        <v>463</v>
      </c>
      <c r="O49" s="546"/>
      <c r="P49" s="547"/>
      <c r="Q49" s="547"/>
      <c r="R49" s="547"/>
      <c r="S49" s="548"/>
    </row>
    <row r="50" spans="2:19" ht="12.75" customHeight="1">
      <c r="B50" s="560"/>
      <c r="C50" s="529"/>
      <c r="D50" s="20" t="s">
        <v>210</v>
      </c>
      <c r="E50" s="165">
        <f>('Coeficientes Longitudinais'!C36+(0.25-Principal!D7)*'Dados Geométricos'!E14)*'Coeficientes Longitudinais'!C26/('Dados Geométricos'!E12*'Dados Geométricos'!E14)</f>
        <v>0.810611523996661</v>
      </c>
      <c r="F50" s="186" t="s">
        <v>43</v>
      </c>
      <c r="G50" s="560"/>
      <c r="H50" s="529"/>
      <c r="I50" s="25" t="s">
        <v>95</v>
      </c>
      <c r="J50" s="318" t="e">
        <f>J38+J44</f>
        <v>#NAME?</v>
      </c>
      <c r="K50" s="165" t="s">
        <v>463</v>
      </c>
      <c r="L50" s="20" t="s">
        <v>10</v>
      </c>
      <c r="M50" s="318" t="e">
        <f t="shared" si="17"/>
        <v>#NAME?</v>
      </c>
      <c r="N50" s="165" t="s">
        <v>463</v>
      </c>
      <c r="O50" s="546"/>
      <c r="P50" s="547"/>
      <c r="Q50" s="547"/>
      <c r="R50" s="547"/>
      <c r="S50" s="548"/>
    </row>
    <row r="51" spans="2:19" ht="12.75" customHeight="1" thickBot="1">
      <c r="B51" s="560"/>
      <c r="C51" s="530"/>
      <c r="D51" s="22" t="s">
        <v>204</v>
      </c>
      <c r="E51" s="293" t="e">
        <f>-E50*E46*(1-E47)</f>
        <v>#NAME?</v>
      </c>
      <c r="F51" s="187" t="s">
        <v>463</v>
      </c>
      <c r="G51" s="560"/>
      <c r="H51" s="529"/>
      <c r="I51" s="25" t="s">
        <v>96</v>
      </c>
      <c r="J51" s="318" t="e">
        <f>J39+J45</f>
        <v>#NAME?</v>
      </c>
      <c r="K51" s="165" t="s">
        <v>463</v>
      </c>
      <c r="L51" s="20" t="s">
        <v>12</v>
      </c>
      <c r="M51" s="318" t="e">
        <f t="shared" si="17"/>
        <v>#NAME?</v>
      </c>
      <c r="N51" s="165" t="s">
        <v>463</v>
      </c>
      <c r="O51" s="546"/>
      <c r="P51" s="547"/>
      <c r="Q51" s="547"/>
      <c r="R51" s="547"/>
      <c r="S51" s="548"/>
    </row>
    <row r="52" spans="2:20" ht="12.75" customHeight="1">
      <c r="B52" s="560"/>
      <c r="C52" s="528" t="s">
        <v>211</v>
      </c>
      <c r="D52" s="39" t="s">
        <v>202</v>
      </c>
      <c r="E52" s="264" t="e">
        <f>E25+E49+E34</f>
        <v>#NAME?</v>
      </c>
      <c r="F52" s="186" t="s">
        <v>463</v>
      </c>
      <c r="G52" s="560"/>
      <c r="H52" s="529"/>
      <c r="I52" s="147"/>
      <c r="J52" s="192"/>
      <c r="K52" s="164"/>
      <c r="L52" s="20" t="s">
        <v>56</v>
      </c>
      <c r="M52" s="318" t="e">
        <f t="shared" si="17"/>
        <v>#NAME?</v>
      </c>
      <c r="N52" s="403" t="s">
        <v>463</v>
      </c>
      <c r="O52" s="546"/>
      <c r="P52" s="547"/>
      <c r="Q52" s="547"/>
      <c r="R52" s="547"/>
      <c r="S52" s="548"/>
      <c r="T52" s="172"/>
    </row>
    <row r="53" spans="2:20" ht="12.75">
      <c r="B53" s="560"/>
      <c r="C53" s="529"/>
      <c r="D53" s="20" t="s">
        <v>204</v>
      </c>
      <c r="E53" s="165" t="e">
        <f>E25*(Principal!D7-E27)+E51+E35</f>
        <v>#NAME?</v>
      </c>
      <c r="F53" s="186" t="s">
        <v>463</v>
      </c>
      <c r="G53" s="560"/>
      <c r="H53" s="529"/>
      <c r="I53" s="147"/>
      <c r="J53" s="192"/>
      <c r="K53" s="164"/>
      <c r="L53" s="20" t="s">
        <v>57</v>
      </c>
      <c r="M53" s="318" t="e">
        <f t="shared" si="17"/>
        <v>#NAME?</v>
      </c>
      <c r="N53" s="165" t="s">
        <v>463</v>
      </c>
      <c r="O53" s="546"/>
      <c r="P53" s="547"/>
      <c r="Q53" s="547"/>
      <c r="R53" s="547"/>
      <c r="S53" s="548"/>
      <c r="T53" s="172"/>
    </row>
    <row r="54" spans="2:20" ht="13.5" thickBot="1">
      <c r="B54" s="561"/>
      <c r="C54" s="530"/>
      <c r="D54" s="22" t="s">
        <v>440</v>
      </c>
      <c r="E54" s="458" t="e">
        <f>Principal!D7-E53/E52</f>
        <v>#NAME?</v>
      </c>
      <c r="F54" s="187" t="s">
        <v>43</v>
      </c>
      <c r="G54" s="561"/>
      <c r="H54" s="530"/>
      <c r="I54" s="148"/>
      <c r="J54" s="193"/>
      <c r="K54" s="167"/>
      <c r="L54" s="22" t="s">
        <v>58</v>
      </c>
      <c r="M54" s="502" t="e">
        <f t="shared" si="17"/>
        <v>#NAME?</v>
      </c>
      <c r="N54" s="293" t="s">
        <v>463</v>
      </c>
      <c r="O54" s="549"/>
      <c r="P54" s="550"/>
      <c r="Q54" s="550"/>
      <c r="R54" s="550"/>
      <c r="S54" s="551"/>
      <c r="T54" s="172"/>
    </row>
    <row r="55" spans="2:27" ht="12.75">
      <c r="B55" s="452"/>
      <c r="C55" s="73"/>
      <c r="D55" s="73"/>
      <c r="E55" s="73"/>
      <c r="F55" s="73"/>
      <c r="G55" s="451"/>
      <c r="H55" s="451"/>
      <c r="I55" s="451"/>
      <c r="J55" s="451"/>
      <c r="K55" s="451"/>
      <c r="L55" s="451"/>
      <c r="M55" s="451"/>
      <c r="N55" s="451"/>
      <c r="O55" s="451"/>
      <c r="T55" s="172"/>
      <c r="U55" s="339"/>
      <c r="V55" s="339"/>
      <c r="W55" s="339"/>
      <c r="X55" s="493"/>
      <c r="Y55" s="493"/>
      <c r="Z55" s="493"/>
      <c r="AA55" s="493"/>
    </row>
    <row r="56" spans="2:27" ht="12.75">
      <c r="B56" s="453"/>
      <c r="C56" s="453"/>
      <c r="D56" s="453"/>
      <c r="E56" s="73"/>
      <c r="F56" s="73"/>
      <c r="G56" s="451"/>
      <c r="H56" s="451"/>
      <c r="I56" s="451"/>
      <c r="J56" s="451"/>
      <c r="K56" s="451"/>
      <c r="L56" s="451"/>
      <c r="M56" s="451"/>
      <c r="N56" s="451"/>
      <c r="O56" s="451"/>
      <c r="P56" s="18"/>
      <c r="Q56" s="18"/>
      <c r="R56" s="18"/>
      <c r="S56" s="18"/>
      <c r="T56" s="172"/>
      <c r="U56" s="339"/>
      <c r="V56" s="339"/>
      <c r="W56" s="339"/>
      <c r="X56" s="493"/>
      <c r="Y56" s="493"/>
      <c r="Z56" s="493"/>
      <c r="AA56" s="493"/>
    </row>
    <row r="57" spans="2:27" ht="13.5" customHeight="1">
      <c r="B57" s="453"/>
      <c r="C57" s="453"/>
      <c r="D57" s="453"/>
      <c r="E57" s="73"/>
      <c r="F57" s="73"/>
      <c r="G57" s="451"/>
      <c r="H57" s="451"/>
      <c r="I57" s="451"/>
      <c r="J57" s="451"/>
      <c r="K57" s="451"/>
      <c r="L57" s="451"/>
      <c r="M57" s="451"/>
      <c r="N57" s="451"/>
      <c r="O57" s="451"/>
      <c r="P57" s="18"/>
      <c r="Q57" s="18"/>
      <c r="R57" s="18"/>
      <c r="S57" s="18"/>
      <c r="T57" s="172"/>
      <c r="U57" s="339"/>
      <c r="V57" s="339"/>
      <c r="W57" s="339"/>
      <c r="X57" s="493"/>
      <c r="Y57" s="493"/>
      <c r="Z57" s="493"/>
      <c r="AA57" s="493"/>
    </row>
    <row r="58" spans="2:27" ht="12.75">
      <c r="B58" s="453"/>
      <c r="C58" s="453"/>
      <c r="D58" s="453"/>
      <c r="E58" s="73"/>
      <c r="F58" s="73"/>
      <c r="G58" s="451"/>
      <c r="H58" s="451"/>
      <c r="I58" s="451"/>
      <c r="J58" s="451"/>
      <c r="K58" s="451"/>
      <c r="L58" s="451"/>
      <c r="M58" s="451"/>
      <c r="N58" s="451"/>
      <c r="O58" s="451"/>
      <c r="P58" s="18"/>
      <c r="Q58" s="18"/>
      <c r="R58" s="362"/>
      <c r="S58" s="18"/>
      <c r="T58" s="172"/>
      <c r="U58" s="339"/>
      <c r="V58" s="339"/>
      <c r="W58" s="339"/>
      <c r="X58" s="493"/>
      <c r="Y58" s="493"/>
      <c r="Z58" s="493"/>
      <c r="AA58" s="493"/>
    </row>
    <row r="59" spans="2:27" ht="12.75">
      <c r="B59" s="454"/>
      <c r="C59" s="455"/>
      <c r="D59" s="455"/>
      <c r="E59" s="73"/>
      <c r="F59" s="73"/>
      <c r="G59" s="451"/>
      <c r="H59" s="451"/>
      <c r="N59" s="451"/>
      <c r="T59" s="172"/>
      <c r="U59" s="339"/>
      <c r="V59" s="339"/>
      <c r="W59" s="339"/>
      <c r="X59" s="493"/>
      <c r="Y59" s="493"/>
      <c r="Z59" s="493"/>
      <c r="AA59" s="493"/>
    </row>
    <row r="60" spans="2:27" ht="12.75">
      <c r="B60" s="455"/>
      <c r="C60" s="455"/>
      <c r="D60" s="455"/>
      <c r="E60" s="73"/>
      <c r="F60" s="73"/>
      <c r="G60" s="73"/>
      <c r="H60" s="73"/>
      <c r="I60" s="18"/>
      <c r="J60" s="18"/>
      <c r="K60" s="18"/>
      <c r="L60" s="18"/>
      <c r="M60" s="18"/>
      <c r="N60" s="451"/>
      <c r="O60" s="18"/>
      <c r="P60" s="18"/>
      <c r="Q60" s="18"/>
      <c r="R60" s="172"/>
      <c r="S60" s="172"/>
      <c r="T60" s="172"/>
      <c r="U60" s="339"/>
      <c r="V60" s="339"/>
      <c r="W60" s="339"/>
      <c r="X60" s="493"/>
      <c r="Y60" s="493"/>
      <c r="Z60" s="493"/>
      <c r="AA60" s="493"/>
    </row>
    <row r="61" spans="4:31" ht="12.75">
      <c r="D61" s="456"/>
      <c r="E61" s="356"/>
      <c r="F61" s="356"/>
      <c r="G61" s="73"/>
      <c r="H61" s="73"/>
      <c r="N61" s="362"/>
      <c r="O61" s="416"/>
      <c r="P61" s="416"/>
      <c r="Q61" s="416"/>
      <c r="R61" s="18"/>
      <c r="S61" s="18"/>
      <c r="AB61" s="20"/>
      <c r="AC61" s="73"/>
      <c r="AD61" s="73"/>
      <c r="AE61" s="73"/>
    </row>
    <row r="62" spans="4:31" ht="12.75">
      <c r="D62" s="457"/>
      <c r="E62" s="266"/>
      <c r="F62" s="266"/>
      <c r="G62" s="20"/>
      <c r="H62" s="139"/>
      <c r="N62" s="362"/>
      <c r="O62" s="18"/>
      <c r="P62" s="18"/>
      <c r="Q62" s="18"/>
      <c r="R62" s="18"/>
      <c r="S62" s="18"/>
      <c r="AB62" s="20"/>
      <c r="AC62" s="73"/>
      <c r="AD62" s="73"/>
      <c r="AE62" s="73"/>
    </row>
    <row r="63" spans="4:30" ht="12.75">
      <c r="D63" s="457"/>
      <c r="E63" s="266"/>
      <c r="F63" s="266"/>
      <c r="H63" s="362"/>
      <c r="N63" s="362"/>
      <c r="O63" s="18"/>
      <c r="T63" s="232"/>
      <c r="AA63" s="20"/>
      <c r="AB63" s="20"/>
      <c r="AC63" s="73"/>
      <c r="AD63" s="73"/>
    </row>
    <row r="64" spans="4:30" ht="12.75">
      <c r="D64" s="457"/>
      <c r="E64" s="266"/>
      <c r="F64" s="266"/>
      <c r="T64" s="232"/>
      <c r="AA64" s="20"/>
      <c r="AB64" s="20"/>
      <c r="AC64" s="73"/>
      <c r="AD64" s="73"/>
    </row>
    <row r="65" spans="4:30" ht="12.75">
      <c r="D65" s="457"/>
      <c r="E65" s="266"/>
      <c r="F65" s="266"/>
      <c r="T65" s="232"/>
      <c r="AA65" s="20"/>
      <c r="AB65" s="20"/>
      <c r="AC65" s="73"/>
      <c r="AD65" s="73"/>
    </row>
    <row r="66" spans="4:30" ht="12.75">
      <c r="D66" s="457"/>
      <c r="E66" s="266"/>
      <c r="F66" s="266"/>
      <c r="T66" s="232"/>
      <c r="AA66" s="20"/>
      <c r="AB66" s="20"/>
      <c r="AC66" s="73"/>
      <c r="AD66" s="73"/>
    </row>
    <row r="67" spans="4:31" ht="12.75">
      <c r="D67" s="457"/>
      <c r="E67" s="266"/>
      <c r="F67" s="266"/>
      <c r="AB67" s="20"/>
      <c r="AC67" s="73"/>
      <c r="AD67" s="73"/>
      <c r="AE67" s="73"/>
    </row>
    <row r="68" spans="4:31" ht="12.75">
      <c r="D68" s="457"/>
      <c r="E68" s="266"/>
      <c r="F68" s="266"/>
      <c r="AB68" s="20"/>
      <c r="AC68" s="73"/>
      <c r="AD68" s="73"/>
      <c r="AE68" s="73"/>
    </row>
    <row r="69" spans="4:31" ht="12.75">
      <c r="D69" s="457"/>
      <c r="E69" s="266"/>
      <c r="F69" s="266"/>
      <c r="AB69" s="20"/>
      <c r="AC69" s="73"/>
      <c r="AD69" s="73"/>
      <c r="AE69" s="73"/>
    </row>
    <row r="70" spans="4:31" ht="12.75" customHeight="1">
      <c r="D70" s="457"/>
      <c r="E70" s="266"/>
      <c r="F70" s="266"/>
      <c r="AB70" s="20"/>
      <c r="AC70" s="73"/>
      <c r="AD70" s="73"/>
      <c r="AE70" s="73"/>
    </row>
    <row r="71" spans="4:31" ht="12.75">
      <c r="D71" s="457"/>
      <c r="E71" s="266"/>
      <c r="F71" s="266"/>
      <c r="AB71" s="20"/>
      <c r="AC71" s="73"/>
      <c r="AD71" s="73"/>
      <c r="AE71" s="73"/>
    </row>
    <row r="72" spans="4:31" ht="12.75">
      <c r="D72" s="457"/>
      <c r="E72" s="266"/>
      <c r="F72" s="266"/>
      <c r="AB72" s="20"/>
      <c r="AC72" s="73"/>
      <c r="AD72" s="73"/>
      <c r="AE72" s="73"/>
    </row>
    <row r="73" spans="4:31" ht="12.75">
      <c r="D73" s="457"/>
      <c r="E73" s="266"/>
      <c r="F73" s="266"/>
      <c r="AB73" s="20"/>
      <c r="AC73" s="73"/>
      <c r="AD73" s="73"/>
      <c r="AE73" s="73"/>
    </row>
    <row r="74" spans="4:31" ht="12.75">
      <c r="D74" s="457"/>
      <c r="E74" s="266"/>
      <c r="F74" s="266"/>
      <c r="AB74" s="20"/>
      <c r="AC74" s="73"/>
      <c r="AD74" s="73"/>
      <c r="AE74" s="73"/>
    </row>
    <row r="75" spans="4:31" ht="12.75">
      <c r="D75" s="457"/>
      <c r="E75" s="266"/>
      <c r="F75" s="266"/>
      <c r="AB75" s="20"/>
      <c r="AC75" s="73"/>
      <c r="AD75" s="73"/>
      <c r="AE75" s="73"/>
    </row>
    <row r="76" spans="4:6" ht="12.75">
      <c r="D76" s="457"/>
      <c r="E76" s="266"/>
      <c r="F76" s="266"/>
    </row>
    <row r="77" spans="4:6" ht="12.75">
      <c r="D77" s="457"/>
      <c r="E77" s="266"/>
      <c r="F77" s="266"/>
    </row>
    <row r="78" spans="2:6" ht="12.75">
      <c r="B78" s="457"/>
      <c r="C78" s="457"/>
      <c r="D78" s="457"/>
      <c r="E78" s="266"/>
      <c r="F78" s="266"/>
    </row>
    <row r="79" spans="2:4" ht="12.75">
      <c r="B79" s="457"/>
      <c r="C79" s="457"/>
      <c r="D79" s="457"/>
    </row>
    <row r="80" spans="2:4" ht="12.75">
      <c r="B80" s="457"/>
      <c r="C80" s="457"/>
      <c r="D80" s="457"/>
    </row>
    <row r="81" spans="2:4" ht="12.75">
      <c r="B81" s="457"/>
      <c r="C81" s="457"/>
      <c r="D81" s="457"/>
    </row>
  </sheetData>
  <sheetProtection/>
  <mergeCells count="33">
    <mergeCell ref="C25:C31"/>
    <mergeCell ref="C32:C38"/>
    <mergeCell ref="C39:C45"/>
    <mergeCell ref="C46:C51"/>
    <mergeCell ref="O24:O47"/>
    <mergeCell ref="P25:P31"/>
    <mergeCell ref="P32:P40"/>
    <mergeCell ref="P41:P47"/>
    <mergeCell ref="G24:G54"/>
    <mergeCell ref="H25:H30"/>
    <mergeCell ref="H31:H36"/>
    <mergeCell ref="H37:H42"/>
    <mergeCell ref="H43:H48"/>
    <mergeCell ref="H49:H54"/>
    <mergeCell ref="B22:C22"/>
    <mergeCell ref="O4:P4"/>
    <mergeCell ref="B2:S2"/>
    <mergeCell ref="O3:S3"/>
    <mergeCell ref="U3:V3"/>
    <mergeCell ref="O5:P5"/>
    <mergeCell ref="E3:G5"/>
    <mergeCell ref="B3:D3"/>
    <mergeCell ref="B4:B9"/>
    <mergeCell ref="C52:C54"/>
    <mergeCell ref="B23:S23"/>
    <mergeCell ref="H3:N5"/>
    <mergeCell ref="O48:S54"/>
    <mergeCell ref="Q4:S4"/>
    <mergeCell ref="Q5:S5"/>
    <mergeCell ref="B21:C21"/>
    <mergeCell ref="B24:B54"/>
    <mergeCell ref="B10:B19"/>
    <mergeCell ref="B20:D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23">
    <tabColor indexed="60"/>
  </sheetPr>
  <dimension ref="A1:P61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6384" width="9.140625" style="152" customWidth="1"/>
  </cols>
  <sheetData>
    <row r="1" spans="1:16" ht="13.5" thickBot="1">
      <c r="A1" s="632" t="s">
        <v>364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4"/>
    </row>
    <row r="2" spans="1:16" ht="13.5" thickBot="1">
      <c r="A2" s="720" t="s">
        <v>365</v>
      </c>
      <c r="B2" s="721"/>
      <c r="C2" s="721"/>
      <c r="D2" s="721"/>
      <c r="E2" s="721"/>
      <c r="F2" s="721"/>
      <c r="G2" s="721"/>
      <c r="H2" s="721"/>
      <c r="I2" s="721"/>
      <c r="J2" s="722"/>
      <c r="K2" s="598"/>
      <c r="L2" s="599"/>
      <c r="M2" s="599"/>
      <c r="N2" s="599"/>
      <c r="O2" s="599"/>
      <c r="P2" s="600"/>
    </row>
    <row r="3" spans="1:16" ht="13.5" thickBot="1">
      <c r="A3" s="54"/>
      <c r="B3" s="726" t="s">
        <v>356</v>
      </c>
      <c r="C3" s="727"/>
      <c r="D3" s="727"/>
      <c r="E3" s="727"/>
      <c r="F3" s="727"/>
      <c r="G3" s="727"/>
      <c r="H3" s="727"/>
      <c r="I3" s="727"/>
      <c r="J3" s="728"/>
      <c r="K3" s="601"/>
      <c r="L3" s="602"/>
      <c r="M3" s="602"/>
      <c r="N3" s="602"/>
      <c r="O3" s="602"/>
      <c r="P3" s="603"/>
    </row>
    <row r="4" spans="1:16" ht="12.75">
      <c r="A4" s="729" t="s">
        <v>357</v>
      </c>
      <c r="B4" s="34"/>
      <c r="C4" s="30">
        <v>0.1</v>
      </c>
      <c r="D4" s="30">
        <v>0.15</v>
      </c>
      <c r="E4" s="30">
        <v>0.2</v>
      </c>
      <c r="F4" s="30">
        <v>0.25</v>
      </c>
      <c r="G4" s="30">
        <v>0.3</v>
      </c>
      <c r="H4" s="30">
        <v>0.35</v>
      </c>
      <c r="I4" s="30">
        <v>0.4</v>
      </c>
      <c r="J4" s="31">
        <v>0.5</v>
      </c>
      <c r="K4" s="601"/>
      <c r="L4" s="602"/>
      <c r="M4" s="602"/>
      <c r="N4" s="602"/>
      <c r="O4" s="602"/>
      <c r="P4" s="603"/>
    </row>
    <row r="5" spans="1:16" ht="12.75">
      <c r="A5" s="729"/>
      <c r="B5" s="35">
        <v>0</v>
      </c>
      <c r="C5" s="33">
        <v>0.34519</v>
      </c>
      <c r="D5" s="33">
        <v>0.42963</v>
      </c>
      <c r="E5" s="33">
        <v>0.50074</v>
      </c>
      <c r="F5" s="33">
        <v>0.56741</v>
      </c>
      <c r="G5" s="33">
        <v>0.62815</v>
      </c>
      <c r="H5" s="33">
        <v>0.69037</v>
      </c>
      <c r="I5" s="33">
        <v>0.74963</v>
      </c>
      <c r="J5" s="26">
        <v>0.86815</v>
      </c>
      <c r="K5" s="601"/>
      <c r="L5" s="602"/>
      <c r="M5" s="602"/>
      <c r="N5" s="602"/>
      <c r="O5" s="602"/>
      <c r="P5" s="603"/>
    </row>
    <row r="6" spans="1:16" ht="12.75">
      <c r="A6" s="729"/>
      <c r="B6" s="35">
        <v>0.02</v>
      </c>
      <c r="C6" s="33">
        <v>0.33037</v>
      </c>
      <c r="D6" s="33">
        <v>0.41481</v>
      </c>
      <c r="E6" s="33">
        <v>0.48444</v>
      </c>
      <c r="F6" s="33">
        <v>0.55259</v>
      </c>
      <c r="G6" s="33">
        <v>0.6163</v>
      </c>
      <c r="H6" s="33">
        <v>0.67704</v>
      </c>
      <c r="I6" s="33">
        <v>0.73778</v>
      </c>
      <c r="J6" s="26">
        <v>0.85926</v>
      </c>
      <c r="K6" s="601"/>
      <c r="L6" s="602"/>
      <c r="M6" s="602"/>
      <c r="N6" s="602"/>
      <c r="O6" s="602"/>
      <c r="P6" s="603"/>
    </row>
    <row r="7" spans="1:16" ht="12.75">
      <c r="A7" s="729"/>
      <c r="B7" s="35">
        <v>0.04</v>
      </c>
      <c r="C7" s="33">
        <v>0.31407</v>
      </c>
      <c r="D7" s="33">
        <v>0.39852</v>
      </c>
      <c r="E7" s="33">
        <v>0.46815</v>
      </c>
      <c r="F7" s="33">
        <v>0.53778</v>
      </c>
      <c r="G7" s="33">
        <v>0.60148</v>
      </c>
      <c r="H7" s="33">
        <v>0.66519</v>
      </c>
      <c r="I7" s="33">
        <v>0.72741</v>
      </c>
      <c r="J7" s="26">
        <v>0.853588333333334</v>
      </c>
      <c r="K7" s="601"/>
      <c r="L7" s="602"/>
      <c r="M7" s="602"/>
      <c r="N7" s="602"/>
      <c r="O7" s="602"/>
      <c r="P7" s="603"/>
    </row>
    <row r="8" spans="1:16" ht="12.75">
      <c r="A8" s="729"/>
      <c r="B8" s="35">
        <v>0.06</v>
      </c>
      <c r="C8" s="33">
        <v>0.29926</v>
      </c>
      <c r="D8" s="33">
        <v>0.38222</v>
      </c>
      <c r="E8" s="33">
        <v>0.45333</v>
      </c>
      <c r="F8" s="33">
        <v>0.52148</v>
      </c>
      <c r="G8" s="33">
        <v>0.58667</v>
      </c>
      <c r="H8" s="33">
        <v>0.65037</v>
      </c>
      <c r="I8" s="33">
        <v>0.71407</v>
      </c>
      <c r="J8" s="26">
        <v>0.84147</v>
      </c>
      <c r="K8" s="601"/>
      <c r="L8" s="602"/>
      <c r="M8" s="602"/>
      <c r="N8" s="602"/>
      <c r="O8" s="602"/>
      <c r="P8" s="603"/>
    </row>
    <row r="9" spans="1:16" ht="12.75">
      <c r="A9" s="729"/>
      <c r="B9" s="35">
        <v>0.08</v>
      </c>
      <c r="C9" s="33">
        <v>0.28296</v>
      </c>
      <c r="D9" s="33">
        <v>0.36444</v>
      </c>
      <c r="E9" s="33">
        <v>0.43407</v>
      </c>
      <c r="F9" s="33">
        <v>0.5037</v>
      </c>
      <c r="G9" s="33">
        <v>0.57037</v>
      </c>
      <c r="H9" s="33">
        <v>0.63556</v>
      </c>
      <c r="I9" s="33">
        <v>0.70222</v>
      </c>
      <c r="J9" s="26">
        <v>0.833825</v>
      </c>
      <c r="K9" s="601"/>
      <c r="L9" s="602"/>
      <c r="M9" s="602"/>
      <c r="N9" s="602"/>
      <c r="O9" s="602"/>
      <c r="P9" s="603"/>
    </row>
    <row r="10" spans="1:16" ht="12.75">
      <c r="A10" s="729"/>
      <c r="B10" s="35">
        <v>0.1</v>
      </c>
      <c r="C10" s="33">
        <v>0.26667</v>
      </c>
      <c r="D10" s="33">
        <v>0.34519</v>
      </c>
      <c r="E10" s="33">
        <v>0.41778</v>
      </c>
      <c r="F10" s="33">
        <v>0.48593</v>
      </c>
      <c r="G10" s="33">
        <v>0.55407</v>
      </c>
      <c r="H10" s="33">
        <v>0.62074</v>
      </c>
      <c r="I10" s="33">
        <v>0.68741</v>
      </c>
      <c r="J10" s="26">
        <v>0.82075</v>
      </c>
      <c r="K10" s="601"/>
      <c r="L10" s="602"/>
      <c r="M10" s="602"/>
      <c r="N10" s="602"/>
      <c r="O10" s="602"/>
      <c r="P10" s="603"/>
    </row>
    <row r="11" spans="1:16" ht="12.75">
      <c r="A11" s="729"/>
      <c r="B11" s="35">
        <v>0.12</v>
      </c>
      <c r="C11" s="33">
        <v>0.25037</v>
      </c>
      <c r="D11" s="33">
        <v>0.32741</v>
      </c>
      <c r="E11" s="33">
        <v>0.39852</v>
      </c>
      <c r="F11" s="33">
        <v>0.46815</v>
      </c>
      <c r="G11" s="33">
        <v>0.53778</v>
      </c>
      <c r="H11" s="33">
        <v>0.60444</v>
      </c>
      <c r="I11" s="33">
        <v>0.67407</v>
      </c>
      <c r="J11" s="26">
        <v>0.809865</v>
      </c>
      <c r="K11" s="601"/>
      <c r="L11" s="602"/>
      <c r="M11" s="602"/>
      <c r="N11" s="602"/>
      <c r="O11" s="602"/>
      <c r="P11" s="603"/>
    </row>
    <row r="12" spans="1:16" ht="13.5" thickBot="1">
      <c r="A12" s="730"/>
      <c r="B12" s="36">
        <v>0.15</v>
      </c>
      <c r="C12" s="97">
        <v>0.22667</v>
      </c>
      <c r="D12" s="97">
        <v>0.30074</v>
      </c>
      <c r="E12" s="97">
        <v>0.37185</v>
      </c>
      <c r="F12" s="97">
        <v>0.44</v>
      </c>
      <c r="G12" s="97">
        <v>0.51111</v>
      </c>
      <c r="H12" s="97">
        <v>0.58074</v>
      </c>
      <c r="I12" s="97">
        <v>0.65185</v>
      </c>
      <c r="J12" s="28">
        <v>0.792343333333333</v>
      </c>
      <c r="K12" s="601"/>
      <c r="L12" s="602"/>
      <c r="M12" s="602"/>
      <c r="N12" s="602"/>
      <c r="O12" s="602"/>
      <c r="P12" s="603"/>
    </row>
    <row r="13" spans="1:16" ht="13.5" thickBot="1">
      <c r="A13" s="731" t="s">
        <v>366</v>
      </c>
      <c r="B13" s="732"/>
      <c r="C13" s="732"/>
      <c r="D13" s="732"/>
      <c r="E13" s="732"/>
      <c r="F13" s="732"/>
      <c r="G13" s="732"/>
      <c r="H13" s="732"/>
      <c r="I13" s="732"/>
      <c r="J13" s="733"/>
      <c r="K13" s="601"/>
      <c r="L13" s="602"/>
      <c r="M13" s="602"/>
      <c r="N13" s="602"/>
      <c r="O13" s="602"/>
      <c r="P13" s="603"/>
    </row>
    <row r="14" spans="1:16" ht="13.5" thickBot="1">
      <c r="A14" s="19"/>
      <c r="B14" s="734" t="s">
        <v>356</v>
      </c>
      <c r="C14" s="735"/>
      <c r="D14" s="735"/>
      <c r="E14" s="735"/>
      <c r="F14" s="735"/>
      <c r="G14" s="735"/>
      <c r="H14" s="735"/>
      <c r="I14" s="735"/>
      <c r="J14" s="736"/>
      <c r="K14" s="601"/>
      <c r="L14" s="602"/>
      <c r="M14" s="602"/>
      <c r="N14" s="602"/>
      <c r="O14" s="602"/>
      <c r="P14" s="603"/>
    </row>
    <row r="15" spans="1:16" ht="12.75">
      <c r="A15" s="718" t="s">
        <v>374</v>
      </c>
      <c r="B15" s="122"/>
      <c r="C15" s="30">
        <v>0.1</v>
      </c>
      <c r="D15" s="30">
        <v>0.15</v>
      </c>
      <c r="E15" s="30">
        <v>0.2</v>
      </c>
      <c r="F15" s="30">
        <v>0.25</v>
      </c>
      <c r="G15" s="30">
        <v>0.3</v>
      </c>
      <c r="H15" s="30">
        <v>0.35</v>
      </c>
      <c r="I15" s="30">
        <v>0.4</v>
      </c>
      <c r="J15" s="31">
        <v>0.5</v>
      </c>
      <c r="K15" s="601"/>
      <c r="L15" s="602"/>
      <c r="M15" s="602"/>
      <c r="N15" s="602"/>
      <c r="O15" s="602"/>
      <c r="P15" s="603"/>
    </row>
    <row r="16" spans="1:16" ht="12.75">
      <c r="A16" s="718"/>
      <c r="B16" s="35">
        <v>0.7</v>
      </c>
      <c r="C16" s="33">
        <v>-0.10706</v>
      </c>
      <c r="D16" s="33">
        <v>-0.066059</v>
      </c>
      <c r="E16" s="33">
        <v>-0.022779</v>
      </c>
      <c r="F16" s="33">
        <v>0.015945</v>
      </c>
      <c r="G16" s="33">
        <v>0.056948</v>
      </c>
      <c r="H16" s="33">
        <v>0.09795</v>
      </c>
      <c r="I16" s="33">
        <v>0.1344</v>
      </c>
      <c r="J16" s="26">
        <v>0.2150392</v>
      </c>
      <c r="K16" s="601"/>
      <c r="L16" s="602"/>
      <c r="M16" s="602"/>
      <c r="N16" s="602"/>
      <c r="O16" s="602"/>
      <c r="P16" s="603"/>
    </row>
    <row r="17" spans="1:16" ht="12.75">
      <c r="A17" s="718"/>
      <c r="B17" s="35">
        <v>0.75</v>
      </c>
      <c r="C17" s="33">
        <v>0.14351</v>
      </c>
      <c r="D17" s="33">
        <v>0.17995</v>
      </c>
      <c r="E17" s="33">
        <v>0.2164</v>
      </c>
      <c r="F17" s="33">
        <v>0.25285</v>
      </c>
      <c r="G17" s="33">
        <v>0.28702</v>
      </c>
      <c r="H17" s="33">
        <v>0.32346</v>
      </c>
      <c r="I17" s="33">
        <v>0.35991</v>
      </c>
      <c r="J17" s="26">
        <v>0.430977</v>
      </c>
      <c r="K17" s="601"/>
      <c r="L17" s="602"/>
      <c r="M17" s="602"/>
      <c r="N17" s="602"/>
      <c r="O17" s="602"/>
      <c r="P17" s="603"/>
    </row>
    <row r="18" spans="1:16" ht="12.75">
      <c r="A18" s="718"/>
      <c r="B18" s="35">
        <v>0.8</v>
      </c>
      <c r="C18" s="33">
        <v>0.35535</v>
      </c>
      <c r="D18" s="33">
        <v>0.38724</v>
      </c>
      <c r="E18" s="33">
        <v>0.41913</v>
      </c>
      <c r="F18" s="33">
        <v>0.45103</v>
      </c>
      <c r="G18" s="33">
        <v>0.48064</v>
      </c>
      <c r="H18" s="33">
        <v>0.51481</v>
      </c>
      <c r="I18" s="33">
        <v>0.54442</v>
      </c>
      <c r="J18" s="26">
        <v>0.607744000000001</v>
      </c>
      <c r="K18" s="601"/>
      <c r="L18" s="602"/>
      <c r="M18" s="602"/>
      <c r="N18" s="602"/>
      <c r="O18" s="602"/>
      <c r="P18" s="603"/>
    </row>
    <row r="19" spans="1:16" ht="12.75">
      <c r="A19" s="718"/>
      <c r="B19" s="35">
        <v>0.85</v>
      </c>
      <c r="C19" s="33">
        <v>0.53986</v>
      </c>
      <c r="D19" s="33">
        <v>0.56264</v>
      </c>
      <c r="E19" s="33">
        <v>0.58998</v>
      </c>
      <c r="F19" s="33">
        <v>0.61503</v>
      </c>
      <c r="G19" s="33">
        <v>0.64237</v>
      </c>
      <c r="H19" s="33">
        <v>0.66743</v>
      </c>
      <c r="I19" s="33">
        <v>0.69021</v>
      </c>
      <c r="J19" s="26">
        <v>0.74147</v>
      </c>
      <c r="K19" s="601"/>
      <c r="L19" s="602"/>
      <c r="M19" s="602"/>
      <c r="N19" s="602"/>
      <c r="O19" s="602"/>
      <c r="P19" s="603"/>
    </row>
    <row r="20" spans="1:16" ht="12.75">
      <c r="A20" s="718"/>
      <c r="B20" s="35">
        <v>0.9</v>
      </c>
      <c r="C20" s="33">
        <v>0.70615</v>
      </c>
      <c r="D20" s="33">
        <v>0.7221</v>
      </c>
      <c r="E20" s="33">
        <v>0.74032</v>
      </c>
      <c r="F20" s="33">
        <v>0.75626</v>
      </c>
      <c r="G20" s="33">
        <v>0.77221</v>
      </c>
      <c r="H20" s="33">
        <v>0.78815</v>
      </c>
      <c r="I20" s="33">
        <v>0.8041</v>
      </c>
      <c r="J20" s="26">
        <v>0.835991</v>
      </c>
      <c r="K20" s="601"/>
      <c r="L20" s="602"/>
      <c r="M20" s="602"/>
      <c r="N20" s="602"/>
      <c r="O20" s="602"/>
      <c r="P20" s="603"/>
    </row>
    <row r="21" spans="1:16" ht="12.75">
      <c r="A21" s="718"/>
      <c r="B21" s="35">
        <v>0.95</v>
      </c>
      <c r="C21" s="33">
        <v>0.85877</v>
      </c>
      <c r="D21" s="33">
        <v>0.86788</v>
      </c>
      <c r="E21" s="33">
        <v>0.87699</v>
      </c>
      <c r="F21" s="33">
        <v>0.88383</v>
      </c>
      <c r="G21" s="33">
        <v>0.89066</v>
      </c>
      <c r="H21" s="33">
        <v>0.89977</v>
      </c>
      <c r="I21" s="33">
        <v>0.90433</v>
      </c>
      <c r="J21" s="26">
        <v>0.919360999999999</v>
      </c>
      <c r="K21" s="601"/>
      <c r="L21" s="602"/>
      <c r="M21" s="602"/>
      <c r="N21" s="602"/>
      <c r="O21" s="602"/>
      <c r="P21" s="603"/>
    </row>
    <row r="22" spans="1:16" ht="13.5" thickBot="1">
      <c r="A22" s="719"/>
      <c r="B22" s="36">
        <v>1</v>
      </c>
      <c r="C22" s="97">
        <v>0.99772</v>
      </c>
      <c r="D22" s="97">
        <v>0.99772</v>
      </c>
      <c r="E22" s="97">
        <v>1</v>
      </c>
      <c r="F22" s="97">
        <v>1</v>
      </c>
      <c r="G22" s="97">
        <v>1</v>
      </c>
      <c r="H22" s="97">
        <v>1</v>
      </c>
      <c r="I22" s="97">
        <v>1</v>
      </c>
      <c r="J22" s="28">
        <v>1</v>
      </c>
      <c r="K22" s="604"/>
      <c r="L22" s="605"/>
      <c r="M22" s="605"/>
      <c r="N22" s="605"/>
      <c r="O22" s="605"/>
      <c r="P22" s="606"/>
    </row>
    <row r="61" ht="12.75">
      <c r="L61" s="171"/>
    </row>
  </sheetData>
  <sheetProtection/>
  <mergeCells count="8">
    <mergeCell ref="A1:P1"/>
    <mergeCell ref="A2:J2"/>
    <mergeCell ref="B3:J3"/>
    <mergeCell ref="A4:A12"/>
    <mergeCell ref="K2:P22"/>
    <mergeCell ref="A13:J13"/>
    <mergeCell ref="B14:J14"/>
    <mergeCell ref="A15:A2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24">
    <tabColor indexed="60"/>
  </sheetPr>
  <dimension ref="A1:P139"/>
  <sheetViews>
    <sheetView zoomScalePageLayoutView="0" workbookViewId="0" topLeftCell="A1">
      <selection activeCell="S15" sqref="S15"/>
    </sheetView>
  </sheetViews>
  <sheetFormatPr defaultColWidth="9.140625" defaultRowHeight="12.75"/>
  <cols>
    <col min="1" max="16384" width="9.140625" style="152" customWidth="1"/>
  </cols>
  <sheetData>
    <row r="1" spans="1:16" ht="13.5" thickBot="1">
      <c r="A1" s="632" t="s">
        <v>385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4"/>
    </row>
    <row r="2" spans="1:16" ht="13.5" thickBot="1">
      <c r="A2" s="720" t="s">
        <v>384</v>
      </c>
      <c r="B2" s="721"/>
      <c r="C2" s="721"/>
      <c r="D2" s="721"/>
      <c r="E2" s="721"/>
      <c r="F2" s="721"/>
      <c r="G2" s="721"/>
      <c r="H2" s="721"/>
      <c r="I2" s="721"/>
      <c r="J2" s="722"/>
      <c r="K2" s="598"/>
      <c r="L2" s="599"/>
      <c r="M2" s="599"/>
      <c r="N2" s="599"/>
      <c r="O2" s="599"/>
      <c r="P2" s="600"/>
    </row>
    <row r="3" spans="1:16" ht="13.5" thickBot="1">
      <c r="A3" s="54"/>
      <c r="B3" s="726" t="s">
        <v>356</v>
      </c>
      <c r="C3" s="727"/>
      <c r="D3" s="727"/>
      <c r="E3" s="727"/>
      <c r="F3" s="727"/>
      <c r="G3" s="727"/>
      <c r="H3" s="727"/>
      <c r="I3" s="727"/>
      <c r="J3" s="728"/>
      <c r="K3" s="601"/>
      <c r="L3" s="602"/>
      <c r="M3" s="602"/>
      <c r="N3" s="602"/>
      <c r="O3" s="602"/>
      <c r="P3" s="603"/>
    </row>
    <row r="4" spans="1:16" ht="12.75">
      <c r="A4" s="729" t="s">
        <v>357</v>
      </c>
      <c r="B4" s="34"/>
      <c r="C4" s="30">
        <v>0.1</v>
      </c>
      <c r="D4" s="30">
        <v>0.15</v>
      </c>
      <c r="E4" s="30">
        <v>0.2</v>
      </c>
      <c r="F4" s="30">
        <v>0.25</v>
      </c>
      <c r="G4" s="30">
        <v>0.3</v>
      </c>
      <c r="H4" s="30">
        <v>0.35</v>
      </c>
      <c r="I4" s="30">
        <v>0.4</v>
      </c>
      <c r="J4" s="31">
        <v>0.5</v>
      </c>
      <c r="K4" s="601"/>
      <c r="L4" s="602"/>
      <c r="M4" s="602"/>
      <c r="N4" s="602"/>
      <c r="O4" s="602"/>
      <c r="P4" s="603"/>
    </row>
    <row r="5" spans="1:16" ht="12.75">
      <c r="A5" s="729"/>
      <c r="B5" s="35">
        <v>0</v>
      </c>
      <c r="C5" s="174">
        <v>0.88377</v>
      </c>
      <c r="D5" s="174">
        <v>0.90325</v>
      </c>
      <c r="E5" s="174">
        <v>0.92273</v>
      </c>
      <c r="F5" s="174">
        <v>0.94302</v>
      </c>
      <c r="G5" s="174">
        <v>0.96494</v>
      </c>
      <c r="H5" s="174">
        <v>0.98847</v>
      </c>
      <c r="I5" s="174">
        <v>1.012</v>
      </c>
      <c r="J5" s="175">
        <v>1.05906</v>
      </c>
      <c r="K5" s="601"/>
      <c r="L5" s="602"/>
      <c r="M5" s="602"/>
      <c r="N5" s="602"/>
      <c r="O5" s="602"/>
      <c r="P5" s="603"/>
    </row>
    <row r="6" spans="1:16" ht="12.75">
      <c r="A6" s="729"/>
      <c r="B6" s="35">
        <v>0.02</v>
      </c>
      <c r="C6" s="174">
        <v>0.8586</v>
      </c>
      <c r="D6" s="174">
        <v>0.88052</v>
      </c>
      <c r="E6" s="174">
        <v>0.90487</v>
      </c>
      <c r="F6" s="174">
        <v>0.92841</v>
      </c>
      <c r="G6" s="174">
        <v>0.95357</v>
      </c>
      <c r="H6" s="174">
        <v>0.98036</v>
      </c>
      <c r="I6" s="174">
        <v>1.0055</v>
      </c>
      <c r="J6" s="175">
        <v>1.057705</v>
      </c>
      <c r="K6" s="601"/>
      <c r="L6" s="602"/>
      <c r="M6" s="602"/>
      <c r="N6" s="602"/>
      <c r="O6" s="602"/>
      <c r="P6" s="603"/>
    </row>
    <row r="7" spans="1:16" ht="12.75">
      <c r="A7" s="729"/>
      <c r="B7" s="35">
        <v>0.04</v>
      </c>
      <c r="C7" s="174">
        <v>0.83019</v>
      </c>
      <c r="D7" s="174">
        <v>0.85698</v>
      </c>
      <c r="E7" s="174">
        <v>0.88458</v>
      </c>
      <c r="F7" s="174">
        <v>0.91299</v>
      </c>
      <c r="G7" s="174">
        <v>0.94058</v>
      </c>
      <c r="H7" s="174">
        <v>0.96981</v>
      </c>
      <c r="I7" s="174">
        <v>0.99659</v>
      </c>
      <c r="J7" s="175">
        <v>1.05300833333333</v>
      </c>
      <c r="K7" s="601"/>
      <c r="L7" s="602"/>
      <c r="M7" s="602"/>
      <c r="N7" s="602"/>
      <c r="O7" s="602"/>
      <c r="P7" s="603"/>
    </row>
    <row r="8" spans="1:16" ht="12.75">
      <c r="A8" s="729"/>
      <c r="B8" s="35">
        <v>0.06</v>
      </c>
      <c r="C8" s="174">
        <v>0.80097</v>
      </c>
      <c r="D8" s="174">
        <v>0.83263</v>
      </c>
      <c r="E8" s="174">
        <v>0.86347</v>
      </c>
      <c r="F8" s="174">
        <v>0.89513</v>
      </c>
      <c r="G8" s="174">
        <v>0.92597</v>
      </c>
      <c r="H8" s="174">
        <v>0.95682</v>
      </c>
      <c r="I8" s="174">
        <v>0.98685</v>
      </c>
      <c r="J8" s="175">
        <v>1.04786666666667</v>
      </c>
      <c r="K8" s="601"/>
      <c r="L8" s="602"/>
      <c r="M8" s="602"/>
      <c r="N8" s="602"/>
      <c r="O8" s="602"/>
      <c r="P8" s="603"/>
    </row>
    <row r="9" spans="1:16" ht="12.75">
      <c r="A9" s="729"/>
      <c r="B9" s="35">
        <v>0.08</v>
      </c>
      <c r="C9" s="174">
        <v>0.76932</v>
      </c>
      <c r="D9" s="174">
        <v>0.80503</v>
      </c>
      <c r="E9" s="174">
        <v>0.84075</v>
      </c>
      <c r="F9" s="174">
        <v>0.87565</v>
      </c>
      <c r="G9" s="174">
        <v>0.90893</v>
      </c>
      <c r="H9" s="174">
        <v>0.94221</v>
      </c>
      <c r="I9" s="174">
        <v>0.97468</v>
      </c>
      <c r="J9" s="175">
        <v>1.040565</v>
      </c>
      <c r="K9" s="601"/>
      <c r="L9" s="602"/>
      <c r="M9" s="602"/>
      <c r="N9" s="602"/>
      <c r="O9" s="602"/>
      <c r="P9" s="603"/>
    </row>
    <row r="10" spans="1:16" ht="12.75">
      <c r="A10" s="729"/>
      <c r="B10" s="35">
        <v>0.1</v>
      </c>
      <c r="C10" s="174">
        <v>0.73604</v>
      </c>
      <c r="D10" s="174">
        <v>0.775</v>
      </c>
      <c r="E10" s="174">
        <v>0.81315</v>
      </c>
      <c r="F10" s="174">
        <v>0.85049</v>
      </c>
      <c r="G10" s="174">
        <v>0.88782</v>
      </c>
      <c r="H10" s="174">
        <v>0.92354</v>
      </c>
      <c r="I10" s="174">
        <v>0.96006</v>
      </c>
      <c r="J10" s="175">
        <v>1.03216666666667</v>
      </c>
      <c r="K10" s="601"/>
      <c r="L10" s="602"/>
      <c r="M10" s="602"/>
      <c r="N10" s="602"/>
      <c r="O10" s="602"/>
      <c r="P10" s="603"/>
    </row>
    <row r="11" spans="1:16" ht="12.75">
      <c r="A11" s="729"/>
      <c r="B11" s="35">
        <v>0.12</v>
      </c>
      <c r="C11" s="174">
        <v>0.69951</v>
      </c>
      <c r="D11" s="174">
        <v>0.74172</v>
      </c>
      <c r="E11" s="174">
        <v>0.78312</v>
      </c>
      <c r="F11" s="174">
        <v>0.8237</v>
      </c>
      <c r="G11" s="174">
        <v>0.86347</v>
      </c>
      <c r="H11" s="174">
        <v>0.90325</v>
      </c>
      <c r="I11" s="174">
        <v>0.94302</v>
      </c>
      <c r="J11" s="175">
        <v>1.02257166666667</v>
      </c>
      <c r="K11" s="601"/>
      <c r="L11" s="602"/>
      <c r="M11" s="602"/>
      <c r="N11" s="602"/>
      <c r="O11" s="602"/>
      <c r="P11" s="603"/>
    </row>
    <row r="12" spans="1:16" ht="13.5" thickBot="1">
      <c r="A12" s="730"/>
      <c r="B12" s="36">
        <v>0.15</v>
      </c>
      <c r="C12" s="176">
        <v>0.63701</v>
      </c>
      <c r="D12" s="176">
        <v>0.68571</v>
      </c>
      <c r="E12" s="176">
        <v>0.73198</v>
      </c>
      <c r="F12" s="176">
        <v>0.77906</v>
      </c>
      <c r="G12" s="176">
        <v>0.82614</v>
      </c>
      <c r="H12" s="176">
        <v>0.8724</v>
      </c>
      <c r="I12" s="176">
        <v>0.91623</v>
      </c>
      <c r="J12" s="177">
        <v>1.006725</v>
      </c>
      <c r="K12" s="601"/>
      <c r="L12" s="602"/>
      <c r="M12" s="602"/>
      <c r="N12" s="602"/>
      <c r="O12" s="602"/>
      <c r="P12" s="603"/>
    </row>
    <row r="13" spans="1:16" ht="13.5" thickBot="1">
      <c r="A13" s="731" t="s">
        <v>386</v>
      </c>
      <c r="B13" s="732"/>
      <c r="C13" s="732"/>
      <c r="D13" s="732"/>
      <c r="E13" s="732"/>
      <c r="F13" s="732"/>
      <c r="G13" s="732"/>
      <c r="H13" s="732"/>
      <c r="I13" s="732"/>
      <c r="J13" s="733"/>
      <c r="K13" s="601"/>
      <c r="L13" s="602"/>
      <c r="M13" s="602"/>
      <c r="N13" s="602"/>
      <c r="O13" s="602"/>
      <c r="P13" s="603"/>
    </row>
    <row r="14" spans="1:16" ht="13.5" thickBot="1">
      <c r="A14" s="179"/>
      <c r="B14" s="734" t="s">
        <v>356</v>
      </c>
      <c r="C14" s="735"/>
      <c r="D14" s="735"/>
      <c r="E14" s="735"/>
      <c r="F14" s="735"/>
      <c r="G14" s="735"/>
      <c r="H14" s="735"/>
      <c r="I14" s="735"/>
      <c r="J14" s="736"/>
      <c r="K14" s="601"/>
      <c r="L14" s="602"/>
      <c r="M14" s="602"/>
      <c r="N14" s="602"/>
      <c r="O14" s="602"/>
      <c r="P14" s="603"/>
    </row>
    <row r="15" spans="1:16" ht="12.75" customHeight="1">
      <c r="A15" s="737" t="s">
        <v>374</v>
      </c>
      <c r="B15" s="122"/>
      <c r="C15" s="30">
        <v>0.1</v>
      </c>
      <c r="D15" s="30">
        <v>0.15</v>
      </c>
      <c r="E15" s="30">
        <v>0.2</v>
      </c>
      <c r="F15" s="30">
        <v>0.25</v>
      </c>
      <c r="G15" s="30">
        <v>0.3</v>
      </c>
      <c r="H15" s="30">
        <v>0.35</v>
      </c>
      <c r="I15" s="30">
        <v>0.4</v>
      </c>
      <c r="J15" s="31">
        <v>0.5</v>
      </c>
      <c r="K15" s="601"/>
      <c r="L15" s="602"/>
      <c r="M15" s="602"/>
      <c r="N15" s="602"/>
      <c r="O15" s="602"/>
      <c r="P15" s="603"/>
    </row>
    <row r="16" spans="1:16" ht="12.75">
      <c r="A16" s="718"/>
      <c r="B16" s="35">
        <v>0.6</v>
      </c>
      <c r="C16" s="33">
        <v>0.65172</v>
      </c>
      <c r="D16" s="33">
        <v>0.62644</v>
      </c>
      <c r="E16" s="33">
        <v>0.5977</v>
      </c>
      <c r="F16" s="33">
        <v>0.56437</v>
      </c>
      <c r="G16" s="33">
        <v>0.52069</v>
      </c>
      <c r="H16" s="33">
        <v>0.47011</v>
      </c>
      <c r="I16" s="33">
        <v>0.41609</v>
      </c>
      <c r="J16" s="26">
        <v>0.312063333333333</v>
      </c>
      <c r="K16" s="601"/>
      <c r="L16" s="602"/>
      <c r="M16" s="602"/>
      <c r="N16" s="602"/>
      <c r="O16" s="602"/>
      <c r="P16" s="603"/>
    </row>
    <row r="17" spans="1:16" ht="12.75">
      <c r="A17" s="718"/>
      <c r="B17" s="35">
        <v>0.65</v>
      </c>
      <c r="C17" s="33">
        <v>0.70345</v>
      </c>
      <c r="D17" s="33">
        <v>0.68851</v>
      </c>
      <c r="E17" s="33">
        <v>0.67241</v>
      </c>
      <c r="F17" s="33">
        <v>0.65172</v>
      </c>
      <c r="G17" s="33">
        <v>0.62529</v>
      </c>
      <c r="H17" s="33">
        <v>0.59195</v>
      </c>
      <c r="I17" s="33">
        <v>0.54598</v>
      </c>
      <c r="J17" s="26">
        <v>0.468775</v>
      </c>
      <c r="K17" s="601"/>
      <c r="L17" s="602"/>
      <c r="M17" s="602"/>
      <c r="N17" s="602"/>
      <c r="O17" s="602"/>
      <c r="P17" s="603"/>
    </row>
    <row r="18" spans="1:16" ht="12.75">
      <c r="A18" s="718"/>
      <c r="B18" s="35">
        <v>0.7</v>
      </c>
      <c r="C18" s="33">
        <v>0.75517</v>
      </c>
      <c r="D18" s="33">
        <v>0.74598</v>
      </c>
      <c r="E18" s="33">
        <v>0.73563</v>
      </c>
      <c r="F18" s="33">
        <v>0.72184</v>
      </c>
      <c r="G18" s="33">
        <v>0.70575</v>
      </c>
      <c r="H18" s="33">
        <v>0.68621</v>
      </c>
      <c r="I18" s="33">
        <v>0.65977</v>
      </c>
      <c r="J18" s="26">
        <v>0.61494</v>
      </c>
      <c r="K18" s="601"/>
      <c r="L18" s="602"/>
      <c r="M18" s="602"/>
      <c r="N18" s="602"/>
      <c r="O18" s="602"/>
      <c r="P18" s="603"/>
    </row>
    <row r="19" spans="1:16" ht="12.75">
      <c r="A19" s="718"/>
      <c r="B19" s="35">
        <v>0.75</v>
      </c>
      <c r="C19" s="33">
        <v>0.80115</v>
      </c>
      <c r="D19" s="33">
        <v>0.7954</v>
      </c>
      <c r="E19" s="33">
        <v>0.78851</v>
      </c>
      <c r="F19" s="33">
        <v>0.77931</v>
      </c>
      <c r="G19" s="33">
        <v>0.76897</v>
      </c>
      <c r="H19" s="33">
        <v>0.75632</v>
      </c>
      <c r="I19" s="33">
        <v>0.74023</v>
      </c>
      <c r="J19" s="26">
        <v>0.712063333333333</v>
      </c>
      <c r="K19" s="601"/>
      <c r="L19" s="602"/>
      <c r="M19" s="602"/>
      <c r="N19" s="602"/>
      <c r="O19" s="602"/>
      <c r="P19" s="603"/>
    </row>
    <row r="20" spans="1:16" ht="12.75">
      <c r="A20" s="718"/>
      <c r="B20" s="35">
        <v>0.8</v>
      </c>
      <c r="C20" s="33">
        <v>0.84598</v>
      </c>
      <c r="D20" s="33">
        <v>0.84023</v>
      </c>
      <c r="E20" s="33">
        <v>0.83563</v>
      </c>
      <c r="F20" s="33">
        <v>0.83103</v>
      </c>
      <c r="G20" s="33">
        <v>0.82529</v>
      </c>
      <c r="H20" s="33">
        <v>0.81494</v>
      </c>
      <c r="I20" s="33">
        <v>0.80345</v>
      </c>
      <c r="J20" s="26">
        <v>0.781800000000001</v>
      </c>
      <c r="K20" s="601"/>
      <c r="L20" s="602"/>
      <c r="M20" s="602"/>
      <c r="N20" s="602"/>
      <c r="O20" s="602"/>
      <c r="P20" s="603"/>
    </row>
    <row r="21" spans="1:16" ht="12.75">
      <c r="A21" s="718"/>
      <c r="B21" s="35">
        <v>0.85</v>
      </c>
      <c r="C21" s="33">
        <v>0.88621</v>
      </c>
      <c r="D21" s="33">
        <v>0.88391</v>
      </c>
      <c r="E21" s="33">
        <v>0.88046</v>
      </c>
      <c r="F21" s="33">
        <v>0.87701</v>
      </c>
      <c r="G21" s="33">
        <v>0.87241</v>
      </c>
      <c r="H21" s="33">
        <v>0.86552</v>
      </c>
      <c r="I21" s="33">
        <v>0.85977</v>
      </c>
      <c r="J21" s="26">
        <v>0.84694</v>
      </c>
      <c r="K21" s="601"/>
      <c r="L21" s="602"/>
      <c r="M21" s="602"/>
      <c r="N21" s="602"/>
      <c r="O21" s="602"/>
      <c r="P21" s="603"/>
    </row>
    <row r="22" spans="1:16" ht="12.75">
      <c r="A22" s="718"/>
      <c r="B22" s="35">
        <v>0.9</v>
      </c>
      <c r="C22" s="33">
        <v>0.92529</v>
      </c>
      <c r="D22" s="33">
        <v>0.92529</v>
      </c>
      <c r="E22" s="33">
        <v>0.92299</v>
      </c>
      <c r="F22" s="33">
        <v>0.92069</v>
      </c>
      <c r="G22" s="33">
        <v>0.91724</v>
      </c>
      <c r="H22" s="33">
        <v>0.91379</v>
      </c>
      <c r="I22" s="33">
        <v>0.91034</v>
      </c>
      <c r="J22" s="26">
        <v>0.90344</v>
      </c>
      <c r="K22" s="601"/>
      <c r="L22" s="602"/>
      <c r="M22" s="602"/>
      <c r="N22" s="602"/>
      <c r="O22" s="602"/>
      <c r="P22" s="603"/>
    </row>
    <row r="23" spans="1:16" ht="12.75">
      <c r="A23" s="718"/>
      <c r="B23" s="35">
        <v>0.95</v>
      </c>
      <c r="C23" s="33">
        <v>0.96437</v>
      </c>
      <c r="D23" s="33">
        <v>0.96437</v>
      </c>
      <c r="E23" s="33">
        <v>0.96322</v>
      </c>
      <c r="F23" s="33">
        <v>0.96092</v>
      </c>
      <c r="G23" s="33">
        <v>0.95977</v>
      </c>
      <c r="H23" s="33">
        <v>0.95747</v>
      </c>
      <c r="I23" s="33">
        <v>0.95517</v>
      </c>
      <c r="J23" s="26">
        <v>0.95057</v>
      </c>
      <c r="K23" s="601"/>
      <c r="L23" s="602"/>
      <c r="M23" s="602"/>
      <c r="N23" s="602"/>
      <c r="O23" s="602"/>
      <c r="P23" s="603"/>
    </row>
    <row r="24" spans="1:16" ht="13.5" thickBot="1">
      <c r="A24" s="719"/>
      <c r="B24" s="36">
        <v>1</v>
      </c>
      <c r="C24" s="97">
        <v>1</v>
      </c>
      <c r="D24" s="97">
        <v>1</v>
      </c>
      <c r="E24" s="97">
        <v>1</v>
      </c>
      <c r="F24" s="97">
        <v>1</v>
      </c>
      <c r="G24" s="97">
        <v>1</v>
      </c>
      <c r="H24" s="97">
        <v>1</v>
      </c>
      <c r="I24" s="97">
        <v>1</v>
      </c>
      <c r="J24" s="28">
        <v>1</v>
      </c>
      <c r="K24" s="604"/>
      <c r="L24" s="605"/>
      <c r="M24" s="605"/>
      <c r="N24" s="605"/>
      <c r="O24" s="605"/>
      <c r="P24" s="606"/>
    </row>
    <row r="25" ht="12.75">
      <c r="M25" s="154"/>
    </row>
    <row r="26" spans="11:14" ht="12.75">
      <c r="K26" s="171"/>
      <c r="L26" s="154"/>
      <c r="N26" s="154"/>
    </row>
    <row r="27" spans="11:14" ht="12.75">
      <c r="K27" s="171"/>
      <c r="L27" s="178"/>
      <c r="N27" s="154"/>
    </row>
    <row r="28" spans="12:14" ht="12.75">
      <c r="L28" s="154"/>
      <c r="N28" s="154"/>
    </row>
    <row r="29" spans="12:14" ht="12.75">
      <c r="L29" s="154"/>
      <c r="N29" s="154"/>
    </row>
    <row r="30" spans="12:14" ht="12.75">
      <c r="L30" s="154"/>
      <c r="N30" s="154"/>
    </row>
    <row r="31" spans="12:14" ht="12.75">
      <c r="L31" s="154"/>
      <c r="N31" s="154"/>
    </row>
    <row r="32" spans="12:14" ht="12.75">
      <c r="L32" s="154"/>
      <c r="N32" s="154"/>
    </row>
    <row r="33" spans="12:14" ht="12.75">
      <c r="L33" s="154"/>
      <c r="N33" s="154"/>
    </row>
    <row r="34" spans="12:14" ht="12.75">
      <c r="L34" s="154"/>
      <c r="N34" s="154"/>
    </row>
    <row r="35" spans="12:14" ht="12.75">
      <c r="L35" s="154"/>
      <c r="N35" s="154"/>
    </row>
    <row r="36" spans="12:14" ht="12.75">
      <c r="L36" s="154"/>
      <c r="N36" s="154"/>
    </row>
    <row r="37" spans="12:14" ht="12.75">
      <c r="L37" s="154"/>
      <c r="N37" s="154"/>
    </row>
    <row r="38" spans="12:14" ht="12.75">
      <c r="L38" s="154"/>
      <c r="N38" s="154"/>
    </row>
    <row r="39" spans="12:14" ht="12.75">
      <c r="L39" s="154"/>
      <c r="N39" s="154"/>
    </row>
    <row r="40" spans="12:14" ht="12.75">
      <c r="L40" s="154"/>
      <c r="N40" s="154"/>
    </row>
    <row r="41" spans="12:14" ht="12.75">
      <c r="L41" s="154"/>
      <c r="N41" s="154"/>
    </row>
    <row r="42" spans="12:14" ht="12.75">
      <c r="L42" s="154"/>
      <c r="N42" s="154"/>
    </row>
    <row r="43" spans="12:14" ht="12.75">
      <c r="L43" s="154"/>
      <c r="N43" s="154"/>
    </row>
    <row r="44" spans="12:14" ht="12.75">
      <c r="L44" s="154"/>
      <c r="N44" s="154"/>
    </row>
    <row r="45" spans="12:14" ht="12.75">
      <c r="L45" s="154"/>
      <c r="N45" s="154"/>
    </row>
    <row r="46" spans="12:14" ht="12.75">
      <c r="L46" s="154"/>
      <c r="N46" s="154"/>
    </row>
    <row r="47" spans="12:14" ht="12.75">
      <c r="L47" s="154"/>
      <c r="N47" s="154"/>
    </row>
    <row r="48" spans="12:14" ht="12.75">
      <c r="L48" s="154"/>
      <c r="N48" s="154"/>
    </row>
    <row r="49" spans="12:14" ht="12.75">
      <c r="L49" s="154"/>
      <c r="N49" s="154"/>
    </row>
    <row r="50" spans="12:14" ht="12.75">
      <c r="L50" s="154"/>
      <c r="N50" s="154"/>
    </row>
    <row r="51" spans="12:14" ht="12.75">
      <c r="L51" s="154"/>
      <c r="N51" s="154"/>
    </row>
    <row r="52" spans="12:14" ht="12.75">
      <c r="L52" s="154"/>
      <c r="N52" s="154"/>
    </row>
    <row r="53" spans="12:14" ht="12.75">
      <c r="L53" s="154"/>
      <c r="N53" s="154"/>
    </row>
    <row r="54" spans="12:14" ht="12.75">
      <c r="L54" s="154"/>
      <c r="N54" s="154"/>
    </row>
    <row r="55" spans="12:14" ht="12.75">
      <c r="L55" s="154"/>
      <c r="N55" s="154"/>
    </row>
    <row r="56" spans="12:14" ht="12.75">
      <c r="L56" s="154"/>
      <c r="N56" s="154"/>
    </row>
    <row r="57" spans="12:14" ht="12.75">
      <c r="L57" s="154"/>
      <c r="N57" s="154"/>
    </row>
    <row r="58" spans="12:14" ht="12.75">
      <c r="L58" s="154"/>
      <c r="N58" s="154"/>
    </row>
    <row r="59" spans="12:14" ht="12.75">
      <c r="L59" s="154"/>
      <c r="N59" s="154"/>
    </row>
    <row r="60" spans="12:14" ht="12.75">
      <c r="L60" s="154"/>
      <c r="N60" s="154"/>
    </row>
    <row r="61" spans="12:14" ht="12.75">
      <c r="L61" s="154"/>
      <c r="N61" s="154"/>
    </row>
    <row r="62" spans="12:14" ht="12.75">
      <c r="L62" s="154"/>
      <c r="N62" s="154"/>
    </row>
    <row r="63" spans="12:14" ht="12.75">
      <c r="L63" s="154"/>
      <c r="N63" s="154"/>
    </row>
    <row r="64" spans="12:14" ht="12.75">
      <c r="L64" s="154"/>
      <c r="N64" s="154"/>
    </row>
    <row r="65" spans="12:14" ht="12.75">
      <c r="L65" s="154"/>
      <c r="N65" s="154"/>
    </row>
    <row r="66" spans="12:14" ht="12.75">
      <c r="L66" s="154"/>
      <c r="N66" s="154"/>
    </row>
    <row r="67" spans="12:14" ht="12.75">
      <c r="L67" s="154"/>
      <c r="N67" s="154"/>
    </row>
    <row r="68" spans="12:14" ht="12.75">
      <c r="L68" s="178"/>
      <c r="N68" s="154"/>
    </row>
    <row r="69" spans="12:14" ht="12.75">
      <c r="L69" s="154"/>
      <c r="N69" s="154"/>
    </row>
    <row r="70" spans="12:14" ht="12.75">
      <c r="L70" s="154"/>
      <c r="N70" s="154"/>
    </row>
    <row r="71" spans="12:14" ht="12.75">
      <c r="L71" s="154"/>
      <c r="N71" s="154"/>
    </row>
    <row r="72" spans="12:14" ht="12.75">
      <c r="L72" s="154"/>
      <c r="N72" s="154"/>
    </row>
    <row r="73" spans="12:14" ht="12.75">
      <c r="L73" s="154"/>
      <c r="N73" s="154"/>
    </row>
    <row r="74" spans="12:14" ht="12.75">
      <c r="L74" s="154"/>
      <c r="N74" s="154"/>
    </row>
    <row r="75" spans="12:14" ht="12.75">
      <c r="L75" s="154"/>
      <c r="N75" s="154"/>
    </row>
    <row r="76" spans="12:14" ht="12.75">
      <c r="L76" s="154"/>
      <c r="N76" s="154"/>
    </row>
    <row r="77" spans="12:14" ht="12.75">
      <c r="L77" s="154"/>
      <c r="N77" s="154"/>
    </row>
    <row r="78" spans="12:14" ht="12.75">
      <c r="L78" s="154"/>
      <c r="N78" s="154"/>
    </row>
    <row r="79" spans="12:14" ht="12.75">
      <c r="L79" s="154"/>
      <c r="N79" s="154"/>
    </row>
    <row r="80" spans="12:14" ht="12.75">
      <c r="L80" s="154"/>
      <c r="N80" s="154"/>
    </row>
    <row r="81" spans="12:14" ht="12.75">
      <c r="L81" s="154"/>
      <c r="N81" s="154"/>
    </row>
    <row r="82" spans="12:14" ht="12.75">
      <c r="L82" s="154"/>
      <c r="N82" s="154"/>
    </row>
    <row r="83" spans="12:14" ht="12.75">
      <c r="L83" s="154"/>
      <c r="N83" s="154"/>
    </row>
    <row r="84" spans="12:14" ht="12.75">
      <c r="L84" s="154"/>
      <c r="N84" s="154"/>
    </row>
    <row r="85" spans="12:14" ht="12.75">
      <c r="L85" s="154"/>
      <c r="N85" s="154"/>
    </row>
    <row r="86" spans="12:14" ht="12.75">
      <c r="L86" s="154"/>
      <c r="N86" s="154"/>
    </row>
    <row r="87" spans="12:14" ht="12.75">
      <c r="L87" s="154"/>
      <c r="N87" s="154"/>
    </row>
    <row r="88" spans="12:14" ht="12.75">
      <c r="L88" s="178"/>
      <c r="N88" s="154"/>
    </row>
    <row r="89" spans="12:13" ht="12.75">
      <c r="L89" s="154"/>
      <c r="M89" s="154"/>
    </row>
    <row r="90" spans="12:13" ht="12.75">
      <c r="L90" s="154"/>
      <c r="M90" s="154"/>
    </row>
    <row r="91" spans="12:13" ht="12.75">
      <c r="L91" s="154"/>
      <c r="M91" s="154"/>
    </row>
    <row r="92" spans="12:13" ht="12.75">
      <c r="L92" s="154"/>
      <c r="M92" s="154"/>
    </row>
    <row r="93" spans="12:13" ht="12.75">
      <c r="L93" s="154"/>
      <c r="M93" s="154"/>
    </row>
    <row r="94" spans="12:13" ht="12.75">
      <c r="L94" s="154"/>
      <c r="M94" s="154"/>
    </row>
    <row r="95" spans="12:13" ht="12.75">
      <c r="L95" s="154"/>
      <c r="M95" s="154"/>
    </row>
    <row r="96" spans="12:13" ht="12.75">
      <c r="L96" s="154"/>
      <c r="M96" s="154"/>
    </row>
    <row r="97" spans="12:13" ht="12.75">
      <c r="L97" s="154"/>
      <c r="M97" s="154"/>
    </row>
    <row r="98" spans="12:13" ht="12.75">
      <c r="L98" s="154"/>
      <c r="M98" s="154"/>
    </row>
    <row r="99" spans="12:13" ht="12.75">
      <c r="L99" s="154"/>
      <c r="M99" s="154"/>
    </row>
    <row r="100" spans="12:13" ht="12.75">
      <c r="L100" s="154"/>
      <c r="M100" s="154"/>
    </row>
    <row r="101" spans="12:13" ht="12.75">
      <c r="L101" s="154"/>
      <c r="M101" s="154"/>
    </row>
    <row r="102" spans="12:13" ht="12.75">
      <c r="L102" s="154"/>
      <c r="M102" s="154"/>
    </row>
    <row r="103" spans="12:13" ht="12.75">
      <c r="L103" s="154"/>
      <c r="M103" s="154"/>
    </row>
    <row r="104" spans="12:13" ht="12.75">
      <c r="L104" s="154"/>
      <c r="M104" s="154"/>
    </row>
    <row r="105" spans="12:13" ht="12.75">
      <c r="L105" s="154"/>
      <c r="M105" s="154"/>
    </row>
    <row r="106" spans="12:13" ht="12.75">
      <c r="L106" s="154"/>
      <c r="M106" s="154"/>
    </row>
    <row r="107" spans="12:13" ht="12.75">
      <c r="L107" s="154"/>
      <c r="M107" s="154"/>
    </row>
    <row r="108" spans="12:13" ht="12.75">
      <c r="L108" s="154"/>
      <c r="M108" s="154"/>
    </row>
    <row r="109" spans="12:13" ht="12.75">
      <c r="L109" s="154"/>
      <c r="M109" s="154"/>
    </row>
    <row r="110" spans="12:13" ht="12.75">
      <c r="L110" s="154"/>
      <c r="M110" s="154"/>
    </row>
    <row r="111" spans="12:13" ht="12.75">
      <c r="L111" s="154"/>
      <c r="M111" s="154"/>
    </row>
    <row r="112" spans="12:13" ht="12.75">
      <c r="L112" s="154"/>
      <c r="M112" s="154"/>
    </row>
    <row r="113" spans="12:13" ht="12.75">
      <c r="L113" s="154"/>
      <c r="M113" s="154"/>
    </row>
    <row r="114" spans="12:13" ht="12.75">
      <c r="L114" s="154"/>
      <c r="M114" s="154"/>
    </row>
    <row r="115" spans="12:13" ht="12.75">
      <c r="L115" s="154"/>
      <c r="M115" s="154"/>
    </row>
    <row r="116" spans="12:13" ht="12.75">
      <c r="L116" s="154"/>
      <c r="M116" s="154"/>
    </row>
    <row r="117" spans="12:13" ht="12.75">
      <c r="L117" s="154"/>
      <c r="M117" s="154"/>
    </row>
    <row r="118" spans="12:13" ht="12.75">
      <c r="L118" s="154"/>
      <c r="M118" s="154"/>
    </row>
    <row r="119" spans="12:13" ht="12.75">
      <c r="L119" s="154"/>
      <c r="M119" s="154"/>
    </row>
    <row r="120" spans="12:13" ht="12.75">
      <c r="L120" s="154"/>
      <c r="M120" s="154"/>
    </row>
    <row r="121" spans="12:13" ht="12.75">
      <c r="L121" s="154"/>
      <c r="M121" s="154"/>
    </row>
    <row r="122" spans="12:13" ht="12.75">
      <c r="L122" s="154"/>
      <c r="M122" s="154"/>
    </row>
    <row r="123" spans="12:13" ht="12.75">
      <c r="L123" s="154"/>
      <c r="M123" s="154"/>
    </row>
    <row r="124" spans="12:13" ht="12.75">
      <c r="L124" s="154"/>
      <c r="M124" s="154"/>
    </row>
    <row r="125" spans="12:13" ht="12.75">
      <c r="L125" s="154"/>
      <c r="M125" s="154"/>
    </row>
    <row r="126" spans="12:13" ht="12.75">
      <c r="L126" s="154"/>
      <c r="M126" s="154"/>
    </row>
    <row r="127" spans="12:13" ht="12.75">
      <c r="L127" s="154"/>
      <c r="M127" s="154"/>
    </row>
    <row r="128" spans="12:13" ht="12.75">
      <c r="L128" s="154"/>
      <c r="M128" s="154"/>
    </row>
    <row r="129" spans="12:13" ht="12.75">
      <c r="L129" s="154"/>
      <c r="M129" s="154"/>
    </row>
    <row r="130" spans="12:13" ht="12.75">
      <c r="L130" s="154"/>
      <c r="M130" s="154"/>
    </row>
    <row r="131" spans="12:13" ht="12.75">
      <c r="L131" s="154"/>
      <c r="M131" s="154"/>
    </row>
    <row r="132" spans="12:13" ht="12.75">
      <c r="L132" s="154"/>
      <c r="M132" s="154"/>
    </row>
    <row r="133" spans="12:13" ht="12.75">
      <c r="L133" s="154"/>
      <c r="M133" s="154"/>
    </row>
    <row r="134" spans="12:13" ht="12.75">
      <c r="L134" s="154"/>
      <c r="M134" s="154"/>
    </row>
    <row r="135" spans="12:13" ht="12.75">
      <c r="L135" s="154"/>
      <c r="M135" s="154"/>
    </row>
    <row r="136" spans="12:13" ht="12.75">
      <c r="L136" s="154"/>
      <c r="M136" s="154"/>
    </row>
    <row r="137" spans="12:13" ht="12.75">
      <c r="L137" s="154"/>
      <c r="M137" s="154"/>
    </row>
    <row r="138" spans="12:13" ht="12.75">
      <c r="L138" s="154"/>
      <c r="M138" s="154"/>
    </row>
    <row r="139" spans="12:13" ht="12.75">
      <c r="L139" s="154"/>
      <c r="M139" s="154"/>
    </row>
  </sheetData>
  <sheetProtection/>
  <mergeCells count="8">
    <mergeCell ref="A15:A24"/>
    <mergeCell ref="K2:P24"/>
    <mergeCell ref="A1:P1"/>
    <mergeCell ref="A2:J2"/>
    <mergeCell ref="B3:J3"/>
    <mergeCell ref="A4:A12"/>
    <mergeCell ref="A13:J13"/>
    <mergeCell ref="B14:J1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32">
    <tabColor indexed="60"/>
  </sheetPr>
  <dimension ref="A1:P130"/>
  <sheetViews>
    <sheetView zoomScalePageLayoutView="0" workbookViewId="0" topLeftCell="A1">
      <selection activeCell="G11" sqref="G11:H27"/>
    </sheetView>
  </sheetViews>
  <sheetFormatPr defaultColWidth="9.140625" defaultRowHeight="12.75"/>
  <cols>
    <col min="1" max="1" width="9.140625" style="152" customWidth="1"/>
    <col min="2" max="2" width="8.57421875" style="152" customWidth="1"/>
    <col min="3" max="16384" width="9.140625" style="152" customWidth="1"/>
  </cols>
  <sheetData>
    <row r="1" spans="1:16" ht="13.5" thickBot="1">
      <c r="A1" s="632" t="s">
        <v>635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4"/>
    </row>
    <row r="2" spans="1:16" ht="13.5" thickBot="1">
      <c r="A2" s="566" t="s">
        <v>636</v>
      </c>
      <c r="B2" s="716"/>
      <c r="C2" s="716"/>
      <c r="D2" s="716"/>
      <c r="E2" s="716"/>
      <c r="F2" s="716"/>
      <c r="G2" s="716"/>
      <c r="H2" s="716"/>
      <c r="I2" s="716"/>
      <c r="J2" s="716"/>
      <c r="K2" s="567"/>
      <c r="L2" s="599"/>
      <c r="M2" s="599"/>
      <c r="N2" s="599"/>
      <c r="O2" s="599"/>
      <c r="P2" s="600"/>
    </row>
    <row r="3" spans="1:16" ht="13.5" thickBot="1">
      <c r="A3" s="54"/>
      <c r="B3" s="726" t="s">
        <v>420</v>
      </c>
      <c r="C3" s="727"/>
      <c r="D3" s="727"/>
      <c r="E3" s="727"/>
      <c r="F3" s="727"/>
      <c r="G3" s="727"/>
      <c r="H3" s="727"/>
      <c r="I3" s="727"/>
      <c r="J3" s="727"/>
      <c r="K3" s="728"/>
      <c r="L3" s="602"/>
      <c r="M3" s="602"/>
      <c r="N3" s="602"/>
      <c r="O3" s="602"/>
      <c r="P3" s="603"/>
    </row>
    <row r="4" spans="1:16" ht="12.75" customHeight="1">
      <c r="A4" s="744" t="s">
        <v>536</v>
      </c>
      <c r="B4" s="34"/>
      <c r="C4" s="30">
        <v>0</v>
      </c>
      <c r="D4" s="30">
        <v>0.1</v>
      </c>
      <c r="E4" s="30">
        <v>0.2</v>
      </c>
      <c r="F4" s="30">
        <v>0.3</v>
      </c>
      <c r="G4" s="30">
        <v>0.4</v>
      </c>
      <c r="H4" s="30">
        <v>0.5</v>
      </c>
      <c r="I4" s="30">
        <v>0.6</v>
      </c>
      <c r="J4" s="30">
        <v>0.7</v>
      </c>
      <c r="K4" s="31">
        <v>0.8</v>
      </c>
      <c r="L4" s="602"/>
      <c r="M4" s="602"/>
      <c r="N4" s="602"/>
      <c r="O4" s="602"/>
      <c r="P4" s="603"/>
    </row>
    <row r="5" spans="1:16" ht="12.75">
      <c r="A5" s="745"/>
      <c r="B5" s="340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26">
        <v>0</v>
      </c>
      <c r="L5" s="602"/>
      <c r="M5" s="602"/>
      <c r="N5" s="602"/>
      <c r="O5" s="602"/>
      <c r="P5" s="603"/>
    </row>
    <row r="6" spans="1:16" ht="12.75">
      <c r="A6" s="745"/>
      <c r="B6" s="340">
        <v>0.002</v>
      </c>
      <c r="C6" s="33">
        <v>0.11316</v>
      </c>
      <c r="D6" s="33">
        <v>0.092105</v>
      </c>
      <c r="E6" s="33">
        <v>0.077632</v>
      </c>
      <c r="F6" s="33">
        <v>0.061842</v>
      </c>
      <c r="G6" s="33">
        <v>0.053947</v>
      </c>
      <c r="H6" s="33">
        <v>0.043421</v>
      </c>
      <c r="I6" s="33">
        <v>0.035526</v>
      </c>
      <c r="J6" s="33">
        <v>0.028947</v>
      </c>
      <c r="K6" s="26">
        <v>0.018421</v>
      </c>
      <c r="L6" s="602"/>
      <c r="M6" s="602"/>
      <c r="N6" s="602"/>
      <c r="O6" s="602"/>
      <c r="P6" s="603"/>
    </row>
    <row r="7" spans="1:16" ht="12.75">
      <c r="A7" s="745"/>
      <c r="B7" s="340">
        <v>0.004</v>
      </c>
      <c r="C7" s="33">
        <v>0.16184</v>
      </c>
      <c r="D7" s="33">
        <v>0.14342</v>
      </c>
      <c r="E7" s="33">
        <v>0.125</v>
      </c>
      <c r="F7" s="33">
        <v>0.11053</v>
      </c>
      <c r="G7" s="33">
        <v>0.096053</v>
      </c>
      <c r="H7" s="33">
        <v>0.085526</v>
      </c>
      <c r="I7" s="33">
        <v>0.069737</v>
      </c>
      <c r="J7" s="33">
        <v>0.051316</v>
      </c>
      <c r="K7" s="26">
        <v>0.036842</v>
      </c>
      <c r="L7" s="602"/>
      <c r="M7" s="602"/>
      <c r="N7" s="602"/>
      <c r="O7" s="602"/>
      <c r="P7" s="603"/>
    </row>
    <row r="8" spans="1:16" ht="12.75">
      <c r="A8" s="745"/>
      <c r="B8" s="340">
        <v>0.006</v>
      </c>
      <c r="C8" s="33">
        <v>0.2</v>
      </c>
      <c r="D8" s="33">
        <v>0.18421</v>
      </c>
      <c r="E8" s="33">
        <v>0.16711</v>
      </c>
      <c r="F8" s="33">
        <v>0.14737</v>
      </c>
      <c r="G8" s="33">
        <v>0.13026</v>
      </c>
      <c r="H8" s="33">
        <v>0.11711</v>
      </c>
      <c r="I8" s="33">
        <v>0.097368</v>
      </c>
      <c r="J8" s="33">
        <v>0.069737</v>
      </c>
      <c r="K8" s="26">
        <v>0.053947</v>
      </c>
      <c r="L8" s="602"/>
      <c r="M8" s="602"/>
      <c r="N8" s="602"/>
      <c r="O8" s="602"/>
      <c r="P8" s="603"/>
    </row>
    <row r="9" spans="1:16" ht="12.75">
      <c r="A9" s="745"/>
      <c r="B9" s="340">
        <v>0.008</v>
      </c>
      <c r="C9" s="33">
        <v>0.23158</v>
      </c>
      <c r="D9" s="33">
        <v>0.21711</v>
      </c>
      <c r="E9" s="33">
        <v>0.20263</v>
      </c>
      <c r="F9" s="33">
        <v>0.17895</v>
      </c>
      <c r="G9" s="33">
        <v>0.16053</v>
      </c>
      <c r="H9" s="33">
        <v>0.14474</v>
      </c>
      <c r="I9" s="33">
        <v>0.12105</v>
      </c>
      <c r="J9" s="33">
        <v>0.088158</v>
      </c>
      <c r="K9" s="26">
        <v>0.067105</v>
      </c>
      <c r="L9" s="602"/>
      <c r="M9" s="602"/>
      <c r="N9" s="602"/>
      <c r="O9" s="602"/>
      <c r="P9" s="603"/>
    </row>
    <row r="10" spans="1:16" ht="12.75">
      <c r="A10" s="745"/>
      <c r="B10" s="340">
        <v>0.01</v>
      </c>
      <c r="C10" s="33">
        <v>0.26184</v>
      </c>
      <c r="D10" s="33">
        <v>0.24737</v>
      </c>
      <c r="E10" s="33">
        <v>0.23289</v>
      </c>
      <c r="F10" s="33">
        <v>0.21316</v>
      </c>
      <c r="G10" s="33">
        <v>0.19079</v>
      </c>
      <c r="H10" s="33">
        <v>0.17105</v>
      </c>
      <c r="I10" s="33">
        <v>0.14342</v>
      </c>
      <c r="J10" s="33">
        <v>0.10526</v>
      </c>
      <c r="K10" s="26">
        <v>0.081579</v>
      </c>
      <c r="L10" s="602"/>
      <c r="M10" s="602"/>
      <c r="N10" s="602"/>
      <c r="O10" s="602"/>
      <c r="P10" s="603"/>
    </row>
    <row r="11" spans="1:16" ht="12.75">
      <c r="A11" s="745"/>
      <c r="B11" s="340">
        <v>0.012</v>
      </c>
      <c r="C11" s="33">
        <v>0.28553</v>
      </c>
      <c r="D11" s="33">
        <v>0.27237</v>
      </c>
      <c r="E11" s="33">
        <v>0.25921</v>
      </c>
      <c r="F11" s="33">
        <v>0.23684</v>
      </c>
      <c r="G11" s="33">
        <v>0.21974</v>
      </c>
      <c r="H11" s="33">
        <v>0.19211</v>
      </c>
      <c r="I11" s="33">
        <v>0.16579</v>
      </c>
      <c r="J11" s="33">
        <v>0.12105</v>
      </c>
      <c r="K11" s="26">
        <v>0.094737</v>
      </c>
      <c r="L11" s="602"/>
      <c r="M11" s="602"/>
      <c r="N11" s="602"/>
      <c r="O11" s="602"/>
      <c r="P11" s="603"/>
    </row>
    <row r="12" spans="1:16" ht="12.75">
      <c r="A12" s="745"/>
      <c r="B12" s="340">
        <v>0.014</v>
      </c>
      <c r="C12" s="33">
        <v>0.30921</v>
      </c>
      <c r="D12" s="33">
        <v>0.29342</v>
      </c>
      <c r="E12" s="33">
        <v>0.28026</v>
      </c>
      <c r="F12" s="33">
        <v>0.25921</v>
      </c>
      <c r="G12" s="33">
        <v>0.24211</v>
      </c>
      <c r="H12" s="33">
        <v>0.21447</v>
      </c>
      <c r="I12" s="33">
        <v>0.18289</v>
      </c>
      <c r="J12" s="33">
        <v>0.13684</v>
      </c>
      <c r="K12" s="26">
        <v>0.10526</v>
      </c>
      <c r="L12" s="602"/>
      <c r="M12" s="602"/>
      <c r="N12" s="602"/>
      <c r="O12" s="602"/>
      <c r="P12" s="603"/>
    </row>
    <row r="13" spans="1:16" ht="12.75">
      <c r="A13" s="745"/>
      <c r="B13" s="340">
        <v>0.016</v>
      </c>
      <c r="C13" s="33">
        <v>0.33026</v>
      </c>
      <c r="D13" s="33">
        <v>0.31447</v>
      </c>
      <c r="E13" s="33">
        <v>0.3</v>
      </c>
      <c r="F13" s="33">
        <v>0.28026</v>
      </c>
      <c r="G13" s="33">
        <v>0.26447</v>
      </c>
      <c r="H13" s="33">
        <v>0.23553</v>
      </c>
      <c r="I13" s="33">
        <v>0.20263</v>
      </c>
      <c r="J13" s="33">
        <v>0.15</v>
      </c>
      <c r="K13" s="26">
        <v>0.11447</v>
      </c>
      <c r="L13" s="602"/>
      <c r="M13" s="602"/>
      <c r="N13" s="602"/>
      <c r="O13" s="602"/>
      <c r="P13" s="603"/>
    </row>
    <row r="14" spans="1:16" ht="12.75">
      <c r="A14" s="745"/>
      <c r="B14" s="340">
        <v>0.018</v>
      </c>
      <c r="C14" s="33">
        <v>0.35</v>
      </c>
      <c r="D14" s="33">
        <v>0.33289</v>
      </c>
      <c r="E14" s="33">
        <v>0.31842</v>
      </c>
      <c r="F14" s="33">
        <v>0.29868</v>
      </c>
      <c r="G14" s="33">
        <v>0.28289</v>
      </c>
      <c r="H14" s="33">
        <v>0.25132</v>
      </c>
      <c r="I14" s="33">
        <v>0.21579</v>
      </c>
      <c r="J14" s="33">
        <v>0.16184</v>
      </c>
      <c r="K14" s="26">
        <v>0.12368</v>
      </c>
      <c r="L14" s="602"/>
      <c r="M14" s="602"/>
      <c r="N14" s="602"/>
      <c r="O14" s="602"/>
      <c r="P14" s="603"/>
    </row>
    <row r="15" spans="1:16" ht="12.75">
      <c r="A15" s="745"/>
      <c r="B15" s="340">
        <v>0.02</v>
      </c>
      <c r="C15" s="33">
        <v>0.36711</v>
      </c>
      <c r="D15" s="33">
        <v>0.35263</v>
      </c>
      <c r="E15" s="33">
        <v>0.33421</v>
      </c>
      <c r="F15" s="33">
        <v>0.31579</v>
      </c>
      <c r="G15" s="33">
        <v>0.29868</v>
      </c>
      <c r="H15" s="33">
        <v>0.26579</v>
      </c>
      <c r="I15" s="33">
        <v>0.22895</v>
      </c>
      <c r="J15" s="33">
        <v>0.17368</v>
      </c>
      <c r="K15" s="26">
        <v>0.13026</v>
      </c>
      <c r="L15" s="602"/>
      <c r="M15" s="602"/>
      <c r="N15" s="602"/>
      <c r="O15" s="602"/>
      <c r="P15" s="603"/>
    </row>
    <row r="16" spans="1:16" ht="12.75">
      <c r="A16" s="745"/>
      <c r="B16" s="340">
        <v>0.04</v>
      </c>
      <c r="C16" s="33">
        <v>0.5</v>
      </c>
      <c r="D16" s="33">
        <v>0.48289</v>
      </c>
      <c r="E16" s="33">
        <v>0.46579</v>
      </c>
      <c r="F16" s="33">
        <v>0.44474</v>
      </c>
      <c r="G16" s="33">
        <v>0.41447</v>
      </c>
      <c r="H16" s="33">
        <v>0.37105</v>
      </c>
      <c r="I16" s="33">
        <v>0.31974</v>
      </c>
      <c r="J16" s="33">
        <v>0.24868</v>
      </c>
      <c r="K16" s="26">
        <v>0.18158</v>
      </c>
      <c r="L16" s="602"/>
      <c r="M16" s="602"/>
      <c r="N16" s="602"/>
      <c r="O16" s="602"/>
      <c r="P16" s="603"/>
    </row>
    <row r="17" spans="1:16" ht="12.75">
      <c r="A17" s="745"/>
      <c r="B17" s="340">
        <v>0.06</v>
      </c>
      <c r="C17" s="33">
        <v>0.6</v>
      </c>
      <c r="D17" s="33">
        <v>0.58816</v>
      </c>
      <c r="E17" s="33">
        <v>0.56842</v>
      </c>
      <c r="F17" s="33">
        <v>0.53947</v>
      </c>
      <c r="G17" s="33">
        <v>0.5</v>
      </c>
      <c r="H17" s="33">
        <v>0.45132</v>
      </c>
      <c r="I17" s="33">
        <v>0.39079</v>
      </c>
      <c r="J17" s="33">
        <v>0.30395</v>
      </c>
      <c r="K17" s="26">
        <v>0.21974</v>
      </c>
      <c r="L17" s="602"/>
      <c r="M17" s="602"/>
      <c r="N17" s="602"/>
      <c r="O17" s="602"/>
      <c r="P17" s="603"/>
    </row>
    <row r="18" spans="1:16" ht="12.75">
      <c r="A18" s="745"/>
      <c r="B18" s="340">
        <v>0.08</v>
      </c>
      <c r="C18" s="33">
        <v>0.68947</v>
      </c>
      <c r="D18" s="33">
        <v>0.67368</v>
      </c>
      <c r="E18" s="33">
        <v>0.65132</v>
      </c>
      <c r="F18" s="33">
        <v>0.61842</v>
      </c>
      <c r="G18" s="33">
        <v>0.57368</v>
      </c>
      <c r="H18" s="33">
        <v>0.51184</v>
      </c>
      <c r="I18" s="33">
        <v>0.43947</v>
      </c>
      <c r="J18" s="33">
        <v>0.34737</v>
      </c>
      <c r="K18" s="26">
        <v>0.25132</v>
      </c>
      <c r="L18" s="602"/>
      <c r="M18" s="602"/>
      <c r="N18" s="602"/>
      <c r="O18" s="602"/>
      <c r="P18" s="603"/>
    </row>
    <row r="19" spans="1:16" ht="12.75">
      <c r="A19" s="745"/>
      <c r="B19" s="340">
        <v>0.1</v>
      </c>
      <c r="C19" s="33">
        <v>0.76579</v>
      </c>
      <c r="D19" s="33">
        <v>0.74605</v>
      </c>
      <c r="E19" s="33">
        <v>0.71974</v>
      </c>
      <c r="F19" s="33">
        <v>0.68289</v>
      </c>
      <c r="G19" s="33">
        <v>0.63553</v>
      </c>
      <c r="H19" s="33">
        <v>0.56447</v>
      </c>
      <c r="I19" s="33">
        <v>0.48026</v>
      </c>
      <c r="J19" s="33">
        <v>0.38158</v>
      </c>
      <c r="K19" s="26">
        <v>0.27632</v>
      </c>
      <c r="L19" s="602"/>
      <c r="M19" s="602"/>
      <c r="N19" s="602"/>
      <c r="O19" s="602"/>
      <c r="P19" s="603"/>
    </row>
    <row r="20" spans="1:16" ht="12.75">
      <c r="A20" s="745"/>
      <c r="B20" s="340">
        <v>0.12</v>
      </c>
      <c r="C20" s="33">
        <v>0.82763</v>
      </c>
      <c r="D20" s="33">
        <v>0.80789</v>
      </c>
      <c r="E20" s="33">
        <v>0.78026</v>
      </c>
      <c r="F20" s="33">
        <v>0.73947</v>
      </c>
      <c r="G20" s="33">
        <v>0.68684</v>
      </c>
      <c r="H20" s="33">
        <v>0.60658</v>
      </c>
      <c r="I20" s="33">
        <v>0.52237</v>
      </c>
      <c r="J20" s="33">
        <v>0.40921</v>
      </c>
      <c r="K20" s="26">
        <v>0.29474</v>
      </c>
      <c r="L20" s="602"/>
      <c r="M20" s="602"/>
      <c r="N20" s="602"/>
      <c r="O20" s="602"/>
      <c r="P20" s="603"/>
    </row>
    <row r="21" spans="1:16" ht="12.75">
      <c r="A21" s="745"/>
      <c r="B21" s="340">
        <v>0.14</v>
      </c>
      <c r="C21" s="33">
        <v>0.88947</v>
      </c>
      <c r="D21" s="33">
        <v>0.86973</v>
      </c>
      <c r="E21" s="33">
        <v>0.84078</v>
      </c>
      <c r="F21" s="33">
        <v>0.79605</v>
      </c>
      <c r="G21" s="33">
        <v>0.73815</v>
      </c>
      <c r="H21" s="33">
        <v>0.64869</v>
      </c>
      <c r="I21" s="33">
        <v>0.56448</v>
      </c>
      <c r="J21" s="33">
        <v>0.43684</v>
      </c>
      <c r="K21" s="26">
        <v>0.31316</v>
      </c>
      <c r="L21" s="602"/>
      <c r="M21" s="602"/>
      <c r="N21" s="602"/>
      <c r="O21" s="602"/>
      <c r="P21" s="603"/>
    </row>
    <row r="22" spans="1:16" ht="12.75">
      <c r="A22" s="745"/>
      <c r="B22" s="340">
        <v>0.16</v>
      </c>
      <c r="C22" s="33">
        <v>0.95131</v>
      </c>
      <c r="D22" s="33">
        <v>0.93157</v>
      </c>
      <c r="E22" s="33">
        <v>0.9013</v>
      </c>
      <c r="F22" s="33">
        <v>0.85263</v>
      </c>
      <c r="G22" s="33">
        <v>0.78946</v>
      </c>
      <c r="H22" s="33">
        <v>0.6908</v>
      </c>
      <c r="I22" s="33">
        <v>0.60659</v>
      </c>
      <c r="J22" s="33">
        <v>0.46447</v>
      </c>
      <c r="K22" s="26">
        <v>0.33158</v>
      </c>
      <c r="L22" s="602"/>
      <c r="M22" s="602"/>
      <c r="N22" s="602"/>
      <c r="O22" s="602"/>
      <c r="P22" s="603"/>
    </row>
    <row r="23" spans="1:16" ht="13.5" thickBot="1">
      <c r="A23" s="746"/>
      <c r="B23" s="340">
        <v>0.18</v>
      </c>
      <c r="C23" s="33">
        <v>1.01315</v>
      </c>
      <c r="D23" s="33">
        <v>0.99341</v>
      </c>
      <c r="E23" s="33">
        <v>0.96182</v>
      </c>
      <c r="F23" s="33">
        <v>0.90921</v>
      </c>
      <c r="G23" s="33">
        <v>0.84077</v>
      </c>
      <c r="H23" s="33">
        <v>0.73291</v>
      </c>
      <c r="I23" s="33">
        <v>0.6487</v>
      </c>
      <c r="J23" s="33">
        <v>0.4921</v>
      </c>
      <c r="K23" s="26">
        <v>0.35</v>
      </c>
      <c r="L23" s="602"/>
      <c r="M23" s="602"/>
      <c r="N23" s="602"/>
      <c r="O23" s="602"/>
      <c r="P23" s="603"/>
    </row>
    <row r="24" spans="1:16" ht="13.5" thickBot="1">
      <c r="A24" s="643" t="s">
        <v>637</v>
      </c>
      <c r="B24" s="688"/>
      <c r="C24" s="644"/>
      <c r="D24" s="738"/>
      <c r="E24" s="739"/>
      <c r="F24" s="739"/>
      <c r="G24" s="739"/>
      <c r="H24" s="739"/>
      <c r="I24" s="739"/>
      <c r="J24" s="739"/>
      <c r="K24" s="739"/>
      <c r="L24" s="739"/>
      <c r="M24" s="739"/>
      <c r="N24" s="739"/>
      <c r="O24" s="739"/>
      <c r="P24" s="740"/>
    </row>
    <row r="25" spans="1:16" ht="13.5" thickBot="1">
      <c r="A25" s="19"/>
      <c r="B25" s="289"/>
      <c r="C25" s="290" t="s">
        <v>86</v>
      </c>
      <c r="D25" s="738"/>
      <c r="E25" s="739"/>
      <c r="F25" s="739"/>
      <c r="G25" s="739"/>
      <c r="H25" s="739"/>
      <c r="I25" s="739"/>
      <c r="J25" s="739"/>
      <c r="K25" s="739"/>
      <c r="L25" s="739"/>
      <c r="M25" s="739"/>
      <c r="N25" s="739"/>
      <c r="O25" s="739"/>
      <c r="P25" s="740"/>
    </row>
    <row r="26" spans="1:16" ht="12.75">
      <c r="A26" s="718" t="s">
        <v>638</v>
      </c>
      <c r="B26" s="231">
        <v>4</v>
      </c>
      <c r="C26" s="140">
        <v>1.2842</v>
      </c>
      <c r="D26" s="738"/>
      <c r="E26" s="739"/>
      <c r="F26" s="739"/>
      <c r="G26" s="739"/>
      <c r="H26" s="739"/>
      <c r="I26" s="739"/>
      <c r="J26" s="739"/>
      <c r="K26" s="739"/>
      <c r="L26" s="739"/>
      <c r="M26" s="739"/>
      <c r="N26" s="739"/>
      <c r="O26" s="739"/>
      <c r="P26" s="740"/>
    </row>
    <row r="27" spans="1:16" ht="12.75">
      <c r="A27" s="718"/>
      <c r="B27" s="231">
        <v>6</v>
      </c>
      <c r="C27" s="140">
        <v>1.2658</v>
      </c>
      <c r="D27" s="738"/>
      <c r="E27" s="739"/>
      <c r="F27" s="739"/>
      <c r="G27" s="739"/>
      <c r="H27" s="739"/>
      <c r="I27" s="739"/>
      <c r="J27" s="739"/>
      <c r="K27" s="739"/>
      <c r="L27" s="739"/>
      <c r="M27" s="739"/>
      <c r="N27" s="739"/>
      <c r="O27" s="739"/>
      <c r="P27" s="740"/>
    </row>
    <row r="28" spans="1:16" ht="12.75">
      <c r="A28" s="718"/>
      <c r="B28" s="231">
        <v>8</v>
      </c>
      <c r="C28" s="140">
        <v>1.2428</v>
      </c>
      <c r="D28" s="738"/>
      <c r="E28" s="739"/>
      <c r="F28" s="739"/>
      <c r="G28" s="739"/>
      <c r="H28" s="739"/>
      <c r="I28" s="739"/>
      <c r="J28" s="739"/>
      <c r="K28" s="739"/>
      <c r="L28" s="739"/>
      <c r="M28" s="739"/>
      <c r="N28" s="739"/>
      <c r="O28" s="739"/>
      <c r="P28" s="740"/>
    </row>
    <row r="29" spans="1:16" ht="12.75">
      <c r="A29" s="718"/>
      <c r="B29" s="231">
        <v>10</v>
      </c>
      <c r="C29" s="140">
        <v>1.2118</v>
      </c>
      <c r="D29" s="738"/>
      <c r="E29" s="739"/>
      <c r="F29" s="739"/>
      <c r="G29" s="739"/>
      <c r="H29" s="739"/>
      <c r="I29" s="739"/>
      <c r="J29" s="739"/>
      <c r="K29" s="739"/>
      <c r="L29" s="739"/>
      <c r="M29" s="739"/>
      <c r="N29" s="739"/>
      <c r="O29" s="739"/>
      <c r="P29" s="740"/>
    </row>
    <row r="30" spans="1:16" ht="12.75">
      <c r="A30" s="718"/>
      <c r="B30" s="231">
        <v>12</v>
      </c>
      <c r="C30" s="140">
        <v>1.1717</v>
      </c>
      <c r="D30" s="738"/>
      <c r="E30" s="739"/>
      <c r="F30" s="739"/>
      <c r="G30" s="739"/>
      <c r="H30" s="739"/>
      <c r="I30" s="739"/>
      <c r="J30" s="739"/>
      <c r="K30" s="739"/>
      <c r="L30" s="739"/>
      <c r="M30" s="739"/>
      <c r="N30" s="739"/>
      <c r="O30" s="739"/>
      <c r="P30" s="740"/>
    </row>
    <row r="31" spans="1:16" ht="12.75">
      <c r="A31" s="718"/>
      <c r="B31" s="231">
        <v>14</v>
      </c>
      <c r="C31" s="140">
        <v>1.127</v>
      </c>
      <c r="D31" s="738"/>
      <c r="E31" s="739"/>
      <c r="F31" s="739"/>
      <c r="G31" s="739"/>
      <c r="H31" s="739"/>
      <c r="I31" s="739"/>
      <c r="J31" s="739"/>
      <c r="K31" s="739"/>
      <c r="L31" s="739"/>
      <c r="M31" s="739"/>
      <c r="N31" s="739"/>
      <c r="O31" s="739"/>
      <c r="P31" s="740"/>
    </row>
    <row r="32" spans="1:16" ht="12.75">
      <c r="A32" s="718"/>
      <c r="B32" s="231">
        <v>16</v>
      </c>
      <c r="C32" s="140">
        <v>1.0776</v>
      </c>
      <c r="D32" s="738"/>
      <c r="E32" s="739"/>
      <c r="F32" s="739"/>
      <c r="G32" s="739"/>
      <c r="H32" s="739"/>
      <c r="I32" s="739"/>
      <c r="J32" s="739"/>
      <c r="K32" s="739"/>
      <c r="L32" s="739"/>
      <c r="M32" s="739"/>
      <c r="N32" s="739"/>
      <c r="O32" s="739"/>
      <c r="P32" s="740"/>
    </row>
    <row r="33" spans="1:16" ht="13.5" thickBot="1">
      <c r="A33" s="719"/>
      <c r="B33" s="341">
        <v>18</v>
      </c>
      <c r="C33" s="142">
        <v>1.0184</v>
      </c>
      <c r="D33" s="741"/>
      <c r="E33" s="742"/>
      <c r="F33" s="742"/>
      <c r="G33" s="742"/>
      <c r="H33" s="742"/>
      <c r="I33" s="742"/>
      <c r="J33" s="742"/>
      <c r="K33" s="742"/>
      <c r="L33" s="742"/>
      <c r="M33" s="742"/>
      <c r="N33" s="742"/>
      <c r="O33" s="742"/>
      <c r="P33" s="743"/>
    </row>
    <row r="37" spans="12:14" ht="12.75">
      <c r="L37" s="154"/>
      <c r="N37" s="154"/>
    </row>
    <row r="38" spans="8:14" ht="12.75">
      <c r="H38" s="171"/>
      <c r="L38" s="154"/>
      <c r="N38" s="154"/>
    </row>
    <row r="39" spans="8:14" ht="12.75">
      <c r="H39" s="171"/>
      <c r="L39" s="154"/>
      <c r="N39" s="154"/>
    </row>
    <row r="40" spans="8:14" ht="12.75">
      <c r="H40" s="171"/>
      <c r="L40" s="154"/>
      <c r="N40" s="154"/>
    </row>
    <row r="41" spans="8:14" ht="12.75">
      <c r="H41" s="171"/>
      <c r="L41" s="154"/>
      <c r="N41" s="154"/>
    </row>
    <row r="42" spans="8:14" ht="12.75">
      <c r="H42" s="171"/>
      <c r="L42" s="154"/>
      <c r="N42" s="154"/>
    </row>
    <row r="43" spans="8:14" ht="12.75">
      <c r="H43" s="171"/>
      <c r="L43" s="154"/>
      <c r="N43" s="154"/>
    </row>
    <row r="44" spans="8:14" ht="12.75">
      <c r="H44" s="171"/>
      <c r="L44" s="154"/>
      <c r="N44" s="154"/>
    </row>
    <row r="45" spans="8:14" ht="12.75">
      <c r="H45" s="171"/>
      <c r="L45" s="154"/>
      <c r="N45" s="154"/>
    </row>
    <row r="46" spans="8:14" ht="12.75">
      <c r="H46" s="171"/>
      <c r="L46" s="154"/>
      <c r="N46" s="154"/>
    </row>
    <row r="47" spans="8:14" ht="12.75">
      <c r="H47" s="171"/>
      <c r="L47" s="154"/>
      <c r="N47" s="154"/>
    </row>
    <row r="48" spans="8:14" ht="12.75">
      <c r="H48" s="171"/>
      <c r="L48" s="154"/>
      <c r="N48" s="154"/>
    </row>
    <row r="49" spans="8:14" ht="12.75">
      <c r="H49" s="171"/>
      <c r="L49" s="154"/>
      <c r="N49" s="154"/>
    </row>
    <row r="50" spans="8:14" ht="12.75">
      <c r="H50" s="171"/>
      <c r="L50" s="154"/>
      <c r="N50" s="154"/>
    </row>
    <row r="51" spans="8:14" ht="12.75">
      <c r="H51" s="171"/>
      <c r="L51" s="154"/>
      <c r="N51" s="154"/>
    </row>
    <row r="52" spans="8:14" ht="12.75">
      <c r="H52" s="171"/>
      <c r="L52" s="154"/>
      <c r="N52" s="154"/>
    </row>
    <row r="53" spans="12:14" ht="12.75">
      <c r="L53" s="154"/>
      <c r="N53" s="154"/>
    </row>
    <row r="54" spans="8:14" ht="12.75">
      <c r="H54" s="171"/>
      <c r="L54" s="154"/>
      <c r="N54" s="154"/>
    </row>
    <row r="55" spans="8:14" ht="12.75">
      <c r="H55" s="171"/>
      <c r="L55" s="154"/>
      <c r="N55" s="154"/>
    </row>
    <row r="56" spans="8:14" ht="12.75">
      <c r="H56" s="171"/>
      <c r="L56" s="154"/>
      <c r="N56" s="154"/>
    </row>
    <row r="57" spans="8:14" ht="12.75">
      <c r="H57" s="171"/>
      <c r="L57" s="154"/>
      <c r="N57" s="154"/>
    </row>
    <row r="58" spans="8:14" ht="12.75">
      <c r="H58" s="171"/>
      <c r="L58" s="154"/>
      <c r="N58" s="154"/>
    </row>
    <row r="59" spans="8:14" ht="12.75">
      <c r="H59" s="171"/>
      <c r="L59" s="178"/>
      <c r="N59" s="154"/>
    </row>
    <row r="60" spans="8:14" ht="12.75">
      <c r="H60" s="171"/>
      <c r="L60" s="154"/>
      <c r="N60" s="154"/>
    </row>
    <row r="61" spans="8:14" ht="12.75">
      <c r="H61" s="171"/>
      <c r="L61" s="154"/>
      <c r="N61" s="154"/>
    </row>
    <row r="62" spans="8:14" ht="12.75">
      <c r="H62" s="171"/>
      <c r="L62" s="154"/>
      <c r="N62" s="154"/>
    </row>
    <row r="63" spans="8:14" ht="12.75">
      <c r="H63" s="171"/>
      <c r="L63" s="154"/>
      <c r="N63" s="154"/>
    </row>
    <row r="64" spans="8:14" ht="12.75">
      <c r="H64" s="171"/>
      <c r="L64" s="154"/>
      <c r="N64" s="154"/>
    </row>
    <row r="65" spans="8:14" ht="12.75">
      <c r="H65" s="171"/>
      <c r="L65" s="154"/>
      <c r="N65" s="154"/>
    </row>
    <row r="66" spans="8:14" ht="12.75">
      <c r="H66" s="171"/>
      <c r="L66" s="154"/>
      <c r="N66" s="154"/>
    </row>
    <row r="67" spans="8:14" ht="12.75">
      <c r="H67" s="171"/>
      <c r="L67" s="154"/>
      <c r="N67" s="154"/>
    </row>
    <row r="68" spans="8:14" ht="12.75">
      <c r="H68" s="171"/>
      <c r="L68" s="154"/>
      <c r="N68" s="154"/>
    </row>
    <row r="69" spans="12:14" ht="12.75">
      <c r="L69" s="154"/>
      <c r="N69" s="154"/>
    </row>
    <row r="70" spans="8:14" ht="12.75">
      <c r="H70" s="171"/>
      <c r="L70" s="154"/>
      <c r="N70" s="154"/>
    </row>
    <row r="71" spans="8:14" ht="12.75">
      <c r="H71" s="171"/>
      <c r="L71" s="154"/>
      <c r="N71" s="154"/>
    </row>
    <row r="72" spans="8:14" ht="12.75">
      <c r="H72" s="171"/>
      <c r="L72" s="154"/>
      <c r="N72" s="154"/>
    </row>
    <row r="73" spans="8:14" ht="12.75">
      <c r="H73" s="171"/>
      <c r="L73" s="154"/>
      <c r="N73" s="154"/>
    </row>
    <row r="74" spans="8:14" ht="12.75">
      <c r="H74" s="171"/>
      <c r="L74" s="154"/>
      <c r="N74" s="154"/>
    </row>
    <row r="75" spans="8:14" ht="12.75">
      <c r="H75" s="171"/>
      <c r="L75" s="154"/>
      <c r="N75" s="154"/>
    </row>
    <row r="76" spans="8:14" ht="12.75">
      <c r="H76" s="171"/>
      <c r="L76" s="154"/>
      <c r="N76" s="154"/>
    </row>
    <row r="77" spans="8:14" ht="12.75">
      <c r="H77" s="171"/>
      <c r="L77" s="154"/>
      <c r="N77" s="154"/>
    </row>
    <row r="78" spans="8:14" ht="12.75">
      <c r="H78" s="171"/>
      <c r="L78" s="154"/>
      <c r="N78" s="154"/>
    </row>
    <row r="79" spans="8:14" ht="12.75">
      <c r="H79" s="171"/>
      <c r="L79" s="178"/>
      <c r="N79" s="154"/>
    </row>
    <row r="80" spans="8:13" ht="12.75">
      <c r="H80" s="171"/>
      <c r="L80" s="154"/>
      <c r="M80" s="154"/>
    </row>
    <row r="81" spans="8:13" ht="12.75">
      <c r="H81" s="171"/>
      <c r="L81" s="154"/>
      <c r="M81" s="154"/>
    </row>
    <row r="82" spans="8:13" ht="12.75">
      <c r="H82" s="171"/>
      <c r="L82" s="154"/>
      <c r="M82" s="154"/>
    </row>
    <row r="83" spans="8:13" ht="12.75">
      <c r="H83" s="171"/>
      <c r="L83" s="154"/>
      <c r="M83" s="154"/>
    </row>
    <row r="84" spans="8:13" ht="12.75">
      <c r="H84" s="171"/>
      <c r="L84" s="154"/>
      <c r="M84" s="154"/>
    </row>
    <row r="85" spans="12:13" ht="12.75">
      <c r="L85" s="154"/>
      <c r="M85" s="154"/>
    </row>
    <row r="86" spans="12:13" ht="12.75">
      <c r="L86" s="154"/>
      <c r="M86" s="154"/>
    </row>
    <row r="87" spans="12:13" ht="12.75">
      <c r="L87" s="154"/>
      <c r="M87" s="154"/>
    </row>
    <row r="88" spans="12:13" ht="12.75">
      <c r="L88" s="154"/>
      <c r="M88" s="154"/>
    </row>
    <row r="89" spans="12:13" ht="12.75">
      <c r="L89" s="154"/>
      <c r="M89" s="154"/>
    </row>
    <row r="90" spans="12:13" ht="12.75">
      <c r="L90" s="154"/>
      <c r="M90" s="154"/>
    </row>
    <row r="91" spans="12:13" ht="12.75">
      <c r="L91" s="154"/>
      <c r="M91" s="154"/>
    </row>
    <row r="92" spans="12:13" ht="12.75">
      <c r="L92" s="154"/>
      <c r="M92" s="154"/>
    </row>
    <row r="93" spans="12:13" ht="12.75">
      <c r="L93" s="154"/>
      <c r="M93" s="154"/>
    </row>
    <row r="94" spans="12:13" ht="12.75">
      <c r="L94" s="154"/>
      <c r="M94" s="154"/>
    </row>
    <row r="95" spans="12:13" ht="12.75">
      <c r="L95" s="154"/>
      <c r="M95" s="154"/>
    </row>
    <row r="96" spans="12:13" ht="12.75">
      <c r="L96" s="154"/>
      <c r="M96" s="154"/>
    </row>
    <row r="97" spans="12:13" ht="12.75">
      <c r="L97" s="154"/>
      <c r="M97" s="154"/>
    </row>
    <row r="98" spans="12:13" ht="12.75">
      <c r="L98" s="154"/>
      <c r="M98" s="154"/>
    </row>
    <row r="99" spans="12:13" ht="12.75">
      <c r="L99" s="154"/>
      <c r="M99" s="154"/>
    </row>
    <row r="100" spans="12:13" ht="12.75">
      <c r="L100" s="154"/>
      <c r="M100" s="154"/>
    </row>
    <row r="101" spans="12:13" ht="12.75">
      <c r="L101" s="154"/>
      <c r="M101" s="154"/>
    </row>
    <row r="102" spans="12:13" ht="12.75">
      <c r="L102" s="154"/>
      <c r="M102" s="154"/>
    </row>
    <row r="103" spans="12:13" ht="12.75">
      <c r="L103" s="154"/>
      <c r="M103" s="154"/>
    </row>
    <row r="104" spans="12:13" ht="12.75">
      <c r="L104" s="154"/>
      <c r="M104" s="154"/>
    </row>
    <row r="105" spans="12:13" ht="12.75">
      <c r="L105" s="154"/>
      <c r="M105" s="154"/>
    </row>
    <row r="106" spans="12:13" ht="12.75">
      <c r="L106" s="154"/>
      <c r="M106" s="154"/>
    </row>
    <row r="107" spans="12:13" ht="12.75">
      <c r="L107" s="154"/>
      <c r="M107" s="154"/>
    </row>
    <row r="108" spans="12:13" ht="12.75">
      <c r="L108" s="154"/>
      <c r="M108" s="154"/>
    </row>
    <row r="109" spans="12:13" ht="12.75">
      <c r="L109" s="154"/>
      <c r="M109" s="154"/>
    </row>
    <row r="110" spans="12:13" ht="12.75">
      <c r="L110" s="154"/>
      <c r="M110" s="154"/>
    </row>
    <row r="111" spans="12:13" ht="12.75">
      <c r="L111" s="154"/>
      <c r="M111" s="154"/>
    </row>
    <row r="112" spans="12:13" ht="12.75">
      <c r="L112" s="154"/>
      <c r="M112" s="154"/>
    </row>
    <row r="113" spans="12:13" ht="12.75">
      <c r="L113" s="154"/>
      <c r="M113" s="154"/>
    </row>
    <row r="114" spans="12:13" ht="12.75">
      <c r="L114" s="154"/>
      <c r="M114" s="154"/>
    </row>
    <row r="115" spans="12:13" ht="12.75">
      <c r="L115" s="154"/>
      <c r="M115" s="154"/>
    </row>
    <row r="116" spans="12:13" ht="12.75">
      <c r="L116" s="154"/>
      <c r="M116" s="154"/>
    </row>
    <row r="117" spans="12:13" ht="12.75">
      <c r="L117" s="154"/>
      <c r="M117" s="154"/>
    </row>
    <row r="118" spans="12:13" ht="12.75">
      <c r="L118" s="154"/>
      <c r="M118" s="154"/>
    </row>
    <row r="119" spans="12:13" ht="12.75">
      <c r="L119" s="154"/>
      <c r="M119" s="154"/>
    </row>
    <row r="120" spans="12:13" ht="12.75">
      <c r="L120" s="154"/>
      <c r="M120" s="154"/>
    </row>
    <row r="121" spans="12:13" ht="12.75">
      <c r="L121" s="154"/>
      <c r="M121" s="154"/>
    </row>
    <row r="122" spans="12:13" ht="12.75">
      <c r="L122" s="154"/>
      <c r="M122" s="154"/>
    </row>
    <row r="123" spans="12:13" ht="12.75">
      <c r="L123" s="154"/>
      <c r="M123" s="154"/>
    </row>
    <row r="124" spans="12:13" ht="12.75">
      <c r="L124" s="154"/>
      <c r="M124" s="154"/>
    </row>
    <row r="125" spans="12:13" ht="12.75">
      <c r="L125" s="154"/>
      <c r="M125" s="154"/>
    </row>
    <row r="126" spans="12:13" ht="12.75">
      <c r="L126" s="154"/>
      <c r="M126" s="154"/>
    </row>
    <row r="127" spans="12:13" ht="12.75">
      <c r="L127" s="154"/>
      <c r="M127" s="154"/>
    </row>
    <row r="128" spans="12:13" ht="12.75">
      <c r="L128" s="154"/>
      <c r="M128" s="154"/>
    </row>
    <row r="129" spans="12:13" ht="12.75">
      <c r="L129" s="154"/>
      <c r="M129" s="154"/>
    </row>
    <row r="130" spans="12:13" ht="12.75">
      <c r="L130" s="154"/>
      <c r="M130" s="154"/>
    </row>
  </sheetData>
  <sheetProtection/>
  <mergeCells count="8">
    <mergeCell ref="A24:C24"/>
    <mergeCell ref="A26:A33"/>
    <mergeCell ref="D24:P33"/>
    <mergeCell ref="A1:P1"/>
    <mergeCell ref="B3:K3"/>
    <mergeCell ref="A2:K2"/>
    <mergeCell ref="A4:A23"/>
    <mergeCell ref="L2:P23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25">
    <tabColor indexed="60"/>
  </sheetPr>
  <dimension ref="A1:P110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7" width="9.140625" style="152" customWidth="1"/>
    <col min="8" max="8" width="14.57421875" style="152" customWidth="1"/>
    <col min="9" max="9" width="13.57421875" style="152" customWidth="1"/>
    <col min="10" max="10" width="16.421875" style="152" bestFit="1" customWidth="1"/>
    <col min="11" max="16384" width="9.140625" style="152" customWidth="1"/>
  </cols>
  <sheetData>
    <row r="1" spans="1:10" ht="13.5" thickBot="1">
      <c r="A1" s="753" t="s">
        <v>406</v>
      </c>
      <c r="B1" s="753"/>
      <c r="C1" s="753"/>
      <c r="D1" s="753"/>
      <c r="E1" s="753"/>
      <c r="F1" s="753"/>
      <c r="G1" s="753"/>
      <c r="H1" s="753"/>
      <c r="I1" s="753"/>
      <c r="J1" s="753"/>
    </row>
    <row r="2" spans="1:10" ht="13.5" thickBot="1">
      <c r="A2" s="720" t="s">
        <v>400</v>
      </c>
      <c r="B2" s="721"/>
      <c r="C2" s="721"/>
      <c r="D2" s="721"/>
      <c r="E2" s="721"/>
      <c r="F2" s="721"/>
      <c r="G2" s="721"/>
      <c r="H2" s="721"/>
      <c r="I2" s="721"/>
      <c r="J2" s="722"/>
    </row>
    <row r="3" spans="1:10" ht="13.5" thickBot="1">
      <c r="A3" s="566" t="s">
        <v>397</v>
      </c>
      <c r="B3" s="716"/>
      <c r="C3" s="716"/>
      <c r="D3" s="716"/>
      <c r="E3" s="716"/>
      <c r="F3" s="567"/>
      <c r="G3" s="643" t="s">
        <v>399</v>
      </c>
      <c r="H3" s="688"/>
      <c r="I3" s="688"/>
      <c r="J3" s="644"/>
    </row>
    <row r="4" spans="1:10" ht="13.5" thickBot="1">
      <c r="A4" s="751" t="s">
        <v>394</v>
      </c>
      <c r="B4" s="752"/>
      <c r="C4" s="749" t="s">
        <v>395</v>
      </c>
      <c r="D4" s="750"/>
      <c r="E4" s="747" t="s">
        <v>396</v>
      </c>
      <c r="F4" s="748"/>
      <c r="G4" s="754" t="s">
        <v>393</v>
      </c>
      <c r="H4" s="184" t="s">
        <v>394</v>
      </c>
      <c r="I4" s="191" t="s">
        <v>395</v>
      </c>
      <c r="J4" s="185" t="s">
        <v>396</v>
      </c>
    </row>
    <row r="5" spans="1:10" ht="12.75">
      <c r="A5" s="181" t="s">
        <v>393</v>
      </c>
      <c r="B5" s="182" t="s">
        <v>398</v>
      </c>
      <c r="C5" s="181" t="s">
        <v>393</v>
      </c>
      <c r="D5" s="182" t="s">
        <v>398</v>
      </c>
      <c r="E5" s="181" t="s">
        <v>393</v>
      </c>
      <c r="F5" s="182" t="s">
        <v>398</v>
      </c>
      <c r="G5" s="755"/>
      <c r="H5" s="181" t="s">
        <v>398</v>
      </c>
      <c r="I5" s="183" t="s">
        <v>398</v>
      </c>
      <c r="J5" s="183" t="s">
        <v>398</v>
      </c>
    </row>
    <row r="6" spans="1:10" ht="12.75">
      <c r="A6" s="180">
        <v>0.19195</v>
      </c>
      <c r="B6" s="140">
        <v>0.99382</v>
      </c>
      <c r="C6" s="188">
        <v>0</v>
      </c>
      <c r="D6" s="189">
        <v>1</v>
      </c>
      <c r="E6" s="188">
        <v>0</v>
      </c>
      <c r="F6" s="190">
        <v>1</v>
      </c>
      <c r="G6" s="160">
        <v>0</v>
      </c>
      <c r="H6" s="188">
        <f>-3.1666*G6^2-0.1616*G6+1.1415</f>
        <v>1.1415</v>
      </c>
      <c r="I6" s="214">
        <f>-3.4947*G6^2+0.0611*G6+1</f>
        <v>1</v>
      </c>
      <c r="J6" s="214">
        <f>-2.6021*G6^2-0.6714*G6+1</f>
        <v>1</v>
      </c>
    </row>
    <row r="7" spans="1:10" ht="12.75">
      <c r="A7" s="180">
        <v>0.34598</v>
      </c>
      <c r="B7" s="140">
        <v>0.70656</v>
      </c>
      <c r="C7" s="180">
        <v>0.18851</v>
      </c>
      <c r="D7" s="135">
        <v>0.88958</v>
      </c>
      <c r="E7" s="180">
        <v>0.33563</v>
      </c>
      <c r="F7" s="140">
        <v>0.47027</v>
      </c>
      <c r="G7" s="160">
        <v>0.025</v>
      </c>
      <c r="H7" s="188">
        <f aca="true" t="shared" si="0" ref="H7:H26">-3.1666*G7^2-0.1616*G7+1.1415</f>
        <v>1.135480875</v>
      </c>
      <c r="I7" s="214">
        <f aca="true" t="shared" si="1" ref="I7:I26">-3.4947*G7^2+0.0611*G7+1</f>
        <v>0.9993433125</v>
      </c>
      <c r="J7" s="214">
        <f aca="true" t="shared" si="2" ref="J7:J26">-2.6021*G7^2-0.6714*G7+1</f>
        <v>0.9815886875</v>
      </c>
    </row>
    <row r="8" spans="1:10" ht="12.75">
      <c r="A8" s="180">
        <v>0.4931</v>
      </c>
      <c r="B8" s="140">
        <v>0.29189</v>
      </c>
      <c r="C8" s="180">
        <v>0.32528999999999997</v>
      </c>
      <c r="D8" s="135">
        <v>0.64865</v>
      </c>
      <c r="E8" s="180">
        <v>0.47816000000000003</v>
      </c>
      <c r="F8" s="140">
        <v>0.067181</v>
      </c>
      <c r="G8" s="160">
        <v>0.05</v>
      </c>
      <c r="H8" s="188">
        <f t="shared" si="0"/>
        <v>1.1255035</v>
      </c>
      <c r="I8" s="214">
        <f t="shared" si="1"/>
        <v>0.99431825</v>
      </c>
      <c r="J8" s="214">
        <f t="shared" si="2"/>
        <v>0.95992475</v>
      </c>
    </row>
    <row r="9" spans="1:10" ht="12.75">
      <c r="A9" s="180"/>
      <c r="B9" s="140"/>
      <c r="C9" s="180">
        <v>0.48851000000000006</v>
      </c>
      <c r="D9" s="135">
        <v>0.19691</v>
      </c>
      <c r="E9" s="180">
        <v>0.48621</v>
      </c>
      <c r="F9" s="140">
        <v>0.074131</v>
      </c>
      <c r="G9" s="160">
        <v>0.075</v>
      </c>
      <c r="H9" s="188">
        <f t="shared" si="0"/>
        <v>1.111567875</v>
      </c>
      <c r="I9" s="214">
        <f t="shared" si="1"/>
        <v>0.9849248125</v>
      </c>
      <c r="J9" s="214">
        <f t="shared" si="2"/>
        <v>0.9350081875</v>
      </c>
    </row>
    <row r="10" spans="1:10" ht="12.75">
      <c r="A10" s="180"/>
      <c r="B10" s="140"/>
      <c r="C10" s="180"/>
      <c r="D10" s="135"/>
      <c r="E10" s="180">
        <v>0.33793</v>
      </c>
      <c r="F10" s="140">
        <v>0.4888</v>
      </c>
      <c r="G10" s="160">
        <v>0.1</v>
      </c>
      <c r="H10" s="188">
        <f t="shared" si="0"/>
        <v>1.093674</v>
      </c>
      <c r="I10" s="214">
        <f t="shared" si="1"/>
        <v>0.971163</v>
      </c>
      <c r="J10" s="214">
        <f t="shared" si="2"/>
        <v>0.906839</v>
      </c>
    </row>
    <row r="11" spans="1:10" ht="13.5" thickBot="1">
      <c r="A11" s="158"/>
      <c r="B11" s="142"/>
      <c r="C11" s="158"/>
      <c r="D11" s="134"/>
      <c r="E11" s="148"/>
      <c r="F11" s="167"/>
      <c r="G11" s="160">
        <v>0.125</v>
      </c>
      <c r="H11" s="188">
        <f t="shared" si="0"/>
        <v>1.071821875</v>
      </c>
      <c r="I11" s="214">
        <f t="shared" si="1"/>
        <v>0.9530328125</v>
      </c>
      <c r="J11" s="214">
        <f t="shared" si="2"/>
        <v>0.8754171875</v>
      </c>
    </row>
    <row r="12" spans="1:10" ht="12.75">
      <c r="A12" s="180"/>
      <c r="B12" s="33"/>
      <c r="C12" s="33"/>
      <c r="D12" s="33"/>
      <c r="E12" s="33"/>
      <c r="F12" s="33"/>
      <c r="G12" s="186">
        <v>0.15</v>
      </c>
      <c r="H12" s="188">
        <f t="shared" si="0"/>
        <v>1.0460114999999999</v>
      </c>
      <c r="I12" s="214">
        <f t="shared" si="1"/>
        <v>0.93053425</v>
      </c>
      <c r="J12" s="214">
        <f t="shared" si="2"/>
        <v>0.84074275</v>
      </c>
    </row>
    <row r="13" spans="1:10" ht="12.75">
      <c r="A13" s="147"/>
      <c r="B13" s="18"/>
      <c r="C13" s="18"/>
      <c r="D13" s="18"/>
      <c r="E13" s="18"/>
      <c r="F13" s="18"/>
      <c r="G13" s="186">
        <v>0.175</v>
      </c>
      <c r="H13" s="188">
        <f t="shared" si="0"/>
        <v>1.016242875</v>
      </c>
      <c r="I13" s="214">
        <f t="shared" si="1"/>
        <v>0.9036673125</v>
      </c>
      <c r="J13" s="214">
        <f t="shared" si="2"/>
        <v>0.8028156875</v>
      </c>
    </row>
    <row r="14" spans="1:10" ht="12.75">
      <c r="A14" s="147"/>
      <c r="B14" s="18"/>
      <c r="C14" s="18"/>
      <c r="D14" s="18"/>
      <c r="E14" s="18"/>
      <c r="F14" s="18"/>
      <c r="G14" s="186">
        <v>0.2</v>
      </c>
      <c r="H14" s="188">
        <f t="shared" si="0"/>
        <v>0.982516</v>
      </c>
      <c r="I14" s="214">
        <f t="shared" si="1"/>
        <v>0.872432</v>
      </c>
      <c r="J14" s="214">
        <f t="shared" si="2"/>
        <v>0.761636</v>
      </c>
    </row>
    <row r="15" spans="1:10" ht="12.75">
      <c r="A15" s="147"/>
      <c r="B15" s="18"/>
      <c r="C15" s="18"/>
      <c r="D15" s="18"/>
      <c r="E15" s="18"/>
      <c r="F15" s="18"/>
      <c r="G15" s="186">
        <v>0.225</v>
      </c>
      <c r="H15" s="188">
        <f t="shared" si="0"/>
        <v>0.944830875</v>
      </c>
      <c r="I15" s="214">
        <f t="shared" si="1"/>
        <v>0.8368283125</v>
      </c>
      <c r="J15" s="214">
        <f t="shared" si="2"/>
        <v>0.7172036875</v>
      </c>
    </row>
    <row r="16" spans="1:10" ht="12.75">
      <c r="A16" s="147"/>
      <c r="B16" s="18"/>
      <c r="C16" s="18"/>
      <c r="D16" s="18"/>
      <c r="E16" s="18"/>
      <c r="F16" s="18"/>
      <c r="G16" s="186">
        <v>0.25</v>
      </c>
      <c r="H16" s="188">
        <f t="shared" si="0"/>
        <v>0.9031875</v>
      </c>
      <c r="I16" s="214">
        <f t="shared" si="1"/>
        <v>0.79685625</v>
      </c>
      <c r="J16" s="214">
        <f t="shared" si="2"/>
        <v>0.6695187499999999</v>
      </c>
    </row>
    <row r="17" spans="1:10" ht="12.75">
      <c r="A17" s="147"/>
      <c r="B17" s="18"/>
      <c r="C17" s="18"/>
      <c r="D17" s="18"/>
      <c r="E17" s="18"/>
      <c r="F17" s="18"/>
      <c r="G17" s="186">
        <v>0.275</v>
      </c>
      <c r="H17" s="188">
        <f t="shared" si="0"/>
        <v>0.8575858749999999</v>
      </c>
      <c r="I17" s="214">
        <f t="shared" si="1"/>
        <v>0.7525158125</v>
      </c>
      <c r="J17" s="214">
        <f t="shared" si="2"/>
        <v>0.6185811874999999</v>
      </c>
    </row>
    <row r="18" spans="1:10" ht="12.75">
      <c r="A18" s="147"/>
      <c r="B18" s="18"/>
      <c r="C18" s="18"/>
      <c r="D18" s="18"/>
      <c r="E18" s="18"/>
      <c r="F18" s="18"/>
      <c r="G18" s="186">
        <v>0.3</v>
      </c>
      <c r="H18" s="188">
        <f t="shared" si="0"/>
        <v>0.808026</v>
      </c>
      <c r="I18" s="214">
        <f t="shared" si="1"/>
        <v>0.7038070000000001</v>
      </c>
      <c r="J18" s="214">
        <f t="shared" si="2"/>
        <v>0.564391</v>
      </c>
    </row>
    <row r="19" spans="1:10" ht="12.75">
      <c r="A19" s="147"/>
      <c r="B19" s="18"/>
      <c r="C19" s="18"/>
      <c r="D19" s="18"/>
      <c r="E19" s="18"/>
      <c r="F19" s="18"/>
      <c r="G19" s="186">
        <v>0.325</v>
      </c>
      <c r="H19" s="188">
        <f t="shared" si="0"/>
        <v>0.7545078749999999</v>
      </c>
      <c r="I19" s="214">
        <f t="shared" si="1"/>
        <v>0.6507298125</v>
      </c>
      <c r="J19" s="214">
        <f t="shared" si="2"/>
        <v>0.5069481874999999</v>
      </c>
    </row>
    <row r="20" spans="1:10" ht="12.75">
      <c r="A20" s="147"/>
      <c r="B20" s="18"/>
      <c r="C20" s="18"/>
      <c r="D20" s="18"/>
      <c r="E20" s="18"/>
      <c r="F20" s="18"/>
      <c r="G20" s="186">
        <v>0.35</v>
      </c>
      <c r="H20" s="188">
        <f t="shared" si="0"/>
        <v>0.6970315</v>
      </c>
      <c r="I20" s="214">
        <f t="shared" si="1"/>
        <v>0.5932842500000001</v>
      </c>
      <c r="J20" s="214">
        <f t="shared" si="2"/>
        <v>0.44625275</v>
      </c>
    </row>
    <row r="21" spans="1:10" ht="12.75">
      <c r="A21" s="147"/>
      <c r="B21" s="18"/>
      <c r="C21" s="18"/>
      <c r="D21" s="18"/>
      <c r="E21" s="18"/>
      <c r="F21" s="18"/>
      <c r="G21" s="186">
        <v>0.375</v>
      </c>
      <c r="H21" s="188">
        <f t="shared" si="0"/>
        <v>0.635596875</v>
      </c>
      <c r="I21" s="214">
        <f t="shared" si="1"/>
        <v>0.5314703125</v>
      </c>
      <c r="J21" s="214">
        <f t="shared" si="2"/>
        <v>0.3823046875</v>
      </c>
    </row>
    <row r="22" spans="1:10" ht="12.75">
      <c r="A22" s="147"/>
      <c r="B22" s="18"/>
      <c r="C22" s="18"/>
      <c r="D22" s="18"/>
      <c r="E22" s="18"/>
      <c r="F22" s="18"/>
      <c r="G22" s="186">
        <v>0.4</v>
      </c>
      <c r="H22" s="188">
        <f t="shared" si="0"/>
        <v>0.5702039999999998</v>
      </c>
      <c r="I22" s="214">
        <f t="shared" si="1"/>
        <v>0.4652879999999999</v>
      </c>
      <c r="J22" s="214">
        <f t="shared" si="2"/>
        <v>0.31510399999999983</v>
      </c>
    </row>
    <row r="23" spans="1:10" ht="12.75">
      <c r="A23" s="147"/>
      <c r="B23" s="18"/>
      <c r="C23" s="18"/>
      <c r="D23" s="18"/>
      <c r="E23" s="18"/>
      <c r="F23" s="18"/>
      <c r="G23" s="186">
        <v>0.425</v>
      </c>
      <c r="H23" s="188">
        <f t="shared" si="0"/>
        <v>0.5008528750000001</v>
      </c>
      <c r="I23" s="214">
        <f t="shared" si="1"/>
        <v>0.3947373125000001</v>
      </c>
      <c r="J23" s="214">
        <f t="shared" si="2"/>
        <v>0.24465068750000007</v>
      </c>
    </row>
    <row r="24" spans="1:10" ht="12.75">
      <c r="A24" s="147"/>
      <c r="B24" s="18"/>
      <c r="C24" s="18"/>
      <c r="D24" s="18"/>
      <c r="E24" s="18"/>
      <c r="F24" s="18"/>
      <c r="G24" s="186">
        <v>0.45</v>
      </c>
      <c r="H24" s="188">
        <f t="shared" si="0"/>
        <v>0.42754349999999997</v>
      </c>
      <c r="I24" s="214">
        <f t="shared" si="1"/>
        <v>0.31981824999999997</v>
      </c>
      <c r="J24" s="214">
        <f t="shared" si="2"/>
        <v>0.17094474999999998</v>
      </c>
    </row>
    <row r="25" spans="1:10" ht="12.75">
      <c r="A25" s="147"/>
      <c r="B25" s="18"/>
      <c r="C25" s="18"/>
      <c r="D25" s="18"/>
      <c r="E25" s="18"/>
      <c r="F25" s="18"/>
      <c r="G25" s="186">
        <v>0.475</v>
      </c>
      <c r="H25" s="188">
        <f t="shared" si="0"/>
        <v>0.3502758750000001</v>
      </c>
      <c r="I25" s="214">
        <f t="shared" si="1"/>
        <v>0.24053081249999997</v>
      </c>
      <c r="J25" s="214">
        <f t="shared" si="2"/>
        <v>0.0939861875000001</v>
      </c>
    </row>
    <row r="26" spans="1:10" ht="13.5" thickBot="1">
      <c r="A26" s="148"/>
      <c r="B26" s="173"/>
      <c r="C26" s="173"/>
      <c r="D26" s="173"/>
      <c r="E26" s="173"/>
      <c r="F26" s="173"/>
      <c r="G26" s="187">
        <v>0.5</v>
      </c>
      <c r="H26" s="215">
        <f t="shared" si="0"/>
        <v>0.26905</v>
      </c>
      <c r="I26" s="216">
        <f t="shared" si="1"/>
        <v>0.156875</v>
      </c>
      <c r="J26" s="216">
        <f t="shared" si="2"/>
        <v>0.013774999999999982</v>
      </c>
    </row>
    <row r="27" spans="1:16" ht="13.5" thickBot="1">
      <c r="A27" s="720" t="s">
        <v>401</v>
      </c>
      <c r="B27" s="721"/>
      <c r="C27" s="721"/>
      <c r="D27" s="721"/>
      <c r="E27" s="721"/>
      <c r="F27" s="721"/>
      <c r="G27" s="721"/>
      <c r="H27" s="721"/>
      <c r="I27" s="721"/>
      <c r="J27" s="722"/>
      <c r="M27" s="171"/>
      <c r="N27" s="171"/>
      <c r="O27" s="171"/>
      <c r="P27" s="171"/>
    </row>
    <row r="28" spans="1:16" ht="13.5" thickBot="1">
      <c r="A28" s="566" t="s">
        <v>397</v>
      </c>
      <c r="B28" s="716"/>
      <c r="C28" s="716"/>
      <c r="D28" s="716"/>
      <c r="E28" s="716"/>
      <c r="F28" s="567"/>
      <c r="G28" s="643" t="s">
        <v>399</v>
      </c>
      <c r="H28" s="688"/>
      <c r="I28" s="688"/>
      <c r="J28" s="644"/>
      <c r="M28" s="171"/>
      <c r="N28" s="171"/>
      <c r="O28" s="171"/>
      <c r="P28" s="171"/>
    </row>
    <row r="29" spans="1:16" ht="13.5" thickBot="1">
      <c r="A29" s="751" t="s">
        <v>394</v>
      </c>
      <c r="B29" s="752"/>
      <c r="C29" s="749" t="s">
        <v>395</v>
      </c>
      <c r="D29" s="750"/>
      <c r="E29" s="747" t="s">
        <v>396</v>
      </c>
      <c r="F29" s="748"/>
      <c r="G29" s="754" t="s">
        <v>393</v>
      </c>
      <c r="H29" s="184" t="s">
        <v>394</v>
      </c>
      <c r="I29" s="191" t="s">
        <v>395</v>
      </c>
      <c r="J29" s="185" t="s">
        <v>396</v>
      </c>
      <c r="M29" s="171"/>
      <c r="N29" s="171"/>
      <c r="O29" s="171"/>
      <c r="P29" s="171"/>
    </row>
    <row r="30" spans="1:15" ht="13.5" thickBot="1">
      <c r="A30" s="181" t="s">
        <v>393</v>
      </c>
      <c r="B30" s="182" t="s">
        <v>398</v>
      </c>
      <c r="C30" s="181" t="s">
        <v>393</v>
      </c>
      <c r="D30" s="182" t="s">
        <v>398</v>
      </c>
      <c r="E30" s="181" t="s">
        <v>393</v>
      </c>
      <c r="F30" s="182" t="s">
        <v>398</v>
      </c>
      <c r="G30" s="755"/>
      <c r="H30" s="38" t="s">
        <v>398</v>
      </c>
      <c r="I30" s="195" t="s">
        <v>398</v>
      </c>
      <c r="J30" s="195" t="s">
        <v>398</v>
      </c>
      <c r="M30" s="171"/>
      <c r="N30" s="171"/>
      <c r="O30" s="171"/>
    </row>
    <row r="31" spans="1:16" ht="12.75">
      <c r="A31" s="180">
        <v>0.18544</v>
      </c>
      <c r="B31" s="140">
        <v>0.99018</v>
      </c>
      <c r="C31" s="188">
        <v>0</v>
      </c>
      <c r="D31" s="189">
        <v>1</v>
      </c>
      <c r="E31" s="188">
        <v>0</v>
      </c>
      <c r="F31" s="190">
        <v>1</v>
      </c>
      <c r="G31" s="160">
        <v>0</v>
      </c>
      <c r="H31" s="217">
        <f>-1.5752*G31+1.2653</f>
        <v>1.2653</v>
      </c>
      <c r="I31" s="217">
        <f>-1.8621*G31^2-0.5248*G31+1</f>
        <v>1</v>
      </c>
      <c r="J31" s="218">
        <f>-1.5583*G31^2-1.1831*G31+1</f>
        <v>1</v>
      </c>
      <c r="M31" s="171"/>
      <c r="N31" s="171"/>
      <c r="O31" s="171"/>
      <c r="P31" s="171"/>
    </row>
    <row r="32" spans="1:16" ht="12.75">
      <c r="A32" s="180">
        <v>0.48155</v>
      </c>
      <c r="B32" s="140">
        <v>0.52652</v>
      </c>
      <c r="C32" s="180">
        <v>0.1767</v>
      </c>
      <c r="D32" s="135">
        <v>0.86444</v>
      </c>
      <c r="E32" s="180">
        <v>0.31165</v>
      </c>
      <c r="F32" s="140">
        <v>0.43026</v>
      </c>
      <c r="G32" s="160">
        <v>0.025</v>
      </c>
      <c r="H32" s="188">
        <f aca="true" t="shared" si="3" ref="H32:H51">-1.5752*G32+1.2653</f>
        <v>1.2259200000000001</v>
      </c>
      <c r="I32" s="188">
        <f aca="true" t="shared" si="4" ref="I32:I51">-1.8621*G32^2-0.5248*G32+1</f>
        <v>0.9857161875</v>
      </c>
      <c r="J32" s="214">
        <f aca="true" t="shared" si="5" ref="J32:J51">-1.5583*G32^2-1.1831*G32+1</f>
        <v>0.9694485625</v>
      </c>
      <c r="O32" s="171"/>
      <c r="P32" s="171"/>
    </row>
    <row r="33" spans="1:10" ht="12.75">
      <c r="A33" s="180">
        <v>0.34466</v>
      </c>
      <c r="B33" s="140">
        <v>0.68566</v>
      </c>
      <c r="C33" s="180">
        <v>0.33689</v>
      </c>
      <c r="D33" s="135">
        <v>0.59725</v>
      </c>
      <c r="E33" s="180">
        <v>0.47864</v>
      </c>
      <c r="F33" s="140">
        <v>0</v>
      </c>
      <c r="G33" s="160">
        <v>0.05</v>
      </c>
      <c r="H33" s="188">
        <f t="shared" si="3"/>
        <v>1.1865400000000002</v>
      </c>
      <c r="I33" s="188">
        <f t="shared" si="4"/>
        <v>0.96910475</v>
      </c>
      <c r="J33" s="214">
        <f t="shared" si="5"/>
        <v>0.93694925</v>
      </c>
    </row>
    <row r="34" spans="1:10" ht="12.75">
      <c r="A34" s="180"/>
      <c r="B34" s="140"/>
      <c r="C34" s="180">
        <v>0.4767</v>
      </c>
      <c r="D34" s="135">
        <v>0.24558</v>
      </c>
      <c r="E34" s="180">
        <v>0.33495</v>
      </c>
      <c r="F34" s="140">
        <v>0.4833</v>
      </c>
      <c r="G34" s="160">
        <v>0.075</v>
      </c>
      <c r="H34" s="188">
        <f t="shared" si="3"/>
        <v>1.1471600000000002</v>
      </c>
      <c r="I34" s="188">
        <f t="shared" si="4"/>
        <v>0.9501656875</v>
      </c>
      <c r="J34" s="214">
        <f t="shared" si="5"/>
        <v>0.9025020625</v>
      </c>
    </row>
    <row r="35" spans="1:10" ht="13.5" thickBot="1">
      <c r="A35" s="180"/>
      <c r="B35" s="140"/>
      <c r="C35" s="180">
        <v>0.4835</v>
      </c>
      <c r="D35" s="135">
        <v>0.40079</v>
      </c>
      <c r="E35" s="158">
        <v>0.48252</v>
      </c>
      <c r="F35" s="142">
        <v>0.1336</v>
      </c>
      <c r="G35" s="160">
        <v>0.1</v>
      </c>
      <c r="H35" s="188">
        <f t="shared" si="3"/>
        <v>1.10778</v>
      </c>
      <c r="I35" s="188">
        <f t="shared" si="4"/>
        <v>0.928899</v>
      </c>
      <c r="J35" s="214">
        <f t="shared" si="5"/>
        <v>0.866107</v>
      </c>
    </row>
    <row r="36" spans="1:15" ht="13.5" thickBot="1">
      <c r="A36" s="158"/>
      <c r="B36" s="142"/>
      <c r="C36" s="158">
        <v>0.31456</v>
      </c>
      <c r="D36" s="134">
        <v>0.66601</v>
      </c>
      <c r="E36" s="158"/>
      <c r="F36" s="142"/>
      <c r="G36" s="160">
        <v>0.125</v>
      </c>
      <c r="H36" s="188">
        <f t="shared" si="3"/>
        <v>1.0684</v>
      </c>
      <c r="I36" s="188">
        <f t="shared" si="4"/>
        <v>0.9053046875</v>
      </c>
      <c r="J36" s="214">
        <f t="shared" si="5"/>
        <v>0.8277640625</v>
      </c>
      <c r="N36" s="171"/>
      <c r="O36" s="171"/>
    </row>
    <row r="37" spans="1:15" ht="12.75">
      <c r="A37" s="180"/>
      <c r="B37" s="33"/>
      <c r="C37" s="33"/>
      <c r="D37" s="33"/>
      <c r="G37" s="186">
        <v>0.15</v>
      </c>
      <c r="H37" s="188">
        <f t="shared" si="3"/>
        <v>1.02902</v>
      </c>
      <c r="I37" s="188">
        <f t="shared" si="4"/>
        <v>0.87938275</v>
      </c>
      <c r="J37" s="214">
        <f t="shared" si="5"/>
        <v>0.78747325</v>
      </c>
      <c r="N37" s="171"/>
      <c r="O37" s="171"/>
    </row>
    <row r="38" spans="1:15" ht="12.75">
      <c r="A38" s="147"/>
      <c r="B38" s="18"/>
      <c r="C38" s="18"/>
      <c r="D38" s="18"/>
      <c r="E38" s="18"/>
      <c r="F38" s="18"/>
      <c r="G38" s="186">
        <v>0.175</v>
      </c>
      <c r="H38" s="188">
        <f t="shared" si="3"/>
        <v>0.9896400000000001</v>
      </c>
      <c r="I38" s="188">
        <f t="shared" si="4"/>
        <v>0.8511331875</v>
      </c>
      <c r="J38" s="214">
        <f t="shared" si="5"/>
        <v>0.7452345625000001</v>
      </c>
      <c r="N38" s="171"/>
      <c r="O38" s="171"/>
    </row>
    <row r="39" spans="1:14" ht="12.75">
      <c r="A39" s="147"/>
      <c r="B39" s="18"/>
      <c r="C39" s="18"/>
      <c r="D39" s="18"/>
      <c r="E39" s="18"/>
      <c r="F39" s="18"/>
      <c r="G39" s="186">
        <v>0.2</v>
      </c>
      <c r="H39" s="188">
        <f t="shared" si="3"/>
        <v>0.9502600000000001</v>
      </c>
      <c r="I39" s="188">
        <f t="shared" si="4"/>
        <v>0.820556</v>
      </c>
      <c r="J39" s="214">
        <f t="shared" si="5"/>
        <v>0.7010479999999999</v>
      </c>
      <c r="N39" s="171"/>
    </row>
    <row r="40" spans="1:15" ht="12.75">
      <c r="A40" s="147"/>
      <c r="B40" s="18"/>
      <c r="C40" s="18"/>
      <c r="D40" s="18"/>
      <c r="E40" s="18"/>
      <c r="F40" s="18"/>
      <c r="G40" s="186">
        <v>0.225</v>
      </c>
      <c r="H40" s="188">
        <f t="shared" si="3"/>
        <v>0.9108800000000001</v>
      </c>
      <c r="I40" s="188">
        <f t="shared" si="4"/>
        <v>0.7876511875</v>
      </c>
      <c r="J40" s="214">
        <f t="shared" si="5"/>
        <v>0.6549135625</v>
      </c>
      <c r="N40" s="171"/>
      <c r="O40" s="171"/>
    </row>
    <row r="41" spans="1:15" ht="12.75">
      <c r="A41" s="147"/>
      <c r="B41" s="18"/>
      <c r="C41" s="18"/>
      <c r="D41" s="18"/>
      <c r="E41" s="18"/>
      <c r="F41" s="18"/>
      <c r="G41" s="186">
        <v>0.25</v>
      </c>
      <c r="H41" s="188">
        <f t="shared" si="3"/>
        <v>0.8715000000000002</v>
      </c>
      <c r="I41" s="188">
        <f t="shared" si="4"/>
        <v>0.7524187499999999</v>
      </c>
      <c r="J41" s="214">
        <f t="shared" si="5"/>
        <v>0.6068312499999999</v>
      </c>
      <c r="N41" s="171"/>
      <c r="O41" s="171"/>
    </row>
    <row r="42" spans="1:10" ht="12.75">
      <c r="A42" s="147"/>
      <c r="B42" s="18"/>
      <c r="C42" s="18"/>
      <c r="D42" s="18"/>
      <c r="E42" s="18"/>
      <c r="F42" s="18"/>
      <c r="G42" s="186">
        <v>0.275</v>
      </c>
      <c r="H42" s="188">
        <f t="shared" si="3"/>
        <v>0.8321200000000001</v>
      </c>
      <c r="I42" s="188">
        <f t="shared" si="4"/>
        <v>0.7148586874999999</v>
      </c>
      <c r="J42" s="214">
        <f t="shared" si="5"/>
        <v>0.5568010624999999</v>
      </c>
    </row>
    <row r="43" spans="1:10" ht="12.75">
      <c r="A43" s="147"/>
      <c r="B43" s="18"/>
      <c r="C43" s="18"/>
      <c r="D43" s="18"/>
      <c r="E43" s="18"/>
      <c r="F43" s="18"/>
      <c r="G43" s="186">
        <v>0.3</v>
      </c>
      <c r="H43" s="188">
        <f t="shared" si="3"/>
        <v>0.7927400000000001</v>
      </c>
      <c r="I43" s="188">
        <f t="shared" si="4"/>
        <v>0.674971</v>
      </c>
      <c r="J43" s="214">
        <f t="shared" si="5"/>
        <v>0.504823</v>
      </c>
    </row>
    <row r="44" spans="1:14" ht="12.75">
      <c r="A44" s="147"/>
      <c r="B44" s="18"/>
      <c r="C44" s="18"/>
      <c r="D44" s="18"/>
      <c r="E44" s="18"/>
      <c r="F44" s="18"/>
      <c r="G44" s="186">
        <v>0.325</v>
      </c>
      <c r="H44" s="188">
        <f t="shared" si="3"/>
        <v>0.7533600000000001</v>
      </c>
      <c r="I44" s="188">
        <f t="shared" si="4"/>
        <v>0.6327556875</v>
      </c>
      <c r="J44" s="214">
        <f t="shared" si="5"/>
        <v>0.45089706249999995</v>
      </c>
      <c r="M44" s="171"/>
      <c r="N44" s="171"/>
    </row>
    <row r="45" spans="1:14" ht="12.75">
      <c r="A45" s="147"/>
      <c r="B45" s="18"/>
      <c r="C45" s="18"/>
      <c r="D45" s="18"/>
      <c r="E45" s="18"/>
      <c r="F45" s="18"/>
      <c r="G45" s="186">
        <v>0.35</v>
      </c>
      <c r="H45" s="188">
        <f t="shared" si="3"/>
        <v>0.7139800000000002</v>
      </c>
      <c r="I45" s="188">
        <f t="shared" si="4"/>
        <v>0.5882127500000001</v>
      </c>
      <c r="J45" s="214">
        <f t="shared" si="5"/>
        <v>0.39502325000000005</v>
      </c>
      <c r="M45" s="171"/>
      <c r="N45" s="171"/>
    </row>
    <row r="46" spans="1:14" ht="12.75">
      <c r="A46" s="147"/>
      <c r="B46" s="18"/>
      <c r="C46" s="18"/>
      <c r="D46" s="18"/>
      <c r="E46" s="18"/>
      <c r="F46" s="18"/>
      <c r="G46" s="186">
        <v>0.375</v>
      </c>
      <c r="H46" s="188">
        <f t="shared" si="3"/>
        <v>0.6746000000000001</v>
      </c>
      <c r="I46" s="188">
        <f t="shared" si="4"/>
        <v>0.5413421875</v>
      </c>
      <c r="J46" s="214">
        <f t="shared" si="5"/>
        <v>0.3372015625</v>
      </c>
      <c r="M46" s="171"/>
      <c r="N46" s="171"/>
    </row>
    <row r="47" spans="1:10" ht="12.75">
      <c r="A47" s="147"/>
      <c r="B47" s="18"/>
      <c r="C47" s="18"/>
      <c r="D47" s="18"/>
      <c r="E47" s="18"/>
      <c r="F47" s="18"/>
      <c r="G47" s="186">
        <v>0.4</v>
      </c>
      <c r="H47" s="188">
        <f t="shared" si="3"/>
        <v>0.6352200000000001</v>
      </c>
      <c r="I47" s="188">
        <f t="shared" si="4"/>
        <v>0.4921439999999999</v>
      </c>
      <c r="J47" s="214">
        <f t="shared" si="5"/>
        <v>0.2774319999999999</v>
      </c>
    </row>
    <row r="48" spans="1:10" ht="12.75">
      <c r="A48" s="147"/>
      <c r="B48" s="18"/>
      <c r="C48" s="18"/>
      <c r="D48" s="18"/>
      <c r="E48" s="18"/>
      <c r="F48" s="18"/>
      <c r="G48" s="186">
        <v>0.425</v>
      </c>
      <c r="H48" s="188">
        <f t="shared" si="3"/>
        <v>0.5958400000000001</v>
      </c>
      <c r="I48" s="188">
        <f t="shared" si="4"/>
        <v>0.4406181874999999</v>
      </c>
      <c r="J48" s="214">
        <f t="shared" si="5"/>
        <v>0.21571456249999998</v>
      </c>
    </row>
    <row r="49" spans="1:10" ht="12.75">
      <c r="A49" s="147"/>
      <c r="B49" s="18"/>
      <c r="C49" s="18"/>
      <c r="D49" s="18"/>
      <c r="E49" s="18"/>
      <c r="F49" s="18"/>
      <c r="G49" s="186">
        <v>0.45</v>
      </c>
      <c r="H49" s="188">
        <f t="shared" si="3"/>
        <v>0.5564600000000001</v>
      </c>
      <c r="I49" s="188">
        <f t="shared" si="4"/>
        <v>0.38676475</v>
      </c>
      <c r="J49" s="214">
        <f t="shared" si="5"/>
        <v>0.1520492499999999</v>
      </c>
    </row>
    <row r="50" spans="1:10" ht="12.75">
      <c r="A50" s="147"/>
      <c r="B50" s="18"/>
      <c r="C50" s="18"/>
      <c r="D50" s="18"/>
      <c r="E50" s="18"/>
      <c r="F50" s="18"/>
      <c r="G50" s="186">
        <v>0.475</v>
      </c>
      <c r="H50" s="188">
        <f t="shared" si="3"/>
        <v>0.5170800000000002</v>
      </c>
      <c r="I50" s="188">
        <f t="shared" si="4"/>
        <v>0.3305836875</v>
      </c>
      <c r="J50" s="214">
        <f t="shared" si="5"/>
        <v>0.08643606250000002</v>
      </c>
    </row>
    <row r="51" spans="1:10" ht="13.5" thickBot="1">
      <c r="A51" s="148"/>
      <c r="B51" s="173"/>
      <c r="C51" s="173"/>
      <c r="D51" s="173"/>
      <c r="E51" s="173"/>
      <c r="F51" s="173"/>
      <c r="G51" s="187">
        <v>0.5</v>
      </c>
      <c r="H51" s="215">
        <f t="shared" si="3"/>
        <v>0.4777000000000001</v>
      </c>
      <c r="I51" s="215">
        <f t="shared" si="4"/>
        <v>0.27207499999999996</v>
      </c>
      <c r="J51" s="216">
        <f t="shared" si="5"/>
        <v>0.018874999999999975</v>
      </c>
    </row>
    <row r="60" ht="12.75">
      <c r="I60" s="154"/>
    </row>
    <row r="61" ht="12.75">
      <c r="I61" s="154"/>
    </row>
    <row r="62" ht="12.75">
      <c r="I62" s="154"/>
    </row>
    <row r="63" ht="12.75">
      <c r="I63" s="154"/>
    </row>
    <row r="64" ht="12.75">
      <c r="I64" s="154"/>
    </row>
    <row r="65" ht="12.75">
      <c r="I65" s="154"/>
    </row>
    <row r="66" ht="12.75">
      <c r="I66" s="154"/>
    </row>
    <row r="67" ht="12.75">
      <c r="I67" s="154"/>
    </row>
    <row r="68" ht="12.75">
      <c r="I68" s="154"/>
    </row>
    <row r="69" ht="12.75">
      <c r="I69" s="154"/>
    </row>
    <row r="70" ht="12.75">
      <c r="I70" s="154"/>
    </row>
    <row r="71" ht="12.75">
      <c r="I71" s="154"/>
    </row>
    <row r="72" ht="12.75">
      <c r="I72" s="154"/>
    </row>
    <row r="73" ht="12.75">
      <c r="I73" s="154"/>
    </row>
    <row r="74" ht="12.75">
      <c r="I74" s="154"/>
    </row>
    <row r="75" ht="12.75">
      <c r="I75" s="154"/>
    </row>
    <row r="76" ht="12.75">
      <c r="I76" s="154"/>
    </row>
    <row r="77" ht="12.75">
      <c r="I77" s="154"/>
    </row>
    <row r="78" ht="12.75">
      <c r="I78" s="154"/>
    </row>
    <row r="79" ht="12.75">
      <c r="I79" s="154"/>
    </row>
    <row r="80" ht="12.75">
      <c r="I80" s="154"/>
    </row>
    <row r="81" ht="12.75">
      <c r="I81" s="154"/>
    </row>
    <row r="82" ht="12.75">
      <c r="I82" s="154"/>
    </row>
    <row r="83" ht="12.75">
      <c r="I83" s="154"/>
    </row>
    <row r="84" ht="12.75">
      <c r="I84" s="154"/>
    </row>
    <row r="85" ht="12.75">
      <c r="I85" s="154"/>
    </row>
    <row r="86" ht="12.75">
      <c r="I86" s="154"/>
    </row>
    <row r="87" ht="12.75">
      <c r="I87" s="154"/>
    </row>
    <row r="88" ht="12.75">
      <c r="I88" s="154"/>
    </row>
    <row r="89" ht="12.75">
      <c r="I89" s="154"/>
    </row>
    <row r="90" ht="12.75">
      <c r="I90" s="154"/>
    </row>
    <row r="91" ht="12.75">
      <c r="I91" s="154"/>
    </row>
    <row r="92" ht="12.75">
      <c r="I92" s="154"/>
    </row>
    <row r="93" ht="12.75">
      <c r="I93" s="154"/>
    </row>
    <row r="94" ht="12.75">
      <c r="I94" s="154"/>
    </row>
    <row r="95" ht="12.75">
      <c r="I95" s="154"/>
    </row>
    <row r="96" ht="12.75">
      <c r="I96" s="154"/>
    </row>
    <row r="97" ht="12.75">
      <c r="I97" s="154"/>
    </row>
    <row r="98" ht="12.75">
      <c r="I98" s="154"/>
    </row>
    <row r="99" ht="12.75">
      <c r="I99" s="154"/>
    </row>
    <row r="100" ht="12.75">
      <c r="I100" s="154"/>
    </row>
    <row r="101" ht="12.75">
      <c r="I101" s="154"/>
    </row>
    <row r="102" ht="12.75">
      <c r="I102" s="154"/>
    </row>
    <row r="103" ht="12.75">
      <c r="I103" s="154"/>
    </row>
    <row r="104" ht="12.75">
      <c r="I104" s="154"/>
    </row>
    <row r="105" ht="12.75">
      <c r="I105" s="154"/>
    </row>
    <row r="106" ht="12.75">
      <c r="I106" s="154"/>
    </row>
    <row r="107" ht="12.75">
      <c r="I107" s="154"/>
    </row>
    <row r="108" ht="12.75">
      <c r="I108" s="154"/>
    </row>
    <row r="109" ht="12.75">
      <c r="I109" s="154"/>
    </row>
    <row r="110" ht="12.75">
      <c r="I110" s="154"/>
    </row>
  </sheetData>
  <sheetProtection/>
  <mergeCells count="15">
    <mergeCell ref="A28:F28"/>
    <mergeCell ref="G28:J28"/>
    <mergeCell ref="A29:B29"/>
    <mergeCell ref="C29:D29"/>
    <mergeCell ref="E29:F29"/>
    <mergeCell ref="G29:G30"/>
    <mergeCell ref="A3:F3"/>
    <mergeCell ref="A27:J27"/>
    <mergeCell ref="E4:F4"/>
    <mergeCell ref="C4:D4"/>
    <mergeCell ref="A4:B4"/>
    <mergeCell ref="A1:J1"/>
    <mergeCell ref="G3:J3"/>
    <mergeCell ref="G4:G5"/>
    <mergeCell ref="A2:J2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26">
    <tabColor indexed="60"/>
  </sheetPr>
  <dimension ref="A1:P114"/>
  <sheetViews>
    <sheetView zoomScalePageLayoutView="0" workbookViewId="0" topLeftCell="A1">
      <selection activeCell="A30" sqref="A30:D35"/>
    </sheetView>
  </sheetViews>
  <sheetFormatPr defaultColWidth="9.140625" defaultRowHeight="12.75"/>
  <cols>
    <col min="1" max="1" width="9.8515625" style="152" customWidth="1"/>
    <col min="2" max="8" width="9.140625" style="152" customWidth="1"/>
    <col min="9" max="9" width="9.140625" style="18" customWidth="1"/>
    <col min="10" max="16384" width="9.140625" style="152" customWidth="1"/>
  </cols>
  <sheetData>
    <row r="1" spans="1:16" ht="13.5" thickBot="1">
      <c r="A1" s="632" t="s">
        <v>435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4"/>
      <c r="M1" s="209"/>
      <c r="N1" s="209"/>
      <c r="O1" s="209"/>
      <c r="P1" s="209"/>
    </row>
    <row r="2" spans="1:16" ht="13.5" thickBot="1">
      <c r="A2" s="720" t="s">
        <v>412</v>
      </c>
      <c r="B2" s="721"/>
      <c r="C2" s="721"/>
      <c r="D2" s="721"/>
      <c r="E2" s="721"/>
      <c r="F2" s="721"/>
      <c r="G2" s="721"/>
      <c r="H2" s="721"/>
      <c r="I2" s="721"/>
      <c r="J2" s="722"/>
      <c r="K2" s="756"/>
      <c r="L2" s="698"/>
      <c r="M2" s="18"/>
      <c r="N2" s="20"/>
      <c r="O2" s="18"/>
      <c r="P2" s="18"/>
    </row>
    <row r="3" spans="1:16" ht="12.75" customHeight="1" thickBot="1">
      <c r="A3" s="737" t="s">
        <v>411</v>
      </c>
      <c r="B3" s="628" t="s">
        <v>410</v>
      </c>
      <c r="C3" s="629"/>
      <c r="D3" s="629"/>
      <c r="E3" s="629"/>
      <c r="F3" s="629"/>
      <c r="G3" s="629"/>
      <c r="H3" s="629"/>
      <c r="I3" s="629"/>
      <c r="J3" s="715"/>
      <c r="K3" s="757"/>
      <c r="L3" s="700"/>
      <c r="M3" s="18"/>
      <c r="N3" s="20"/>
      <c r="O3" s="18"/>
      <c r="P3" s="18"/>
    </row>
    <row r="4" spans="1:16" ht="12.75" customHeight="1">
      <c r="A4" s="718"/>
      <c r="B4" s="207"/>
      <c r="C4" s="205">
        <v>1</v>
      </c>
      <c r="D4" s="205">
        <v>2</v>
      </c>
      <c r="E4" s="205">
        <v>3</v>
      </c>
      <c r="F4" s="205">
        <v>4</v>
      </c>
      <c r="G4" s="205">
        <v>5</v>
      </c>
      <c r="H4" s="205">
        <v>6</v>
      </c>
      <c r="I4" s="205">
        <v>8</v>
      </c>
      <c r="J4" s="206">
        <v>10</v>
      </c>
      <c r="K4" s="757"/>
      <c r="L4" s="700"/>
      <c r="M4" s="18"/>
      <c r="N4" s="18"/>
      <c r="O4" s="18"/>
      <c r="P4" s="18"/>
    </row>
    <row r="5" spans="1:16" ht="12.75">
      <c r="A5" s="718"/>
      <c r="B5" s="35">
        <v>0</v>
      </c>
      <c r="C5" s="210">
        <v>0.119469</v>
      </c>
      <c r="D5" s="33">
        <v>0.1</v>
      </c>
      <c r="E5" s="33">
        <v>0.080531</v>
      </c>
      <c r="F5" s="33">
        <v>0.065487</v>
      </c>
      <c r="G5" s="33">
        <v>0.053097</v>
      </c>
      <c r="H5" s="33">
        <v>0.040708</v>
      </c>
      <c r="I5" s="33">
        <v>0.025664</v>
      </c>
      <c r="J5" s="26">
        <v>0.020354</v>
      </c>
      <c r="K5" s="757"/>
      <c r="L5" s="700"/>
      <c r="M5" s="18"/>
      <c r="N5" s="18"/>
      <c r="O5" s="18"/>
      <c r="P5" s="18"/>
    </row>
    <row r="6" spans="1:16" ht="12.75">
      <c r="A6" s="718"/>
      <c r="B6" s="35">
        <v>0.5</v>
      </c>
      <c r="C6" s="210">
        <v>0.106194</v>
      </c>
      <c r="D6" s="33">
        <v>0.076106</v>
      </c>
      <c r="E6" s="33">
        <v>0.046018</v>
      </c>
      <c r="F6" s="33">
        <v>0.019469</v>
      </c>
      <c r="G6" s="33">
        <v>-0.0026549</v>
      </c>
      <c r="H6" s="33">
        <v>-0.017699</v>
      </c>
      <c r="I6" s="33">
        <v>-0.033628</v>
      </c>
      <c r="J6" s="26">
        <v>-0.040708</v>
      </c>
      <c r="K6" s="757"/>
      <c r="L6" s="700"/>
      <c r="M6" s="18"/>
      <c r="N6" s="18"/>
      <c r="O6" s="18"/>
      <c r="P6" s="18"/>
    </row>
    <row r="7" spans="1:16" ht="12.75">
      <c r="A7" s="718"/>
      <c r="B7" s="35">
        <v>1</v>
      </c>
      <c r="C7" s="210">
        <v>0.0592925</v>
      </c>
      <c r="D7" s="33">
        <v>0.024779</v>
      </c>
      <c r="E7" s="33">
        <v>-0.0097345</v>
      </c>
      <c r="F7" s="33">
        <v>-0.038938</v>
      </c>
      <c r="G7" s="33">
        <v>-0.058407</v>
      </c>
      <c r="H7" s="33">
        <v>-0.075221</v>
      </c>
      <c r="I7" s="33">
        <v>-0.092035</v>
      </c>
      <c r="J7" s="26">
        <v>-0.1</v>
      </c>
      <c r="K7" s="757"/>
      <c r="L7" s="700"/>
      <c r="M7" s="18"/>
      <c r="N7" s="18"/>
      <c r="O7" s="18"/>
      <c r="P7" s="18"/>
    </row>
    <row r="8" spans="1:16" ht="13.5" thickBot="1">
      <c r="A8" s="719"/>
      <c r="B8" s="36">
        <v>1.5</v>
      </c>
      <c r="C8" s="210">
        <v>0.012391</v>
      </c>
      <c r="D8" s="210">
        <v>-0.026548</v>
      </c>
      <c r="E8" s="210">
        <v>-0.065487</v>
      </c>
      <c r="F8" s="210">
        <v>-0.097345</v>
      </c>
      <c r="G8" s="210">
        <v>-0.1141591</v>
      </c>
      <c r="H8" s="210">
        <v>-0.132743</v>
      </c>
      <c r="I8" s="210">
        <v>-0.150442</v>
      </c>
      <c r="J8" s="211">
        <v>-0.159292</v>
      </c>
      <c r="K8" s="757"/>
      <c r="L8" s="700"/>
      <c r="M8" s="18"/>
      <c r="N8" s="18"/>
      <c r="O8" s="18"/>
      <c r="P8" s="18"/>
    </row>
    <row r="9" spans="1:16" ht="13.5" thickBot="1">
      <c r="A9" s="758" t="s">
        <v>413</v>
      </c>
      <c r="B9" s="721"/>
      <c r="C9" s="721"/>
      <c r="D9" s="721"/>
      <c r="E9" s="721"/>
      <c r="F9" s="721"/>
      <c r="G9" s="721"/>
      <c r="H9" s="721"/>
      <c r="I9" s="721"/>
      <c r="J9" s="722"/>
      <c r="K9" s="757"/>
      <c r="L9" s="700"/>
      <c r="M9" s="18"/>
      <c r="N9" s="18"/>
      <c r="O9" s="18"/>
      <c r="P9" s="18"/>
    </row>
    <row r="10" spans="1:16" ht="12.75" customHeight="1" thickBot="1">
      <c r="A10" s="737" t="s">
        <v>411</v>
      </c>
      <c r="B10" s="628" t="s">
        <v>410</v>
      </c>
      <c r="C10" s="629"/>
      <c r="D10" s="629"/>
      <c r="E10" s="629"/>
      <c r="F10" s="629"/>
      <c r="G10" s="629"/>
      <c r="H10" s="629"/>
      <c r="I10" s="629"/>
      <c r="J10" s="715"/>
      <c r="K10" s="757"/>
      <c r="L10" s="700"/>
      <c r="M10" s="18"/>
      <c r="N10" s="18"/>
      <c r="O10" s="18"/>
      <c r="P10" s="18"/>
    </row>
    <row r="11" spans="1:16" ht="12.75">
      <c r="A11" s="718"/>
      <c r="B11" s="207"/>
      <c r="C11" s="205">
        <v>1</v>
      </c>
      <c r="D11" s="205">
        <v>2</v>
      </c>
      <c r="E11" s="205">
        <v>3</v>
      </c>
      <c r="F11" s="205">
        <v>4</v>
      </c>
      <c r="G11" s="205">
        <v>5</v>
      </c>
      <c r="H11" s="205">
        <v>6</v>
      </c>
      <c r="I11" s="205">
        <v>8</v>
      </c>
      <c r="J11" s="206">
        <v>10</v>
      </c>
      <c r="K11" s="757"/>
      <c r="L11" s="700"/>
      <c r="M11" s="18"/>
      <c r="N11" s="18"/>
      <c r="O11" s="18"/>
      <c r="P11" s="18"/>
    </row>
    <row r="12" spans="1:16" ht="12.75">
      <c r="A12" s="718"/>
      <c r="B12" s="35">
        <v>0</v>
      </c>
      <c r="C12" s="210">
        <v>0.14711</v>
      </c>
      <c r="D12" s="33">
        <v>0.124</v>
      </c>
      <c r="E12" s="33">
        <v>0.10089</v>
      </c>
      <c r="F12" s="33">
        <v>0.078667</v>
      </c>
      <c r="G12" s="33">
        <v>0.059111</v>
      </c>
      <c r="H12" s="33">
        <v>0.048444</v>
      </c>
      <c r="I12" s="33">
        <v>0.032444</v>
      </c>
      <c r="J12" s="26">
        <v>0.025333</v>
      </c>
      <c r="K12" s="757"/>
      <c r="L12" s="700"/>
      <c r="M12" s="18"/>
      <c r="N12" s="18"/>
      <c r="O12" s="18"/>
      <c r="P12" s="18"/>
    </row>
    <row r="13" spans="1:16" ht="12.75">
      <c r="A13" s="718"/>
      <c r="B13" s="35">
        <v>0.5</v>
      </c>
      <c r="C13" s="210">
        <v>0.124889</v>
      </c>
      <c r="D13" s="33">
        <v>0.092</v>
      </c>
      <c r="E13" s="33">
        <v>0.059111</v>
      </c>
      <c r="F13" s="33">
        <v>0.031556</v>
      </c>
      <c r="G13" s="33">
        <v>0.011111</v>
      </c>
      <c r="H13" s="33">
        <v>-0.0084444</v>
      </c>
      <c r="I13" s="33">
        <v>-0.028889</v>
      </c>
      <c r="J13" s="26">
        <v>-0.035111</v>
      </c>
      <c r="K13" s="757"/>
      <c r="L13" s="700"/>
      <c r="M13" s="18"/>
      <c r="N13" s="18"/>
      <c r="O13" s="18"/>
      <c r="P13" s="18"/>
    </row>
    <row r="14" spans="1:16" ht="12.75">
      <c r="A14" s="718"/>
      <c r="B14" s="35">
        <v>1</v>
      </c>
      <c r="C14" s="210">
        <v>0.0591109</v>
      </c>
      <c r="D14" s="33">
        <v>0.027111</v>
      </c>
      <c r="E14" s="33">
        <v>-0.0048889</v>
      </c>
      <c r="F14" s="33">
        <v>-0.033333</v>
      </c>
      <c r="G14" s="33">
        <v>-0.055556</v>
      </c>
      <c r="H14" s="33">
        <v>-0.070667</v>
      </c>
      <c r="I14" s="33">
        <v>-0.091111</v>
      </c>
      <c r="J14" s="26">
        <v>-0.099111</v>
      </c>
      <c r="K14" s="757"/>
      <c r="L14" s="700"/>
      <c r="M14" s="18"/>
      <c r="N14" s="18"/>
      <c r="O14" s="18"/>
      <c r="P14" s="18"/>
    </row>
    <row r="15" spans="1:16" ht="13.5" thickBot="1">
      <c r="A15" s="719"/>
      <c r="B15" s="36">
        <v>1.5</v>
      </c>
      <c r="C15" s="210">
        <v>-0.00666720000000001</v>
      </c>
      <c r="D15" s="210">
        <v>-0.037778</v>
      </c>
      <c r="E15" s="210">
        <v>-0.0688888</v>
      </c>
      <c r="F15" s="210">
        <v>-0.098222</v>
      </c>
      <c r="G15" s="210">
        <v>-0.122223</v>
      </c>
      <c r="H15" s="210">
        <v>-0.1328896</v>
      </c>
      <c r="I15" s="210">
        <v>-0.153333</v>
      </c>
      <c r="J15" s="211">
        <v>-0.163111</v>
      </c>
      <c r="K15" s="757"/>
      <c r="L15" s="700"/>
      <c r="M15" s="18"/>
      <c r="N15" s="18"/>
      <c r="O15" s="18"/>
      <c r="P15" s="18"/>
    </row>
    <row r="16" spans="1:16" ht="13.5" thickBot="1">
      <c r="A16" s="758" t="s">
        <v>414</v>
      </c>
      <c r="B16" s="721"/>
      <c r="C16" s="721"/>
      <c r="D16" s="721"/>
      <c r="E16" s="721"/>
      <c r="F16" s="721"/>
      <c r="G16" s="721"/>
      <c r="H16" s="721"/>
      <c r="I16" s="721"/>
      <c r="J16" s="722"/>
      <c r="K16" s="757"/>
      <c r="L16" s="700"/>
      <c r="M16" s="18"/>
      <c r="N16" s="18"/>
      <c r="O16" s="18"/>
      <c r="P16" s="18"/>
    </row>
    <row r="17" spans="1:16" ht="12.75" customHeight="1" thickBot="1">
      <c r="A17" s="737" t="s">
        <v>411</v>
      </c>
      <c r="B17" s="628" t="s">
        <v>410</v>
      </c>
      <c r="C17" s="629"/>
      <c r="D17" s="629"/>
      <c r="E17" s="629"/>
      <c r="F17" s="629"/>
      <c r="G17" s="629"/>
      <c r="H17" s="629"/>
      <c r="I17" s="629"/>
      <c r="J17" s="715"/>
      <c r="K17" s="757"/>
      <c r="L17" s="700"/>
      <c r="M17" s="18"/>
      <c r="N17" s="18"/>
      <c r="O17" s="18"/>
      <c r="P17" s="18"/>
    </row>
    <row r="18" spans="1:16" ht="12.75">
      <c r="A18" s="718"/>
      <c r="B18" s="207"/>
      <c r="C18" s="205">
        <v>1</v>
      </c>
      <c r="D18" s="205">
        <v>2</v>
      </c>
      <c r="E18" s="205">
        <v>3</v>
      </c>
      <c r="F18" s="205">
        <v>4</v>
      </c>
      <c r="G18" s="205">
        <v>5</v>
      </c>
      <c r="H18" s="205">
        <v>6</v>
      </c>
      <c r="I18" s="205">
        <v>8</v>
      </c>
      <c r="J18" s="206">
        <v>10</v>
      </c>
      <c r="K18" s="757"/>
      <c r="L18" s="700"/>
      <c r="M18" s="18"/>
      <c r="N18" s="18"/>
      <c r="O18" s="18"/>
      <c r="P18" s="18"/>
    </row>
    <row r="19" spans="1:16" ht="12.75">
      <c r="A19" s="718"/>
      <c r="B19" s="35">
        <v>0</v>
      </c>
      <c r="C19" s="210">
        <v>0.1708</v>
      </c>
      <c r="D19" s="33">
        <v>0.14071</v>
      </c>
      <c r="E19" s="33">
        <v>0.11062</v>
      </c>
      <c r="F19" s="33">
        <v>0.084956</v>
      </c>
      <c r="G19" s="33">
        <v>0.066372</v>
      </c>
      <c r="H19" s="33">
        <v>0.050442</v>
      </c>
      <c r="I19" s="33">
        <v>0.033628</v>
      </c>
      <c r="J19" s="26">
        <v>0.030973</v>
      </c>
      <c r="K19" s="757"/>
      <c r="L19" s="700"/>
      <c r="M19" s="18"/>
      <c r="N19" s="18"/>
      <c r="O19" s="18"/>
      <c r="P19" s="18"/>
    </row>
    <row r="20" spans="1:16" ht="12.75">
      <c r="A20" s="718"/>
      <c r="B20" s="35">
        <v>0.5</v>
      </c>
      <c r="C20" s="210">
        <v>0.130088</v>
      </c>
      <c r="D20" s="33">
        <v>0.09469</v>
      </c>
      <c r="E20" s="33">
        <v>0.059292</v>
      </c>
      <c r="F20" s="33">
        <v>0.030973</v>
      </c>
      <c r="G20" s="33">
        <v>0.010619</v>
      </c>
      <c r="H20" s="33">
        <v>-0.0044248</v>
      </c>
      <c r="I20" s="33">
        <v>-0.022124</v>
      </c>
      <c r="J20" s="26">
        <v>-0.027434</v>
      </c>
      <c r="K20" s="757"/>
      <c r="L20" s="700"/>
      <c r="M20" s="18"/>
      <c r="N20" s="18"/>
      <c r="O20" s="18"/>
      <c r="P20" s="18"/>
    </row>
    <row r="21" spans="1:16" ht="12.75">
      <c r="A21" s="718"/>
      <c r="B21" s="35">
        <v>1</v>
      </c>
      <c r="C21" s="210">
        <v>0.0654876</v>
      </c>
      <c r="D21" s="33">
        <v>0.028319</v>
      </c>
      <c r="E21" s="33">
        <v>-0.0088496</v>
      </c>
      <c r="F21" s="33">
        <v>-0.031858</v>
      </c>
      <c r="G21" s="33">
        <v>-0.052212</v>
      </c>
      <c r="H21" s="33">
        <v>-0.067257</v>
      </c>
      <c r="I21" s="33">
        <v>-0.086726</v>
      </c>
      <c r="J21" s="26">
        <v>-0.090265</v>
      </c>
      <c r="K21" s="757"/>
      <c r="L21" s="700"/>
      <c r="M21" s="18"/>
      <c r="N21" s="18"/>
      <c r="O21" s="18"/>
      <c r="P21" s="18"/>
    </row>
    <row r="22" spans="1:16" ht="13.5" thickBot="1">
      <c r="A22" s="719"/>
      <c r="B22" s="36">
        <v>1.5</v>
      </c>
      <c r="C22" s="212">
        <v>0.000887200000000005</v>
      </c>
      <c r="D22" s="212">
        <v>-0.038052</v>
      </c>
      <c r="E22" s="212">
        <v>-0.0769912</v>
      </c>
      <c r="F22" s="212">
        <v>-0.094689</v>
      </c>
      <c r="G22" s="212">
        <v>-0.115043</v>
      </c>
      <c r="H22" s="212">
        <v>-0.1300892</v>
      </c>
      <c r="I22" s="212">
        <v>-0.151328</v>
      </c>
      <c r="J22" s="213">
        <v>-0.153096</v>
      </c>
      <c r="K22" s="757"/>
      <c r="L22" s="700"/>
      <c r="M22" s="18"/>
      <c r="N22" s="18"/>
      <c r="O22" s="18"/>
      <c r="P22" s="18"/>
    </row>
    <row r="23" spans="1:16" ht="13.5" thickBot="1">
      <c r="A23" s="758" t="s">
        <v>415</v>
      </c>
      <c r="B23" s="721"/>
      <c r="C23" s="721"/>
      <c r="D23" s="721"/>
      <c r="E23" s="721"/>
      <c r="F23" s="721"/>
      <c r="G23" s="721"/>
      <c r="H23" s="721"/>
      <c r="I23" s="721"/>
      <c r="J23" s="722"/>
      <c r="K23" s="757"/>
      <c r="L23" s="700"/>
      <c r="M23" s="18"/>
      <c r="N23" s="18"/>
      <c r="O23" s="18"/>
      <c r="P23" s="18"/>
    </row>
    <row r="24" spans="1:16" ht="13.5" thickBot="1">
      <c r="A24" s="737" t="s">
        <v>411</v>
      </c>
      <c r="B24" s="628" t="s">
        <v>410</v>
      </c>
      <c r="C24" s="629"/>
      <c r="D24" s="629"/>
      <c r="E24" s="629"/>
      <c r="F24" s="629"/>
      <c r="G24" s="629"/>
      <c r="H24" s="629"/>
      <c r="I24" s="629"/>
      <c r="J24" s="715"/>
      <c r="K24" s="757"/>
      <c r="L24" s="700"/>
      <c r="M24" s="18"/>
      <c r="N24" s="18"/>
      <c r="O24" s="18"/>
      <c r="P24" s="18"/>
    </row>
    <row r="25" spans="1:16" ht="12.75">
      <c r="A25" s="718"/>
      <c r="B25" s="207"/>
      <c r="C25" s="205">
        <v>1</v>
      </c>
      <c r="D25" s="205">
        <v>2</v>
      </c>
      <c r="E25" s="205">
        <v>3</v>
      </c>
      <c r="F25" s="205">
        <v>4</v>
      </c>
      <c r="G25" s="205">
        <v>5</v>
      </c>
      <c r="H25" s="205">
        <v>6</v>
      </c>
      <c r="I25" s="205">
        <v>8</v>
      </c>
      <c r="J25" s="206">
        <v>10</v>
      </c>
      <c r="K25" s="757"/>
      <c r="L25" s="700"/>
      <c r="M25" s="18"/>
      <c r="N25" s="18"/>
      <c r="O25" s="18"/>
      <c r="P25" s="18"/>
    </row>
    <row r="26" spans="1:16" ht="12.75">
      <c r="A26" s="718"/>
      <c r="B26" s="35">
        <v>0</v>
      </c>
      <c r="C26" s="210">
        <v>0.197124</v>
      </c>
      <c r="D26" s="210">
        <v>0.16228</v>
      </c>
      <c r="E26" s="210">
        <v>0.127436</v>
      </c>
      <c r="F26" s="210">
        <v>0.0958389999999999</v>
      </c>
      <c r="G26" s="210">
        <v>0.0728016666666667</v>
      </c>
      <c r="H26" s="210">
        <v>0.0562653333333333</v>
      </c>
      <c r="I26" s="210">
        <v>0.0385426666666667</v>
      </c>
      <c r="J26" s="211">
        <v>0.0361723333333333</v>
      </c>
      <c r="K26" s="757"/>
      <c r="L26" s="700"/>
      <c r="M26" s="18"/>
      <c r="N26" s="20"/>
      <c r="O26" s="18"/>
      <c r="P26" s="18"/>
    </row>
    <row r="27" spans="1:16" ht="12.75">
      <c r="A27" s="718"/>
      <c r="B27" s="35">
        <v>0.5</v>
      </c>
      <c r="C27" s="210">
        <v>0.144284333333334</v>
      </c>
      <c r="D27" s="210">
        <v>0.106182666666667</v>
      </c>
      <c r="E27" s="210">
        <v>0.068081</v>
      </c>
      <c r="F27" s="210">
        <v>0.0388366666666667</v>
      </c>
      <c r="G27" s="210">
        <v>0.0196322666666667</v>
      </c>
      <c r="H27" s="210">
        <v>0.00308480000000001</v>
      </c>
      <c r="I27" s="210">
        <v>-0.0167096666666667</v>
      </c>
      <c r="J27" s="211">
        <v>-0.0211436666666667</v>
      </c>
      <c r="K27" s="757"/>
      <c r="L27" s="700"/>
      <c r="M27" s="18"/>
      <c r="N27" s="20"/>
      <c r="O27" s="18"/>
      <c r="P27" s="18"/>
    </row>
    <row r="28" spans="1:16" ht="12.75">
      <c r="A28" s="718"/>
      <c r="B28" s="35">
        <v>1</v>
      </c>
      <c r="C28" s="210">
        <v>0.0674920999999999</v>
      </c>
      <c r="D28" s="210">
        <v>0.0302763333333333</v>
      </c>
      <c r="E28" s="210">
        <v>-0.00693943333333333</v>
      </c>
      <c r="F28" s="210">
        <v>-0.0276296666666667</v>
      </c>
      <c r="G28" s="210">
        <v>-0.0491966666666666</v>
      </c>
      <c r="H28" s="210">
        <v>-0.0630843333333333</v>
      </c>
      <c r="I28" s="210">
        <v>-0.0846483333333333</v>
      </c>
      <c r="J28" s="211">
        <v>-0.0867236666666666</v>
      </c>
      <c r="K28" s="757"/>
      <c r="L28" s="700"/>
      <c r="M28" s="18"/>
      <c r="N28" s="20"/>
      <c r="O28" s="18"/>
      <c r="P28" s="18"/>
    </row>
    <row r="29" spans="1:16" ht="13.5" thickBot="1">
      <c r="A29" s="719"/>
      <c r="B29" s="36">
        <v>1.5</v>
      </c>
      <c r="C29" s="212">
        <v>-0.00930013333333402</v>
      </c>
      <c r="D29" s="212">
        <v>-0.04563</v>
      </c>
      <c r="E29" s="212">
        <v>-0.081959866666667</v>
      </c>
      <c r="F29" s="212">
        <v>-0.0940960000000003</v>
      </c>
      <c r="G29" s="212">
        <v>-0.1180256</v>
      </c>
      <c r="H29" s="212">
        <v>-0.129253466666667</v>
      </c>
      <c r="I29" s="212">
        <v>-0.152587</v>
      </c>
      <c r="J29" s="213">
        <v>-0.152303666666667</v>
      </c>
      <c r="K29" s="757"/>
      <c r="L29" s="700"/>
      <c r="M29" s="18"/>
      <c r="N29" s="20"/>
      <c r="O29" s="18"/>
      <c r="P29" s="18"/>
    </row>
    <row r="30" spans="1:16" ht="13.5" thickBot="1">
      <c r="A30" s="758" t="s">
        <v>416</v>
      </c>
      <c r="B30" s="762"/>
      <c r="C30" s="762"/>
      <c r="D30" s="763"/>
      <c r="E30" s="601"/>
      <c r="F30" s="602"/>
      <c r="G30" s="602"/>
      <c r="H30" s="602"/>
      <c r="I30" s="602"/>
      <c r="J30" s="602"/>
      <c r="K30" s="602"/>
      <c r="L30" s="603"/>
      <c r="M30" s="18"/>
      <c r="N30" s="20"/>
      <c r="O30" s="18"/>
      <c r="P30" s="18"/>
    </row>
    <row r="31" spans="1:16" ht="12.75">
      <c r="A31" s="181" t="s">
        <v>356</v>
      </c>
      <c r="B31" s="759" t="s">
        <v>408</v>
      </c>
      <c r="C31" s="760"/>
      <c r="D31" s="761"/>
      <c r="E31" s="601"/>
      <c r="F31" s="602"/>
      <c r="G31" s="602"/>
      <c r="H31" s="602"/>
      <c r="I31" s="602"/>
      <c r="J31" s="602"/>
      <c r="K31" s="602"/>
      <c r="L31" s="603"/>
      <c r="M31" s="132"/>
      <c r="N31" s="18"/>
      <c r="O31" s="18"/>
      <c r="P31" s="18"/>
    </row>
    <row r="32" spans="1:16" ht="12.75">
      <c r="A32" s="25">
        <v>0.2</v>
      </c>
      <c r="B32" s="192"/>
      <c r="C32" s="196" t="e">
        <f>DITP('Coeficientes de Controle'!$O$5,'Coeficientes de Controle'!$O$6,'ESDU 89009'!$B$4:$J$8)</f>
        <v>#NAME?</v>
      </c>
      <c r="D32" s="197"/>
      <c r="E32" s="601"/>
      <c r="F32" s="602"/>
      <c r="G32" s="602"/>
      <c r="H32" s="602"/>
      <c r="I32" s="602"/>
      <c r="J32" s="602"/>
      <c r="K32" s="602"/>
      <c r="L32" s="603"/>
      <c r="M32" s="18"/>
      <c r="N32" s="18"/>
      <c r="O32" s="18"/>
      <c r="P32" s="18"/>
    </row>
    <row r="33" spans="1:16" ht="12.75">
      <c r="A33" s="25">
        <v>0.3</v>
      </c>
      <c r="B33" s="192"/>
      <c r="C33" s="196" t="e">
        <f>DITP('Coeficientes de Controle'!$O$5,'Coeficientes de Controle'!$O$6,'ESDU 89009'!$B$11:$J$15)</f>
        <v>#NAME?</v>
      </c>
      <c r="D33" s="197"/>
      <c r="E33" s="601"/>
      <c r="F33" s="602"/>
      <c r="G33" s="602"/>
      <c r="H33" s="602"/>
      <c r="I33" s="602"/>
      <c r="J33" s="602"/>
      <c r="K33" s="602"/>
      <c r="L33" s="603"/>
      <c r="M33" s="18"/>
      <c r="N33" s="18"/>
      <c r="O33" s="18"/>
      <c r="P33" s="18"/>
    </row>
    <row r="34" spans="1:16" ht="12.75">
      <c r="A34" s="25">
        <v>0.4</v>
      </c>
      <c r="B34" s="192"/>
      <c r="C34" s="196" t="e">
        <f>DITP('Coeficientes de Controle'!$O$5,'Coeficientes de Controle'!$O$6,'ESDU 89009'!$B$18:$J$22)</f>
        <v>#NAME?</v>
      </c>
      <c r="D34" s="197"/>
      <c r="E34" s="601"/>
      <c r="F34" s="602"/>
      <c r="G34" s="602"/>
      <c r="H34" s="602"/>
      <c r="I34" s="602"/>
      <c r="J34" s="602"/>
      <c r="K34" s="602"/>
      <c r="L34" s="603"/>
      <c r="M34" s="18"/>
      <c r="N34" s="18"/>
      <c r="O34" s="18"/>
      <c r="P34" s="18"/>
    </row>
    <row r="35" spans="1:16" ht="13.5" thickBot="1">
      <c r="A35" s="27">
        <v>0.5</v>
      </c>
      <c r="B35" s="193"/>
      <c r="C35" s="198" t="e">
        <f>DITP('Coeficientes de Controle'!$O$5,'Coeficientes de Controle'!$O$6,'ESDU 89009'!$B$25:$J$29)</f>
        <v>#NAME?</v>
      </c>
      <c r="D35" s="199"/>
      <c r="E35" s="601"/>
      <c r="F35" s="602"/>
      <c r="G35" s="602"/>
      <c r="H35" s="602"/>
      <c r="I35" s="602"/>
      <c r="J35" s="602"/>
      <c r="K35" s="602"/>
      <c r="L35" s="603"/>
      <c r="M35" s="18"/>
      <c r="N35" s="18"/>
      <c r="O35" s="18"/>
      <c r="P35" s="18"/>
    </row>
    <row r="36" spans="1:16" ht="13.5" thickBot="1">
      <c r="A36" s="720" t="s">
        <v>417</v>
      </c>
      <c r="B36" s="721"/>
      <c r="C36" s="721"/>
      <c r="D36" s="722"/>
      <c r="E36" s="601"/>
      <c r="F36" s="602"/>
      <c r="G36" s="602"/>
      <c r="H36" s="602"/>
      <c r="I36" s="602"/>
      <c r="J36" s="602"/>
      <c r="K36" s="602"/>
      <c r="L36" s="603"/>
      <c r="M36" s="18"/>
      <c r="N36" s="18"/>
      <c r="O36" s="18"/>
      <c r="P36" s="18"/>
    </row>
    <row r="37" spans="1:16" ht="12.75">
      <c r="A37" s="181" t="s">
        <v>356</v>
      </c>
      <c r="B37" s="759" t="s">
        <v>408</v>
      </c>
      <c r="C37" s="760"/>
      <c r="D37" s="761"/>
      <c r="E37" s="601"/>
      <c r="F37" s="602"/>
      <c r="G37" s="602"/>
      <c r="H37" s="602"/>
      <c r="I37" s="602"/>
      <c r="J37" s="602"/>
      <c r="K37" s="602"/>
      <c r="L37" s="603"/>
      <c r="M37" s="18"/>
      <c r="N37" s="18"/>
      <c r="O37" s="18"/>
      <c r="P37" s="18"/>
    </row>
    <row r="38" spans="1:16" ht="12.75">
      <c r="A38" s="25">
        <v>0.2</v>
      </c>
      <c r="B38" s="192"/>
      <c r="C38" s="196" t="e">
        <f>DITP('Coeficientes de Controle'!$O$31,'Coeficientes de Controle'!$O$32,'ESDU 89009'!$B$4:$J$8)</f>
        <v>#NAME?</v>
      </c>
      <c r="D38" s="197"/>
      <c r="E38" s="601"/>
      <c r="F38" s="602"/>
      <c r="G38" s="602"/>
      <c r="H38" s="602"/>
      <c r="I38" s="602"/>
      <c r="J38" s="602"/>
      <c r="K38" s="602"/>
      <c r="L38" s="603"/>
      <c r="M38" s="18"/>
      <c r="N38" s="18"/>
      <c r="O38" s="18"/>
      <c r="P38" s="18"/>
    </row>
    <row r="39" spans="1:16" ht="12.75">
      <c r="A39" s="25">
        <v>0.3</v>
      </c>
      <c r="B39" s="192"/>
      <c r="C39" s="196" t="e">
        <f>DITP('Coeficientes de Controle'!$O$31,'Coeficientes de Controle'!$O$32,'ESDU 89009'!$B$11:$J$15)</f>
        <v>#NAME?</v>
      </c>
      <c r="D39" s="197"/>
      <c r="E39" s="601"/>
      <c r="F39" s="602"/>
      <c r="G39" s="602"/>
      <c r="H39" s="602"/>
      <c r="I39" s="602"/>
      <c r="J39" s="602"/>
      <c r="K39" s="602"/>
      <c r="L39" s="603"/>
      <c r="M39" s="18"/>
      <c r="N39" s="18"/>
      <c r="O39" s="18"/>
      <c r="P39" s="18"/>
    </row>
    <row r="40" spans="1:16" ht="12.75">
      <c r="A40" s="25">
        <v>0.4</v>
      </c>
      <c r="B40" s="192"/>
      <c r="C40" s="196" t="e">
        <f>DITP('Coeficientes de Controle'!$O$31,'Coeficientes de Controle'!$O$32,'ESDU 89009'!$B$18:$J$22)</f>
        <v>#NAME?</v>
      </c>
      <c r="D40" s="197"/>
      <c r="E40" s="601"/>
      <c r="F40" s="602"/>
      <c r="G40" s="602"/>
      <c r="H40" s="602"/>
      <c r="I40" s="602"/>
      <c r="J40" s="602"/>
      <c r="K40" s="602"/>
      <c r="L40" s="603"/>
      <c r="M40" s="18"/>
      <c r="N40" s="18"/>
      <c r="O40" s="18"/>
      <c r="P40" s="18"/>
    </row>
    <row r="41" spans="1:16" ht="13.5" thickBot="1">
      <c r="A41" s="27">
        <v>0.5</v>
      </c>
      <c r="B41" s="193"/>
      <c r="C41" s="198" t="e">
        <f>DITP('Coeficientes de Controle'!$O$31,'Coeficientes de Controle'!$O$32,'ESDU 89009'!$B$25:$J$29)</f>
        <v>#NAME?</v>
      </c>
      <c r="D41" s="199"/>
      <c r="E41" s="601"/>
      <c r="F41" s="602"/>
      <c r="G41" s="602"/>
      <c r="H41" s="602"/>
      <c r="I41" s="602"/>
      <c r="J41" s="602"/>
      <c r="K41" s="602"/>
      <c r="L41" s="603"/>
      <c r="M41" s="18"/>
      <c r="N41" s="18"/>
      <c r="O41" s="18"/>
      <c r="P41" s="18"/>
    </row>
    <row r="42" spans="1:16" ht="13.5" thickBot="1">
      <c r="A42" s="758" t="s">
        <v>418</v>
      </c>
      <c r="B42" s="762"/>
      <c r="C42" s="762"/>
      <c r="D42" s="763"/>
      <c r="E42" s="601"/>
      <c r="F42" s="602"/>
      <c r="G42" s="602"/>
      <c r="H42" s="602"/>
      <c r="I42" s="602"/>
      <c r="J42" s="602"/>
      <c r="K42" s="602"/>
      <c r="L42" s="603"/>
      <c r="M42" s="18"/>
      <c r="N42" s="18"/>
      <c r="O42" s="18"/>
      <c r="P42" s="18"/>
    </row>
    <row r="43" spans="1:16" ht="12.75">
      <c r="A43" s="181" t="s">
        <v>356</v>
      </c>
      <c r="B43" s="759" t="s">
        <v>408</v>
      </c>
      <c r="C43" s="760"/>
      <c r="D43" s="761"/>
      <c r="E43" s="601"/>
      <c r="F43" s="602"/>
      <c r="G43" s="602"/>
      <c r="H43" s="602"/>
      <c r="I43" s="602"/>
      <c r="J43" s="602"/>
      <c r="K43" s="602"/>
      <c r="L43" s="603"/>
      <c r="M43" s="18"/>
      <c r="N43" s="18"/>
      <c r="O43" s="18"/>
      <c r="P43" s="18"/>
    </row>
    <row r="44" spans="1:16" ht="12.75">
      <c r="A44" s="25">
        <v>0.2</v>
      </c>
      <c r="B44" s="192"/>
      <c r="C44" s="196" t="e">
        <f>DITP('Coeficientes de Controle'!$O$71,'Coeficientes de Controle'!$O$72,'ESDU 89009'!$B$4:$J$8)</f>
        <v>#NAME?</v>
      </c>
      <c r="D44" s="197"/>
      <c r="E44" s="601"/>
      <c r="F44" s="602"/>
      <c r="G44" s="602"/>
      <c r="H44" s="602"/>
      <c r="I44" s="602"/>
      <c r="J44" s="602"/>
      <c r="K44" s="602"/>
      <c r="L44" s="603"/>
      <c r="M44" s="18"/>
      <c r="N44" s="18"/>
      <c r="O44" s="18"/>
      <c r="P44" s="18"/>
    </row>
    <row r="45" spans="1:16" ht="12.75">
      <c r="A45" s="25">
        <v>0.3</v>
      </c>
      <c r="B45" s="192"/>
      <c r="C45" s="196" t="e">
        <f>DITP('Coeficientes de Controle'!$O$71,'Coeficientes de Controle'!$O$72,'ESDU 89009'!$B$11:$J$15)</f>
        <v>#NAME?</v>
      </c>
      <c r="D45" s="197"/>
      <c r="E45" s="601"/>
      <c r="F45" s="602"/>
      <c r="G45" s="602"/>
      <c r="H45" s="602"/>
      <c r="I45" s="602"/>
      <c r="J45" s="602"/>
      <c r="K45" s="602"/>
      <c r="L45" s="603"/>
      <c r="M45" s="18"/>
      <c r="N45" s="18"/>
      <c r="O45" s="18"/>
      <c r="P45" s="18"/>
    </row>
    <row r="46" spans="1:16" ht="12.75">
      <c r="A46" s="25">
        <v>0.4</v>
      </c>
      <c r="B46" s="192"/>
      <c r="C46" s="196" t="e">
        <f>DITP('Coeficientes de Controle'!$O$71,'Coeficientes de Controle'!$O$72,'ESDU 89009'!$B$18:$J$22)</f>
        <v>#NAME?</v>
      </c>
      <c r="D46" s="197"/>
      <c r="E46" s="601"/>
      <c r="F46" s="602"/>
      <c r="G46" s="602"/>
      <c r="H46" s="602"/>
      <c r="I46" s="602"/>
      <c r="J46" s="602"/>
      <c r="K46" s="602"/>
      <c r="L46" s="603"/>
      <c r="M46" s="18"/>
      <c r="N46" s="18"/>
      <c r="O46" s="18"/>
      <c r="P46" s="18"/>
    </row>
    <row r="47" spans="1:16" ht="13.5" thickBot="1">
      <c r="A47" s="25">
        <v>0.5</v>
      </c>
      <c r="B47" s="192"/>
      <c r="C47" s="196" t="e">
        <f>DITP('Coeficientes de Controle'!$O$71,'Coeficientes de Controle'!$O$72,'ESDU 89009'!$B$25:$J$29)</f>
        <v>#NAME?</v>
      </c>
      <c r="D47" s="197"/>
      <c r="E47" s="601"/>
      <c r="F47" s="602"/>
      <c r="G47" s="602"/>
      <c r="H47" s="602"/>
      <c r="I47" s="602"/>
      <c r="J47" s="602"/>
      <c r="K47" s="602"/>
      <c r="L47" s="603"/>
      <c r="M47" s="18"/>
      <c r="N47" s="18"/>
      <c r="O47" s="18"/>
      <c r="P47" s="18"/>
    </row>
    <row r="48" spans="1:16" ht="13.5" thickBot="1">
      <c r="A48" s="720" t="s">
        <v>419</v>
      </c>
      <c r="B48" s="721"/>
      <c r="C48" s="721"/>
      <c r="D48" s="721"/>
      <c r="E48" s="721"/>
      <c r="F48" s="721"/>
      <c r="G48" s="721"/>
      <c r="H48" s="722"/>
      <c r="I48" s="601"/>
      <c r="J48" s="602"/>
      <c r="K48" s="602"/>
      <c r="L48" s="603"/>
      <c r="M48" s="18"/>
      <c r="N48" s="18"/>
      <c r="O48" s="18"/>
      <c r="P48" s="18"/>
    </row>
    <row r="49" spans="1:16" ht="13.5" thickBot="1">
      <c r="A49" s="201" t="s">
        <v>424</v>
      </c>
      <c r="B49" s="628" t="s">
        <v>420</v>
      </c>
      <c r="C49" s="629"/>
      <c r="D49" s="629"/>
      <c r="E49" s="629"/>
      <c r="F49" s="629"/>
      <c r="G49" s="629"/>
      <c r="H49" s="715"/>
      <c r="I49" s="601"/>
      <c r="J49" s="602"/>
      <c r="K49" s="602"/>
      <c r="L49" s="603"/>
      <c r="M49" s="18"/>
      <c r="N49" s="20"/>
      <c r="O49" s="18"/>
      <c r="P49" s="18"/>
    </row>
    <row r="50" spans="1:16" ht="12.75">
      <c r="A50" s="200"/>
      <c r="B50" s="34"/>
      <c r="C50" s="30">
        <v>0</v>
      </c>
      <c r="D50" s="30">
        <v>0.1</v>
      </c>
      <c r="E50" s="30">
        <v>0.2</v>
      </c>
      <c r="F50" s="30">
        <v>0.3</v>
      </c>
      <c r="G50" s="30">
        <v>0.4</v>
      </c>
      <c r="H50" s="31">
        <v>0.5</v>
      </c>
      <c r="I50" s="601"/>
      <c r="J50" s="602"/>
      <c r="K50" s="602"/>
      <c r="L50" s="603"/>
      <c r="M50" s="18"/>
      <c r="N50" s="20"/>
      <c r="O50" s="18"/>
      <c r="P50" s="18"/>
    </row>
    <row r="51" spans="1:16" ht="13.5" customHeight="1">
      <c r="A51" s="718" t="s">
        <v>356</v>
      </c>
      <c r="B51" s="35">
        <v>0.2</v>
      </c>
      <c r="C51" s="33">
        <v>1</v>
      </c>
      <c r="D51" s="33">
        <v>0.98065</v>
      </c>
      <c r="E51" s="33">
        <v>0.91935</v>
      </c>
      <c r="F51" s="33">
        <v>0.82097</v>
      </c>
      <c r="G51" s="33">
        <v>0.67581</v>
      </c>
      <c r="H51" s="26">
        <v>0.51452</v>
      </c>
      <c r="I51" s="601"/>
      <c r="J51" s="602"/>
      <c r="K51" s="602"/>
      <c r="L51" s="603"/>
      <c r="M51" s="18"/>
      <c r="N51" s="20"/>
      <c r="O51" s="18"/>
      <c r="P51" s="18"/>
    </row>
    <row r="52" spans="1:16" ht="12.75">
      <c r="A52" s="718"/>
      <c r="B52" s="35">
        <v>0.3</v>
      </c>
      <c r="C52" s="33">
        <v>1</v>
      </c>
      <c r="D52" s="33">
        <v>0.97903</v>
      </c>
      <c r="E52" s="33">
        <v>0.92097</v>
      </c>
      <c r="F52" s="33">
        <v>0.83065</v>
      </c>
      <c r="G52" s="33">
        <v>0.70161</v>
      </c>
      <c r="H52" s="26">
        <v>0.54839</v>
      </c>
      <c r="I52" s="601"/>
      <c r="J52" s="602"/>
      <c r="K52" s="602"/>
      <c r="L52" s="603"/>
      <c r="M52" s="18"/>
      <c r="N52" s="20"/>
      <c r="O52" s="18"/>
      <c r="P52" s="18"/>
    </row>
    <row r="53" spans="1:16" ht="12.75">
      <c r="A53" s="718"/>
      <c r="B53" s="35">
        <v>0.4</v>
      </c>
      <c r="C53" s="33">
        <v>1</v>
      </c>
      <c r="D53" s="33">
        <v>0.98065</v>
      </c>
      <c r="E53" s="33">
        <v>0.92258</v>
      </c>
      <c r="F53" s="33">
        <v>0.84032</v>
      </c>
      <c r="G53" s="33">
        <v>0.72742</v>
      </c>
      <c r="H53" s="26">
        <v>0.58226</v>
      </c>
      <c r="I53" s="601"/>
      <c r="J53" s="602"/>
      <c r="K53" s="602"/>
      <c r="L53" s="603"/>
      <c r="M53" s="18"/>
      <c r="N53" s="20"/>
      <c r="O53" s="18"/>
      <c r="P53" s="18"/>
    </row>
    <row r="54" spans="1:16" ht="13.5" thickBot="1">
      <c r="A54" s="719"/>
      <c r="B54" s="36">
        <v>0.5</v>
      </c>
      <c r="C54" s="97">
        <v>1</v>
      </c>
      <c r="D54" s="97">
        <v>0.98227</v>
      </c>
      <c r="E54" s="97">
        <v>0.92419</v>
      </c>
      <c r="F54" s="97">
        <v>0.84999</v>
      </c>
      <c r="G54" s="97">
        <v>0.75323</v>
      </c>
      <c r="H54" s="28">
        <v>0.61613</v>
      </c>
      <c r="I54" s="601"/>
      <c r="J54" s="602"/>
      <c r="K54" s="602"/>
      <c r="L54" s="603"/>
      <c r="M54" s="18"/>
      <c r="N54" s="20"/>
      <c r="O54" s="18"/>
      <c r="P54" s="18"/>
    </row>
    <row r="55" spans="1:16" ht="13.5" thickBot="1">
      <c r="A55" s="720" t="s">
        <v>421</v>
      </c>
      <c r="B55" s="721"/>
      <c r="C55" s="721"/>
      <c r="D55" s="721"/>
      <c r="E55" s="721"/>
      <c r="F55" s="722"/>
      <c r="G55" s="40"/>
      <c r="H55" s="40"/>
      <c r="I55" s="40"/>
      <c r="J55" s="40"/>
      <c r="K55" s="40"/>
      <c r="L55" s="42"/>
      <c r="M55" s="18"/>
      <c r="N55" s="20"/>
      <c r="O55" s="18"/>
      <c r="P55" s="18"/>
    </row>
    <row r="56" spans="1:16" ht="13.5" thickBot="1">
      <c r="A56" s="201" t="s">
        <v>41</v>
      </c>
      <c r="B56" s="629" t="s">
        <v>98</v>
      </c>
      <c r="C56" s="629"/>
      <c r="D56" s="629"/>
      <c r="E56" s="629"/>
      <c r="F56" s="715"/>
      <c r="G56" s="40"/>
      <c r="H56" s="40"/>
      <c r="I56" s="40"/>
      <c r="J56" s="40"/>
      <c r="K56" s="40"/>
      <c r="L56" s="42"/>
      <c r="M56" s="18"/>
      <c r="N56" s="20"/>
      <c r="O56" s="18"/>
      <c r="P56" s="18"/>
    </row>
    <row r="57" spans="1:16" ht="12.75">
      <c r="A57" s="737" t="s">
        <v>423</v>
      </c>
      <c r="B57" s="34"/>
      <c r="C57" s="30">
        <v>0</v>
      </c>
      <c r="D57" s="30">
        <v>2</v>
      </c>
      <c r="E57" s="30">
        <v>4</v>
      </c>
      <c r="F57" s="31">
        <v>6</v>
      </c>
      <c r="G57" s="40"/>
      <c r="H57" s="40"/>
      <c r="I57" s="40"/>
      <c r="J57" s="40"/>
      <c r="K57" s="40"/>
      <c r="L57" s="42"/>
      <c r="M57" s="18"/>
      <c r="N57" s="20"/>
      <c r="O57" s="18"/>
      <c r="P57" s="18"/>
    </row>
    <row r="58" spans="1:16" ht="12.75" customHeight="1">
      <c r="A58" s="718"/>
      <c r="B58" s="119">
        <v>-1E-07</v>
      </c>
      <c r="C58" s="33">
        <v>0</v>
      </c>
      <c r="D58" s="33">
        <v>0</v>
      </c>
      <c r="E58" s="33">
        <v>0</v>
      </c>
      <c r="F58" s="26">
        <v>0</v>
      </c>
      <c r="G58" s="40"/>
      <c r="H58" s="40"/>
      <c r="I58" s="40"/>
      <c r="J58" s="40"/>
      <c r="K58" s="40"/>
      <c r="L58" s="42"/>
      <c r="M58" s="18"/>
      <c r="N58" s="20"/>
      <c r="O58" s="18"/>
      <c r="P58" s="18"/>
    </row>
    <row r="59" spans="1:16" ht="12.75">
      <c r="A59" s="718"/>
      <c r="B59" s="35">
        <v>0.2</v>
      </c>
      <c r="C59" s="33">
        <v>0</v>
      </c>
      <c r="D59" s="33">
        <v>0.021491</v>
      </c>
      <c r="E59" s="33">
        <v>0.041667</v>
      </c>
      <c r="F59" s="26">
        <v>0.052193</v>
      </c>
      <c r="G59" s="40"/>
      <c r="H59" s="40"/>
      <c r="I59" s="40"/>
      <c r="J59" s="40"/>
      <c r="K59" s="40"/>
      <c r="L59" s="42"/>
      <c r="M59" s="18"/>
      <c r="N59" s="20"/>
      <c r="O59" s="18"/>
      <c r="P59" s="18"/>
    </row>
    <row r="60" spans="1:16" ht="12.75">
      <c r="A60" s="718"/>
      <c r="B60" s="35">
        <v>0.4</v>
      </c>
      <c r="C60" s="33">
        <v>0</v>
      </c>
      <c r="D60" s="33">
        <v>0.05</v>
      </c>
      <c r="E60" s="33">
        <v>0.098684</v>
      </c>
      <c r="F60" s="26">
        <v>0.11886</v>
      </c>
      <c r="G60" s="40"/>
      <c r="H60" s="40"/>
      <c r="I60" s="40"/>
      <c r="J60" s="40"/>
      <c r="K60" s="40"/>
      <c r="L60" s="42"/>
      <c r="M60" s="18"/>
      <c r="N60" s="20"/>
      <c r="O60" s="18"/>
      <c r="P60" s="18"/>
    </row>
    <row r="61" spans="1:16" ht="12.75">
      <c r="A61" s="718"/>
      <c r="B61" s="35">
        <v>0.6</v>
      </c>
      <c r="C61" s="33">
        <v>0</v>
      </c>
      <c r="D61" s="33">
        <v>0.060965</v>
      </c>
      <c r="E61" s="33">
        <v>0.12061</v>
      </c>
      <c r="F61" s="26">
        <v>0.1443</v>
      </c>
      <c r="G61" s="40"/>
      <c r="H61" s="40"/>
      <c r="I61" s="40"/>
      <c r="J61" s="40"/>
      <c r="K61" s="40"/>
      <c r="L61" s="42"/>
      <c r="M61" s="18"/>
      <c r="N61" s="20"/>
      <c r="O61" s="18"/>
      <c r="P61" s="18"/>
    </row>
    <row r="62" spans="1:16" ht="12.75">
      <c r="A62" s="718"/>
      <c r="B62" s="35">
        <v>0.8</v>
      </c>
      <c r="C62" s="33">
        <v>0</v>
      </c>
      <c r="D62" s="33">
        <v>0.063596</v>
      </c>
      <c r="E62" s="33">
        <v>0.12544</v>
      </c>
      <c r="F62" s="26">
        <v>0.15263</v>
      </c>
      <c r="G62" s="40"/>
      <c r="H62" s="40"/>
      <c r="I62" s="40"/>
      <c r="J62" s="40"/>
      <c r="K62" s="40"/>
      <c r="L62" s="42"/>
      <c r="M62" s="18"/>
      <c r="N62" s="20"/>
      <c r="O62" s="18"/>
      <c r="P62" s="18"/>
    </row>
    <row r="63" spans="1:16" ht="13.5" thickBot="1">
      <c r="A63" s="719"/>
      <c r="B63" s="36">
        <v>1.0000001</v>
      </c>
      <c r="C63" s="97">
        <v>0</v>
      </c>
      <c r="D63" s="97">
        <v>0.063596</v>
      </c>
      <c r="E63" s="97">
        <v>0.12675</v>
      </c>
      <c r="F63" s="28">
        <v>0.15351</v>
      </c>
      <c r="G63" s="43"/>
      <c r="H63" s="43"/>
      <c r="I63" s="43"/>
      <c r="J63" s="43"/>
      <c r="K63" s="43"/>
      <c r="L63" s="208"/>
      <c r="M63" s="18"/>
      <c r="N63" s="20"/>
      <c r="O63" s="18"/>
      <c r="P63" s="18"/>
    </row>
    <row r="64" spans="12:13" ht="12.75">
      <c r="L64" s="154"/>
      <c r="M64" s="154"/>
    </row>
    <row r="65" spans="12:13" ht="12.75">
      <c r="L65" s="154"/>
      <c r="M65" s="154"/>
    </row>
    <row r="66" spans="12:13" ht="12.75">
      <c r="L66" s="154"/>
      <c r="M66" s="154"/>
    </row>
    <row r="67" spans="12:13" ht="12.75">
      <c r="L67" s="154"/>
      <c r="M67" s="154"/>
    </row>
    <row r="68" spans="12:13" ht="12.75">
      <c r="L68" s="154"/>
      <c r="M68" s="154"/>
    </row>
    <row r="69" spans="12:13" ht="12.75">
      <c r="L69" s="154"/>
      <c r="M69" s="154"/>
    </row>
    <row r="70" spans="12:13" ht="12.75">
      <c r="L70" s="154"/>
      <c r="M70" s="154"/>
    </row>
    <row r="71" spans="12:13" ht="12.75">
      <c r="L71" s="154"/>
      <c r="M71" s="154"/>
    </row>
    <row r="72" spans="12:13" ht="12.75">
      <c r="L72" s="154"/>
      <c r="M72" s="154"/>
    </row>
    <row r="73" spans="12:13" ht="12.75">
      <c r="L73" s="154"/>
      <c r="M73" s="154"/>
    </row>
    <row r="74" spans="12:13" ht="12.75">
      <c r="L74" s="154"/>
      <c r="M74" s="154"/>
    </row>
    <row r="75" spans="12:13" ht="12.75">
      <c r="L75" s="154"/>
      <c r="M75" s="154"/>
    </row>
    <row r="76" spans="12:13" ht="12.75">
      <c r="L76" s="154"/>
      <c r="M76" s="154"/>
    </row>
    <row r="77" spans="12:13" ht="12.75">
      <c r="L77" s="154"/>
      <c r="M77" s="154"/>
    </row>
    <row r="78" spans="12:13" ht="12.75">
      <c r="L78" s="154"/>
      <c r="M78" s="154"/>
    </row>
    <row r="79" spans="12:13" ht="12.75">
      <c r="L79" s="154"/>
      <c r="M79" s="154"/>
    </row>
    <row r="80" spans="12:13" ht="12.75">
      <c r="L80" s="154"/>
      <c r="M80" s="154"/>
    </row>
    <row r="81" spans="12:13" ht="12.75">
      <c r="L81" s="154"/>
      <c r="M81" s="154"/>
    </row>
    <row r="82" spans="12:13" ht="12.75">
      <c r="L82" s="154"/>
      <c r="M82" s="154"/>
    </row>
    <row r="83" spans="12:13" ht="12.75">
      <c r="L83" s="154"/>
      <c r="M83" s="154"/>
    </row>
    <row r="84" spans="12:13" ht="12.75">
      <c r="L84" s="154"/>
      <c r="M84" s="154"/>
    </row>
    <row r="85" spans="12:13" ht="12.75">
      <c r="L85" s="154"/>
      <c r="M85" s="154"/>
    </row>
    <row r="86" spans="12:13" ht="12.75">
      <c r="L86" s="154"/>
      <c r="M86" s="154"/>
    </row>
    <row r="87" spans="12:13" ht="12.75">
      <c r="L87" s="154"/>
      <c r="M87" s="154"/>
    </row>
    <row r="88" spans="12:13" ht="12.75">
      <c r="L88" s="154"/>
      <c r="M88" s="154"/>
    </row>
    <row r="89" spans="12:13" ht="12.75">
      <c r="L89" s="154"/>
      <c r="M89" s="154"/>
    </row>
    <row r="90" spans="12:13" ht="12.75">
      <c r="L90" s="154"/>
      <c r="M90" s="154"/>
    </row>
    <row r="91" spans="12:13" ht="12.75">
      <c r="L91" s="154"/>
      <c r="M91" s="154"/>
    </row>
    <row r="92" spans="12:13" ht="12.75">
      <c r="L92" s="154"/>
      <c r="M92" s="154"/>
    </row>
    <row r="93" spans="12:13" ht="12.75">
      <c r="L93" s="154"/>
      <c r="M93" s="154"/>
    </row>
    <row r="94" spans="12:13" ht="12.75">
      <c r="L94" s="154"/>
      <c r="M94" s="154"/>
    </row>
    <row r="95" spans="12:13" ht="12.75">
      <c r="L95" s="154"/>
      <c r="M95" s="154"/>
    </row>
    <row r="96" spans="12:13" ht="12.75">
      <c r="L96" s="154"/>
      <c r="M96" s="154"/>
    </row>
    <row r="97" spans="12:13" ht="12.75">
      <c r="L97" s="154"/>
      <c r="M97" s="154"/>
    </row>
    <row r="98" spans="12:13" ht="12.75">
      <c r="L98" s="154"/>
      <c r="M98" s="154"/>
    </row>
    <row r="99" spans="12:13" ht="12.75">
      <c r="L99" s="154"/>
      <c r="M99" s="154"/>
    </row>
    <row r="100" spans="12:13" ht="12.75">
      <c r="L100" s="154"/>
      <c r="M100" s="154"/>
    </row>
    <row r="101" spans="12:13" ht="12.75">
      <c r="L101" s="154"/>
      <c r="M101" s="154"/>
    </row>
    <row r="102" spans="12:13" ht="12.75">
      <c r="L102" s="154"/>
      <c r="M102" s="154"/>
    </row>
    <row r="103" spans="12:13" ht="12.75">
      <c r="L103" s="154"/>
      <c r="M103" s="154"/>
    </row>
    <row r="104" spans="12:13" ht="12.75">
      <c r="L104" s="154"/>
      <c r="M104" s="154"/>
    </row>
    <row r="105" spans="12:13" ht="12.75">
      <c r="L105" s="154"/>
      <c r="M105" s="154"/>
    </row>
    <row r="106" spans="12:13" ht="12.75">
      <c r="L106" s="154"/>
      <c r="M106" s="154"/>
    </row>
    <row r="107" spans="12:13" ht="12.75">
      <c r="L107" s="154"/>
      <c r="M107" s="154"/>
    </row>
    <row r="108" spans="12:13" ht="12.75">
      <c r="L108" s="154"/>
      <c r="M108" s="154"/>
    </row>
    <row r="109" spans="12:13" ht="12.75">
      <c r="L109" s="154"/>
      <c r="M109" s="154"/>
    </row>
    <row r="110" spans="12:13" ht="12.75">
      <c r="L110" s="154"/>
      <c r="M110" s="154"/>
    </row>
    <row r="111" spans="12:13" ht="12.75">
      <c r="L111" s="154"/>
      <c r="M111" s="154"/>
    </row>
    <row r="112" spans="12:13" ht="12.75">
      <c r="L112" s="154"/>
      <c r="M112" s="154"/>
    </row>
    <row r="113" spans="12:13" ht="12.75">
      <c r="L113" s="154"/>
      <c r="M113" s="154"/>
    </row>
    <row r="114" spans="12:13" ht="12.75">
      <c r="L114" s="154"/>
      <c r="M114" s="154"/>
    </row>
  </sheetData>
  <sheetProtection/>
  <mergeCells count="28">
    <mergeCell ref="B43:D43"/>
    <mergeCell ref="A57:A63"/>
    <mergeCell ref="B37:D37"/>
    <mergeCell ref="A48:H48"/>
    <mergeCell ref="A51:A54"/>
    <mergeCell ref="B49:H49"/>
    <mergeCell ref="B56:F56"/>
    <mergeCell ref="A55:F55"/>
    <mergeCell ref="A10:A15"/>
    <mergeCell ref="A17:A22"/>
    <mergeCell ref="A2:J2"/>
    <mergeCell ref="A3:A8"/>
    <mergeCell ref="B3:J3"/>
    <mergeCell ref="A36:D36"/>
    <mergeCell ref="B31:D31"/>
    <mergeCell ref="A30:D30"/>
    <mergeCell ref="E30:L47"/>
    <mergeCell ref="A42:D42"/>
    <mergeCell ref="I48:L54"/>
    <mergeCell ref="B10:J10"/>
    <mergeCell ref="B17:J17"/>
    <mergeCell ref="B24:J24"/>
    <mergeCell ref="A1:L1"/>
    <mergeCell ref="K2:L29"/>
    <mergeCell ref="A24:A29"/>
    <mergeCell ref="A9:J9"/>
    <mergeCell ref="A16:J16"/>
    <mergeCell ref="A23:J2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31">
    <tabColor indexed="60"/>
  </sheetPr>
  <dimension ref="A1:R78"/>
  <sheetViews>
    <sheetView zoomScalePageLayoutView="0" workbookViewId="0" topLeftCell="A1">
      <selection activeCell="P24" sqref="P24"/>
    </sheetView>
  </sheetViews>
  <sheetFormatPr defaultColWidth="9.140625" defaultRowHeight="12.75"/>
  <cols>
    <col min="1" max="1" width="9.8515625" style="152" customWidth="1"/>
    <col min="2" max="6" width="9.140625" style="152" customWidth="1"/>
    <col min="7" max="7" width="9.57421875" style="152" customWidth="1"/>
    <col min="8" max="8" width="9.140625" style="152" customWidth="1"/>
    <col min="9" max="9" width="9.140625" style="18" customWidth="1"/>
    <col min="10" max="13" width="9.140625" style="152" customWidth="1"/>
    <col min="14" max="14" width="9.00390625" style="152" customWidth="1"/>
    <col min="15" max="15" width="8.421875" style="152" customWidth="1"/>
    <col min="16" max="16384" width="9.140625" style="152" customWidth="1"/>
  </cols>
  <sheetData>
    <row r="1" spans="1:18" ht="13.5" thickBot="1">
      <c r="A1" s="350" t="s">
        <v>625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2"/>
      <c r="M1" s="209"/>
      <c r="N1" s="209"/>
      <c r="O1" s="209"/>
      <c r="P1" s="209"/>
      <c r="Q1" s="209"/>
      <c r="R1" s="209"/>
    </row>
    <row r="2" spans="1:18" ht="13.5" thickBot="1">
      <c r="A2" s="347" t="s">
        <v>626</v>
      </c>
      <c r="B2" s="348"/>
      <c r="C2" s="348"/>
      <c r="D2" s="348"/>
      <c r="E2" s="348"/>
      <c r="F2" s="348"/>
      <c r="G2" s="349"/>
      <c r="H2" s="55"/>
      <c r="I2" s="55"/>
      <c r="J2" s="55"/>
      <c r="K2" s="55"/>
      <c r="L2" s="346"/>
      <c r="M2" s="18"/>
      <c r="N2" s="18"/>
      <c r="O2" s="18"/>
      <c r="P2" s="20"/>
      <c r="Q2" s="18"/>
      <c r="R2" s="18"/>
    </row>
    <row r="3" spans="1:18" ht="12.75" customHeight="1" thickBot="1">
      <c r="A3" s="737" t="s">
        <v>608</v>
      </c>
      <c r="B3" s="203" t="s">
        <v>624</v>
      </c>
      <c r="C3" s="202"/>
      <c r="D3" s="202"/>
      <c r="E3" s="202"/>
      <c r="F3" s="202"/>
      <c r="G3" s="16"/>
      <c r="H3" s="41"/>
      <c r="I3" s="41"/>
      <c r="J3" s="41"/>
      <c r="K3" s="41"/>
      <c r="L3" s="42"/>
      <c r="M3" s="18"/>
      <c r="N3" s="18"/>
      <c r="O3" s="18"/>
      <c r="P3" s="20"/>
      <c r="Q3" s="18"/>
      <c r="R3" s="18"/>
    </row>
    <row r="4" spans="1:18" ht="12.75" customHeight="1">
      <c r="A4" s="718"/>
      <c r="B4" s="34"/>
      <c r="C4" s="334">
        <v>0.5</v>
      </c>
      <c r="D4" s="205">
        <v>0.6</v>
      </c>
      <c r="E4" s="205">
        <v>0.7</v>
      </c>
      <c r="F4" s="205">
        <v>0.8</v>
      </c>
      <c r="G4" s="206">
        <v>0.85</v>
      </c>
      <c r="H4" s="41"/>
      <c r="I4" s="41"/>
      <c r="J4" s="41"/>
      <c r="K4" s="41"/>
      <c r="L4" s="42"/>
      <c r="M4" s="18"/>
      <c r="N4" s="18"/>
      <c r="O4" s="18"/>
      <c r="P4" s="18"/>
      <c r="Q4" s="18"/>
      <c r="R4" s="18"/>
    </row>
    <row r="5" spans="1:18" ht="12.75" customHeight="1">
      <c r="A5" s="718"/>
      <c r="B5" s="35">
        <v>0.05</v>
      </c>
      <c r="C5" s="33">
        <v>1.04123</v>
      </c>
      <c r="D5" s="33">
        <v>1.22698</v>
      </c>
      <c r="E5" s="33">
        <v>1.50158</v>
      </c>
      <c r="F5" s="33">
        <v>1.86188</v>
      </c>
      <c r="G5" s="26">
        <v>1.9762</v>
      </c>
      <c r="H5" s="41"/>
      <c r="I5" s="41"/>
      <c r="J5" s="41"/>
      <c r="K5" s="41"/>
      <c r="L5" s="42"/>
      <c r="M5" s="18"/>
      <c r="N5" s="18"/>
      <c r="O5" s="18"/>
      <c r="P5" s="18"/>
      <c r="Q5" s="18"/>
      <c r="R5" s="18"/>
    </row>
    <row r="6" spans="1:18" ht="12.75" customHeight="1">
      <c r="A6" s="718"/>
      <c r="B6" s="35">
        <v>0.055</v>
      </c>
      <c r="C6" s="33">
        <v>0.91108</v>
      </c>
      <c r="D6" s="33">
        <v>1.08095</v>
      </c>
      <c r="E6" s="33">
        <v>1.33174</v>
      </c>
      <c r="F6" s="33">
        <v>1.66506</v>
      </c>
      <c r="G6" s="26">
        <v>1.7889</v>
      </c>
      <c r="H6" s="41"/>
      <c r="I6" s="41"/>
      <c r="J6" s="41"/>
      <c r="K6" s="41"/>
      <c r="L6" s="42"/>
      <c r="M6" s="18"/>
      <c r="N6" s="18"/>
      <c r="O6" s="18"/>
      <c r="P6" s="18"/>
      <c r="Q6" s="18"/>
      <c r="R6" s="18"/>
    </row>
    <row r="7" spans="1:18" ht="12.75" customHeight="1">
      <c r="A7" s="718"/>
      <c r="B7" s="35">
        <v>0.06</v>
      </c>
      <c r="C7" s="33">
        <v>0.78093</v>
      </c>
      <c r="D7" s="33">
        <v>0.93492</v>
      </c>
      <c r="E7" s="33">
        <v>1.1619</v>
      </c>
      <c r="F7" s="33">
        <v>1.46824</v>
      </c>
      <c r="G7" s="26">
        <v>1.6016</v>
      </c>
      <c r="H7" s="41"/>
      <c r="I7" s="41"/>
      <c r="J7" s="41"/>
      <c r="K7" s="41"/>
      <c r="L7" s="42"/>
      <c r="M7" s="18"/>
      <c r="N7" s="18"/>
      <c r="O7" s="18"/>
      <c r="P7" s="18"/>
      <c r="Q7" s="18"/>
      <c r="R7" s="18"/>
    </row>
    <row r="8" spans="1:18" ht="12.75" customHeight="1">
      <c r="A8" s="718"/>
      <c r="B8" s="35">
        <v>0.065</v>
      </c>
      <c r="C8" s="33">
        <v>0.65078</v>
      </c>
      <c r="D8" s="33">
        <v>0.78889</v>
      </c>
      <c r="E8" s="33">
        <v>0.99206</v>
      </c>
      <c r="F8" s="33">
        <v>1.27142</v>
      </c>
      <c r="G8" s="26">
        <v>1.4143</v>
      </c>
      <c r="H8" s="41"/>
      <c r="I8" s="41"/>
      <c r="J8" s="41"/>
      <c r="K8" s="41"/>
      <c r="L8" s="42"/>
      <c r="M8" s="18"/>
      <c r="N8" s="18"/>
      <c r="O8" s="18"/>
      <c r="P8" s="18"/>
      <c r="Q8" s="18"/>
      <c r="R8" s="18"/>
    </row>
    <row r="9" spans="1:18" ht="12.75">
      <c r="A9" s="718"/>
      <c r="B9" s="35">
        <v>0.07</v>
      </c>
      <c r="C9" s="33">
        <v>0.5206299999999999</v>
      </c>
      <c r="D9" s="33">
        <v>0.64286</v>
      </c>
      <c r="E9" s="33">
        <v>0.8222200000000001</v>
      </c>
      <c r="F9" s="33">
        <v>1.0746</v>
      </c>
      <c r="G9" s="26">
        <v>1.2269999999999999</v>
      </c>
      <c r="H9" s="41"/>
      <c r="I9" s="41"/>
      <c r="J9" s="41"/>
      <c r="K9" s="41"/>
      <c r="L9" s="42"/>
      <c r="M9" s="18"/>
      <c r="P9" s="18"/>
      <c r="R9" s="18"/>
    </row>
    <row r="10" spans="1:18" ht="12.75">
      <c r="A10" s="718"/>
      <c r="B10" s="35">
        <v>0.075</v>
      </c>
      <c r="C10" s="33">
        <v>0.39048</v>
      </c>
      <c r="D10" s="33">
        <v>0.49683</v>
      </c>
      <c r="E10" s="33">
        <v>0.65238</v>
      </c>
      <c r="F10" s="33">
        <v>0.8777799999999999</v>
      </c>
      <c r="G10" s="26">
        <v>1.0397</v>
      </c>
      <c r="H10" s="41"/>
      <c r="I10" s="41"/>
      <c r="J10" s="41"/>
      <c r="K10" s="41"/>
      <c r="L10" s="42"/>
      <c r="M10" s="18"/>
      <c r="P10" s="103"/>
      <c r="R10" s="18"/>
    </row>
    <row r="11" spans="1:18" ht="12.75">
      <c r="A11" s="718"/>
      <c r="B11" s="35">
        <v>0.08</v>
      </c>
      <c r="C11" s="33">
        <v>0.32381000000000004</v>
      </c>
      <c r="D11" s="33">
        <v>0.43016</v>
      </c>
      <c r="E11" s="33">
        <v>0.5619</v>
      </c>
      <c r="F11" s="33">
        <v>0.78095</v>
      </c>
      <c r="G11" s="26">
        <v>0.9317500000000001</v>
      </c>
      <c r="H11" s="41"/>
      <c r="I11" s="41"/>
      <c r="J11" s="41"/>
      <c r="K11" s="41"/>
      <c r="L11" s="42"/>
      <c r="M11" s="18"/>
      <c r="P11" s="103"/>
      <c r="R11" s="18"/>
    </row>
    <row r="12" spans="1:13" ht="12.75">
      <c r="A12" s="718"/>
      <c r="B12" s="35">
        <v>0.09</v>
      </c>
      <c r="C12" s="33">
        <v>0.26349</v>
      </c>
      <c r="D12" s="33">
        <v>0.34603</v>
      </c>
      <c r="E12" s="33">
        <v>0.4746</v>
      </c>
      <c r="F12" s="33">
        <v>0.67302</v>
      </c>
      <c r="G12" s="26">
        <v>0.80159</v>
      </c>
      <c r="H12" s="41"/>
      <c r="I12" s="41"/>
      <c r="J12" s="41"/>
      <c r="K12" s="41"/>
      <c r="L12" s="42"/>
      <c r="M12" s="154"/>
    </row>
    <row r="13" spans="1:13" ht="12.75">
      <c r="A13" s="718"/>
      <c r="B13" s="35">
        <v>0.1</v>
      </c>
      <c r="C13" s="33">
        <v>0.23016</v>
      </c>
      <c r="D13" s="33">
        <v>0.30476000000000003</v>
      </c>
      <c r="E13" s="33">
        <v>0.42381</v>
      </c>
      <c r="F13" s="33">
        <v>0.6079399999999999</v>
      </c>
      <c r="G13" s="26">
        <v>0.7301599999999999</v>
      </c>
      <c r="H13" s="41"/>
      <c r="I13" s="41"/>
      <c r="J13" s="41"/>
      <c r="K13" s="41"/>
      <c r="L13" s="42"/>
      <c r="M13" s="154"/>
    </row>
    <row r="14" spans="1:13" ht="12.75">
      <c r="A14" s="718"/>
      <c r="B14" s="35">
        <v>0.12</v>
      </c>
      <c r="C14" s="33">
        <v>0.18095</v>
      </c>
      <c r="D14" s="33">
        <v>0.25078999999999996</v>
      </c>
      <c r="E14" s="33">
        <v>0.35397</v>
      </c>
      <c r="F14" s="33">
        <v>0.5111100000000001</v>
      </c>
      <c r="G14" s="26">
        <v>0.61905</v>
      </c>
      <c r="H14" s="41"/>
      <c r="I14" s="41"/>
      <c r="J14" s="41"/>
      <c r="K14" s="41"/>
      <c r="L14" s="42"/>
      <c r="M14" s="154"/>
    </row>
    <row r="15" spans="1:13" ht="12.75">
      <c r="A15" s="718"/>
      <c r="B15" s="35">
        <v>0.14</v>
      </c>
      <c r="C15" s="33">
        <v>0.15079</v>
      </c>
      <c r="D15" s="33">
        <v>0.21429</v>
      </c>
      <c r="E15" s="33">
        <v>0.30952</v>
      </c>
      <c r="F15" s="33">
        <v>0.45079</v>
      </c>
      <c r="G15" s="26">
        <v>0.54444</v>
      </c>
      <c r="H15" s="41"/>
      <c r="I15" s="41"/>
      <c r="J15" s="41"/>
      <c r="K15" s="41"/>
      <c r="L15" s="42"/>
      <c r="M15" s="154"/>
    </row>
    <row r="16" spans="1:13" ht="12.75">
      <c r="A16" s="718"/>
      <c r="B16" s="35">
        <v>0.16</v>
      </c>
      <c r="C16" s="33">
        <v>0.12857000000000002</v>
      </c>
      <c r="D16" s="33">
        <v>0.19206</v>
      </c>
      <c r="E16" s="33">
        <v>0.27937</v>
      </c>
      <c r="F16" s="33">
        <v>0.40317</v>
      </c>
      <c r="G16" s="26">
        <v>0.48571</v>
      </c>
      <c r="H16" s="41"/>
      <c r="I16" s="41"/>
      <c r="J16" s="41"/>
      <c r="K16" s="41"/>
      <c r="L16" s="42"/>
      <c r="M16" s="154"/>
    </row>
    <row r="17" spans="1:13" ht="12.75">
      <c r="A17" s="718"/>
      <c r="B17" s="35">
        <v>0.18</v>
      </c>
      <c r="C17" s="33">
        <v>0.10951999999999999</v>
      </c>
      <c r="D17" s="33">
        <v>0.17143</v>
      </c>
      <c r="E17" s="33">
        <v>0.25078999999999996</v>
      </c>
      <c r="F17" s="33">
        <v>0.3619</v>
      </c>
      <c r="G17" s="26">
        <v>0.43174999999999997</v>
      </c>
      <c r="H17" s="41"/>
      <c r="I17" s="41"/>
      <c r="J17" s="41"/>
      <c r="K17" s="41"/>
      <c r="L17" s="42"/>
      <c r="M17" s="154"/>
    </row>
    <row r="18" spans="1:13" ht="12.75">
      <c r="A18" s="718"/>
      <c r="B18" s="35">
        <v>0.2</v>
      </c>
      <c r="C18" s="33">
        <v>0.098413</v>
      </c>
      <c r="D18" s="33">
        <v>0.15397</v>
      </c>
      <c r="E18" s="33">
        <v>0.22857</v>
      </c>
      <c r="F18" s="33">
        <v>0.3254</v>
      </c>
      <c r="G18" s="26">
        <v>0.39205999999999996</v>
      </c>
      <c r="H18" s="41"/>
      <c r="I18" s="41"/>
      <c r="J18" s="41"/>
      <c r="K18" s="41"/>
      <c r="L18" s="42"/>
      <c r="M18" s="154"/>
    </row>
    <row r="19" spans="1:13" ht="12.75">
      <c r="A19" s="718"/>
      <c r="B19" s="35">
        <v>0.22</v>
      </c>
      <c r="C19" s="33">
        <v>0.087302</v>
      </c>
      <c r="D19" s="33">
        <v>0.13968</v>
      </c>
      <c r="E19" s="33">
        <v>0.20794</v>
      </c>
      <c r="F19" s="33">
        <v>0.29524</v>
      </c>
      <c r="G19" s="26">
        <v>0.36032000000000003</v>
      </c>
      <c r="H19" s="41"/>
      <c r="I19" s="41"/>
      <c r="J19" s="41"/>
      <c r="K19" s="41"/>
      <c r="L19" s="42"/>
      <c r="M19" s="154"/>
    </row>
    <row r="20" spans="1:13" ht="12.75">
      <c r="A20" s="718"/>
      <c r="B20" s="35">
        <v>0.24</v>
      </c>
      <c r="C20" s="33">
        <v>0.07936499999999999</v>
      </c>
      <c r="D20" s="33">
        <v>0.13016</v>
      </c>
      <c r="E20" s="33">
        <v>0.19048</v>
      </c>
      <c r="F20" s="33">
        <v>0.26983999999999997</v>
      </c>
      <c r="G20" s="26">
        <v>0.33016</v>
      </c>
      <c r="H20" s="41"/>
      <c r="I20" s="41"/>
      <c r="J20" s="41"/>
      <c r="K20" s="41"/>
      <c r="L20" s="42"/>
      <c r="M20" s="154"/>
    </row>
    <row r="21" spans="1:13" ht="12.75">
      <c r="A21" s="718"/>
      <c r="B21" s="35">
        <v>0.26</v>
      </c>
      <c r="C21" s="33">
        <v>0.071428</v>
      </c>
      <c r="D21" s="33">
        <v>0.12064</v>
      </c>
      <c r="E21" s="33">
        <v>0.17302</v>
      </c>
      <c r="F21" s="33">
        <v>0.24444</v>
      </c>
      <c r="G21" s="26">
        <v>0.3</v>
      </c>
      <c r="H21" s="41"/>
      <c r="I21" s="41"/>
      <c r="J21" s="41"/>
      <c r="K21" s="41"/>
      <c r="L21" s="42"/>
      <c r="M21" s="154"/>
    </row>
    <row r="22" spans="1:13" ht="12.75">
      <c r="A22" s="718"/>
      <c r="B22" s="35">
        <v>0.28</v>
      </c>
      <c r="C22" s="33">
        <v>0.063491</v>
      </c>
      <c r="D22" s="33">
        <v>0.11112</v>
      </c>
      <c r="E22" s="33">
        <v>0.15556</v>
      </c>
      <c r="F22" s="33">
        <v>0.21904</v>
      </c>
      <c r="G22" s="26">
        <v>0.26984</v>
      </c>
      <c r="H22" s="41"/>
      <c r="I22" s="41"/>
      <c r="J22" s="41"/>
      <c r="K22" s="41"/>
      <c r="L22" s="42"/>
      <c r="M22" s="154"/>
    </row>
    <row r="23" spans="1:13" ht="13.5" thickBot="1">
      <c r="A23" s="719"/>
      <c r="B23" s="35">
        <v>0.3</v>
      </c>
      <c r="C23" s="33">
        <v>0.0555539999999999</v>
      </c>
      <c r="D23" s="33">
        <v>0.1016</v>
      </c>
      <c r="E23" s="33">
        <v>0.1381</v>
      </c>
      <c r="F23" s="33">
        <v>0.19364</v>
      </c>
      <c r="G23" s="26">
        <v>0.23968</v>
      </c>
      <c r="H23" s="41"/>
      <c r="I23" s="41"/>
      <c r="J23" s="41"/>
      <c r="K23" s="41"/>
      <c r="L23" s="42"/>
      <c r="M23" s="154"/>
    </row>
    <row r="24" spans="1:13" ht="13.5" thickBot="1">
      <c r="A24" s="347" t="s">
        <v>627</v>
      </c>
      <c r="B24" s="348"/>
      <c r="C24" s="348"/>
      <c r="D24" s="348"/>
      <c r="E24" s="348"/>
      <c r="F24" s="348"/>
      <c r="G24" s="349"/>
      <c r="H24" s="41"/>
      <c r="I24" s="41"/>
      <c r="J24" s="41"/>
      <c r="K24" s="41"/>
      <c r="L24" s="42"/>
      <c r="M24" s="154"/>
    </row>
    <row r="25" spans="1:13" ht="13.5" customHeight="1" thickBot="1">
      <c r="A25" s="737" t="s">
        <v>608</v>
      </c>
      <c r="B25" s="203" t="s">
        <v>624</v>
      </c>
      <c r="C25" s="202"/>
      <c r="D25" s="202"/>
      <c r="E25" s="202"/>
      <c r="F25" s="202"/>
      <c r="G25" s="16"/>
      <c r="H25" s="41"/>
      <c r="I25" s="41"/>
      <c r="J25" s="41"/>
      <c r="K25" s="41"/>
      <c r="L25" s="42"/>
      <c r="M25" s="154"/>
    </row>
    <row r="26" spans="1:13" ht="12.75">
      <c r="A26" s="718"/>
      <c r="B26" s="34"/>
      <c r="C26" s="111">
        <v>0.5</v>
      </c>
      <c r="D26" s="30">
        <v>0.6</v>
      </c>
      <c r="E26" s="30">
        <v>0.7</v>
      </c>
      <c r="F26" s="30">
        <v>0.8</v>
      </c>
      <c r="G26" s="31">
        <v>0.85</v>
      </c>
      <c r="H26" s="41"/>
      <c r="I26" s="41"/>
      <c r="J26" s="41"/>
      <c r="K26" s="41"/>
      <c r="L26" s="42"/>
      <c r="M26" s="154"/>
    </row>
    <row r="27" spans="1:13" ht="12.75">
      <c r="A27" s="718"/>
      <c r="B27" s="35">
        <v>0.05</v>
      </c>
      <c r="C27" s="174">
        <v>1.69524</v>
      </c>
      <c r="D27" s="174">
        <v>1.62498</v>
      </c>
      <c r="E27" s="174">
        <v>1.53576</v>
      </c>
      <c r="F27" s="174">
        <v>1.4716</v>
      </c>
      <c r="G27" s="175">
        <v>1.4422</v>
      </c>
      <c r="H27" s="41"/>
      <c r="I27" s="41"/>
      <c r="J27" s="41"/>
      <c r="K27" s="41"/>
      <c r="L27" s="42"/>
      <c r="M27" s="154"/>
    </row>
    <row r="28" spans="1:13" ht="12.75">
      <c r="A28" s="718"/>
      <c r="B28" s="35">
        <v>0.055</v>
      </c>
      <c r="C28" s="174">
        <v>1.52338</v>
      </c>
      <c r="D28" s="174">
        <v>1.47811</v>
      </c>
      <c r="E28" s="174">
        <v>1.42017</v>
      </c>
      <c r="F28" s="174">
        <v>1.3826</v>
      </c>
      <c r="G28" s="175">
        <v>1.3672</v>
      </c>
      <c r="H28" s="41"/>
      <c r="I28" s="41"/>
      <c r="J28" s="41"/>
      <c r="K28" s="41"/>
      <c r="L28" s="42"/>
      <c r="M28" s="154"/>
    </row>
    <row r="29" spans="1:13" ht="12.75">
      <c r="A29" s="718"/>
      <c r="B29" s="35">
        <v>0.06</v>
      </c>
      <c r="C29" s="174">
        <v>1.35152</v>
      </c>
      <c r="D29" s="174">
        <v>1.33124</v>
      </c>
      <c r="E29" s="174">
        <v>1.30458</v>
      </c>
      <c r="F29" s="174">
        <v>1.2936</v>
      </c>
      <c r="G29" s="175">
        <v>1.2922</v>
      </c>
      <c r="H29" s="41"/>
      <c r="I29" s="41"/>
      <c r="J29" s="41"/>
      <c r="K29" s="41"/>
      <c r="L29" s="42"/>
      <c r="M29" s="154"/>
    </row>
    <row r="30" spans="1:13" ht="12.75">
      <c r="A30" s="718"/>
      <c r="B30" s="35">
        <v>0.065</v>
      </c>
      <c r="C30" s="174">
        <v>1.17966</v>
      </c>
      <c r="D30" s="174">
        <v>1.18437</v>
      </c>
      <c r="E30" s="174">
        <v>1.18899</v>
      </c>
      <c r="F30" s="174">
        <v>1.2046</v>
      </c>
      <c r="G30" s="175">
        <v>1.2172</v>
      </c>
      <c r="H30" s="41"/>
      <c r="I30" s="41"/>
      <c r="J30" s="41"/>
      <c r="K30" s="41"/>
      <c r="L30" s="42"/>
      <c r="M30" s="154"/>
    </row>
    <row r="31" spans="1:13" ht="12.75">
      <c r="A31" s="718"/>
      <c r="B31" s="35">
        <v>0.07</v>
      </c>
      <c r="C31" s="174">
        <v>1.0078</v>
      </c>
      <c r="D31" s="174">
        <v>1.0375</v>
      </c>
      <c r="E31" s="174">
        <v>1.0734</v>
      </c>
      <c r="F31" s="174">
        <v>1.1156000000000001</v>
      </c>
      <c r="G31" s="175">
        <v>1.1422</v>
      </c>
      <c r="H31" s="41"/>
      <c r="I31" s="41"/>
      <c r="J31" s="41"/>
      <c r="K31" s="41"/>
      <c r="L31" s="42"/>
      <c r="M31" s="154"/>
    </row>
    <row r="32" spans="1:13" ht="12.75">
      <c r="A32" s="718"/>
      <c r="B32" s="35">
        <v>0.075</v>
      </c>
      <c r="C32" s="174">
        <v>0.8359400000000001</v>
      </c>
      <c r="D32" s="174">
        <v>0.89063</v>
      </c>
      <c r="E32" s="174">
        <v>0.9578099999999999</v>
      </c>
      <c r="F32" s="174">
        <v>1.0266</v>
      </c>
      <c r="G32" s="175">
        <v>1.0672000000000001</v>
      </c>
      <c r="H32" s="41"/>
      <c r="I32" s="41"/>
      <c r="J32" s="41"/>
      <c r="K32" s="41"/>
      <c r="L32" s="42"/>
      <c r="M32" s="154"/>
    </row>
    <row r="33" spans="1:13" ht="12.75">
      <c r="A33" s="718"/>
      <c r="B33" s="35">
        <v>0.08</v>
      </c>
      <c r="C33" s="174">
        <v>0.69531</v>
      </c>
      <c r="D33" s="174">
        <v>0.77031</v>
      </c>
      <c r="E33" s="174">
        <v>0.85625</v>
      </c>
      <c r="F33" s="174">
        <v>0.95</v>
      </c>
      <c r="G33" s="175">
        <v>1.0016</v>
      </c>
      <c r="H33" s="41"/>
      <c r="I33" s="41"/>
      <c r="J33" s="41"/>
      <c r="K33" s="41"/>
      <c r="L33" s="42"/>
      <c r="M33" s="154"/>
    </row>
    <row r="34" spans="1:13" ht="12.75">
      <c r="A34" s="718"/>
      <c r="B34" s="35">
        <v>0.09</v>
      </c>
      <c r="C34" s="174">
        <v>0.4875</v>
      </c>
      <c r="D34" s="174">
        <v>0.57813</v>
      </c>
      <c r="E34" s="174">
        <v>0.7</v>
      </c>
      <c r="F34" s="174">
        <v>0.82969</v>
      </c>
      <c r="G34" s="175">
        <v>0.8984400000000001</v>
      </c>
      <c r="H34" s="41"/>
      <c r="I34" s="41"/>
      <c r="J34" s="41"/>
      <c r="K34" s="41"/>
      <c r="L34" s="42"/>
      <c r="M34" s="154"/>
    </row>
    <row r="35" spans="1:13" ht="12.75">
      <c r="A35" s="718"/>
      <c r="B35" s="35">
        <v>0.1</v>
      </c>
      <c r="C35" s="174">
        <v>0.35</v>
      </c>
      <c r="D35" s="174">
        <v>0.44375</v>
      </c>
      <c r="E35" s="174">
        <v>0.58906</v>
      </c>
      <c r="F35" s="174">
        <v>0.74531</v>
      </c>
      <c r="G35" s="175">
        <v>0.825</v>
      </c>
      <c r="H35" s="41"/>
      <c r="I35" s="41"/>
      <c r="J35" s="41"/>
      <c r="K35" s="41"/>
      <c r="L35" s="42"/>
      <c r="M35" s="154"/>
    </row>
    <row r="36" spans="1:13" ht="12.75">
      <c r="A36" s="718"/>
      <c r="B36" s="35">
        <v>0.12</v>
      </c>
      <c r="C36" s="174">
        <v>0.2125</v>
      </c>
      <c r="D36" s="174">
        <v>0.325</v>
      </c>
      <c r="E36" s="174">
        <v>0.48438</v>
      </c>
      <c r="F36" s="174">
        <v>0.6625</v>
      </c>
      <c r="G36" s="175">
        <v>0.74531</v>
      </c>
      <c r="H36" s="41"/>
      <c r="I36" s="41"/>
      <c r="J36" s="41"/>
      <c r="K36" s="41"/>
      <c r="L36" s="42"/>
      <c r="M36" s="154"/>
    </row>
    <row r="37" spans="1:13" ht="12.75">
      <c r="A37" s="718"/>
      <c r="B37" s="35">
        <v>0.14</v>
      </c>
      <c r="C37" s="174">
        <v>0.16094</v>
      </c>
      <c r="D37" s="174">
        <v>0.28125</v>
      </c>
      <c r="E37" s="174">
        <v>0.44375</v>
      </c>
      <c r="F37" s="174">
        <v>0.62031</v>
      </c>
      <c r="G37" s="175">
        <v>0.71094</v>
      </c>
      <c r="H37" s="41"/>
      <c r="I37" s="41"/>
      <c r="J37" s="41"/>
      <c r="K37" s="41"/>
      <c r="L37" s="42"/>
      <c r="M37" s="154"/>
    </row>
    <row r="38" spans="1:13" ht="12.75">
      <c r="A38" s="718"/>
      <c r="B38" s="35">
        <v>0.16</v>
      </c>
      <c r="C38" s="174">
        <v>0.13125</v>
      </c>
      <c r="D38" s="174">
        <v>0.25781</v>
      </c>
      <c r="E38" s="174">
        <v>0.42031</v>
      </c>
      <c r="F38" s="174">
        <v>0.59375</v>
      </c>
      <c r="G38" s="175">
        <v>0.68438</v>
      </c>
      <c r="H38" s="41"/>
      <c r="I38" s="41"/>
      <c r="J38" s="41"/>
      <c r="K38" s="41"/>
      <c r="L38" s="42"/>
      <c r="M38" s="154"/>
    </row>
    <row r="39" spans="1:13" ht="12.75">
      <c r="A39" s="718"/>
      <c r="B39" s="35">
        <v>0.18</v>
      </c>
      <c r="C39" s="174">
        <v>0.11406000000000001</v>
      </c>
      <c r="D39" s="174">
        <v>0.24062999999999998</v>
      </c>
      <c r="E39" s="174">
        <v>0.39531</v>
      </c>
      <c r="F39" s="174">
        <v>0.5718799999999999</v>
      </c>
      <c r="G39" s="175">
        <v>0.6625</v>
      </c>
      <c r="H39" s="41"/>
      <c r="I39" s="41"/>
      <c r="J39" s="41"/>
      <c r="K39" s="41"/>
      <c r="L39" s="42"/>
      <c r="M39" s="154"/>
    </row>
    <row r="40" spans="1:13" ht="12.75">
      <c r="A40" s="718"/>
      <c r="B40" s="35">
        <v>0.2</v>
      </c>
      <c r="C40" s="174">
        <v>0.1</v>
      </c>
      <c r="D40" s="174">
        <v>0.22656</v>
      </c>
      <c r="E40" s="174">
        <v>0.37656</v>
      </c>
      <c r="F40" s="174">
        <v>0.54844</v>
      </c>
      <c r="G40" s="175">
        <v>0.64219</v>
      </c>
      <c r="H40" s="41"/>
      <c r="I40" s="41"/>
      <c r="J40" s="41"/>
      <c r="K40" s="41"/>
      <c r="L40" s="42"/>
      <c r="M40" s="154"/>
    </row>
    <row r="41" spans="1:13" ht="12.75">
      <c r="A41" s="718"/>
      <c r="B41" s="35">
        <v>0.22</v>
      </c>
      <c r="C41" s="174">
        <v>0.084375</v>
      </c>
      <c r="D41" s="174">
        <v>0.2125</v>
      </c>
      <c r="E41" s="174">
        <v>0.36094</v>
      </c>
      <c r="F41" s="174">
        <v>0.525</v>
      </c>
      <c r="G41" s="175">
        <v>0.62188</v>
      </c>
      <c r="H41" s="41"/>
      <c r="I41" s="41"/>
      <c r="J41" s="41"/>
      <c r="K41" s="41"/>
      <c r="L41" s="42"/>
      <c r="M41" s="154"/>
    </row>
    <row r="42" spans="1:13" ht="12.75">
      <c r="A42" s="718"/>
      <c r="B42" s="35">
        <v>0.24</v>
      </c>
      <c r="C42" s="174">
        <v>0.070313</v>
      </c>
      <c r="D42" s="174">
        <v>0.20156000000000002</v>
      </c>
      <c r="E42" s="174">
        <v>0.34687999999999997</v>
      </c>
      <c r="F42" s="174">
        <v>0.50625</v>
      </c>
      <c r="G42" s="175">
        <v>0.6</v>
      </c>
      <c r="H42" s="41"/>
      <c r="I42" s="41"/>
      <c r="J42" s="41"/>
      <c r="K42" s="41"/>
      <c r="L42" s="42"/>
      <c r="M42" s="154"/>
    </row>
    <row r="43" spans="1:13" ht="12.75">
      <c r="A43" s="718"/>
      <c r="B43" s="35">
        <v>0.26</v>
      </c>
      <c r="C43" s="174">
        <v>0.056251</v>
      </c>
      <c r="D43" s="174">
        <v>0.19062</v>
      </c>
      <c r="E43" s="174">
        <v>0.33282</v>
      </c>
      <c r="F43" s="174">
        <v>0.4875</v>
      </c>
      <c r="G43" s="175">
        <v>0.57812</v>
      </c>
      <c r="H43" s="41"/>
      <c r="I43" s="41"/>
      <c r="J43" s="41"/>
      <c r="K43" s="41"/>
      <c r="L43" s="42"/>
      <c r="M43" s="154"/>
    </row>
    <row r="44" spans="1:13" ht="12.75">
      <c r="A44" s="718"/>
      <c r="B44" s="35">
        <v>0.28</v>
      </c>
      <c r="C44" s="174">
        <v>0.042189</v>
      </c>
      <c r="D44" s="174">
        <v>0.17968</v>
      </c>
      <c r="E44" s="174">
        <v>0.31876</v>
      </c>
      <c r="F44" s="174">
        <v>0.46875</v>
      </c>
      <c r="G44" s="175">
        <v>0.55624</v>
      </c>
      <c r="H44" s="41"/>
      <c r="I44" s="41"/>
      <c r="J44" s="41"/>
      <c r="K44" s="41"/>
      <c r="L44" s="42"/>
      <c r="M44" s="154"/>
    </row>
    <row r="45" spans="1:13" ht="13.5" thickBot="1">
      <c r="A45" s="719"/>
      <c r="B45" s="35">
        <v>0.3</v>
      </c>
      <c r="C45" s="174">
        <v>0.028127</v>
      </c>
      <c r="D45" s="174">
        <v>0.16874</v>
      </c>
      <c r="E45" s="174">
        <v>0.3047</v>
      </c>
      <c r="F45" s="174">
        <v>0.45</v>
      </c>
      <c r="G45" s="175">
        <v>0.53436</v>
      </c>
      <c r="H45" s="41"/>
      <c r="I45" s="41"/>
      <c r="J45" s="41"/>
      <c r="K45" s="41"/>
      <c r="L45" s="42"/>
      <c r="M45" s="154"/>
    </row>
    <row r="46" spans="1:13" ht="13.5" thickBot="1">
      <c r="A46" s="353" t="s">
        <v>628</v>
      </c>
      <c r="B46" s="354"/>
      <c r="C46" s="354"/>
      <c r="D46" s="355"/>
      <c r="E46" s="345"/>
      <c r="F46" s="41"/>
      <c r="G46" s="41"/>
      <c r="H46" s="41"/>
      <c r="I46" s="41"/>
      <c r="J46" s="41"/>
      <c r="K46" s="41"/>
      <c r="L46" s="42"/>
      <c r="M46" s="154"/>
    </row>
    <row r="47" spans="1:13" ht="12.75" customHeight="1">
      <c r="A47" s="764" t="s">
        <v>629</v>
      </c>
      <c r="B47" s="57" t="s">
        <v>618</v>
      </c>
      <c r="C47" s="58"/>
      <c r="D47" s="338"/>
      <c r="E47" s="345"/>
      <c r="F47" s="41"/>
      <c r="G47" s="41"/>
      <c r="H47" s="41"/>
      <c r="I47" s="41"/>
      <c r="J47" s="41"/>
      <c r="K47" s="41"/>
      <c r="L47" s="42"/>
      <c r="M47" s="154"/>
    </row>
    <row r="48" spans="1:13" ht="12.75">
      <c r="A48" s="765"/>
      <c r="B48" s="180">
        <v>-0.031831</v>
      </c>
      <c r="C48" s="240">
        <v>0.65493</v>
      </c>
      <c r="D48" s="337"/>
      <c r="E48" s="345"/>
      <c r="F48" s="41"/>
      <c r="G48" s="41"/>
      <c r="H48" s="41"/>
      <c r="I48" s="41"/>
      <c r="J48" s="41"/>
      <c r="K48" s="41"/>
      <c r="L48" s="42"/>
      <c r="M48" s="154"/>
    </row>
    <row r="49" spans="1:13" ht="12.75">
      <c r="A49" s="765"/>
      <c r="B49" s="180">
        <v>-0.02</v>
      </c>
      <c r="C49" s="135">
        <v>0.90141</v>
      </c>
      <c r="D49" s="337"/>
      <c r="E49" s="345"/>
      <c r="F49" s="41"/>
      <c r="G49" s="41"/>
      <c r="H49" s="41"/>
      <c r="I49" s="41"/>
      <c r="J49" s="41"/>
      <c r="K49" s="41"/>
      <c r="L49" s="42"/>
      <c r="M49" s="154"/>
    </row>
    <row r="50" spans="1:13" ht="12.75">
      <c r="A50" s="765"/>
      <c r="B50" s="180">
        <v>-0.0098592</v>
      </c>
      <c r="C50" s="135">
        <v>1</v>
      </c>
      <c r="D50" s="337"/>
      <c r="E50" s="345"/>
      <c r="F50" s="41"/>
      <c r="G50" s="41"/>
      <c r="H50" s="41"/>
      <c r="I50" s="41"/>
      <c r="J50" s="41"/>
      <c r="K50" s="41"/>
      <c r="L50" s="42"/>
      <c r="M50" s="154"/>
    </row>
    <row r="51" spans="1:13" ht="12.75">
      <c r="A51" s="765"/>
      <c r="B51" s="180">
        <v>0.041972</v>
      </c>
      <c r="C51" s="135">
        <v>1</v>
      </c>
      <c r="D51" s="337"/>
      <c r="E51" s="345"/>
      <c r="F51" s="41"/>
      <c r="G51" s="41"/>
      <c r="H51" s="41"/>
      <c r="I51" s="41"/>
      <c r="J51" s="41"/>
      <c r="K51" s="41"/>
      <c r="L51" s="42"/>
      <c r="M51" s="154"/>
    </row>
    <row r="52" spans="1:13" ht="12.75">
      <c r="A52" s="765"/>
      <c r="B52" s="180">
        <v>0.060845</v>
      </c>
      <c r="C52" s="135">
        <v>1.1479</v>
      </c>
      <c r="D52" s="335"/>
      <c r="E52" s="345"/>
      <c r="F52" s="41"/>
      <c r="G52" s="41"/>
      <c r="H52" s="41"/>
      <c r="I52" s="41"/>
      <c r="J52" s="41"/>
      <c r="K52" s="41"/>
      <c r="L52" s="42"/>
      <c r="M52" s="154"/>
    </row>
    <row r="53" spans="1:13" ht="13.5" thickBot="1">
      <c r="A53" s="766"/>
      <c r="B53" s="158">
        <v>0.07493</v>
      </c>
      <c r="C53" s="134">
        <v>1.4296</v>
      </c>
      <c r="D53" s="336"/>
      <c r="E53" s="344"/>
      <c r="F53" s="44"/>
      <c r="G53" s="44"/>
      <c r="H53" s="44"/>
      <c r="I53" s="44"/>
      <c r="J53" s="44"/>
      <c r="K53" s="44"/>
      <c r="L53" s="45"/>
      <c r="M53" s="154"/>
    </row>
    <row r="54" spans="12:16" ht="12.75">
      <c r="L54" s="154"/>
      <c r="M54" s="154"/>
      <c r="P54" s="171"/>
    </row>
    <row r="55" spans="12:13" ht="12.75">
      <c r="L55" s="154"/>
      <c r="M55" s="154"/>
    </row>
    <row r="56" spans="12:13" ht="12.75">
      <c r="L56" s="154"/>
      <c r="M56" s="154"/>
    </row>
    <row r="57" spans="12:13" ht="12.75">
      <c r="L57" s="154"/>
      <c r="M57" s="154"/>
    </row>
    <row r="58" spans="12:13" ht="12.75">
      <c r="L58" s="154"/>
      <c r="M58" s="154"/>
    </row>
    <row r="59" spans="12:13" ht="12.75">
      <c r="L59" s="154"/>
      <c r="M59" s="154"/>
    </row>
    <row r="60" spans="12:13" ht="12.75">
      <c r="L60" s="154"/>
      <c r="M60" s="154"/>
    </row>
    <row r="61" spans="12:13" ht="12.75">
      <c r="L61" s="154"/>
      <c r="M61" s="154"/>
    </row>
    <row r="62" spans="12:13" ht="12.75">
      <c r="L62" s="154"/>
      <c r="M62" s="154"/>
    </row>
    <row r="63" spans="12:13" ht="12.75">
      <c r="L63" s="154"/>
      <c r="M63" s="154"/>
    </row>
    <row r="64" spans="12:13" ht="12.75">
      <c r="L64" s="154"/>
      <c r="M64" s="154"/>
    </row>
    <row r="65" spans="12:16" ht="12.75">
      <c r="L65" s="154"/>
      <c r="M65" s="154"/>
      <c r="P65" s="171"/>
    </row>
    <row r="66" spans="12:16" ht="12.75">
      <c r="L66" s="154"/>
      <c r="M66" s="154"/>
      <c r="P66" s="171"/>
    </row>
    <row r="67" spans="12:13" ht="12.75">
      <c r="L67" s="154"/>
      <c r="M67" s="154"/>
    </row>
    <row r="68" spans="12:13" ht="12.75">
      <c r="L68" s="154"/>
      <c r="M68" s="154"/>
    </row>
    <row r="69" spans="12:13" ht="12.75">
      <c r="L69" s="154"/>
      <c r="M69" s="154"/>
    </row>
    <row r="70" spans="12:13" ht="12.75">
      <c r="L70" s="154"/>
      <c r="M70" s="154"/>
    </row>
    <row r="71" spans="12:13" ht="12.75">
      <c r="L71" s="154"/>
      <c r="M71" s="154"/>
    </row>
    <row r="72" spans="12:13" ht="12.75">
      <c r="L72" s="154"/>
      <c r="M72" s="154"/>
    </row>
    <row r="77" ht="12.75">
      <c r="P77" s="171"/>
    </row>
    <row r="78" ht="12.75">
      <c r="P78" s="171"/>
    </row>
  </sheetData>
  <sheetProtection/>
  <mergeCells count="3">
    <mergeCell ref="A47:A53"/>
    <mergeCell ref="A25:A45"/>
    <mergeCell ref="A3:A2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28">
    <tabColor indexed="60"/>
  </sheetPr>
  <dimension ref="A1:P61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9.8515625" style="152" customWidth="1"/>
    <col min="2" max="8" width="9.140625" style="152" customWidth="1"/>
    <col min="9" max="9" width="9.140625" style="18" customWidth="1"/>
    <col min="10" max="16384" width="9.140625" style="152" customWidth="1"/>
  </cols>
  <sheetData>
    <row r="1" spans="1:16" ht="13.5" thickBot="1">
      <c r="A1" s="632" t="s">
        <v>508</v>
      </c>
      <c r="B1" s="633"/>
      <c r="C1" s="633"/>
      <c r="D1" s="633"/>
      <c r="E1" s="633"/>
      <c r="F1" s="633"/>
      <c r="G1" s="724"/>
      <c r="H1" s="724"/>
      <c r="I1" s="724"/>
      <c r="J1" s="724"/>
      <c r="K1" s="724"/>
      <c r="L1" s="725"/>
      <c r="M1" s="209"/>
      <c r="N1" s="209"/>
      <c r="O1" s="209"/>
      <c r="P1" s="209"/>
    </row>
    <row r="2" spans="1:16" ht="13.5" thickBot="1">
      <c r="A2" s="720" t="s">
        <v>517</v>
      </c>
      <c r="B2" s="721"/>
      <c r="C2" s="721"/>
      <c r="D2" s="721"/>
      <c r="E2" s="721"/>
      <c r="F2" s="721"/>
      <c r="G2" s="767"/>
      <c r="H2" s="768"/>
      <c r="I2" s="768"/>
      <c r="J2" s="768"/>
      <c r="K2" s="768"/>
      <c r="L2" s="769"/>
      <c r="M2" s="18"/>
      <c r="N2" s="20"/>
      <c r="O2" s="18"/>
      <c r="P2" s="18"/>
    </row>
    <row r="3" spans="1:16" ht="13.5" thickBot="1">
      <c r="A3" s="201" t="s">
        <v>502</v>
      </c>
      <c r="B3" s="629" t="s">
        <v>509</v>
      </c>
      <c r="C3" s="629"/>
      <c r="D3" s="629"/>
      <c r="E3" s="629"/>
      <c r="F3" s="629"/>
      <c r="G3" s="770"/>
      <c r="H3" s="771"/>
      <c r="I3" s="771"/>
      <c r="J3" s="771"/>
      <c r="K3" s="771"/>
      <c r="L3" s="772"/>
      <c r="M3" s="18"/>
      <c r="N3" s="20"/>
      <c r="O3" s="18"/>
      <c r="P3" s="18"/>
    </row>
    <row r="4" spans="1:16" ht="12.75">
      <c r="A4" s="737" t="s">
        <v>510</v>
      </c>
      <c r="B4" s="34"/>
      <c r="C4" s="30">
        <v>1</v>
      </c>
      <c r="D4" s="30">
        <v>2</v>
      </c>
      <c r="E4" s="30">
        <v>4</v>
      </c>
      <c r="F4" s="31">
        <v>6</v>
      </c>
      <c r="G4" s="770"/>
      <c r="H4" s="771"/>
      <c r="I4" s="771"/>
      <c r="J4" s="771"/>
      <c r="K4" s="771"/>
      <c r="L4" s="772"/>
      <c r="M4" s="18"/>
      <c r="N4" s="20"/>
      <c r="O4" s="18"/>
      <c r="P4" s="18"/>
    </row>
    <row r="5" spans="1:16" ht="12.75" customHeight="1">
      <c r="A5" s="718"/>
      <c r="B5" s="35">
        <v>0.1</v>
      </c>
      <c r="C5" s="20">
        <v>0.6303</v>
      </c>
      <c r="D5" s="20">
        <v>0.7059</v>
      </c>
      <c r="E5" s="20">
        <v>0.8037</v>
      </c>
      <c r="F5" s="20">
        <v>0.8974</v>
      </c>
      <c r="G5" s="770"/>
      <c r="H5" s="771"/>
      <c r="I5" s="771"/>
      <c r="J5" s="771"/>
      <c r="K5" s="771"/>
      <c r="L5" s="772"/>
      <c r="M5" s="18"/>
      <c r="N5" s="20"/>
      <c r="O5" s="18"/>
      <c r="P5" s="18"/>
    </row>
    <row r="6" spans="1:16" ht="12.75">
      <c r="A6" s="718"/>
      <c r="B6" s="35">
        <v>0.15</v>
      </c>
      <c r="C6" s="20">
        <v>0.6897</v>
      </c>
      <c r="D6" s="20">
        <v>0.7619</v>
      </c>
      <c r="E6" s="20">
        <v>0.8556</v>
      </c>
      <c r="F6" s="20">
        <v>0.93</v>
      </c>
      <c r="G6" s="770"/>
      <c r="H6" s="771"/>
      <c r="I6" s="771"/>
      <c r="J6" s="771"/>
      <c r="K6" s="771"/>
      <c r="L6" s="772"/>
      <c r="M6" s="18"/>
      <c r="N6" s="20"/>
      <c r="O6" s="18"/>
      <c r="P6" s="18"/>
    </row>
    <row r="7" spans="1:16" ht="12.75">
      <c r="A7" s="718"/>
      <c r="B7" s="35">
        <v>0.2</v>
      </c>
      <c r="C7" s="20">
        <v>0.7566</v>
      </c>
      <c r="D7" s="20">
        <v>0.8305</v>
      </c>
      <c r="E7" s="20">
        <v>0.9178</v>
      </c>
      <c r="F7" s="20">
        <v>0.9987</v>
      </c>
      <c r="G7" s="770"/>
      <c r="H7" s="771"/>
      <c r="I7" s="771"/>
      <c r="J7" s="771"/>
      <c r="K7" s="771"/>
      <c r="L7" s="772"/>
      <c r="M7" s="18"/>
      <c r="N7" s="20"/>
      <c r="O7" s="18"/>
      <c r="P7" s="18"/>
    </row>
    <row r="8" spans="1:16" ht="12.75">
      <c r="A8" s="718"/>
      <c r="B8" s="35">
        <v>0.25</v>
      </c>
      <c r="C8" s="20">
        <v>0.834</v>
      </c>
      <c r="D8" s="20">
        <v>0.9125</v>
      </c>
      <c r="E8" s="20">
        <v>1.0062</v>
      </c>
      <c r="F8" s="20">
        <v>1.0778</v>
      </c>
      <c r="G8" s="770"/>
      <c r="H8" s="771"/>
      <c r="I8" s="771"/>
      <c r="J8" s="771"/>
      <c r="K8" s="771"/>
      <c r="L8" s="772"/>
      <c r="M8" s="18"/>
      <c r="N8" s="20"/>
      <c r="O8" s="18"/>
      <c r="P8" s="18"/>
    </row>
    <row r="9" spans="1:16" ht="12.75">
      <c r="A9" s="718"/>
      <c r="B9" s="35">
        <v>0.3</v>
      </c>
      <c r="C9" s="20">
        <v>0.9329</v>
      </c>
      <c r="D9" s="20">
        <v>1.0143</v>
      </c>
      <c r="E9" s="20">
        <v>1.1033</v>
      </c>
      <c r="F9" s="20">
        <v>1.1743</v>
      </c>
      <c r="G9" s="770"/>
      <c r="H9" s="771"/>
      <c r="I9" s="771"/>
      <c r="J9" s="771"/>
      <c r="K9" s="771"/>
      <c r="L9" s="772"/>
      <c r="M9" s="18"/>
      <c r="N9" s="20"/>
      <c r="O9" s="18"/>
      <c r="P9" s="18"/>
    </row>
    <row r="10" spans="1:16" ht="12.75">
      <c r="A10" s="718"/>
      <c r="B10" s="35">
        <v>0.35</v>
      </c>
      <c r="C10" s="20">
        <v>1.051</v>
      </c>
      <c r="D10" s="20">
        <v>1.1238</v>
      </c>
      <c r="E10" s="20">
        <v>1.2168</v>
      </c>
      <c r="F10" s="20">
        <v>1.2814</v>
      </c>
      <c r="G10" s="770"/>
      <c r="H10" s="771"/>
      <c r="I10" s="771"/>
      <c r="J10" s="771"/>
      <c r="K10" s="771"/>
      <c r="L10" s="772"/>
      <c r="M10" s="18"/>
      <c r="N10" s="20"/>
      <c r="O10" s="18"/>
      <c r="P10" s="18"/>
    </row>
    <row r="11" spans="1:13" ht="12.75">
      <c r="A11" s="718"/>
      <c r="B11" s="35">
        <v>0.4</v>
      </c>
      <c r="C11" s="20">
        <v>1.1883</v>
      </c>
      <c r="D11" s="20">
        <v>1.2575</v>
      </c>
      <c r="E11" s="20">
        <v>1.3408</v>
      </c>
      <c r="F11" s="20">
        <v>1.4047</v>
      </c>
      <c r="G11" s="770"/>
      <c r="H11" s="771"/>
      <c r="I11" s="771"/>
      <c r="J11" s="771"/>
      <c r="K11" s="771"/>
      <c r="L11" s="772"/>
      <c r="M11" s="154"/>
    </row>
    <row r="12" spans="1:13" ht="12.75">
      <c r="A12" s="718"/>
      <c r="B12" s="35">
        <v>0.45</v>
      </c>
      <c r="C12" s="20">
        <v>1.3594</v>
      </c>
      <c r="D12" s="20">
        <v>1.4117</v>
      </c>
      <c r="E12" s="20">
        <v>1.4885</v>
      </c>
      <c r="F12" s="20">
        <v>1.5549</v>
      </c>
      <c r="G12" s="770"/>
      <c r="H12" s="771"/>
      <c r="I12" s="771"/>
      <c r="J12" s="771"/>
      <c r="K12" s="771"/>
      <c r="L12" s="772"/>
      <c r="M12" s="154"/>
    </row>
    <row r="13" spans="1:13" ht="13.5" thickBot="1">
      <c r="A13" s="719"/>
      <c r="B13" s="36">
        <v>0.5</v>
      </c>
      <c r="C13" s="22">
        <v>1.5444</v>
      </c>
      <c r="D13" s="22">
        <v>1.5962</v>
      </c>
      <c r="E13" s="22">
        <v>1.67</v>
      </c>
      <c r="F13" s="22">
        <v>1.7422</v>
      </c>
      <c r="G13" s="773"/>
      <c r="H13" s="774"/>
      <c r="I13" s="774"/>
      <c r="J13" s="774"/>
      <c r="K13" s="774"/>
      <c r="L13" s="775"/>
      <c r="M13" s="154"/>
    </row>
    <row r="14" spans="1:13" ht="13.5" thickBot="1">
      <c r="A14" s="720" t="s">
        <v>518</v>
      </c>
      <c r="B14" s="721"/>
      <c r="C14" s="721"/>
      <c r="D14" s="721"/>
      <c r="E14" s="721"/>
      <c r="F14" s="721"/>
      <c r="G14" s="721"/>
      <c r="H14" s="721"/>
      <c r="I14" s="721"/>
      <c r="J14" s="721"/>
      <c r="K14" s="722"/>
      <c r="L14" s="154"/>
      <c r="M14" s="154"/>
    </row>
    <row r="15" spans="1:14" ht="13.5" customHeight="1" thickBot="1">
      <c r="A15" s="201" t="s">
        <v>513</v>
      </c>
      <c r="B15" s="628" t="s">
        <v>511</v>
      </c>
      <c r="C15" s="629"/>
      <c r="D15" s="629"/>
      <c r="E15" s="629"/>
      <c r="F15" s="629"/>
      <c r="G15" s="629"/>
      <c r="H15" s="629"/>
      <c r="I15" s="629"/>
      <c r="J15" s="629"/>
      <c r="K15" s="715"/>
      <c r="M15" s="154"/>
      <c r="N15" s="154"/>
    </row>
    <row r="16" spans="1:13" ht="12.75">
      <c r="A16" s="718" t="s">
        <v>512</v>
      </c>
      <c r="B16" s="34"/>
      <c r="C16" s="30">
        <v>0</v>
      </c>
      <c r="D16" s="30">
        <v>0.1</v>
      </c>
      <c r="E16" s="30">
        <v>0.2</v>
      </c>
      <c r="F16" s="30">
        <v>0.3</v>
      </c>
      <c r="G16" s="30">
        <v>0.4</v>
      </c>
      <c r="H16" s="30">
        <v>0.5</v>
      </c>
      <c r="I16" s="30">
        <v>0.6</v>
      </c>
      <c r="J16" s="30">
        <v>0.7</v>
      </c>
      <c r="K16" s="31">
        <v>0.8</v>
      </c>
      <c r="L16" s="154"/>
      <c r="M16" s="154"/>
    </row>
    <row r="17" spans="1:14" ht="12.75">
      <c r="A17" s="718"/>
      <c r="B17" s="35">
        <v>0.1</v>
      </c>
      <c r="C17" s="20">
        <v>0.3963</v>
      </c>
      <c r="D17" s="20">
        <v>0.4026</v>
      </c>
      <c r="E17" s="20">
        <v>0.4223</v>
      </c>
      <c r="F17" s="20">
        <v>0.4394</v>
      </c>
      <c r="G17" s="20">
        <v>0.4552</v>
      </c>
      <c r="H17" s="20">
        <v>0.4705</v>
      </c>
      <c r="I17" s="20">
        <v>0.4853</v>
      </c>
      <c r="J17" s="20">
        <v>0.4993</v>
      </c>
      <c r="K17" s="21">
        <v>0.5121</v>
      </c>
      <c r="M17" s="154"/>
      <c r="N17" s="154"/>
    </row>
    <row r="18" spans="1:14" ht="12.75">
      <c r="A18" s="718"/>
      <c r="B18" s="35">
        <v>0.15</v>
      </c>
      <c r="C18" s="20">
        <v>0.4791</v>
      </c>
      <c r="D18" s="20">
        <v>0.4923</v>
      </c>
      <c r="E18" s="20">
        <v>0.5121</v>
      </c>
      <c r="F18" s="20">
        <v>0.5322</v>
      </c>
      <c r="G18" s="20">
        <v>0.5513</v>
      </c>
      <c r="H18" s="20">
        <v>0.5696</v>
      </c>
      <c r="I18" s="20">
        <v>0.5884</v>
      </c>
      <c r="J18" s="20">
        <v>0.6048</v>
      </c>
      <c r="K18" s="21">
        <v>0.6195</v>
      </c>
      <c r="N18" s="154"/>
    </row>
    <row r="19" spans="1:11" ht="12.75">
      <c r="A19" s="718"/>
      <c r="B19" s="35">
        <v>0.2</v>
      </c>
      <c r="C19" s="20">
        <v>0.5477</v>
      </c>
      <c r="D19" s="20">
        <v>0.562</v>
      </c>
      <c r="E19" s="20">
        <v>0.5808</v>
      </c>
      <c r="F19" s="20">
        <v>0.6036</v>
      </c>
      <c r="G19" s="20">
        <v>0.6231</v>
      </c>
      <c r="H19" s="20">
        <v>0.6425</v>
      </c>
      <c r="I19" s="20">
        <v>0.6617</v>
      </c>
      <c r="J19" s="20">
        <v>0.6789</v>
      </c>
      <c r="K19" s="21">
        <v>0.6936</v>
      </c>
    </row>
    <row r="20" spans="1:14" ht="12.75">
      <c r="A20" s="718"/>
      <c r="B20" s="35">
        <v>0.25</v>
      </c>
      <c r="C20" s="20">
        <v>0.6095</v>
      </c>
      <c r="D20" s="20">
        <v>0.6221</v>
      </c>
      <c r="E20" s="20">
        <v>0.6405</v>
      </c>
      <c r="F20" s="20">
        <v>0.662</v>
      </c>
      <c r="G20" s="20">
        <v>0.6835</v>
      </c>
      <c r="H20" s="20">
        <v>0.7039</v>
      </c>
      <c r="I20" s="20">
        <v>0.7206</v>
      </c>
      <c r="J20" s="20">
        <v>0.7362</v>
      </c>
      <c r="K20" s="21">
        <v>0.7505</v>
      </c>
      <c r="N20" s="154"/>
    </row>
    <row r="21" spans="1:13" ht="12.75">
      <c r="A21" s="718"/>
      <c r="B21" s="35">
        <v>0.3</v>
      </c>
      <c r="C21" s="20">
        <v>0.6623</v>
      </c>
      <c r="D21" s="20">
        <v>0.6755</v>
      </c>
      <c r="E21" s="20">
        <v>0.6917</v>
      </c>
      <c r="F21" s="20">
        <v>0.7118</v>
      </c>
      <c r="G21" s="20">
        <v>0.7314</v>
      </c>
      <c r="H21" s="20">
        <v>0.7497</v>
      </c>
      <c r="I21" s="20">
        <v>0.7663</v>
      </c>
      <c r="J21" s="20">
        <v>0.7798</v>
      </c>
      <c r="K21" s="21">
        <v>0.7926</v>
      </c>
      <c r="L21" s="154"/>
      <c r="M21" s="154"/>
    </row>
    <row r="22" spans="1:14" ht="12.75">
      <c r="A22" s="718"/>
      <c r="B22" s="35">
        <v>0.35</v>
      </c>
      <c r="C22" s="20">
        <v>0.7077</v>
      </c>
      <c r="D22" s="20">
        <v>0.719</v>
      </c>
      <c r="E22" s="20">
        <v>0.7346</v>
      </c>
      <c r="F22" s="20">
        <v>0.7551</v>
      </c>
      <c r="G22" s="20">
        <v>0.7734</v>
      </c>
      <c r="H22" s="20">
        <v>0.7899</v>
      </c>
      <c r="I22" s="20">
        <v>0.8041</v>
      </c>
      <c r="J22" s="20">
        <v>0.8182</v>
      </c>
      <c r="K22" s="21">
        <v>0.8301</v>
      </c>
      <c r="M22" s="154"/>
      <c r="N22" s="154"/>
    </row>
    <row r="23" spans="1:14" ht="12.75">
      <c r="A23" s="718"/>
      <c r="B23" s="35">
        <v>0.4</v>
      </c>
      <c r="C23" s="20">
        <v>0.7481</v>
      </c>
      <c r="D23" s="20">
        <v>0.7581</v>
      </c>
      <c r="E23" s="20">
        <v>0.7736</v>
      </c>
      <c r="F23" s="20">
        <v>0.7914</v>
      </c>
      <c r="G23" s="20">
        <v>0.8101</v>
      </c>
      <c r="H23" s="20">
        <v>0.8254</v>
      </c>
      <c r="I23" s="20">
        <v>0.8405</v>
      </c>
      <c r="J23" s="20">
        <v>0.8527</v>
      </c>
      <c r="K23" s="21">
        <v>0.8646</v>
      </c>
      <c r="M23" s="154"/>
      <c r="N23" s="154"/>
    </row>
    <row r="24" spans="1:14" ht="13.5" thickBot="1">
      <c r="A24" s="719"/>
      <c r="B24" s="36">
        <v>0.45</v>
      </c>
      <c r="C24" s="22">
        <v>0.7827</v>
      </c>
      <c r="D24" s="22">
        <v>0.7925</v>
      </c>
      <c r="E24" s="22">
        <v>0.8073</v>
      </c>
      <c r="F24" s="22">
        <v>0.8267</v>
      </c>
      <c r="G24" s="22">
        <v>0.8453</v>
      </c>
      <c r="H24" s="22">
        <v>0.8605</v>
      </c>
      <c r="I24" s="22">
        <v>0.8732</v>
      </c>
      <c r="J24" s="22">
        <v>0.8847</v>
      </c>
      <c r="K24" s="23">
        <v>0.8962</v>
      </c>
      <c r="M24" s="154"/>
      <c r="N24" s="154"/>
    </row>
    <row r="25" spans="1:14" ht="13.5" thickBot="1">
      <c r="A25" s="720" t="s">
        <v>516</v>
      </c>
      <c r="B25" s="721"/>
      <c r="C25" s="721"/>
      <c r="D25" s="721"/>
      <c r="E25" s="721"/>
      <c r="F25" s="721"/>
      <c r="G25" s="721"/>
      <c r="H25" s="721"/>
      <c r="I25" s="721"/>
      <c r="J25" s="722"/>
      <c r="M25" s="154"/>
      <c r="N25" s="154"/>
    </row>
    <row r="26" spans="1:14" ht="13.5" thickBot="1">
      <c r="A26" s="201" t="s">
        <v>479</v>
      </c>
      <c r="B26" s="628" t="s">
        <v>512</v>
      </c>
      <c r="C26" s="629"/>
      <c r="D26" s="629"/>
      <c r="E26" s="629"/>
      <c r="F26" s="629"/>
      <c r="G26" s="629"/>
      <c r="H26" s="629"/>
      <c r="I26" s="629"/>
      <c r="J26" s="715"/>
      <c r="M26" s="154"/>
      <c r="N26" s="154"/>
    </row>
    <row r="27" spans="1:14" ht="12.75">
      <c r="A27" s="737" t="s">
        <v>519</v>
      </c>
      <c r="B27" s="34"/>
      <c r="C27" s="30">
        <v>0.1</v>
      </c>
      <c r="D27" s="30">
        <v>0.15</v>
      </c>
      <c r="E27" s="30">
        <v>0.2</v>
      </c>
      <c r="F27" s="30">
        <v>0.25</v>
      </c>
      <c r="G27" s="30">
        <v>0.3</v>
      </c>
      <c r="H27" s="30">
        <v>0.35</v>
      </c>
      <c r="I27" s="30">
        <v>0.4</v>
      </c>
      <c r="J27" s="31">
        <v>0.45</v>
      </c>
      <c r="M27" s="154"/>
      <c r="N27" s="154"/>
    </row>
    <row r="28" spans="1:14" ht="12.75">
      <c r="A28" s="718"/>
      <c r="B28" s="35">
        <v>0</v>
      </c>
      <c r="C28" s="20">
        <v>0.1076</v>
      </c>
      <c r="D28" s="20">
        <v>0.0892</v>
      </c>
      <c r="E28" s="20">
        <v>0.0733</v>
      </c>
      <c r="F28" s="20">
        <v>0.0614</v>
      </c>
      <c r="G28" s="20">
        <v>0.053</v>
      </c>
      <c r="H28" s="20">
        <v>0.0441</v>
      </c>
      <c r="I28" s="20">
        <v>0.0392</v>
      </c>
      <c r="J28" s="21">
        <v>0.0315</v>
      </c>
      <c r="M28" s="154"/>
      <c r="N28" s="154"/>
    </row>
    <row r="29" spans="1:13" ht="12.75">
      <c r="A29" s="718"/>
      <c r="B29" s="35">
        <v>0.05</v>
      </c>
      <c r="C29" s="20">
        <v>0.1738</v>
      </c>
      <c r="D29" s="20">
        <v>0.1452</v>
      </c>
      <c r="E29" s="20">
        <v>0.1234</v>
      </c>
      <c r="F29" s="20">
        <v>0.1053</v>
      </c>
      <c r="G29" s="20">
        <v>0.0894</v>
      </c>
      <c r="H29" s="20">
        <v>0.0739</v>
      </c>
      <c r="I29" s="20">
        <v>0.0608</v>
      </c>
      <c r="J29" s="21">
        <v>0.0504</v>
      </c>
      <c r="L29" s="154"/>
      <c r="M29" s="154"/>
    </row>
    <row r="30" spans="1:13" ht="12.75">
      <c r="A30" s="718"/>
      <c r="B30" s="35">
        <v>0.1</v>
      </c>
      <c r="C30" s="20">
        <v>0.2642</v>
      </c>
      <c r="D30" s="20">
        <v>0.2255</v>
      </c>
      <c r="E30" s="20">
        <v>0.192</v>
      </c>
      <c r="F30" s="20">
        <v>0.1647</v>
      </c>
      <c r="G30" s="20">
        <v>0.1411</v>
      </c>
      <c r="H30" s="20">
        <v>0.1184</v>
      </c>
      <c r="I30" s="20">
        <v>0.097</v>
      </c>
      <c r="J30" s="21">
        <v>0.0801</v>
      </c>
      <c r="L30" s="154"/>
      <c r="M30" s="154"/>
    </row>
    <row r="31" spans="1:10" ht="12.75">
      <c r="A31" s="718"/>
      <c r="B31" s="35">
        <v>0.15</v>
      </c>
      <c r="C31" s="20">
        <v>0.3679</v>
      </c>
      <c r="D31" s="20">
        <v>0.3232</v>
      </c>
      <c r="E31" s="20">
        <v>0.2805</v>
      </c>
      <c r="F31" s="20">
        <v>0.2451</v>
      </c>
      <c r="G31" s="20">
        <v>0.2111</v>
      </c>
      <c r="H31" s="20">
        <v>0.1815</v>
      </c>
      <c r="I31" s="20">
        <v>0.155</v>
      </c>
      <c r="J31" s="21">
        <v>0.1264</v>
      </c>
    </row>
    <row r="32" spans="1:13" ht="13.5" thickBot="1">
      <c r="A32" s="719"/>
      <c r="B32" s="36">
        <v>0.2</v>
      </c>
      <c r="C32" s="22">
        <v>0.4776</v>
      </c>
      <c r="D32" s="22">
        <v>0.43</v>
      </c>
      <c r="E32" s="22">
        <v>0.3846</v>
      </c>
      <c r="F32" s="22">
        <v>0.34</v>
      </c>
      <c r="G32" s="22">
        <v>0.303</v>
      </c>
      <c r="H32" s="22">
        <v>0.2682</v>
      </c>
      <c r="I32" s="22">
        <v>0.2324</v>
      </c>
      <c r="J32" s="23">
        <v>0.1977</v>
      </c>
      <c r="L32" s="154"/>
      <c r="M32" s="154"/>
    </row>
    <row r="33" spans="1:13" ht="13.5" thickBot="1">
      <c r="A33" s="720" t="s">
        <v>516</v>
      </c>
      <c r="B33" s="721"/>
      <c r="C33" s="721"/>
      <c r="D33" s="721"/>
      <c r="E33" s="721"/>
      <c r="F33" s="721"/>
      <c r="G33" s="721"/>
      <c r="H33" s="721"/>
      <c r="I33" s="721"/>
      <c r="J33" s="722"/>
      <c r="L33" s="154"/>
      <c r="M33" s="154"/>
    </row>
    <row r="34" spans="1:13" ht="13.5" thickBot="1">
      <c r="A34" s="195" t="s">
        <v>480</v>
      </c>
      <c r="B34" s="734" t="s">
        <v>512</v>
      </c>
      <c r="C34" s="735"/>
      <c r="D34" s="735"/>
      <c r="E34" s="735"/>
      <c r="F34" s="735"/>
      <c r="G34" s="735"/>
      <c r="H34" s="735"/>
      <c r="I34" s="735"/>
      <c r="J34" s="736"/>
      <c r="M34" s="154"/>
    </row>
    <row r="35" spans="1:14" ht="12.75" customHeight="1">
      <c r="A35" s="737" t="s">
        <v>362</v>
      </c>
      <c r="B35" s="276"/>
      <c r="C35" s="30">
        <v>0.1</v>
      </c>
      <c r="D35" s="30">
        <v>0.15</v>
      </c>
      <c r="E35" s="30">
        <v>0.2</v>
      </c>
      <c r="F35" s="30">
        <v>0.25</v>
      </c>
      <c r="G35" s="30">
        <v>0.3</v>
      </c>
      <c r="H35" s="30">
        <v>0.35</v>
      </c>
      <c r="I35" s="30">
        <v>0.4</v>
      </c>
      <c r="J35" s="31">
        <v>0.45</v>
      </c>
      <c r="M35" s="154"/>
      <c r="N35" s="154"/>
    </row>
    <row r="36" spans="1:14" ht="12.75">
      <c r="A36" s="718"/>
      <c r="B36" s="246">
        <v>6</v>
      </c>
      <c r="C36" s="33">
        <v>1</v>
      </c>
      <c r="D36" s="33">
        <v>1</v>
      </c>
      <c r="E36" s="33">
        <v>1</v>
      </c>
      <c r="F36" s="33">
        <v>1</v>
      </c>
      <c r="G36" s="33">
        <v>1</v>
      </c>
      <c r="H36" s="33">
        <v>1</v>
      </c>
      <c r="I36" s="33">
        <v>1</v>
      </c>
      <c r="J36" s="26">
        <v>1</v>
      </c>
      <c r="M36" s="154"/>
      <c r="N36" s="154"/>
    </row>
    <row r="37" spans="1:14" ht="12.75">
      <c r="A37" s="718"/>
      <c r="B37" s="246">
        <v>6.25</v>
      </c>
      <c r="C37" s="20">
        <v>0.8562</v>
      </c>
      <c r="D37" s="20">
        <v>0.8472</v>
      </c>
      <c r="E37" s="20">
        <v>0.838</v>
      </c>
      <c r="F37" s="20">
        <v>0.8234</v>
      </c>
      <c r="G37" s="20">
        <v>0.8067</v>
      </c>
      <c r="H37" s="20">
        <v>0.7865</v>
      </c>
      <c r="I37" s="20">
        <v>0.7645</v>
      </c>
      <c r="J37" s="21">
        <v>0.7445</v>
      </c>
      <c r="M37" s="154"/>
      <c r="N37" s="154"/>
    </row>
    <row r="38" spans="1:13" ht="12.75">
      <c r="A38" s="718"/>
      <c r="B38" s="246">
        <v>6.5</v>
      </c>
      <c r="C38" s="20">
        <v>0.7538</v>
      </c>
      <c r="D38" s="20">
        <v>0.7356</v>
      </c>
      <c r="E38" s="20">
        <v>0.7154</v>
      </c>
      <c r="F38" s="20">
        <v>0.6913</v>
      </c>
      <c r="G38" s="20">
        <v>0.6632</v>
      </c>
      <c r="H38" s="20">
        <v>0.6294</v>
      </c>
      <c r="I38" s="20">
        <v>0.5907</v>
      </c>
      <c r="J38" s="21">
        <v>0.5414</v>
      </c>
      <c r="L38" s="154"/>
      <c r="M38" s="154"/>
    </row>
    <row r="39" spans="1:13" ht="12.75">
      <c r="A39" s="718"/>
      <c r="B39" s="246">
        <v>7</v>
      </c>
      <c r="C39" s="20">
        <v>0.6145</v>
      </c>
      <c r="D39" s="20">
        <v>0.5829</v>
      </c>
      <c r="E39" s="20">
        <v>0.5512</v>
      </c>
      <c r="F39" s="20">
        <v>0.5175</v>
      </c>
      <c r="G39" s="20">
        <v>0.48</v>
      </c>
      <c r="H39" s="20">
        <v>0.4356</v>
      </c>
      <c r="I39" s="20">
        <v>0.3778</v>
      </c>
      <c r="J39" s="21">
        <v>0.3093</v>
      </c>
      <c r="L39" s="154"/>
      <c r="M39" s="154"/>
    </row>
    <row r="40" spans="1:13" ht="12.75">
      <c r="A40" s="718"/>
      <c r="B40" s="246">
        <v>7.5</v>
      </c>
      <c r="C40" s="20">
        <v>0.5368</v>
      </c>
      <c r="D40" s="20">
        <v>0.5014</v>
      </c>
      <c r="E40" s="20">
        <v>0.4685</v>
      </c>
      <c r="F40" s="20">
        <v>0.4326</v>
      </c>
      <c r="G40" s="20">
        <v>0.3924</v>
      </c>
      <c r="H40" s="20">
        <v>0.3447</v>
      </c>
      <c r="I40" s="20">
        <v>0.2812</v>
      </c>
      <c r="J40" s="21">
        <v>0.2061</v>
      </c>
      <c r="L40" s="154"/>
      <c r="M40" s="154"/>
    </row>
    <row r="41" spans="1:13" ht="13.5" thickBot="1">
      <c r="A41" s="719"/>
      <c r="B41" s="247">
        <v>8</v>
      </c>
      <c r="C41" s="22">
        <v>0.5123</v>
      </c>
      <c r="D41" s="22">
        <v>0.4761</v>
      </c>
      <c r="E41" s="22">
        <v>0.4367</v>
      </c>
      <c r="F41" s="22">
        <v>0.3953</v>
      </c>
      <c r="G41" s="22">
        <v>0.3504</v>
      </c>
      <c r="H41" s="22">
        <v>0.2953</v>
      </c>
      <c r="I41" s="22">
        <v>0.23</v>
      </c>
      <c r="J41" s="23">
        <v>0.1557</v>
      </c>
      <c r="L41" s="154"/>
      <c r="M41" s="154"/>
    </row>
    <row r="42" spans="1:13" ht="13.5" thickBot="1">
      <c r="A42" s="720" t="s">
        <v>522</v>
      </c>
      <c r="B42" s="721"/>
      <c r="C42" s="721"/>
      <c r="D42" s="721"/>
      <c r="E42" s="721"/>
      <c r="F42" s="721"/>
      <c r="G42" s="722"/>
      <c r="I42" s="152"/>
      <c r="L42" s="154"/>
      <c r="M42" s="154"/>
    </row>
    <row r="43" spans="1:13" ht="13.5" thickBot="1">
      <c r="A43" s="19"/>
      <c r="B43" s="280"/>
      <c r="C43" s="313" t="s">
        <v>524</v>
      </c>
      <c r="D43" s="314"/>
      <c r="E43" s="314"/>
      <c r="F43" s="314"/>
      <c r="G43" s="290"/>
      <c r="I43" s="152"/>
      <c r="L43" s="154"/>
      <c r="M43" s="154"/>
    </row>
    <row r="44" spans="1:13" ht="12.75">
      <c r="A44" s="737" t="s">
        <v>523</v>
      </c>
      <c r="B44" s="278">
        <v>0.5</v>
      </c>
      <c r="C44" s="281">
        <v>0.6</v>
      </c>
      <c r="D44" s="282"/>
      <c r="E44" s="282"/>
      <c r="F44" s="282"/>
      <c r="G44" s="283"/>
      <c r="H44" s="33"/>
      <c r="I44" s="152"/>
      <c r="L44" s="154"/>
      <c r="M44" s="154"/>
    </row>
    <row r="45" spans="1:13" ht="12.75">
      <c r="A45" s="718"/>
      <c r="B45" s="278">
        <v>0.55</v>
      </c>
      <c r="C45" s="284">
        <v>0.6739</v>
      </c>
      <c r="D45" s="196"/>
      <c r="E45" s="196"/>
      <c r="F45" s="196"/>
      <c r="G45" s="197"/>
      <c r="H45" s="153"/>
      <c r="I45" s="152"/>
      <c r="L45" s="154"/>
      <c r="M45" s="154"/>
    </row>
    <row r="46" spans="1:13" ht="12.75">
      <c r="A46" s="718"/>
      <c r="B46" s="278">
        <v>0.6</v>
      </c>
      <c r="C46" s="284">
        <v>0.7424</v>
      </c>
      <c r="D46" s="196"/>
      <c r="E46" s="196"/>
      <c r="F46" s="196"/>
      <c r="G46" s="197"/>
      <c r="H46" s="153"/>
      <c r="I46" s="152"/>
      <c r="L46" s="154"/>
      <c r="M46" s="154"/>
    </row>
    <row r="47" spans="1:13" ht="12.75">
      <c r="A47" s="718"/>
      <c r="B47" s="278">
        <v>0.65</v>
      </c>
      <c r="C47" s="284">
        <v>0.8028</v>
      </c>
      <c r="D47" s="196"/>
      <c r="E47" s="196"/>
      <c r="F47" s="196"/>
      <c r="G47" s="197"/>
      <c r="H47" s="153"/>
      <c r="I47" s="152"/>
      <c r="L47" s="154"/>
      <c r="M47" s="154"/>
    </row>
    <row r="48" spans="1:13" ht="12.75">
      <c r="A48" s="718"/>
      <c r="B48" s="278">
        <v>0.7</v>
      </c>
      <c r="C48" s="284">
        <v>0.8538</v>
      </c>
      <c r="D48" s="196"/>
      <c r="E48" s="196"/>
      <c r="F48" s="196"/>
      <c r="G48" s="197"/>
      <c r="H48" s="153"/>
      <c r="I48" s="152"/>
      <c r="L48" s="154"/>
      <c r="M48" s="154"/>
    </row>
    <row r="49" spans="1:13" ht="12.75">
      <c r="A49" s="718"/>
      <c r="B49" s="278">
        <v>0.75</v>
      </c>
      <c r="C49" s="284">
        <v>0.8973</v>
      </c>
      <c r="D49" s="196"/>
      <c r="E49" s="196"/>
      <c r="F49" s="196"/>
      <c r="G49" s="197"/>
      <c r="H49" s="153"/>
      <c r="I49" s="152"/>
      <c r="L49" s="154"/>
      <c r="M49" s="154"/>
    </row>
    <row r="50" spans="1:13" ht="12.75">
      <c r="A50" s="718"/>
      <c r="B50" s="278">
        <v>0.8</v>
      </c>
      <c r="C50" s="284">
        <v>0.9316</v>
      </c>
      <c r="D50" s="196"/>
      <c r="E50" s="196"/>
      <c r="F50" s="196"/>
      <c r="G50" s="197"/>
      <c r="H50" s="153"/>
      <c r="I50" s="152"/>
      <c r="L50" s="154"/>
      <c r="M50" s="154"/>
    </row>
    <row r="51" spans="1:13" ht="12.75">
      <c r="A51" s="718"/>
      <c r="B51" s="278">
        <v>0.85</v>
      </c>
      <c r="C51" s="284">
        <v>0.9601</v>
      </c>
      <c r="D51" s="196"/>
      <c r="E51" s="196"/>
      <c r="F51" s="196"/>
      <c r="G51" s="197"/>
      <c r="H51" s="153"/>
      <c r="I51" s="152"/>
      <c r="L51" s="154"/>
      <c r="M51" s="154"/>
    </row>
    <row r="52" spans="1:13" ht="12.75">
      <c r="A52" s="718"/>
      <c r="B52" s="278">
        <v>0.9</v>
      </c>
      <c r="C52" s="284">
        <v>0.9809</v>
      </c>
      <c r="D52" s="196"/>
      <c r="E52" s="196"/>
      <c r="F52" s="196"/>
      <c r="G52" s="197"/>
      <c r="H52" s="153"/>
      <c r="L52" s="154"/>
      <c r="M52" s="154"/>
    </row>
    <row r="53" spans="1:13" ht="13.5" thickBot="1">
      <c r="A53" s="719"/>
      <c r="B53" s="279">
        <v>1.00000000001</v>
      </c>
      <c r="C53" s="285">
        <v>1</v>
      </c>
      <c r="D53" s="198"/>
      <c r="E53" s="198"/>
      <c r="F53" s="198"/>
      <c r="G53" s="199"/>
      <c r="H53" s="153"/>
      <c r="L53" s="154"/>
      <c r="M53" s="154"/>
    </row>
    <row r="54" spans="12:13" ht="12.75">
      <c r="L54" s="154"/>
      <c r="M54" s="154"/>
    </row>
    <row r="55" spans="12:13" ht="12.75">
      <c r="L55" s="154"/>
      <c r="M55" s="154"/>
    </row>
    <row r="56" spans="12:13" ht="12.75">
      <c r="L56" s="154"/>
      <c r="M56" s="154"/>
    </row>
    <row r="57" spans="12:13" ht="12.75">
      <c r="L57" s="154"/>
      <c r="M57" s="154"/>
    </row>
    <row r="58" spans="12:13" ht="12.75">
      <c r="L58" s="154"/>
      <c r="M58" s="154"/>
    </row>
    <row r="59" spans="12:13" ht="12.75">
      <c r="L59" s="154"/>
      <c r="M59" s="154"/>
    </row>
    <row r="60" spans="12:13" ht="12.75">
      <c r="L60" s="154"/>
      <c r="M60" s="154"/>
    </row>
    <row r="61" spans="12:13" ht="12.75">
      <c r="L61" s="154"/>
      <c r="M61" s="154"/>
    </row>
  </sheetData>
  <sheetProtection/>
  <mergeCells count="16">
    <mergeCell ref="A14:K14"/>
    <mergeCell ref="B15:K15"/>
    <mergeCell ref="A1:L1"/>
    <mergeCell ref="A33:J33"/>
    <mergeCell ref="B3:F3"/>
    <mergeCell ref="A2:F2"/>
    <mergeCell ref="A4:A13"/>
    <mergeCell ref="G2:L13"/>
    <mergeCell ref="A44:A53"/>
    <mergeCell ref="A16:A24"/>
    <mergeCell ref="A25:J25"/>
    <mergeCell ref="A27:A32"/>
    <mergeCell ref="B26:J26"/>
    <mergeCell ref="B34:J34"/>
    <mergeCell ref="A35:A41"/>
    <mergeCell ref="A42:G4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7">
    <tabColor indexed="62"/>
  </sheetPr>
  <dimension ref="A1:AL138"/>
  <sheetViews>
    <sheetView zoomScale="85" zoomScaleNormal="85" zoomScalePageLayoutView="0" workbookViewId="0" topLeftCell="A49">
      <selection activeCell="A1" sqref="A1:S1"/>
    </sheetView>
  </sheetViews>
  <sheetFormatPr defaultColWidth="9.140625" defaultRowHeight="12.75"/>
  <cols>
    <col min="1" max="1" width="14.140625" style="18" bestFit="1" customWidth="1"/>
    <col min="2" max="2" width="8.28125" style="18" customWidth="1"/>
    <col min="3" max="16384" width="9.140625" style="18" customWidth="1"/>
  </cols>
  <sheetData>
    <row r="1" spans="1:38" ht="13.5" thickBot="1">
      <c r="A1" s="632" t="s">
        <v>215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  <c r="S1" s="708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19" ht="13.5" thickBot="1">
      <c r="A2" s="781" t="s">
        <v>225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  <c r="O2" s="782"/>
      <c r="P2" s="782"/>
      <c r="Q2" s="782"/>
      <c r="R2" s="782"/>
      <c r="S2" s="783"/>
    </row>
    <row r="3" spans="1:19" ht="13.5" thickBot="1">
      <c r="A3" s="19"/>
      <c r="B3" s="629" t="s">
        <v>119</v>
      </c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715"/>
    </row>
    <row r="4" spans="1:19" ht="12.75">
      <c r="A4" s="718" t="s">
        <v>109</v>
      </c>
      <c r="B4" s="49"/>
      <c r="C4" s="30">
        <v>0</v>
      </c>
      <c r="D4" s="30">
        <v>0.2</v>
      </c>
      <c r="E4" s="30">
        <v>0.4</v>
      </c>
      <c r="F4" s="30">
        <v>0.6</v>
      </c>
      <c r="G4" s="30">
        <v>1</v>
      </c>
      <c r="H4" s="30">
        <v>1.5</v>
      </c>
      <c r="I4" s="30">
        <v>2</v>
      </c>
      <c r="J4" s="30">
        <v>3</v>
      </c>
      <c r="K4" s="30">
        <v>4</v>
      </c>
      <c r="L4" s="30">
        <v>5</v>
      </c>
      <c r="M4" s="30">
        <v>6</v>
      </c>
      <c r="N4" s="30">
        <v>7</v>
      </c>
      <c r="O4" s="30">
        <v>8</v>
      </c>
      <c r="P4" s="30">
        <v>9</v>
      </c>
      <c r="Q4" s="30">
        <v>10</v>
      </c>
      <c r="R4" s="30">
        <v>11</v>
      </c>
      <c r="S4" s="31">
        <v>12</v>
      </c>
    </row>
    <row r="5" spans="1:19" ht="12.75">
      <c r="A5" s="718"/>
      <c r="B5" s="35">
        <v>-3</v>
      </c>
      <c r="C5" s="20">
        <v>1.25</v>
      </c>
      <c r="D5" s="33">
        <v>1.241</v>
      </c>
      <c r="E5" s="20">
        <v>1.222</v>
      </c>
      <c r="F5" s="20">
        <v>1.194</v>
      </c>
      <c r="G5" s="20">
        <v>1.138</v>
      </c>
      <c r="H5" s="20">
        <v>1.068</v>
      </c>
      <c r="I5" s="20">
        <v>1.005</v>
      </c>
      <c r="J5" s="20">
        <v>0.892</v>
      </c>
      <c r="K5" s="20">
        <v>0.795</v>
      </c>
      <c r="L5" s="20">
        <v>0.714</v>
      </c>
      <c r="M5" s="20">
        <v>0.647</v>
      </c>
      <c r="N5" s="20">
        <v>0.59</v>
      </c>
      <c r="O5" s="20">
        <v>0.543</v>
      </c>
      <c r="P5" s="20">
        <v>0.504</v>
      </c>
      <c r="Q5" s="20">
        <v>0.469</v>
      </c>
      <c r="R5" s="20">
        <v>0.438</v>
      </c>
      <c r="S5" s="21">
        <v>0.41</v>
      </c>
    </row>
    <row r="6" spans="1:19" ht="12.75">
      <c r="A6" s="718"/>
      <c r="B6" s="35">
        <v>-2</v>
      </c>
      <c r="C6" s="20">
        <v>1.571</v>
      </c>
      <c r="D6" s="20">
        <v>1.555</v>
      </c>
      <c r="E6" s="20">
        <v>1.485</v>
      </c>
      <c r="F6" s="20">
        <v>1.413</v>
      </c>
      <c r="G6" s="20">
        <v>1.298</v>
      </c>
      <c r="H6" s="20">
        <v>1.19</v>
      </c>
      <c r="I6" s="20">
        <v>1.1</v>
      </c>
      <c r="J6" s="20">
        <v>0.953</v>
      </c>
      <c r="K6" s="20">
        <v>0.838</v>
      </c>
      <c r="L6" s="20">
        <v>0.746</v>
      </c>
      <c r="M6" s="20">
        <v>0.67</v>
      </c>
      <c r="N6" s="20">
        <v>0.605</v>
      </c>
      <c r="O6" s="20">
        <v>0.557</v>
      </c>
      <c r="P6" s="20">
        <v>0.513</v>
      </c>
      <c r="Q6" s="20">
        <v>0.4751</v>
      </c>
      <c r="R6" s="20">
        <v>0.4423</v>
      </c>
      <c r="S6" s="21">
        <v>0.4137</v>
      </c>
    </row>
    <row r="7" spans="1:19" ht="12.75">
      <c r="A7" s="718"/>
      <c r="B7" s="35">
        <v>-1</v>
      </c>
      <c r="C7" s="20">
        <v>1.571</v>
      </c>
      <c r="D7" s="20">
        <v>1.562</v>
      </c>
      <c r="E7" s="20">
        <v>1.53</v>
      </c>
      <c r="F7" s="20">
        <v>1.477</v>
      </c>
      <c r="G7" s="20">
        <v>1.374</v>
      </c>
      <c r="H7" s="20">
        <v>1.258</v>
      </c>
      <c r="I7" s="20">
        <v>1.157</v>
      </c>
      <c r="J7" s="20">
        <v>0.994</v>
      </c>
      <c r="K7" s="20">
        <v>0.867</v>
      </c>
      <c r="L7" s="20">
        <v>0.765</v>
      </c>
      <c r="M7" s="20">
        <v>0.683</v>
      </c>
      <c r="N7" s="20">
        <v>0.616</v>
      </c>
      <c r="O7" s="20">
        <v>0.564</v>
      </c>
      <c r="P7" s="20">
        <v>0.519</v>
      </c>
      <c r="Q7" s="20">
        <v>0.48</v>
      </c>
      <c r="R7" s="20">
        <v>0.446</v>
      </c>
      <c r="S7" s="21">
        <v>0.417</v>
      </c>
    </row>
    <row r="8" spans="1:19" ht="12.75">
      <c r="A8" s="718"/>
      <c r="B8" s="35">
        <v>0</v>
      </c>
      <c r="C8" s="20">
        <v>1.571</v>
      </c>
      <c r="D8" s="20">
        <v>1.564</v>
      </c>
      <c r="E8" s="20">
        <v>1.547</v>
      </c>
      <c r="F8" s="20">
        <v>1.506</v>
      </c>
      <c r="G8" s="20">
        <v>1.4</v>
      </c>
      <c r="H8" s="20">
        <v>1.281</v>
      </c>
      <c r="I8" s="20">
        <v>1.179</v>
      </c>
      <c r="J8" s="20">
        <v>1.009</v>
      </c>
      <c r="K8" s="20">
        <v>0.88</v>
      </c>
      <c r="L8" s="20">
        <v>0.773</v>
      </c>
      <c r="M8" s="20">
        <v>0.692</v>
      </c>
      <c r="N8" s="20">
        <v>0.622</v>
      </c>
      <c r="O8" s="20">
        <v>0.568</v>
      </c>
      <c r="P8" s="20">
        <v>0.5211</v>
      </c>
      <c r="Q8" s="20">
        <v>0.4815</v>
      </c>
      <c r="R8" s="20">
        <v>0.4474</v>
      </c>
      <c r="S8" s="21">
        <v>0.4178</v>
      </c>
    </row>
    <row r="9" spans="1:20" ht="12.75">
      <c r="A9" s="718"/>
      <c r="B9" s="35">
        <v>1</v>
      </c>
      <c r="C9" s="20">
        <v>1.571</v>
      </c>
      <c r="D9" s="20">
        <v>1.562</v>
      </c>
      <c r="E9" s="20">
        <v>1.53</v>
      </c>
      <c r="F9" s="20">
        <v>1.477</v>
      </c>
      <c r="G9" s="20">
        <v>1.374</v>
      </c>
      <c r="H9" s="20">
        <v>1.258</v>
      </c>
      <c r="I9" s="20">
        <v>1.157</v>
      </c>
      <c r="J9" s="20">
        <v>0.994</v>
      </c>
      <c r="K9" s="20">
        <v>0.867</v>
      </c>
      <c r="L9" s="20">
        <v>0.765</v>
      </c>
      <c r="M9" s="20">
        <v>0.683</v>
      </c>
      <c r="N9" s="20">
        <v>0.616</v>
      </c>
      <c r="O9" s="20">
        <v>0.564</v>
      </c>
      <c r="P9" s="20">
        <v>0.519</v>
      </c>
      <c r="Q9" s="20">
        <v>0.48</v>
      </c>
      <c r="R9" s="20">
        <v>0.446</v>
      </c>
      <c r="S9" s="21">
        <v>0.417</v>
      </c>
      <c r="T9" s="24"/>
    </row>
    <row r="10" spans="1:19" ht="12.75">
      <c r="A10" s="718"/>
      <c r="B10" s="35">
        <v>2</v>
      </c>
      <c r="C10" s="20">
        <v>1.571</v>
      </c>
      <c r="D10" s="20">
        <v>1.555</v>
      </c>
      <c r="E10" s="20">
        <v>1.485</v>
      </c>
      <c r="F10" s="20">
        <v>1.413</v>
      </c>
      <c r="G10" s="20">
        <v>1.298</v>
      </c>
      <c r="H10" s="20"/>
      <c r="I10" s="20">
        <v>1.1</v>
      </c>
      <c r="J10" s="20">
        <v>0.953</v>
      </c>
      <c r="K10" s="20">
        <v>0.838</v>
      </c>
      <c r="L10" s="20">
        <v>0.746</v>
      </c>
      <c r="M10" s="20">
        <v>0.67</v>
      </c>
      <c r="N10" s="20">
        <v>0.605</v>
      </c>
      <c r="O10" s="20">
        <v>0.557</v>
      </c>
      <c r="P10" s="20">
        <v>0.513</v>
      </c>
      <c r="Q10" s="20">
        <v>0.4751</v>
      </c>
      <c r="R10" s="20">
        <v>0.4423</v>
      </c>
      <c r="S10" s="21">
        <v>0.4137</v>
      </c>
    </row>
    <row r="11" spans="1:19" ht="12.75">
      <c r="A11" s="718"/>
      <c r="B11" s="35">
        <v>3</v>
      </c>
      <c r="C11" s="20">
        <v>1.25</v>
      </c>
      <c r="D11" s="20">
        <v>1.241</v>
      </c>
      <c r="E11" s="20">
        <v>1.222</v>
      </c>
      <c r="F11" s="20">
        <v>1.194</v>
      </c>
      <c r="G11" s="20">
        <v>1.138</v>
      </c>
      <c r="H11" s="20">
        <v>1.068</v>
      </c>
      <c r="I11" s="20">
        <v>1.005</v>
      </c>
      <c r="J11" s="20">
        <v>0.892</v>
      </c>
      <c r="K11" s="20">
        <v>0.795</v>
      </c>
      <c r="L11" s="20">
        <v>0.714</v>
      </c>
      <c r="M11" s="20">
        <v>0.647</v>
      </c>
      <c r="N11" s="20">
        <v>0.59</v>
      </c>
      <c r="O11" s="20">
        <v>0.543</v>
      </c>
      <c r="P11" s="20">
        <v>0.504</v>
      </c>
      <c r="Q11" s="20">
        <v>0.469</v>
      </c>
      <c r="R11" s="20">
        <v>0.438</v>
      </c>
      <c r="S11" s="21">
        <v>0.41</v>
      </c>
    </row>
    <row r="12" spans="1:19" ht="12.75">
      <c r="A12" s="718"/>
      <c r="B12" s="35">
        <v>4</v>
      </c>
      <c r="C12" s="20">
        <v>1.048</v>
      </c>
      <c r="D12" s="20">
        <v>1.043</v>
      </c>
      <c r="E12" s="20">
        <v>1.034</v>
      </c>
      <c r="F12" s="20">
        <v>1.021</v>
      </c>
      <c r="G12" s="20">
        <v>0.988</v>
      </c>
      <c r="H12" s="20">
        <v>0.947</v>
      </c>
      <c r="I12" s="20">
        <v>0.903</v>
      </c>
      <c r="J12" s="20">
        <v>0.821</v>
      </c>
      <c r="K12" s="20">
        <v>0.748</v>
      </c>
      <c r="L12" s="20">
        <v>0.68</v>
      </c>
      <c r="M12" s="20">
        <v>0.62</v>
      </c>
      <c r="N12" s="20">
        <v>0.571</v>
      </c>
      <c r="O12" s="20">
        <v>0.529</v>
      </c>
      <c r="P12" s="20">
        <v>0.4908</v>
      </c>
      <c r="Q12" s="20">
        <v>0.4574</v>
      </c>
      <c r="R12" s="20">
        <v>0.428</v>
      </c>
      <c r="S12" s="21">
        <v>0.4019</v>
      </c>
    </row>
    <row r="13" spans="1:19" ht="12.75">
      <c r="A13" s="718"/>
      <c r="B13" s="35">
        <v>5</v>
      </c>
      <c r="C13" s="20">
        <v>0.9</v>
      </c>
      <c r="D13" s="20">
        <v>0.898</v>
      </c>
      <c r="E13" s="20">
        <v>0.893</v>
      </c>
      <c r="F13" s="20">
        <v>0.886</v>
      </c>
      <c r="G13" s="20">
        <v>0.868</v>
      </c>
      <c r="H13" s="20">
        <v>0.838</v>
      </c>
      <c r="I13" s="20">
        <v>0.809</v>
      </c>
      <c r="J13" s="20">
        <v>0.75</v>
      </c>
      <c r="K13" s="20">
        <v>0.693</v>
      </c>
      <c r="L13" s="20">
        <v>0.64</v>
      </c>
      <c r="M13" s="20">
        <v>0.591</v>
      </c>
      <c r="N13" s="20">
        <v>0.549</v>
      </c>
      <c r="O13" s="20">
        <v>0.512</v>
      </c>
      <c r="P13" s="20">
        <v>0.475</v>
      </c>
      <c r="Q13" s="20">
        <v>0.444</v>
      </c>
      <c r="R13" s="20">
        <v>0.419</v>
      </c>
      <c r="S13" s="21">
        <v>0.395</v>
      </c>
    </row>
    <row r="14" spans="1:19" ht="13.5" thickBot="1">
      <c r="A14" s="718"/>
      <c r="B14" s="36">
        <v>6</v>
      </c>
      <c r="C14" s="20">
        <v>0.785</v>
      </c>
      <c r="D14" s="20">
        <v>0.783</v>
      </c>
      <c r="E14" s="20">
        <v>0.781</v>
      </c>
      <c r="F14" s="20">
        <v>0.777</v>
      </c>
      <c r="G14" s="20">
        <v>0.765</v>
      </c>
      <c r="H14" s="20">
        <v>0.746</v>
      </c>
      <c r="I14" s="20">
        <v>0.726</v>
      </c>
      <c r="J14" s="20">
        <v>0.685</v>
      </c>
      <c r="K14" s="20">
        <v>0.642</v>
      </c>
      <c r="L14" s="20">
        <v>0.6</v>
      </c>
      <c r="M14" s="20">
        <v>0.56</v>
      </c>
      <c r="N14" s="20">
        <v>0.524</v>
      </c>
      <c r="O14" s="20">
        <v>0.49</v>
      </c>
      <c r="P14" s="20">
        <v>0.4597</v>
      </c>
      <c r="Q14" s="20">
        <v>0.4318</v>
      </c>
      <c r="R14" s="20">
        <v>0.4067</v>
      </c>
      <c r="S14" s="21">
        <v>0.384</v>
      </c>
    </row>
    <row r="15" spans="1:19" ht="13.5" thickBot="1">
      <c r="A15" s="781" t="s">
        <v>226</v>
      </c>
      <c r="B15" s="782"/>
      <c r="C15" s="782"/>
      <c r="D15" s="782"/>
      <c r="E15" s="782"/>
      <c r="F15" s="782"/>
      <c r="G15" s="782"/>
      <c r="H15" s="782"/>
      <c r="I15" s="782"/>
      <c r="J15" s="782"/>
      <c r="K15" s="782"/>
      <c r="L15" s="782"/>
      <c r="M15" s="782"/>
      <c r="N15" s="782"/>
      <c r="O15" s="782"/>
      <c r="P15" s="782"/>
      <c r="Q15" s="782"/>
      <c r="R15" s="782"/>
      <c r="S15" s="783"/>
    </row>
    <row r="16" spans="1:19" ht="13.5" thickBot="1">
      <c r="A16" s="19"/>
      <c r="B16" s="629" t="s">
        <v>119</v>
      </c>
      <c r="C16" s="629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715"/>
    </row>
    <row r="17" spans="1:19" ht="12.75">
      <c r="A17" s="718" t="s">
        <v>109</v>
      </c>
      <c r="B17" s="50"/>
      <c r="C17" s="30">
        <v>0</v>
      </c>
      <c r="D17" s="30">
        <v>0.2</v>
      </c>
      <c r="E17" s="30">
        <v>0.4</v>
      </c>
      <c r="F17" s="30">
        <v>0.6</v>
      </c>
      <c r="G17" s="30">
        <v>1</v>
      </c>
      <c r="H17" s="30">
        <v>1.5</v>
      </c>
      <c r="I17" s="30">
        <v>2</v>
      </c>
      <c r="J17" s="30">
        <v>3</v>
      </c>
      <c r="K17" s="30">
        <v>4</v>
      </c>
      <c r="L17" s="30">
        <v>5</v>
      </c>
      <c r="M17" s="30">
        <v>6</v>
      </c>
      <c r="N17" s="30">
        <v>7</v>
      </c>
      <c r="O17" s="30">
        <v>8</v>
      </c>
      <c r="P17" s="30">
        <v>9</v>
      </c>
      <c r="Q17" s="30">
        <v>10</v>
      </c>
      <c r="R17" s="30">
        <v>11</v>
      </c>
      <c r="S17" s="31">
        <v>12</v>
      </c>
    </row>
    <row r="18" spans="1:19" ht="13.5" customHeight="1">
      <c r="A18" s="718"/>
      <c r="B18" s="35">
        <v>-3</v>
      </c>
      <c r="C18" s="20">
        <v>1.283</v>
      </c>
      <c r="D18" s="20">
        <v>1.28</v>
      </c>
      <c r="E18" s="20">
        <v>1.272</v>
      </c>
      <c r="F18" s="20">
        <v>1.257</v>
      </c>
      <c r="G18" s="20">
        <v>1.201</v>
      </c>
      <c r="H18" s="20">
        <v>1.117</v>
      </c>
      <c r="I18" s="20">
        <v>1.046</v>
      </c>
      <c r="J18" s="20">
        <v>0.931</v>
      </c>
      <c r="K18" s="20">
        <v>0.832</v>
      </c>
      <c r="L18" s="20">
        <v>0.743</v>
      </c>
      <c r="M18" s="20">
        <v>0.671</v>
      </c>
      <c r="N18" s="20">
        <v>0.613</v>
      </c>
      <c r="O18" s="20">
        <v>0.563</v>
      </c>
      <c r="P18" s="20">
        <v>0.521</v>
      </c>
      <c r="Q18" s="20">
        <v>0.483</v>
      </c>
      <c r="R18" s="20">
        <v>0.45</v>
      </c>
      <c r="S18" s="21">
        <v>0.42</v>
      </c>
    </row>
    <row r="19" spans="1:19" ht="12.75">
      <c r="A19" s="718"/>
      <c r="B19" s="35">
        <v>-2</v>
      </c>
      <c r="C19" s="20">
        <v>1.571</v>
      </c>
      <c r="D19" s="20">
        <v>1.557</v>
      </c>
      <c r="E19" s="20">
        <v>1.5</v>
      </c>
      <c r="F19" s="20">
        <v>1.453</v>
      </c>
      <c r="G19" s="20">
        <v>1.357</v>
      </c>
      <c r="H19" s="20">
        <v>1.238</v>
      </c>
      <c r="I19" s="20">
        <v>1.146</v>
      </c>
      <c r="J19" s="20">
        <v>0.996</v>
      </c>
      <c r="K19" s="20">
        <v>0.875</v>
      </c>
      <c r="L19" s="20">
        <v>0.775</v>
      </c>
      <c r="M19" s="20">
        <v>0.693</v>
      </c>
      <c r="N19" s="20">
        <v>0.63</v>
      </c>
      <c r="O19" s="20">
        <v>0.576</v>
      </c>
      <c r="P19" s="20">
        <v>0.5301</v>
      </c>
      <c r="Q19" s="20">
        <v>0.4901</v>
      </c>
      <c r="R19" s="20">
        <v>0.4554</v>
      </c>
      <c r="S19" s="21">
        <v>0.4253</v>
      </c>
    </row>
    <row r="20" spans="1:19" ht="12.75">
      <c r="A20" s="718"/>
      <c r="B20" s="35">
        <v>-1</v>
      </c>
      <c r="C20" s="20">
        <v>1.571</v>
      </c>
      <c r="D20" s="20">
        <v>1.564</v>
      </c>
      <c r="E20" s="20">
        <v>1.548</v>
      </c>
      <c r="F20" s="20">
        <v>1.522</v>
      </c>
      <c r="G20" s="20">
        <v>1.425</v>
      </c>
      <c r="H20" s="20">
        <v>1.308</v>
      </c>
      <c r="I20" s="20">
        <v>1.21</v>
      </c>
      <c r="J20" s="20">
        <v>1.038</v>
      </c>
      <c r="K20" s="20">
        <v>0.904</v>
      </c>
      <c r="L20" s="20">
        <v>0.797</v>
      </c>
      <c r="M20" s="20">
        <v>0.711</v>
      </c>
      <c r="N20" s="20">
        <v>0.64</v>
      </c>
      <c r="O20" s="20">
        <v>0.583</v>
      </c>
      <c r="P20" s="20">
        <v>0.535</v>
      </c>
      <c r="Q20" s="20">
        <v>0.495</v>
      </c>
      <c r="R20" s="20">
        <v>0.46</v>
      </c>
      <c r="S20" s="21">
        <v>0.428</v>
      </c>
    </row>
    <row r="21" spans="1:19" ht="12.75">
      <c r="A21" s="718"/>
      <c r="B21" s="35">
        <v>0</v>
      </c>
      <c r="C21" s="20">
        <v>1.571</v>
      </c>
      <c r="D21" s="20">
        <v>1.564</v>
      </c>
      <c r="E21" s="20">
        <v>1.55</v>
      </c>
      <c r="F21" s="20">
        <v>1.527</v>
      </c>
      <c r="G21" s="20">
        <v>1.458</v>
      </c>
      <c r="H21" s="20">
        <v>1.335</v>
      </c>
      <c r="I21" s="20">
        <v>1.235</v>
      </c>
      <c r="J21" s="20">
        <v>1.057</v>
      </c>
      <c r="K21" s="20">
        <v>0.915</v>
      </c>
      <c r="L21" s="20">
        <v>0.805</v>
      </c>
      <c r="M21" s="20">
        <v>0.718</v>
      </c>
      <c r="N21" s="20">
        <v>0.642</v>
      </c>
      <c r="O21" s="20">
        <v>0.586</v>
      </c>
      <c r="P21" s="20">
        <v>0.5385</v>
      </c>
      <c r="Q21" s="20">
        <v>0.4968</v>
      </c>
      <c r="R21" s="20">
        <v>0.4608</v>
      </c>
      <c r="S21" s="21">
        <v>0.4298</v>
      </c>
    </row>
    <row r="22" spans="1:19" ht="12.75">
      <c r="A22" s="718"/>
      <c r="B22" s="35">
        <v>1</v>
      </c>
      <c r="C22" s="20">
        <v>1.571</v>
      </c>
      <c r="D22" s="20">
        <v>1.564</v>
      </c>
      <c r="E22" s="20">
        <v>1.548</v>
      </c>
      <c r="F22" s="20">
        <v>1.522</v>
      </c>
      <c r="G22" s="20">
        <v>1.425</v>
      </c>
      <c r="H22" s="20">
        <v>1.308</v>
      </c>
      <c r="I22" s="20">
        <v>1.21</v>
      </c>
      <c r="J22" s="20">
        <v>1.038</v>
      </c>
      <c r="K22" s="20">
        <v>0.904</v>
      </c>
      <c r="L22" s="20">
        <v>0.797</v>
      </c>
      <c r="M22" s="20">
        <v>0.711</v>
      </c>
      <c r="N22" s="20">
        <v>0.64</v>
      </c>
      <c r="O22" s="20">
        <v>0.583</v>
      </c>
      <c r="P22" s="20">
        <v>0.535</v>
      </c>
      <c r="Q22" s="20">
        <v>0.495</v>
      </c>
      <c r="R22" s="20">
        <v>0.46</v>
      </c>
      <c r="S22" s="21">
        <v>0.428</v>
      </c>
    </row>
    <row r="23" spans="1:19" ht="12.75">
      <c r="A23" s="718"/>
      <c r="B23" s="35">
        <v>2</v>
      </c>
      <c r="C23" s="20">
        <v>1.571</v>
      </c>
      <c r="D23" s="20">
        <v>1.557</v>
      </c>
      <c r="E23" s="20">
        <v>1.5</v>
      </c>
      <c r="F23" s="20">
        <v>1.453</v>
      </c>
      <c r="G23" s="20">
        <v>1.357</v>
      </c>
      <c r="H23" s="20">
        <v>1.238</v>
      </c>
      <c r="I23" s="20">
        <v>1.146</v>
      </c>
      <c r="J23" s="20">
        <v>0.996</v>
      </c>
      <c r="K23" s="20">
        <v>0.875</v>
      </c>
      <c r="L23" s="20">
        <v>0.775</v>
      </c>
      <c r="M23" s="20">
        <v>0.693</v>
      </c>
      <c r="N23" s="20">
        <v>0.63</v>
      </c>
      <c r="O23" s="20">
        <v>0.576</v>
      </c>
      <c r="P23" s="20">
        <v>0.5301</v>
      </c>
      <c r="Q23" s="20">
        <v>0.4901</v>
      </c>
      <c r="R23" s="20">
        <v>0.4554</v>
      </c>
      <c r="S23" s="21">
        <v>0.4253</v>
      </c>
    </row>
    <row r="24" spans="1:19" ht="12.75">
      <c r="A24" s="718"/>
      <c r="B24" s="35">
        <v>3</v>
      </c>
      <c r="C24" s="20">
        <v>1.283</v>
      </c>
      <c r="D24" s="20">
        <v>1.28</v>
      </c>
      <c r="E24" s="20">
        <v>1.272</v>
      </c>
      <c r="F24" s="20">
        <v>1.257</v>
      </c>
      <c r="G24" s="20">
        <v>1.201</v>
      </c>
      <c r="H24" s="20">
        <v>1.117</v>
      </c>
      <c r="I24" s="20">
        <v>1.046</v>
      </c>
      <c r="J24" s="20">
        <v>0.931</v>
      </c>
      <c r="K24" s="20">
        <v>0.832</v>
      </c>
      <c r="L24" s="20">
        <v>0.743</v>
      </c>
      <c r="M24" s="20">
        <v>0.671</v>
      </c>
      <c r="N24" s="20">
        <v>0.613</v>
      </c>
      <c r="O24" s="20">
        <v>0.563</v>
      </c>
      <c r="P24" s="20">
        <v>0.521</v>
      </c>
      <c r="Q24" s="20">
        <v>0.483</v>
      </c>
      <c r="R24" s="20">
        <v>0.45</v>
      </c>
      <c r="S24" s="21">
        <v>0.42</v>
      </c>
    </row>
    <row r="25" spans="1:19" ht="12.75">
      <c r="A25" s="718"/>
      <c r="B25" s="35">
        <v>4</v>
      </c>
      <c r="C25" s="20">
        <v>1.075</v>
      </c>
      <c r="D25" s="20">
        <v>1.073</v>
      </c>
      <c r="E25" s="20">
        <v>1.067</v>
      </c>
      <c r="F25" s="20">
        <v>1.055</v>
      </c>
      <c r="G25" s="20">
        <v>1.024</v>
      </c>
      <c r="H25" s="20">
        <v>0.98</v>
      </c>
      <c r="I25" s="20">
        <v>0.936</v>
      </c>
      <c r="J25" s="20">
        <v>0.854</v>
      </c>
      <c r="K25" s="20">
        <v>0.776</v>
      </c>
      <c r="L25" s="20">
        <v>0.703</v>
      </c>
      <c r="M25" s="20">
        <v>0.64</v>
      </c>
      <c r="N25" s="20">
        <v>0.591</v>
      </c>
      <c r="O25" s="20">
        <v>0.547</v>
      </c>
      <c r="P25" s="20">
        <v>0.5068</v>
      </c>
      <c r="Q25" s="20">
        <v>0.4715</v>
      </c>
      <c r="R25" s="20">
        <v>0.4404</v>
      </c>
      <c r="S25" s="21">
        <v>0.4129</v>
      </c>
    </row>
    <row r="26" spans="1:19" ht="12.75">
      <c r="A26" s="718"/>
      <c r="B26" s="35">
        <v>5</v>
      </c>
      <c r="C26" s="20">
        <v>0.919</v>
      </c>
      <c r="D26" s="20">
        <v>0.917</v>
      </c>
      <c r="E26" s="20">
        <v>0.912</v>
      </c>
      <c r="F26" s="20">
        <v>0.908</v>
      </c>
      <c r="G26" s="20">
        <v>0.893</v>
      </c>
      <c r="H26" s="20">
        <v>0.868</v>
      </c>
      <c r="I26" s="20">
        <v>0.84</v>
      </c>
      <c r="J26" s="20">
        <v>0.78</v>
      </c>
      <c r="K26" s="20">
        <v>0.719</v>
      </c>
      <c r="L26" s="20">
        <v>0.662</v>
      </c>
      <c r="M26" s="20">
        <v>0.61</v>
      </c>
      <c r="N26" s="20">
        <v>0.563</v>
      </c>
      <c r="O26" s="20">
        <v>0.527</v>
      </c>
      <c r="P26" s="20">
        <v>0.49</v>
      </c>
      <c r="Q26" s="20">
        <v>0.458</v>
      </c>
      <c r="R26" s="20">
        <v>0.43</v>
      </c>
      <c r="S26" s="21">
        <v>0.403</v>
      </c>
    </row>
    <row r="27" spans="1:19" ht="13.5" thickBot="1">
      <c r="A27" s="719"/>
      <c r="B27" s="36">
        <v>6</v>
      </c>
      <c r="C27" s="20">
        <v>0.805</v>
      </c>
      <c r="D27" s="20">
        <v>0.804</v>
      </c>
      <c r="E27" s="20">
        <v>0.803</v>
      </c>
      <c r="F27" s="20">
        <v>0.8</v>
      </c>
      <c r="G27" s="20">
        <v>0.791</v>
      </c>
      <c r="H27" s="20">
        <v>0.774</v>
      </c>
      <c r="I27" s="20">
        <v>0.754</v>
      </c>
      <c r="J27" s="20">
        <v>0.709</v>
      </c>
      <c r="K27" s="20">
        <v>0.66</v>
      </c>
      <c r="L27" s="20">
        <v>0.616</v>
      </c>
      <c r="M27" s="20">
        <v>0.574</v>
      </c>
      <c r="N27" s="20">
        <v>0.537</v>
      </c>
      <c r="O27" s="20">
        <v>0.503</v>
      </c>
      <c r="P27" s="20">
        <v>0.4726</v>
      </c>
      <c r="Q27" s="20">
        <v>0.4435</v>
      </c>
      <c r="R27" s="20">
        <v>0.4172</v>
      </c>
      <c r="S27" s="21">
        <v>0.3934</v>
      </c>
    </row>
    <row r="28" spans="1:19" ht="13.5" thickBot="1">
      <c r="A28" s="781" t="s">
        <v>227</v>
      </c>
      <c r="B28" s="782"/>
      <c r="C28" s="782"/>
      <c r="D28" s="782"/>
      <c r="E28" s="782"/>
      <c r="F28" s="782"/>
      <c r="G28" s="782"/>
      <c r="H28" s="782"/>
      <c r="I28" s="782"/>
      <c r="J28" s="782"/>
      <c r="K28" s="782"/>
      <c r="L28" s="782"/>
      <c r="M28" s="782"/>
      <c r="N28" s="782"/>
      <c r="O28" s="782"/>
      <c r="P28" s="782"/>
      <c r="Q28" s="782"/>
      <c r="R28" s="782"/>
      <c r="S28" s="783"/>
    </row>
    <row r="29" spans="1:19" ht="13.5" thickBot="1">
      <c r="A29" s="19"/>
      <c r="B29" s="629" t="s">
        <v>119</v>
      </c>
      <c r="C29" s="629"/>
      <c r="D29" s="629"/>
      <c r="E29" s="629"/>
      <c r="F29" s="629"/>
      <c r="G29" s="629"/>
      <c r="H29" s="629"/>
      <c r="I29" s="629"/>
      <c r="J29" s="629"/>
      <c r="K29" s="629"/>
      <c r="L29" s="629"/>
      <c r="M29" s="629"/>
      <c r="N29" s="629"/>
      <c r="O29" s="629"/>
      <c r="P29" s="629"/>
      <c r="Q29" s="629"/>
      <c r="R29" s="629"/>
      <c r="S29" s="715"/>
    </row>
    <row r="30" spans="1:19" ht="12.75">
      <c r="A30" s="718" t="s">
        <v>109</v>
      </c>
      <c r="B30" s="34"/>
      <c r="C30" s="30">
        <v>0</v>
      </c>
      <c r="D30" s="30">
        <v>0.2</v>
      </c>
      <c r="E30" s="30">
        <v>0.4</v>
      </c>
      <c r="F30" s="30">
        <v>0.6</v>
      </c>
      <c r="G30" s="30">
        <v>1</v>
      </c>
      <c r="H30" s="30">
        <v>1.5</v>
      </c>
      <c r="I30" s="30">
        <v>2</v>
      </c>
      <c r="J30" s="30">
        <v>3</v>
      </c>
      <c r="K30" s="30">
        <v>4</v>
      </c>
      <c r="L30" s="30">
        <v>5</v>
      </c>
      <c r="M30" s="30">
        <v>6</v>
      </c>
      <c r="N30" s="30">
        <v>7</v>
      </c>
      <c r="O30" s="30">
        <v>8</v>
      </c>
      <c r="P30" s="30">
        <v>9</v>
      </c>
      <c r="Q30" s="30">
        <v>10</v>
      </c>
      <c r="R30" s="30">
        <v>11</v>
      </c>
      <c r="S30" s="31">
        <v>12</v>
      </c>
    </row>
    <row r="31" spans="1:19" ht="12.75">
      <c r="A31" s="718"/>
      <c r="B31" s="35">
        <v>-3</v>
      </c>
      <c r="C31" s="20">
        <v>1.301</v>
      </c>
      <c r="D31" s="20">
        <v>1.298</v>
      </c>
      <c r="E31" s="20">
        <v>1.285</v>
      </c>
      <c r="F31" s="20">
        <v>1.264</v>
      </c>
      <c r="G31" s="20">
        <v>1.204</v>
      </c>
      <c r="H31" s="20">
        <v>1.133</v>
      </c>
      <c r="I31" s="20">
        <v>1.065</v>
      </c>
      <c r="J31" s="20">
        <v>0.944</v>
      </c>
      <c r="K31" s="20">
        <v>0.839</v>
      </c>
      <c r="L31" s="20">
        <v>0.752</v>
      </c>
      <c r="M31" s="20">
        <v>0.679</v>
      </c>
      <c r="N31" s="20">
        <v>0.619</v>
      </c>
      <c r="O31" s="20">
        <v>0.569</v>
      </c>
      <c r="P31" s="20">
        <v>0.526</v>
      </c>
      <c r="Q31" s="20">
        <v>0.488</v>
      </c>
      <c r="R31" s="20">
        <v>0.454</v>
      </c>
      <c r="S31" s="21">
        <v>0.423</v>
      </c>
    </row>
    <row r="32" spans="1:19" ht="12.75">
      <c r="A32" s="718"/>
      <c r="B32" s="35">
        <v>-2</v>
      </c>
      <c r="C32" s="20">
        <v>1.571</v>
      </c>
      <c r="D32" s="20">
        <v>1.558</v>
      </c>
      <c r="E32" s="20">
        <v>1.508</v>
      </c>
      <c r="F32" s="20">
        <v>1.454</v>
      </c>
      <c r="G32" s="20">
        <v>1.357</v>
      </c>
      <c r="H32" s="20">
        <v>1.254</v>
      </c>
      <c r="I32" s="20">
        <v>1.165</v>
      </c>
      <c r="J32" s="20">
        <v>1.009</v>
      </c>
      <c r="K32" s="20">
        <v>0.885</v>
      </c>
      <c r="L32" s="20">
        <v>0.786</v>
      </c>
      <c r="M32" s="20">
        <v>0.703</v>
      </c>
      <c r="N32" s="20">
        <v>0.636</v>
      </c>
      <c r="O32" s="20">
        <v>0.582</v>
      </c>
      <c r="P32" s="20">
        <v>0.535</v>
      </c>
      <c r="Q32" s="20">
        <v>0.4945</v>
      </c>
      <c r="R32" s="20">
        <v>0.4595</v>
      </c>
      <c r="S32" s="21">
        <v>0.429</v>
      </c>
    </row>
    <row r="33" spans="1:19" ht="12.75">
      <c r="A33" s="718"/>
      <c r="B33" s="35">
        <v>-1</v>
      </c>
      <c r="C33" s="20">
        <v>1.571</v>
      </c>
      <c r="D33" s="20">
        <v>1.564</v>
      </c>
      <c r="E33" s="20">
        <v>1.55</v>
      </c>
      <c r="F33" s="20">
        <v>1.524</v>
      </c>
      <c r="G33" s="20">
        <v>1.428</v>
      </c>
      <c r="H33" s="20">
        <v>1.317</v>
      </c>
      <c r="I33" s="20">
        <v>1.219</v>
      </c>
      <c r="J33" s="20">
        <v>1.049</v>
      </c>
      <c r="K33" s="20">
        <v>0.915</v>
      </c>
      <c r="L33" s="20">
        <v>0.806</v>
      </c>
      <c r="M33" s="20">
        <v>0.719</v>
      </c>
      <c r="N33" s="20">
        <v>0.648</v>
      </c>
      <c r="O33" s="20">
        <v>0.591</v>
      </c>
      <c r="P33" s="20">
        <v>0.541</v>
      </c>
      <c r="Q33" s="20">
        <v>0.5</v>
      </c>
      <c r="R33" s="20">
        <v>0.464</v>
      </c>
      <c r="S33" s="21">
        <v>0.432</v>
      </c>
    </row>
    <row r="34" spans="1:19" ht="12.75">
      <c r="A34" s="718"/>
      <c r="B34" s="35">
        <v>0</v>
      </c>
      <c r="C34" s="20">
        <v>1.571</v>
      </c>
      <c r="D34" s="20">
        <v>1.564</v>
      </c>
      <c r="E34" s="20">
        <v>1.552</v>
      </c>
      <c r="F34" s="20">
        <v>1.53</v>
      </c>
      <c r="G34" s="20">
        <v>1.462</v>
      </c>
      <c r="H34" s="20">
        <v>1.351</v>
      </c>
      <c r="I34" s="20">
        <v>1.25</v>
      </c>
      <c r="J34" s="20">
        <v>1.071</v>
      </c>
      <c r="K34" s="20">
        <v>0.928</v>
      </c>
      <c r="L34" s="20">
        <v>0.816</v>
      </c>
      <c r="M34" s="20">
        <v>0.725</v>
      </c>
      <c r="N34" s="20">
        <v>0.651</v>
      </c>
      <c r="O34" s="20">
        <v>0.594</v>
      </c>
      <c r="P34" s="20">
        <v>0.5442</v>
      </c>
      <c r="Q34" s="20">
        <v>0.5018</v>
      </c>
      <c r="R34" s="20">
        <v>0.4653</v>
      </c>
      <c r="S34" s="21">
        <v>0.4338</v>
      </c>
    </row>
    <row r="35" spans="1:19" ht="12.75">
      <c r="A35" s="718"/>
      <c r="B35" s="35">
        <v>1</v>
      </c>
      <c r="C35" s="20">
        <v>1.571</v>
      </c>
      <c r="D35" s="20">
        <v>1.564</v>
      </c>
      <c r="E35" s="20">
        <v>1.55</v>
      </c>
      <c r="F35" s="20">
        <v>1.524</v>
      </c>
      <c r="G35" s="20">
        <v>1.428</v>
      </c>
      <c r="H35" s="20">
        <v>1.317</v>
      </c>
      <c r="I35" s="20">
        <v>1.219</v>
      </c>
      <c r="J35" s="20">
        <v>1.049</v>
      </c>
      <c r="K35" s="20">
        <v>0.915</v>
      </c>
      <c r="L35" s="20">
        <v>0.806</v>
      </c>
      <c r="M35" s="20">
        <v>0.719</v>
      </c>
      <c r="N35" s="20">
        <v>0.648</v>
      </c>
      <c r="O35" s="20">
        <v>0.591</v>
      </c>
      <c r="P35" s="20">
        <v>0.541</v>
      </c>
      <c r="Q35" s="20">
        <v>0.5</v>
      </c>
      <c r="R35" s="20">
        <v>0.464</v>
      </c>
      <c r="S35" s="21">
        <v>0.432</v>
      </c>
    </row>
    <row r="36" spans="1:19" ht="12.75">
      <c r="A36" s="718"/>
      <c r="B36" s="35">
        <v>2</v>
      </c>
      <c r="C36" s="20">
        <v>1.571</v>
      </c>
      <c r="D36" s="20">
        <v>1.558</v>
      </c>
      <c r="E36" s="20">
        <v>1.508</v>
      </c>
      <c r="F36" s="20">
        <v>1.454</v>
      </c>
      <c r="G36" s="20">
        <v>1.357</v>
      </c>
      <c r="H36" s="20">
        <v>1.254</v>
      </c>
      <c r="I36" s="20">
        <v>1.165</v>
      </c>
      <c r="J36" s="20">
        <v>1.009</v>
      </c>
      <c r="K36" s="20">
        <v>0.885</v>
      </c>
      <c r="L36" s="20">
        <v>0.786</v>
      </c>
      <c r="M36" s="20">
        <v>0.703</v>
      </c>
      <c r="N36" s="20">
        <v>0.636</v>
      </c>
      <c r="O36" s="20">
        <v>0.582</v>
      </c>
      <c r="P36" s="20">
        <v>0.535</v>
      </c>
      <c r="Q36" s="20">
        <v>0.4945</v>
      </c>
      <c r="R36" s="20">
        <v>0.4595</v>
      </c>
      <c r="S36" s="21">
        <v>0.429</v>
      </c>
    </row>
    <row r="37" spans="1:19" ht="12.75">
      <c r="A37" s="718"/>
      <c r="B37" s="35">
        <v>3</v>
      </c>
      <c r="C37" s="20">
        <v>1.301</v>
      </c>
      <c r="D37" s="20">
        <v>1.298</v>
      </c>
      <c r="E37" s="20">
        <v>1.285</v>
      </c>
      <c r="F37" s="20">
        <v>1.264</v>
      </c>
      <c r="G37" s="20">
        <v>1.204</v>
      </c>
      <c r="H37" s="20">
        <v>1.133</v>
      </c>
      <c r="I37" s="20">
        <v>1.065</v>
      </c>
      <c r="J37" s="20">
        <v>0.944</v>
      </c>
      <c r="K37" s="20">
        <v>0.839</v>
      </c>
      <c r="L37" s="20">
        <v>0.752</v>
      </c>
      <c r="M37" s="20">
        <v>0.679</v>
      </c>
      <c r="N37" s="20">
        <v>0.619</v>
      </c>
      <c r="O37" s="20">
        <v>0.569</v>
      </c>
      <c r="P37" s="20">
        <v>0.526</v>
      </c>
      <c r="Q37" s="20">
        <v>0.488</v>
      </c>
      <c r="R37" s="20">
        <v>0.454</v>
      </c>
      <c r="S37" s="21">
        <v>0.423</v>
      </c>
    </row>
    <row r="38" spans="1:19" ht="12.75">
      <c r="A38" s="718"/>
      <c r="B38" s="35">
        <v>4</v>
      </c>
      <c r="C38" s="20">
        <v>1.085</v>
      </c>
      <c r="D38" s="20">
        <v>1.081</v>
      </c>
      <c r="E38" s="20">
        <v>1.075</v>
      </c>
      <c r="F38" s="20">
        <v>1.064</v>
      </c>
      <c r="G38" s="20">
        <v>1.034</v>
      </c>
      <c r="H38" s="20">
        <v>0.99</v>
      </c>
      <c r="I38" s="20">
        <v>0.947</v>
      </c>
      <c r="J38" s="20">
        <v>0.861</v>
      </c>
      <c r="K38" s="20">
        <v>0.782</v>
      </c>
      <c r="L38" s="20">
        <v>0.711</v>
      </c>
      <c r="M38" s="20">
        <v>0.648</v>
      </c>
      <c r="N38" s="20">
        <v>0.595</v>
      </c>
      <c r="O38" s="20">
        <v>0.551</v>
      </c>
      <c r="P38" s="20">
        <v>0.5102</v>
      </c>
      <c r="Q38" s="20">
        <v>0.4747</v>
      </c>
      <c r="R38" s="20">
        <v>0.4434</v>
      </c>
      <c r="S38" s="21">
        <v>0.4157</v>
      </c>
    </row>
    <row r="39" spans="1:19" ht="12.75">
      <c r="A39" s="718"/>
      <c r="B39" s="35">
        <v>5</v>
      </c>
      <c r="C39" s="20">
        <v>0.921</v>
      </c>
      <c r="D39" s="20">
        <v>0.92</v>
      </c>
      <c r="E39" s="20">
        <v>0.914</v>
      </c>
      <c r="F39" s="20">
        <v>0.91</v>
      </c>
      <c r="G39" s="20">
        <v>0.894</v>
      </c>
      <c r="H39" s="20">
        <v>0.871</v>
      </c>
      <c r="I39" s="20">
        <v>0.845</v>
      </c>
      <c r="J39" s="20">
        <v>0.782</v>
      </c>
      <c r="K39" s="20">
        <v>0.724</v>
      </c>
      <c r="L39" s="20">
        <v>0.669</v>
      </c>
      <c r="M39" s="20">
        <v>0.617</v>
      </c>
      <c r="N39" s="20">
        <v>0.571</v>
      </c>
      <c r="O39" s="20">
        <v>0.531</v>
      </c>
      <c r="P39" s="20">
        <v>0.493</v>
      </c>
      <c r="Q39" s="20">
        <v>0.46</v>
      </c>
      <c r="R39" s="20">
        <v>0.431</v>
      </c>
      <c r="S39" s="21">
        <v>0.407</v>
      </c>
    </row>
    <row r="40" spans="1:19" ht="13.5" thickBot="1">
      <c r="A40" s="719"/>
      <c r="B40" s="36">
        <v>6</v>
      </c>
      <c r="C40" s="20">
        <v>0.81</v>
      </c>
      <c r="D40" s="20">
        <v>0.808</v>
      </c>
      <c r="E40" s="20">
        <v>0.803</v>
      </c>
      <c r="F40" s="20">
        <v>0.8</v>
      </c>
      <c r="G40" s="20">
        <v>0.791</v>
      </c>
      <c r="H40" s="20">
        <v>0.774</v>
      </c>
      <c r="I40" s="20">
        <v>0.757</v>
      </c>
      <c r="J40" s="20">
        <v>0.712</v>
      </c>
      <c r="K40" s="20">
        <v>0.669</v>
      </c>
      <c r="L40" s="20">
        <v>0.622</v>
      </c>
      <c r="M40" s="20">
        <v>0.582</v>
      </c>
      <c r="N40" s="20">
        <v>0.543</v>
      </c>
      <c r="O40" s="20">
        <v>0.508</v>
      </c>
      <c r="P40" s="20">
        <v>0.4755</v>
      </c>
      <c r="Q40" s="20">
        <v>0.4462</v>
      </c>
      <c r="R40" s="20">
        <v>0.4198</v>
      </c>
      <c r="S40" s="21">
        <v>0.3958</v>
      </c>
    </row>
    <row r="41" spans="1:19" ht="13.5" thickBot="1">
      <c r="A41" s="781" t="s">
        <v>228</v>
      </c>
      <c r="B41" s="782"/>
      <c r="C41" s="782"/>
      <c r="D41" s="782"/>
      <c r="E41" s="782"/>
      <c r="F41" s="782"/>
      <c r="G41" s="782"/>
      <c r="H41" s="782"/>
      <c r="I41" s="782"/>
      <c r="J41" s="782"/>
      <c r="K41" s="782"/>
      <c r="L41" s="782"/>
      <c r="M41" s="782"/>
      <c r="N41" s="782"/>
      <c r="O41" s="782"/>
      <c r="P41" s="782"/>
      <c r="Q41" s="782"/>
      <c r="R41" s="782"/>
      <c r="S41" s="783"/>
    </row>
    <row r="42" spans="1:19" ht="13.5" thickBot="1">
      <c r="A42" s="19"/>
      <c r="B42" s="629" t="s">
        <v>119</v>
      </c>
      <c r="C42" s="629"/>
      <c r="D42" s="629"/>
      <c r="E42" s="629"/>
      <c r="F42" s="629"/>
      <c r="G42" s="629"/>
      <c r="H42" s="629"/>
      <c r="I42" s="629"/>
      <c r="J42" s="629"/>
      <c r="K42" s="629"/>
      <c r="L42" s="629"/>
      <c r="M42" s="629"/>
      <c r="N42" s="629"/>
      <c r="O42" s="629"/>
      <c r="P42" s="629"/>
      <c r="Q42" s="629"/>
      <c r="R42" s="629"/>
      <c r="S42" s="715"/>
    </row>
    <row r="43" spans="1:19" ht="12.75">
      <c r="A43" s="718" t="s">
        <v>109</v>
      </c>
      <c r="B43" s="34"/>
      <c r="C43" s="30">
        <v>0</v>
      </c>
      <c r="D43" s="30">
        <v>0.2</v>
      </c>
      <c r="E43" s="30">
        <v>0.4</v>
      </c>
      <c r="F43" s="30">
        <v>0.6</v>
      </c>
      <c r="G43" s="30">
        <v>1</v>
      </c>
      <c r="H43" s="30">
        <v>1.5</v>
      </c>
      <c r="I43" s="30">
        <v>2</v>
      </c>
      <c r="J43" s="30">
        <v>3</v>
      </c>
      <c r="K43" s="30">
        <v>4</v>
      </c>
      <c r="L43" s="30">
        <v>5</v>
      </c>
      <c r="M43" s="30">
        <v>6</v>
      </c>
      <c r="N43" s="30">
        <v>7</v>
      </c>
      <c r="O43" s="30">
        <v>8</v>
      </c>
      <c r="P43" s="30">
        <v>9</v>
      </c>
      <c r="Q43" s="30">
        <v>10</v>
      </c>
      <c r="R43" s="30">
        <v>11</v>
      </c>
      <c r="S43" s="31">
        <v>12</v>
      </c>
    </row>
    <row r="44" spans="1:19" ht="12.75">
      <c r="A44" s="718"/>
      <c r="B44" s="35">
        <v>-3</v>
      </c>
      <c r="C44" s="20">
        <v>1.297</v>
      </c>
      <c r="D44" s="20">
        <v>1.292</v>
      </c>
      <c r="E44" s="20">
        <v>1.279</v>
      </c>
      <c r="F44" s="20">
        <v>1.256</v>
      </c>
      <c r="G44" s="20">
        <v>1.198</v>
      </c>
      <c r="H44" s="20">
        <v>1.122</v>
      </c>
      <c r="I44" s="20">
        <v>1.055</v>
      </c>
      <c r="J44" s="20">
        <v>0.934</v>
      </c>
      <c r="K44" s="20">
        <v>0.835</v>
      </c>
      <c r="L44" s="20">
        <v>0.749</v>
      </c>
      <c r="M44" s="20">
        <v>0.676</v>
      </c>
      <c r="N44" s="20">
        <v>0.617</v>
      </c>
      <c r="O44" s="20">
        <v>0.566</v>
      </c>
      <c r="P44" s="20">
        <v>0.52</v>
      </c>
      <c r="Q44" s="20">
        <v>0.484</v>
      </c>
      <c r="R44" s="20">
        <v>0.451</v>
      </c>
      <c r="S44" s="21">
        <v>0.422</v>
      </c>
    </row>
    <row r="45" spans="1:19" ht="12.75">
      <c r="A45" s="718"/>
      <c r="B45" s="35">
        <v>-2</v>
      </c>
      <c r="C45" s="20">
        <v>1.571</v>
      </c>
      <c r="D45" s="20">
        <v>1.558</v>
      </c>
      <c r="E45" s="20">
        <v>1.528</v>
      </c>
      <c r="F45" s="20">
        <v>1.472</v>
      </c>
      <c r="G45" s="20">
        <v>1.368</v>
      </c>
      <c r="H45" s="20">
        <v>1.254</v>
      </c>
      <c r="I45" s="20">
        <v>1.161</v>
      </c>
      <c r="J45" s="20">
        <v>1.007</v>
      </c>
      <c r="K45" s="20">
        <v>0.884</v>
      </c>
      <c r="L45" s="20">
        <v>0.784</v>
      </c>
      <c r="M45" s="20">
        <v>0.702</v>
      </c>
      <c r="N45" s="20">
        <v>0.635</v>
      </c>
      <c r="O45" s="20">
        <v>0.58</v>
      </c>
      <c r="P45" s="20">
        <v>0.5326</v>
      </c>
      <c r="Q45" s="20">
        <v>0.4922</v>
      </c>
      <c r="R45" s="20">
        <v>0.4574</v>
      </c>
      <c r="S45" s="21">
        <v>0.4271</v>
      </c>
    </row>
    <row r="46" spans="1:19" ht="12.75">
      <c r="A46" s="718"/>
      <c r="B46" s="35">
        <v>-1</v>
      </c>
      <c r="C46" s="20">
        <v>1.571</v>
      </c>
      <c r="D46" s="20">
        <v>1.566</v>
      </c>
      <c r="E46" s="20">
        <v>1.552</v>
      </c>
      <c r="F46" s="20">
        <v>1.531</v>
      </c>
      <c r="G46" s="20">
        <v>1.443</v>
      </c>
      <c r="H46" s="20">
        <v>1.328</v>
      </c>
      <c r="I46" s="20">
        <v>1.228</v>
      </c>
      <c r="J46" s="20">
        <v>1.053</v>
      </c>
      <c r="K46" s="20">
        <v>0.917</v>
      </c>
      <c r="L46" s="20">
        <v>0.808</v>
      </c>
      <c r="M46" s="20">
        <v>0.72</v>
      </c>
      <c r="N46" s="20">
        <v>0.648</v>
      </c>
      <c r="O46" s="20">
        <v>0.59</v>
      </c>
      <c r="P46" s="20">
        <v>0.54</v>
      </c>
      <c r="Q46" s="20">
        <v>0.498</v>
      </c>
      <c r="R46" s="20">
        <v>0.461</v>
      </c>
      <c r="S46" s="21">
        <v>0.43</v>
      </c>
    </row>
    <row r="47" spans="1:19" ht="12.75">
      <c r="A47" s="718"/>
      <c r="B47" s="35">
        <v>0</v>
      </c>
      <c r="C47" s="20">
        <v>1.571</v>
      </c>
      <c r="D47" s="20">
        <v>1.566</v>
      </c>
      <c r="E47" s="20">
        <v>1.554</v>
      </c>
      <c r="F47" s="20">
        <v>1.537</v>
      </c>
      <c r="G47" s="20">
        <v>1.475</v>
      </c>
      <c r="H47" s="20">
        <v>1.36</v>
      </c>
      <c r="I47" s="20">
        <v>1.256</v>
      </c>
      <c r="J47" s="20">
        <v>1.072</v>
      </c>
      <c r="K47" s="20">
        <v>0.929</v>
      </c>
      <c r="L47" s="20">
        <v>0.814</v>
      </c>
      <c r="M47" s="20">
        <v>0.726</v>
      </c>
      <c r="N47" s="20">
        <v>0.65</v>
      </c>
      <c r="O47" s="20">
        <v>0.592</v>
      </c>
      <c r="P47" s="20">
        <v>0.5419</v>
      </c>
      <c r="Q47" s="20">
        <v>0.4996</v>
      </c>
      <c r="R47" s="20">
        <v>0.4633</v>
      </c>
      <c r="S47" s="21">
        <v>0.4319</v>
      </c>
    </row>
    <row r="48" spans="1:19" ht="12.75">
      <c r="A48" s="718"/>
      <c r="B48" s="35">
        <v>1</v>
      </c>
      <c r="C48" s="20">
        <v>1.571</v>
      </c>
      <c r="D48" s="20">
        <v>1.566</v>
      </c>
      <c r="E48" s="20">
        <v>1.552</v>
      </c>
      <c r="F48" s="20">
        <v>1.531</v>
      </c>
      <c r="G48" s="20">
        <v>1.443</v>
      </c>
      <c r="H48" s="20">
        <v>1.328</v>
      </c>
      <c r="I48" s="20">
        <v>1.228</v>
      </c>
      <c r="J48" s="20">
        <v>1.053</v>
      </c>
      <c r="K48" s="20">
        <v>0.917</v>
      </c>
      <c r="L48" s="20">
        <v>0.808</v>
      </c>
      <c r="M48" s="20">
        <v>0.72</v>
      </c>
      <c r="N48" s="20">
        <v>0.648</v>
      </c>
      <c r="O48" s="20">
        <v>0.59</v>
      </c>
      <c r="P48" s="20">
        <v>0.54</v>
      </c>
      <c r="Q48" s="20">
        <v>0.498</v>
      </c>
      <c r="R48" s="20">
        <v>0.461</v>
      </c>
      <c r="S48" s="21">
        <v>0.43</v>
      </c>
    </row>
    <row r="49" spans="1:19" ht="12.75">
      <c r="A49" s="718"/>
      <c r="B49" s="35">
        <v>2</v>
      </c>
      <c r="C49" s="20">
        <v>1.571</v>
      </c>
      <c r="D49" s="20">
        <v>1.558</v>
      </c>
      <c r="E49" s="20">
        <v>1.528</v>
      </c>
      <c r="F49" s="20">
        <v>1.472</v>
      </c>
      <c r="G49" s="20">
        <v>1.368</v>
      </c>
      <c r="H49" s="20">
        <v>1.254</v>
      </c>
      <c r="I49" s="20">
        <v>1.161</v>
      </c>
      <c r="J49" s="20">
        <v>1.007</v>
      </c>
      <c r="K49" s="20">
        <v>0.884</v>
      </c>
      <c r="L49" s="20">
        <v>0.784</v>
      </c>
      <c r="M49" s="20">
        <v>0.702</v>
      </c>
      <c r="N49" s="20">
        <v>0.635</v>
      </c>
      <c r="O49" s="20">
        <v>0.58</v>
      </c>
      <c r="P49" s="20">
        <v>0.5326</v>
      </c>
      <c r="Q49" s="20">
        <v>0.4922</v>
      </c>
      <c r="R49" s="20">
        <v>0.4574</v>
      </c>
      <c r="S49" s="21">
        <v>0.4271</v>
      </c>
    </row>
    <row r="50" spans="1:19" ht="12.75">
      <c r="A50" s="718"/>
      <c r="B50" s="35">
        <v>3</v>
      </c>
      <c r="C50" s="20">
        <v>1.297</v>
      </c>
      <c r="D50" s="20">
        <v>1.292</v>
      </c>
      <c r="E50" s="20">
        <v>1.279</v>
      </c>
      <c r="F50" s="20">
        <v>1.256</v>
      </c>
      <c r="G50" s="20">
        <v>1.198</v>
      </c>
      <c r="H50" s="20">
        <v>1.122</v>
      </c>
      <c r="I50" s="20">
        <v>1.055</v>
      </c>
      <c r="J50" s="20">
        <v>0.934</v>
      </c>
      <c r="K50" s="20">
        <v>0.835</v>
      </c>
      <c r="L50" s="20">
        <v>0.749</v>
      </c>
      <c r="M50" s="20">
        <v>0.676</v>
      </c>
      <c r="N50" s="20">
        <v>0.617</v>
      </c>
      <c r="O50" s="20">
        <v>0.566</v>
      </c>
      <c r="P50" s="20">
        <v>0.52</v>
      </c>
      <c r="Q50" s="20">
        <v>0.484</v>
      </c>
      <c r="R50" s="20">
        <v>0.451</v>
      </c>
      <c r="S50" s="21">
        <v>0.422</v>
      </c>
    </row>
    <row r="51" spans="1:19" ht="12.75">
      <c r="A51" s="718"/>
      <c r="B51" s="35">
        <v>4</v>
      </c>
      <c r="C51" s="20">
        <v>1.079</v>
      </c>
      <c r="D51" s="20">
        <v>1.076</v>
      </c>
      <c r="E51" s="20">
        <v>1.069</v>
      </c>
      <c r="F51" s="20">
        <v>1.058</v>
      </c>
      <c r="G51" s="20">
        <v>1.031</v>
      </c>
      <c r="H51" s="20">
        <v>0.982</v>
      </c>
      <c r="I51" s="20">
        <v>0.94</v>
      </c>
      <c r="J51" s="20">
        <v>0.856</v>
      </c>
      <c r="K51" s="20">
        <v>0.778</v>
      </c>
      <c r="L51" s="20">
        <v>0.708</v>
      </c>
      <c r="M51" s="20">
        <v>0.646</v>
      </c>
      <c r="N51" s="20">
        <v>0.593</v>
      </c>
      <c r="O51" s="20">
        <v>0.548</v>
      </c>
      <c r="P51" s="20">
        <v>0.5076</v>
      </c>
      <c r="Q51" s="20">
        <v>0.4722</v>
      </c>
      <c r="R51" s="20">
        <v>0.4412</v>
      </c>
      <c r="S51" s="21">
        <v>0.4136</v>
      </c>
    </row>
    <row r="52" spans="1:19" ht="12.75">
      <c r="A52" s="718"/>
      <c r="B52" s="35">
        <v>5</v>
      </c>
      <c r="C52" s="20">
        <v>0.919</v>
      </c>
      <c r="D52" s="20">
        <v>0.916</v>
      </c>
      <c r="E52" s="20">
        <v>0.912</v>
      </c>
      <c r="F52" s="20">
        <v>0.907</v>
      </c>
      <c r="G52" s="20">
        <v>0.892</v>
      </c>
      <c r="H52" s="20">
        <v>0.867</v>
      </c>
      <c r="I52" s="20">
        <v>0.838</v>
      </c>
      <c r="J52" s="20">
        <v>0.778</v>
      </c>
      <c r="K52" s="20">
        <v>0.719</v>
      </c>
      <c r="L52" s="20">
        <v>0.663</v>
      </c>
      <c r="M52" s="20">
        <v>0.612</v>
      </c>
      <c r="N52" s="20">
        <v>0.566</v>
      </c>
      <c r="O52" s="20">
        <v>0.527</v>
      </c>
      <c r="P52" s="20">
        <v>0.491</v>
      </c>
      <c r="Q52" s="20">
        <v>0.46</v>
      </c>
      <c r="R52" s="20">
        <v>0.43</v>
      </c>
      <c r="S52" s="21">
        <v>0.405</v>
      </c>
    </row>
    <row r="53" spans="1:19" ht="13.5" thickBot="1">
      <c r="A53" s="719"/>
      <c r="B53" s="36">
        <v>6</v>
      </c>
      <c r="C53" s="20">
        <v>0.801</v>
      </c>
      <c r="D53" s="20">
        <v>0.798</v>
      </c>
      <c r="E53" s="20">
        <v>0.796</v>
      </c>
      <c r="F53" s="20">
        <v>0.791</v>
      </c>
      <c r="G53" s="20">
        <v>0.782</v>
      </c>
      <c r="H53" s="20">
        <v>0.765</v>
      </c>
      <c r="I53" s="20">
        <v>0.748</v>
      </c>
      <c r="J53" s="20">
        <v>0.706</v>
      </c>
      <c r="K53" s="20">
        <v>0.662</v>
      </c>
      <c r="L53" s="20">
        <v>0.619</v>
      </c>
      <c r="M53" s="20">
        <v>0.578</v>
      </c>
      <c r="N53" s="20">
        <v>0.54</v>
      </c>
      <c r="O53" s="20">
        <v>0.505</v>
      </c>
      <c r="P53" s="20">
        <v>0.4729</v>
      </c>
      <c r="Q53" s="20">
        <v>0.4438</v>
      </c>
      <c r="R53" s="20">
        <v>0.4175</v>
      </c>
      <c r="S53" s="21">
        <v>0.3937</v>
      </c>
    </row>
    <row r="54" spans="1:19" ht="13.5" thickBot="1">
      <c r="A54" s="781" t="s">
        <v>229</v>
      </c>
      <c r="B54" s="782"/>
      <c r="C54" s="782"/>
      <c r="D54" s="782"/>
      <c r="E54" s="782"/>
      <c r="F54" s="782"/>
      <c r="G54" s="782"/>
      <c r="H54" s="782"/>
      <c r="I54" s="782"/>
      <c r="J54" s="782"/>
      <c r="K54" s="782"/>
      <c r="L54" s="782"/>
      <c r="M54" s="782"/>
      <c r="N54" s="782"/>
      <c r="O54" s="782"/>
      <c r="P54" s="782"/>
      <c r="Q54" s="782"/>
      <c r="R54" s="782"/>
      <c r="S54" s="783"/>
    </row>
    <row r="55" spans="1:19" ht="13.5" thickBot="1">
      <c r="A55" s="19"/>
      <c r="B55" s="629" t="s">
        <v>119</v>
      </c>
      <c r="C55" s="629"/>
      <c r="D55" s="629"/>
      <c r="E55" s="629"/>
      <c r="F55" s="629"/>
      <c r="G55" s="629"/>
      <c r="H55" s="629"/>
      <c r="I55" s="629"/>
      <c r="J55" s="629"/>
      <c r="K55" s="629"/>
      <c r="L55" s="629"/>
      <c r="M55" s="629"/>
      <c r="N55" s="629"/>
      <c r="O55" s="629"/>
      <c r="P55" s="629"/>
      <c r="Q55" s="629"/>
      <c r="R55" s="629"/>
      <c r="S55" s="715"/>
    </row>
    <row r="56" spans="1:19" ht="12.75">
      <c r="A56" s="718" t="s">
        <v>109</v>
      </c>
      <c r="B56" s="34"/>
      <c r="C56" s="30">
        <v>0</v>
      </c>
      <c r="D56" s="30">
        <v>0.2</v>
      </c>
      <c r="E56" s="30">
        <v>0.4</v>
      </c>
      <c r="F56" s="30">
        <v>0.6</v>
      </c>
      <c r="G56" s="30">
        <v>1</v>
      </c>
      <c r="H56" s="30">
        <v>1.5</v>
      </c>
      <c r="I56" s="30">
        <v>2</v>
      </c>
      <c r="J56" s="30">
        <v>3</v>
      </c>
      <c r="K56" s="30">
        <v>4</v>
      </c>
      <c r="L56" s="30">
        <v>5</v>
      </c>
      <c r="M56" s="30">
        <v>6</v>
      </c>
      <c r="N56" s="30">
        <v>7</v>
      </c>
      <c r="O56" s="30">
        <v>8</v>
      </c>
      <c r="P56" s="30">
        <v>9</v>
      </c>
      <c r="Q56" s="30">
        <v>10</v>
      </c>
      <c r="R56" s="30">
        <v>11</v>
      </c>
      <c r="S56" s="31">
        <v>12</v>
      </c>
    </row>
    <row r="57" spans="1:19" ht="12.75">
      <c r="A57" s="718"/>
      <c r="B57" s="35">
        <v>-3</v>
      </c>
      <c r="C57" s="20">
        <v>1.252</v>
      </c>
      <c r="D57" s="20">
        <v>1.248</v>
      </c>
      <c r="E57" s="20">
        <v>1.239</v>
      </c>
      <c r="F57" s="20">
        <v>1.223</v>
      </c>
      <c r="G57" s="20">
        <v>1.175</v>
      </c>
      <c r="H57" s="20">
        <v>1.1</v>
      </c>
      <c r="I57" s="20">
        <v>1.03</v>
      </c>
      <c r="J57" s="20">
        <v>0.911</v>
      </c>
      <c r="K57" s="20">
        <v>0.811</v>
      </c>
      <c r="L57" s="20">
        <v>0.726</v>
      </c>
      <c r="M57" s="20">
        <v>0.655</v>
      </c>
      <c r="N57" s="20">
        <v>0.598</v>
      </c>
      <c r="O57" s="20">
        <v>0.55</v>
      </c>
      <c r="P57" s="20">
        <v>0.509</v>
      </c>
      <c r="Q57" s="20">
        <v>0.47</v>
      </c>
      <c r="R57" s="20">
        <v>0.438</v>
      </c>
      <c r="S57" s="21">
        <v>0.41</v>
      </c>
    </row>
    <row r="58" spans="1:19" ht="12.75">
      <c r="A58" s="718"/>
      <c r="B58" s="35">
        <v>-2</v>
      </c>
      <c r="C58" s="20">
        <v>1.571</v>
      </c>
      <c r="D58" s="20">
        <v>1.562</v>
      </c>
      <c r="E58" s="20">
        <v>1.533</v>
      </c>
      <c r="F58" s="20">
        <v>1.451</v>
      </c>
      <c r="G58" s="20">
        <v>1.345</v>
      </c>
      <c r="H58" s="20">
        <v>1.232</v>
      </c>
      <c r="I58" s="20">
        <v>1.138</v>
      </c>
      <c r="J58" s="20">
        <v>0.982</v>
      </c>
      <c r="K58" s="20">
        <v>0.859</v>
      </c>
      <c r="L58" s="20">
        <v>0.761</v>
      </c>
      <c r="M58" s="20">
        <v>0.681</v>
      </c>
      <c r="N58" s="20">
        <v>0.617</v>
      </c>
      <c r="O58" s="20">
        <v>0.563</v>
      </c>
      <c r="P58" s="20">
        <v>0.5167</v>
      </c>
      <c r="Q58" s="20">
        <v>0.4775</v>
      </c>
      <c r="R58" s="20">
        <v>0.4475</v>
      </c>
      <c r="S58" s="21">
        <v>0.4143</v>
      </c>
    </row>
    <row r="59" spans="1:19" ht="12.75">
      <c r="A59" s="718"/>
      <c r="B59" s="35">
        <v>-1</v>
      </c>
      <c r="C59" s="20">
        <v>1.571</v>
      </c>
      <c r="D59" s="20">
        <v>1.567</v>
      </c>
      <c r="E59" s="20">
        <v>1.555</v>
      </c>
      <c r="F59" s="20">
        <v>1.53</v>
      </c>
      <c r="G59" s="20">
        <v>1.436</v>
      </c>
      <c r="H59" s="20">
        <v>1.31</v>
      </c>
      <c r="I59" s="20">
        <v>1.203</v>
      </c>
      <c r="J59" s="20">
        <v>1.027</v>
      </c>
      <c r="K59" s="20">
        <v>0.889</v>
      </c>
      <c r="L59" s="20">
        <v>0.782</v>
      </c>
      <c r="M59" s="20">
        <v>0.697</v>
      </c>
      <c r="N59" s="20">
        <v>0.627</v>
      </c>
      <c r="O59" s="20">
        <v>0.572</v>
      </c>
      <c r="P59" s="20">
        <v>0.522</v>
      </c>
      <c r="Q59" s="20">
        <v>0.483</v>
      </c>
      <c r="R59" s="20">
        <v>0.448</v>
      </c>
      <c r="S59" s="21">
        <v>0.418</v>
      </c>
    </row>
    <row r="60" spans="1:19" ht="12.75">
      <c r="A60" s="718"/>
      <c r="B60" s="35">
        <v>0</v>
      </c>
      <c r="C60" s="20">
        <v>1.571</v>
      </c>
      <c r="D60" s="20">
        <v>1.567</v>
      </c>
      <c r="E60" s="20">
        <v>1.557</v>
      </c>
      <c r="F60" s="20">
        <v>1.538</v>
      </c>
      <c r="G60" s="20">
        <v>1.472</v>
      </c>
      <c r="H60" s="20">
        <v>1.348</v>
      </c>
      <c r="I60" s="20">
        <v>1.238</v>
      </c>
      <c r="J60" s="20">
        <v>1.049</v>
      </c>
      <c r="K60" s="20">
        <v>0.903</v>
      </c>
      <c r="L60" s="20">
        <v>0.791</v>
      </c>
      <c r="M60" s="20">
        <v>0.701</v>
      </c>
      <c r="N60" s="20">
        <v>0.63</v>
      </c>
      <c r="O60" s="20">
        <v>0.574</v>
      </c>
      <c r="P60" s="20">
        <v>0.5256</v>
      </c>
      <c r="Q60" s="20">
        <v>0.4846</v>
      </c>
      <c r="R60" s="20">
        <v>0.4494</v>
      </c>
      <c r="S60" s="21">
        <v>0.4189</v>
      </c>
    </row>
    <row r="61" spans="1:19" ht="12.75">
      <c r="A61" s="718"/>
      <c r="B61" s="35">
        <v>1</v>
      </c>
      <c r="C61" s="20">
        <v>1.571</v>
      </c>
      <c r="D61" s="20">
        <v>1.567</v>
      </c>
      <c r="E61" s="20">
        <v>1.555</v>
      </c>
      <c r="F61" s="20">
        <v>1.53</v>
      </c>
      <c r="G61" s="20">
        <v>1.436</v>
      </c>
      <c r="H61" s="20">
        <v>1.31</v>
      </c>
      <c r="I61" s="20">
        <v>1.203</v>
      </c>
      <c r="J61" s="20">
        <v>1.027</v>
      </c>
      <c r="K61" s="20">
        <v>0.889</v>
      </c>
      <c r="L61" s="20">
        <v>0.782</v>
      </c>
      <c r="M61" s="20">
        <v>0.697</v>
      </c>
      <c r="N61" s="20">
        <v>0.627</v>
      </c>
      <c r="O61" s="20">
        <v>0.572</v>
      </c>
      <c r="P61" s="20">
        <v>0.522</v>
      </c>
      <c r="Q61" s="20">
        <v>0.483</v>
      </c>
      <c r="R61" s="20">
        <v>0.448</v>
      </c>
      <c r="S61" s="21" t="s">
        <v>105</v>
      </c>
    </row>
    <row r="62" spans="1:19" ht="12.75">
      <c r="A62" s="718"/>
      <c r="B62" s="35">
        <v>2</v>
      </c>
      <c r="C62" s="20">
        <v>1.571</v>
      </c>
      <c r="D62" s="20">
        <v>1.562</v>
      </c>
      <c r="E62" s="20">
        <v>1.533</v>
      </c>
      <c r="F62" s="20">
        <v>1.451</v>
      </c>
      <c r="G62" s="20">
        <v>1.345</v>
      </c>
      <c r="H62" s="20">
        <v>1.232</v>
      </c>
      <c r="I62" s="20">
        <v>1.138</v>
      </c>
      <c r="J62" s="20">
        <v>0.982</v>
      </c>
      <c r="K62" s="20">
        <v>0.859</v>
      </c>
      <c r="L62" s="20">
        <v>0.761</v>
      </c>
      <c r="M62" s="20">
        <v>0.681</v>
      </c>
      <c r="N62" s="20">
        <v>0.617</v>
      </c>
      <c r="O62" s="20">
        <v>0.563</v>
      </c>
      <c r="P62" s="20">
        <v>0.5167</v>
      </c>
      <c r="Q62" s="20">
        <v>0.4775</v>
      </c>
      <c r="R62" s="20">
        <v>0.4475</v>
      </c>
      <c r="S62" s="21">
        <v>0.4143</v>
      </c>
    </row>
    <row r="63" spans="1:19" ht="12.75">
      <c r="A63" s="718"/>
      <c r="B63" s="35">
        <v>3</v>
      </c>
      <c r="C63" s="20">
        <v>1.252</v>
      </c>
      <c r="D63" s="20">
        <v>1.248</v>
      </c>
      <c r="E63" s="20">
        <v>1.239</v>
      </c>
      <c r="F63" s="20">
        <v>1.223</v>
      </c>
      <c r="G63" s="20">
        <v>1.175</v>
      </c>
      <c r="H63" s="20">
        <v>1.1</v>
      </c>
      <c r="I63" s="20">
        <v>1.03</v>
      </c>
      <c r="J63" s="20">
        <v>0.911</v>
      </c>
      <c r="K63" s="20">
        <v>0.811</v>
      </c>
      <c r="L63" s="20">
        <v>0.726</v>
      </c>
      <c r="M63" s="20">
        <v>0.655</v>
      </c>
      <c r="N63" s="20">
        <v>0.598</v>
      </c>
      <c r="O63" s="20">
        <v>0.55</v>
      </c>
      <c r="P63" s="20">
        <v>0.509</v>
      </c>
      <c r="Q63" s="20">
        <v>0.47</v>
      </c>
      <c r="R63" s="20">
        <v>0.438</v>
      </c>
      <c r="S63" s="21">
        <v>0.41</v>
      </c>
    </row>
    <row r="64" spans="1:19" ht="12.75">
      <c r="A64" s="718"/>
      <c r="B64" s="35">
        <v>4</v>
      </c>
      <c r="C64" s="20">
        <v>1.026</v>
      </c>
      <c r="D64" s="20">
        <v>1.024</v>
      </c>
      <c r="E64" s="20">
        <v>1.021</v>
      </c>
      <c r="F64" s="20">
        <v>1.012</v>
      </c>
      <c r="G64" s="20">
        <v>0.992</v>
      </c>
      <c r="H64" s="20">
        <v>0.952</v>
      </c>
      <c r="I64" s="20">
        <v>0.913</v>
      </c>
      <c r="J64" s="20">
        <v>0.83</v>
      </c>
      <c r="K64" s="20">
        <v>0.754</v>
      </c>
      <c r="L64" s="20">
        <v>0.686</v>
      </c>
      <c r="M64" s="20">
        <v>0.624</v>
      </c>
      <c r="N64" s="20">
        <v>0.573</v>
      </c>
      <c r="O64" s="20">
        <v>0.532</v>
      </c>
      <c r="P64" s="20">
        <v>0.4927</v>
      </c>
      <c r="Q64" s="20">
        <v>0.4584</v>
      </c>
      <c r="R64" s="20">
        <v>0.4282</v>
      </c>
      <c r="S64" s="21">
        <v>0.4015</v>
      </c>
    </row>
    <row r="65" spans="1:19" ht="12.75">
      <c r="A65" s="718"/>
      <c r="B65" s="35">
        <v>5</v>
      </c>
      <c r="C65" s="20">
        <v>0.872</v>
      </c>
      <c r="D65" s="20">
        <v>0.87</v>
      </c>
      <c r="E65" s="20">
        <v>0.868</v>
      </c>
      <c r="F65" s="20">
        <v>0.863</v>
      </c>
      <c r="G65" s="20">
        <v>0.853</v>
      </c>
      <c r="H65" s="20">
        <v>0.834</v>
      </c>
      <c r="I65" s="20">
        <v>0.812</v>
      </c>
      <c r="J65" s="20">
        <v>0.755</v>
      </c>
      <c r="K65" s="20">
        <v>0.696</v>
      </c>
      <c r="L65" s="20">
        <v>0.641</v>
      </c>
      <c r="M65" s="20">
        <v>0.591</v>
      </c>
      <c r="N65" s="20">
        <v>0.548</v>
      </c>
      <c r="O65" s="20">
        <v>0.512</v>
      </c>
      <c r="P65" s="20">
        <v>0.477</v>
      </c>
      <c r="Q65" s="20">
        <v>0.445</v>
      </c>
      <c r="R65" s="20">
        <v>0.417</v>
      </c>
      <c r="S65" s="21">
        <v>0.393</v>
      </c>
    </row>
    <row r="66" spans="1:19" ht="13.5" thickBot="1">
      <c r="A66" s="719"/>
      <c r="B66" s="36">
        <v>6</v>
      </c>
      <c r="C66" s="22">
        <v>0.752</v>
      </c>
      <c r="D66" s="22">
        <v>0.752</v>
      </c>
      <c r="E66" s="22">
        <v>0.751</v>
      </c>
      <c r="F66" s="22">
        <v>0.75</v>
      </c>
      <c r="G66" s="22">
        <v>0.746</v>
      </c>
      <c r="H66" s="22">
        <v>0.738</v>
      </c>
      <c r="I66" s="22">
        <v>0.723</v>
      </c>
      <c r="J66" s="22">
        <v>0.682</v>
      </c>
      <c r="K66" s="22">
        <v>0.642</v>
      </c>
      <c r="L66" s="22">
        <v>0.599</v>
      </c>
      <c r="M66" s="22">
        <v>0.56</v>
      </c>
      <c r="N66" s="22">
        <v>0.522</v>
      </c>
      <c r="O66" s="22">
        <v>0.49</v>
      </c>
      <c r="P66" s="22">
        <v>0.4591</v>
      </c>
      <c r="Q66" s="22">
        <v>0.4309</v>
      </c>
      <c r="R66" s="22">
        <v>0.4054</v>
      </c>
      <c r="S66" s="23">
        <v>0.3823</v>
      </c>
    </row>
    <row r="67" spans="1:19" ht="13.5" thickBot="1">
      <c r="A67" s="643" t="s">
        <v>231</v>
      </c>
      <c r="B67" s="688"/>
      <c r="C67" s="644"/>
      <c r="D67" s="643" t="s">
        <v>232</v>
      </c>
      <c r="E67" s="688"/>
      <c r="F67" s="644"/>
      <c r="G67" s="643" t="s">
        <v>233</v>
      </c>
      <c r="H67" s="688"/>
      <c r="I67" s="644"/>
      <c r="J67" s="577" t="s">
        <v>234</v>
      </c>
      <c r="K67" s="577"/>
      <c r="L67" s="792"/>
      <c r="M67" s="577" t="s">
        <v>650</v>
      </c>
      <c r="N67" s="577"/>
      <c r="O67" s="792"/>
      <c r="P67" s="577" t="s">
        <v>651</v>
      </c>
      <c r="Q67" s="577"/>
      <c r="R67" s="792"/>
      <c r="S67" s="47"/>
    </row>
    <row r="68" spans="1:19" ht="13.5" thickBot="1">
      <c r="A68" s="32" t="s">
        <v>329</v>
      </c>
      <c r="B68" s="791" t="s">
        <v>230</v>
      </c>
      <c r="C68" s="715"/>
      <c r="D68" s="32" t="s">
        <v>329</v>
      </c>
      <c r="E68" s="791" t="s">
        <v>230</v>
      </c>
      <c r="F68" s="715"/>
      <c r="G68" s="32" t="s">
        <v>329</v>
      </c>
      <c r="H68" s="791" t="s">
        <v>230</v>
      </c>
      <c r="I68" s="715"/>
      <c r="J68" s="46" t="s">
        <v>329</v>
      </c>
      <c r="K68" s="791" t="s">
        <v>230</v>
      </c>
      <c r="L68" s="715"/>
      <c r="M68" s="32" t="s">
        <v>329</v>
      </c>
      <c r="N68" s="791" t="s">
        <v>230</v>
      </c>
      <c r="O68" s="715"/>
      <c r="P68" s="32" t="s">
        <v>329</v>
      </c>
      <c r="Q68" s="791" t="s">
        <v>230</v>
      </c>
      <c r="R68" s="715"/>
      <c r="S68" s="47"/>
    </row>
    <row r="69" spans="1:19" ht="12.75">
      <c r="A69" s="38">
        <v>0</v>
      </c>
      <c r="B69" s="787" t="e">
        <f>DITP('Coeficientes Longitudinais'!$C$7,'Coeficientes Longitudinais'!$C$10,$B$4:$S$14)</f>
        <v>#NAME?</v>
      </c>
      <c r="C69" s="788"/>
      <c r="D69" s="38">
        <v>0</v>
      </c>
      <c r="E69" s="787" t="e">
        <f>DITP('Coeficientes Longitudinais'!$C$20,'Coeficientes Longitudinais'!$C$21,$B$4:$S$14)</f>
        <v>#NAME?</v>
      </c>
      <c r="F69" s="788"/>
      <c r="G69" s="38">
        <v>0</v>
      </c>
      <c r="H69" s="787" t="e">
        <f>DITP('Coeficientes Longitudinais'!$C$29,'Coeficientes Longitudinais'!$C$32,$B$4:$S$14)</f>
        <v>#NAME?</v>
      </c>
      <c r="I69" s="788"/>
      <c r="J69" s="39">
        <v>0</v>
      </c>
      <c r="K69" s="787" t="e">
        <f>DITP('Coeficientes Latero-Direcionais'!$K$13,'Coeficientes Latero-Direcionais'!$K$14,B4:S14)</f>
        <v>#NAME?</v>
      </c>
      <c r="L69" s="788"/>
      <c r="M69" s="25">
        <v>0</v>
      </c>
      <c r="N69" s="789" t="e">
        <f>DITP('Coeficientes Longitudinais'!$C$50,'Coeficientes Longitudinais'!$C$49,'ESDU 70011'!B4:S14)</f>
        <v>#NAME?</v>
      </c>
      <c r="O69" s="790"/>
      <c r="P69" s="25">
        <v>0</v>
      </c>
      <c r="Q69" s="789" t="e">
        <f>DITP('Coeficientes Longitudinais'!$C$62,'Coeficientes Longitudinais'!$C$61,'ESDU 70011'!B4:S14)</f>
        <v>#NAME?</v>
      </c>
      <c r="R69" s="790"/>
      <c r="S69" s="47"/>
    </row>
    <row r="70" spans="1:19" ht="12.75">
      <c r="A70" s="25">
        <v>0.125</v>
      </c>
      <c r="B70" s="789" t="e">
        <f>DITP('Coeficientes Longitudinais'!$C$7,'Coeficientes Longitudinais'!$C$10,$B$17:$S$27)</f>
        <v>#NAME?</v>
      </c>
      <c r="C70" s="790"/>
      <c r="D70" s="25">
        <v>0.125</v>
      </c>
      <c r="E70" s="789" t="e">
        <f>DITP('Coeficientes Longitudinais'!$C$20,'Coeficientes Longitudinais'!$C$21,$B$17:$S$27)</f>
        <v>#NAME?</v>
      </c>
      <c r="F70" s="790"/>
      <c r="G70" s="25">
        <v>0.125</v>
      </c>
      <c r="H70" s="789" t="e">
        <f>DITP('Coeficientes Longitudinais'!$C$29,'Coeficientes Longitudinais'!$C$32,$B$17:$S$27)</f>
        <v>#NAME?</v>
      </c>
      <c r="I70" s="790"/>
      <c r="J70" s="20">
        <v>0.125</v>
      </c>
      <c r="K70" s="789" t="e">
        <f>DITP('Coeficientes Latero-Direcionais'!$K$13,'Coeficientes Latero-Direcionais'!$K$14,B17:S27)</f>
        <v>#NAME?</v>
      </c>
      <c r="L70" s="790"/>
      <c r="M70" s="25">
        <v>0.125</v>
      </c>
      <c r="N70" s="793" t="e">
        <f>DITP('Coeficientes Longitudinais'!$C$50,'Coeficientes Longitudinais'!$C$49,'ESDU 70011'!B17:S27)</f>
        <v>#NAME?</v>
      </c>
      <c r="O70" s="790"/>
      <c r="P70" s="25">
        <v>0.125</v>
      </c>
      <c r="Q70" s="789" t="e">
        <f>DITP('Coeficientes Longitudinais'!$C$62,'Coeficientes Longitudinais'!$C$61,'ESDU 70011'!B17:S27)</f>
        <v>#NAME?</v>
      </c>
      <c r="R70" s="790"/>
      <c r="S70" s="47"/>
    </row>
    <row r="71" spans="1:19" ht="12.75">
      <c r="A71" s="25">
        <v>0.25</v>
      </c>
      <c r="B71" s="789" t="e">
        <f>DITP('Coeficientes Longitudinais'!$C$7,'Coeficientes Longitudinais'!$C$10,$B$30:$S$40)</f>
        <v>#NAME?</v>
      </c>
      <c r="C71" s="790"/>
      <c r="D71" s="25">
        <v>0.25</v>
      </c>
      <c r="E71" s="789" t="e">
        <f>DITP('Coeficientes Longitudinais'!$C$20,'Coeficientes Longitudinais'!$C$21,$B$30:$S$40)</f>
        <v>#NAME?</v>
      </c>
      <c r="F71" s="790"/>
      <c r="G71" s="25">
        <v>0.25</v>
      </c>
      <c r="H71" s="789" t="e">
        <f>DITP('Coeficientes Longitudinais'!$C$29,'Coeficientes Longitudinais'!$C$32,$B$30:$S$40)</f>
        <v>#NAME?</v>
      </c>
      <c r="I71" s="790"/>
      <c r="J71" s="20">
        <v>0.25</v>
      </c>
      <c r="K71" s="789" t="e">
        <f>DITP('Coeficientes Latero-Direcionais'!$K$13,'Coeficientes Latero-Direcionais'!$K$14,B30:S40)</f>
        <v>#NAME?</v>
      </c>
      <c r="L71" s="790"/>
      <c r="M71" s="25">
        <v>0.25</v>
      </c>
      <c r="N71" s="793" t="e">
        <f>DITP('Coeficientes Longitudinais'!$C$50,'Coeficientes Longitudinais'!$C$49,'ESDU 70011'!B30:S40)</f>
        <v>#NAME?</v>
      </c>
      <c r="O71" s="790"/>
      <c r="P71" s="25">
        <v>0.25</v>
      </c>
      <c r="Q71" s="789" t="e">
        <f>DITP('Coeficientes Longitudinais'!$C$62,'Coeficientes Longitudinais'!$C$61,'ESDU 70011'!B30:S40)</f>
        <v>#NAME?</v>
      </c>
      <c r="R71" s="790"/>
      <c r="S71" s="47"/>
    </row>
    <row r="72" spans="1:19" ht="12.75">
      <c r="A72" s="25">
        <v>0.5</v>
      </c>
      <c r="B72" s="789" t="e">
        <f>DITP('Coeficientes Longitudinais'!$C$7,'Coeficientes Longitudinais'!$C$10,$B$43:$S$53)</f>
        <v>#NAME?</v>
      </c>
      <c r="C72" s="790"/>
      <c r="D72" s="25">
        <v>0.5</v>
      </c>
      <c r="E72" s="789" t="e">
        <f>DITP('Coeficientes Longitudinais'!$C$20,'Coeficientes Longitudinais'!$C$21,$B$43:$S$53)</f>
        <v>#NAME?</v>
      </c>
      <c r="F72" s="790"/>
      <c r="G72" s="25">
        <v>0.5</v>
      </c>
      <c r="H72" s="789" t="e">
        <f>DITP('Coeficientes Longitudinais'!$C$29,'Coeficientes Longitudinais'!$C$32,$B$43:$S$53)</f>
        <v>#NAME?</v>
      </c>
      <c r="I72" s="790"/>
      <c r="J72" s="20">
        <v>0.5</v>
      </c>
      <c r="K72" s="789" t="e">
        <f>DITP('Coeficientes Latero-Direcionais'!$K$13,'Coeficientes Latero-Direcionais'!$K$14,B43:S53)</f>
        <v>#NAME?</v>
      </c>
      <c r="L72" s="790"/>
      <c r="M72" s="25">
        <v>0.5</v>
      </c>
      <c r="N72" s="793" t="e">
        <f>DITP('Coeficientes Longitudinais'!$C$50,'Coeficientes Longitudinais'!$C$49,'ESDU 70011'!B43:S53)</f>
        <v>#NAME?</v>
      </c>
      <c r="O72" s="790"/>
      <c r="P72" s="25">
        <v>0.5</v>
      </c>
      <c r="Q72" s="789" t="e">
        <f>DITP('Coeficientes Longitudinais'!$C$62,'Coeficientes Longitudinais'!$C$61,'ESDU 70011'!B43:S53)</f>
        <v>#NAME?</v>
      </c>
      <c r="R72" s="790"/>
      <c r="S72" s="47"/>
    </row>
    <row r="73" spans="1:19" ht="13.5" thickBot="1">
      <c r="A73" s="27">
        <v>1</v>
      </c>
      <c r="B73" s="785" t="e">
        <f>DITP('Coeficientes Longitudinais'!$C$7,'Coeficientes Longitudinais'!$C$10,$B$56:$S$66)</f>
        <v>#NAME?</v>
      </c>
      <c r="C73" s="786"/>
      <c r="D73" s="27">
        <v>1</v>
      </c>
      <c r="E73" s="785" t="e">
        <f>DITP('Coeficientes Longitudinais'!$C$20,'Coeficientes Longitudinais'!$C$21,$B$56:$S$66)</f>
        <v>#NAME?</v>
      </c>
      <c r="F73" s="786"/>
      <c r="G73" s="27">
        <v>1</v>
      </c>
      <c r="H73" s="785" t="e">
        <f>DITP('Coeficientes Longitudinais'!$C$29,'Coeficientes Longitudinais'!$C$32,$B$56:$S$66)</f>
        <v>#NAME?</v>
      </c>
      <c r="I73" s="786"/>
      <c r="J73" s="22">
        <v>1</v>
      </c>
      <c r="K73" s="785" t="e">
        <f>DITP('Coeficientes Latero-Direcionais'!$K$13,'Coeficientes Latero-Direcionais'!$K$14,B56:S66)</f>
        <v>#NAME?</v>
      </c>
      <c r="L73" s="786"/>
      <c r="M73" s="27">
        <v>1</v>
      </c>
      <c r="N73" s="785" t="e">
        <f>DITP('Coeficientes Longitudinais'!$C$50,'Coeficientes Longitudinais'!$C$49,'ESDU 70011'!B56:S66)</f>
        <v>#NAME?</v>
      </c>
      <c r="O73" s="786"/>
      <c r="P73" s="27">
        <v>1</v>
      </c>
      <c r="Q73" s="785" t="e">
        <f>DITP('Coeficientes Longitudinais'!$C$62,'Coeficientes Longitudinais'!$C$61,'ESDU 70011'!B56:S66)</f>
        <v>#NAME?</v>
      </c>
      <c r="R73" s="786"/>
      <c r="S73" s="48"/>
    </row>
    <row r="74" spans="1:19" ht="13.5" thickBot="1">
      <c r="A74" s="777" t="s">
        <v>217</v>
      </c>
      <c r="B74" s="778"/>
      <c r="C74" s="778"/>
      <c r="D74" s="778"/>
      <c r="E74" s="778"/>
      <c r="F74" s="778"/>
      <c r="G74" s="778"/>
      <c r="H74" s="778"/>
      <c r="I74" s="778"/>
      <c r="J74" s="778"/>
      <c r="K74" s="778"/>
      <c r="L74" s="778"/>
      <c r="M74" s="779"/>
      <c r="N74" s="779"/>
      <c r="O74" s="779"/>
      <c r="P74" s="779"/>
      <c r="Q74" s="778"/>
      <c r="R74" s="778"/>
      <c r="S74" s="780"/>
    </row>
    <row r="75" spans="1:19" ht="13.5" thickBot="1">
      <c r="A75" s="19"/>
      <c r="B75" s="628" t="s">
        <v>119</v>
      </c>
      <c r="C75" s="629"/>
      <c r="D75" s="629"/>
      <c r="E75" s="629"/>
      <c r="F75" s="629"/>
      <c r="G75" s="629"/>
      <c r="H75" s="629"/>
      <c r="I75" s="629"/>
      <c r="J75" s="629"/>
      <c r="K75" s="629"/>
      <c r="L75" s="629"/>
      <c r="M75" s="629"/>
      <c r="N75" s="629"/>
      <c r="O75" s="629"/>
      <c r="P75" s="629"/>
      <c r="Q75" s="629"/>
      <c r="R75" s="629"/>
      <c r="S75" s="715"/>
    </row>
    <row r="76" spans="1:19" ht="12.75">
      <c r="A76" s="765" t="s">
        <v>45</v>
      </c>
      <c r="B76" s="34"/>
      <c r="C76" s="30">
        <v>0</v>
      </c>
      <c r="D76" s="30">
        <v>0.2</v>
      </c>
      <c r="E76" s="30">
        <v>0.4</v>
      </c>
      <c r="F76" s="30">
        <v>0.6</v>
      </c>
      <c r="G76" s="30">
        <v>1</v>
      </c>
      <c r="H76" s="30">
        <v>1.5</v>
      </c>
      <c r="I76" s="30">
        <v>2</v>
      </c>
      <c r="J76" s="30">
        <v>3</v>
      </c>
      <c r="K76" s="30">
        <v>4</v>
      </c>
      <c r="L76" s="30">
        <v>5</v>
      </c>
      <c r="M76" s="30">
        <v>6</v>
      </c>
      <c r="N76" s="30">
        <v>7</v>
      </c>
      <c r="O76" s="30">
        <v>8</v>
      </c>
      <c r="P76" s="30">
        <v>9</v>
      </c>
      <c r="Q76" s="30">
        <v>10</v>
      </c>
      <c r="R76" s="30">
        <v>11</v>
      </c>
      <c r="S76" s="31">
        <v>12</v>
      </c>
    </row>
    <row r="77" spans="1:19" ht="12.75">
      <c r="A77" s="765"/>
      <c r="B77" s="35">
        <v>0</v>
      </c>
      <c r="C77" s="20">
        <v>0.25</v>
      </c>
      <c r="D77" s="20">
        <v>0.253</v>
      </c>
      <c r="E77" s="20">
        <v>0.255</v>
      </c>
      <c r="F77" s="20">
        <v>0.257</v>
      </c>
      <c r="G77" s="20">
        <v>0.26</v>
      </c>
      <c r="H77" s="20">
        <v>0.261</v>
      </c>
      <c r="I77" s="20">
        <v>0.2625</v>
      </c>
      <c r="J77" s="20">
        <v>0.262</v>
      </c>
      <c r="K77" s="20">
        <v>0.262</v>
      </c>
      <c r="L77" s="20">
        <v>0.262</v>
      </c>
      <c r="M77" s="20">
        <v>0.261</v>
      </c>
      <c r="N77" s="20">
        <v>0.261</v>
      </c>
      <c r="O77" s="20">
        <v>0.26</v>
      </c>
      <c r="P77" s="20">
        <v>0.259</v>
      </c>
      <c r="Q77" s="20">
        <v>0.258</v>
      </c>
      <c r="R77" s="20">
        <v>0.2575</v>
      </c>
      <c r="S77" s="21">
        <v>0.257</v>
      </c>
    </row>
    <row r="78" spans="1:19" ht="12.75">
      <c r="A78" s="765"/>
      <c r="B78" s="35">
        <v>0.25</v>
      </c>
      <c r="C78" s="20">
        <v>0.144</v>
      </c>
      <c r="D78" s="20">
        <v>0.162</v>
      </c>
      <c r="E78" s="20">
        <v>0.175</v>
      </c>
      <c r="F78" s="20">
        <v>0.186</v>
      </c>
      <c r="G78" s="20">
        <v>0.203</v>
      </c>
      <c r="H78" s="20">
        <v>0.217</v>
      </c>
      <c r="I78" s="20">
        <v>0.227</v>
      </c>
      <c r="J78" s="20">
        <v>0.237</v>
      </c>
      <c r="K78" s="20">
        <v>0.243</v>
      </c>
      <c r="L78" s="20">
        <v>0.245</v>
      </c>
      <c r="M78" s="20">
        <v>0.246</v>
      </c>
      <c r="N78" s="20">
        <v>0.2475</v>
      </c>
      <c r="O78" s="20">
        <v>0.249</v>
      </c>
      <c r="P78" s="20">
        <v>0.249</v>
      </c>
      <c r="Q78" s="20">
        <v>0.249</v>
      </c>
      <c r="R78" s="20">
        <v>0.249</v>
      </c>
      <c r="S78" s="21">
        <v>0.249</v>
      </c>
    </row>
    <row r="79" spans="1:19" ht="12.75">
      <c r="A79" s="765"/>
      <c r="B79" s="35">
        <v>0.5</v>
      </c>
      <c r="C79" s="20">
        <v>0.07</v>
      </c>
      <c r="D79" s="20">
        <v>0.108</v>
      </c>
      <c r="E79" s="20">
        <v>0.13</v>
      </c>
      <c r="F79" s="20">
        <v>0.148</v>
      </c>
      <c r="G79" s="20">
        <v>0.174</v>
      </c>
      <c r="H79" s="20">
        <v>0.195</v>
      </c>
      <c r="I79" s="20">
        <v>0.209</v>
      </c>
      <c r="J79" s="20">
        <v>0.224</v>
      </c>
      <c r="K79" s="20">
        <v>0.232</v>
      </c>
      <c r="L79" s="20">
        <v>0.236</v>
      </c>
      <c r="M79" s="20">
        <v>0.239</v>
      </c>
      <c r="N79" s="20">
        <v>0.24</v>
      </c>
      <c r="O79" s="20">
        <v>0.242</v>
      </c>
      <c r="P79" s="20">
        <v>0.243</v>
      </c>
      <c r="Q79" s="20">
        <v>0.244</v>
      </c>
      <c r="R79" s="20">
        <v>0.245</v>
      </c>
      <c r="S79" s="21">
        <v>0.245</v>
      </c>
    </row>
    <row r="80" spans="1:19" ht="12.75">
      <c r="A80" s="765"/>
      <c r="B80" s="35">
        <v>0.75</v>
      </c>
      <c r="C80" s="20">
        <v>0.028</v>
      </c>
      <c r="D80" s="20">
        <v>0.074</v>
      </c>
      <c r="E80" s="20">
        <v>0.11</v>
      </c>
      <c r="F80" s="20">
        <v>0.133</v>
      </c>
      <c r="G80" s="20">
        <v>0.165</v>
      </c>
      <c r="H80" s="20">
        <v>0.189</v>
      </c>
      <c r="I80" s="20">
        <v>0.205</v>
      </c>
      <c r="J80" s="20">
        <v>0.221</v>
      </c>
      <c r="K80" s="20">
        <v>0.229</v>
      </c>
      <c r="L80" s="20">
        <v>0.233</v>
      </c>
      <c r="M80" s="20">
        <v>0.236</v>
      </c>
      <c r="N80" s="20">
        <v>0.238</v>
      </c>
      <c r="O80" s="20">
        <v>0.24</v>
      </c>
      <c r="P80" s="20">
        <v>0.242</v>
      </c>
      <c r="Q80" s="20">
        <v>0.243</v>
      </c>
      <c r="R80" s="20">
        <v>0.244</v>
      </c>
      <c r="S80" s="21">
        <v>0.244</v>
      </c>
    </row>
    <row r="81" spans="1:19" ht="13.5" thickBot="1">
      <c r="A81" s="766"/>
      <c r="B81" s="36">
        <v>1</v>
      </c>
      <c r="C81" s="22">
        <v>0</v>
      </c>
      <c r="D81" s="22">
        <v>0.081</v>
      </c>
      <c r="E81" s="22">
        <v>0.118</v>
      </c>
      <c r="F81" s="22">
        <v>0.142</v>
      </c>
      <c r="G81" s="22">
        <v>0.173</v>
      </c>
      <c r="H81" s="22">
        <v>0.195</v>
      </c>
      <c r="I81" s="22">
        <v>0.209</v>
      </c>
      <c r="J81" s="22">
        <v>0.225</v>
      </c>
      <c r="K81" s="22">
        <v>0.232</v>
      </c>
      <c r="L81" s="22">
        <v>0.236</v>
      </c>
      <c r="M81" s="22">
        <v>0.238</v>
      </c>
      <c r="N81" s="22">
        <v>0.24</v>
      </c>
      <c r="O81" s="22">
        <v>0.242</v>
      </c>
      <c r="P81" s="22">
        <v>0.243</v>
      </c>
      <c r="Q81" s="22">
        <v>0.244</v>
      </c>
      <c r="R81" s="22">
        <v>0.245</v>
      </c>
      <c r="S81" s="23">
        <v>0.245</v>
      </c>
    </row>
    <row r="82" spans="1:19" ht="13.5" thickBot="1">
      <c r="A82" s="720" t="s">
        <v>216</v>
      </c>
      <c r="B82" s="721"/>
      <c r="C82" s="721"/>
      <c r="D82" s="721"/>
      <c r="E82" s="721"/>
      <c r="F82" s="721"/>
      <c r="G82" s="721"/>
      <c r="H82" s="721"/>
      <c r="I82" s="721"/>
      <c r="J82" s="721"/>
      <c r="K82" s="721"/>
      <c r="L82" s="721"/>
      <c r="M82" s="721"/>
      <c r="N82" s="721"/>
      <c r="O82" s="721"/>
      <c r="P82" s="721"/>
      <c r="Q82" s="721"/>
      <c r="R82" s="721"/>
      <c r="S82" s="722"/>
    </row>
    <row r="83" spans="1:19" ht="13.5" thickBot="1">
      <c r="A83" s="29"/>
      <c r="B83" s="629" t="s">
        <v>119</v>
      </c>
      <c r="C83" s="629"/>
      <c r="D83" s="629"/>
      <c r="E83" s="629"/>
      <c r="F83" s="629"/>
      <c r="G83" s="629"/>
      <c r="H83" s="629"/>
      <c r="I83" s="629"/>
      <c r="J83" s="629"/>
      <c r="K83" s="629"/>
      <c r="L83" s="629"/>
      <c r="M83" s="629"/>
      <c r="N83" s="629"/>
      <c r="O83" s="629"/>
      <c r="P83" s="629"/>
      <c r="Q83" s="629"/>
      <c r="R83" s="629"/>
      <c r="S83" s="715"/>
    </row>
    <row r="84" spans="1:19" ht="12.75">
      <c r="A84" s="765" t="s">
        <v>45</v>
      </c>
      <c r="B84" s="34"/>
      <c r="C84" s="30">
        <v>0</v>
      </c>
      <c r="D84" s="30">
        <v>0.2</v>
      </c>
      <c r="E84" s="30">
        <v>0.4</v>
      </c>
      <c r="F84" s="30">
        <v>0.6</v>
      </c>
      <c r="G84" s="30">
        <v>1</v>
      </c>
      <c r="H84" s="30">
        <v>1.5</v>
      </c>
      <c r="I84" s="30">
        <v>2</v>
      </c>
      <c r="J84" s="30">
        <v>3</v>
      </c>
      <c r="K84" s="30">
        <v>4</v>
      </c>
      <c r="L84" s="30">
        <v>5</v>
      </c>
      <c r="M84" s="30">
        <v>6</v>
      </c>
      <c r="N84" s="30">
        <v>7</v>
      </c>
      <c r="O84" s="30">
        <v>8</v>
      </c>
      <c r="P84" s="30">
        <v>9</v>
      </c>
      <c r="Q84" s="30">
        <v>10</v>
      </c>
      <c r="R84" s="30">
        <v>11</v>
      </c>
      <c r="S84" s="31">
        <v>12</v>
      </c>
    </row>
    <row r="85" spans="1:19" ht="12.75">
      <c r="A85" s="765"/>
      <c r="B85" s="35">
        <v>0</v>
      </c>
      <c r="C85" s="20">
        <v>0.375</v>
      </c>
      <c r="D85" s="20">
        <v>0.37</v>
      </c>
      <c r="E85" s="20">
        <v>0.365</v>
      </c>
      <c r="F85" s="20">
        <v>0.36</v>
      </c>
      <c r="G85" s="20">
        <v>0.35</v>
      </c>
      <c r="H85" s="20">
        <v>0.339</v>
      </c>
      <c r="I85" s="20">
        <v>0.329</v>
      </c>
      <c r="J85" s="20">
        <v>0.313</v>
      </c>
      <c r="K85" s="20">
        <v>0.302</v>
      </c>
      <c r="L85" s="20">
        <v>0.295</v>
      </c>
      <c r="M85" s="20">
        <v>0.289</v>
      </c>
      <c r="N85" s="20">
        <v>0.286</v>
      </c>
      <c r="O85" s="20">
        <v>0.284</v>
      </c>
      <c r="P85" s="20">
        <v>0.281</v>
      </c>
      <c r="Q85" s="20">
        <v>0.279</v>
      </c>
      <c r="R85" s="20">
        <v>0.277</v>
      </c>
      <c r="S85" s="21">
        <v>0.275</v>
      </c>
    </row>
    <row r="86" spans="1:19" ht="12.75">
      <c r="A86" s="765"/>
      <c r="B86" s="35">
        <v>0.25</v>
      </c>
      <c r="C86" s="20">
        <v>0.2625</v>
      </c>
      <c r="D86" s="20">
        <v>0.266</v>
      </c>
      <c r="E86" s="20">
        <v>0.27</v>
      </c>
      <c r="F86" s="20">
        <v>0.273</v>
      </c>
      <c r="G86" s="20">
        <v>0.276</v>
      </c>
      <c r="H86" s="20">
        <v>0.276</v>
      </c>
      <c r="I86" s="20">
        <v>0.274</v>
      </c>
      <c r="J86" s="20">
        <v>0.27</v>
      </c>
      <c r="K86" s="20">
        <v>0.266</v>
      </c>
      <c r="L86" s="20">
        <v>0.265</v>
      </c>
      <c r="M86" s="20">
        <v>0.263</v>
      </c>
      <c r="N86" s="20">
        <v>0.261</v>
      </c>
      <c r="O86" s="20">
        <v>0.26</v>
      </c>
      <c r="P86" s="20">
        <v>0.26</v>
      </c>
      <c r="Q86" s="20">
        <v>0.26</v>
      </c>
      <c r="R86" s="20">
        <v>0.2595</v>
      </c>
      <c r="S86" s="21">
        <v>0.259</v>
      </c>
    </row>
    <row r="87" spans="1:19" ht="12.75">
      <c r="A87" s="765"/>
      <c r="B87" s="35">
        <v>0.5</v>
      </c>
      <c r="C87" s="20">
        <v>0.1775</v>
      </c>
      <c r="D87" s="20">
        <v>0.19</v>
      </c>
      <c r="E87" s="20">
        <v>0.2</v>
      </c>
      <c r="F87" s="20">
        <v>0.208</v>
      </c>
      <c r="G87" s="20">
        <v>0.218</v>
      </c>
      <c r="H87" s="20">
        <v>0.225</v>
      </c>
      <c r="I87" s="20">
        <v>0.228</v>
      </c>
      <c r="J87" s="20">
        <v>0.232</v>
      </c>
      <c r="K87" s="20">
        <v>0.235</v>
      </c>
      <c r="L87" s="20">
        <v>0.2365</v>
      </c>
      <c r="M87" s="20">
        <v>0.238</v>
      </c>
      <c r="N87" s="20">
        <v>0.239</v>
      </c>
      <c r="O87" s="20">
        <v>0.24</v>
      </c>
      <c r="P87" s="20">
        <v>0.24</v>
      </c>
      <c r="Q87" s="20">
        <v>0.241</v>
      </c>
      <c r="R87" s="20">
        <v>0.242</v>
      </c>
      <c r="S87" s="21">
        <v>0.243</v>
      </c>
    </row>
    <row r="88" spans="1:19" ht="12.75">
      <c r="A88" s="765"/>
      <c r="B88" s="35">
        <v>0.75</v>
      </c>
      <c r="C88" s="20">
        <v>0.121</v>
      </c>
      <c r="D88" s="20">
        <v>0.14</v>
      </c>
      <c r="E88" s="20">
        <v>0.154</v>
      </c>
      <c r="F88" s="20">
        <v>0.164</v>
      </c>
      <c r="G88" s="20">
        <v>0.18</v>
      </c>
      <c r="H88" s="20">
        <v>0.193</v>
      </c>
      <c r="I88" s="20">
        <v>0.2</v>
      </c>
      <c r="J88" s="20">
        <v>0.209</v>
      </c>
      <c r="K88" s="20">
        <v>0.214</v>
      </c>
      <c r="L88" s="20">
        <v>0.218</v>
      </c>
      <c r="M88" s="20">
        <v>0.221</v>
      </c>
      <c r="N88" s="20">
        <v>0.224</v>
      </c>
      <c r="O88" s="20">
        <v>0.226</v>
      </c>
      <c r="P88" s="20">
        <v>0.2275</v>
      </c>
      <c r="Q88" s="20">
        <v>0.229</v>
      </c>
      <c r="R88" s="20">
        <v>0.23</v>
      </c>
      <c r="S88" s="21">
        <v>0.231</v>
      </c>
    </row>
    <row r="89" spans="1:19" ht="13.5" thickBot="1">
      <c r="A89" s="766"/>
      <c r="B89" s="36">
        <v>1</v>
      </c>
      <c r="C89" s="22">
        <v>0.083</v>
      </c>
      <c r="D89" s="22">
        <v>0.11</v>
      </c>
      <c r="E89" s="22">
        <v>0.127</v>
      </c>
      <c r="F89" s="22">
        <v>0.139</v>
      </c>
      <c r="G89" s="22">
        <v>0.158</v>
      </c>
      <c r="H89" s="22">
        <v>0.172</v>
      </c>
      <c r="I89" s="22">
        <v>0.1825</v>
      </c>
      <c r="J89" s="22">
        <v>0.195</v>
      </c>
      <c r="K89" s="22">
        <v>0.204</v>
      </c>
      <c r="L89" s="22">
        <v>0.21</v>
      </c>
      <c r="M89" s="22">
        <v>0.215</v>
      </c>
      <c r="N89" s="22">
        <v>0.218</v>
      </c>
      <c r="O89" s="22">
        <v>0.22</v>
      </c>
      <c r="P89" s="22">
        <v>0.221</v>
      </c>
      <c r="Q89" s="22">
        <v>0.222</v>
      </c>
      <c r="R89" s="22">
        <v>0.223</v>
      </c>
      <c r="S89" s="23">
        <v>0.224</v>
      </c>
    </row>
    <row r="90" spans="1:19" ht="13.5" thickBot="1">
      <c r="A90" s="720" t="s">
        <v>218</v>
      </c>
      <c r="B90" s="721"/>
      <c r="C90" s="721"/>
      <c r="D90" s="721"/>
      <c r="E90" s="721"/>
      <c r="F90" s="721"/>
      <c r="G90" s="721"/>
      <c r="H90" s="721"/>
      <c r="I90" s="721"/>
      <c r="J90" s="721"/>
      <c r="K90" s="721"/>
      <c r="L90" s="721"/>
      <c r="M90" s="721"/>
      <c r="N90" s="721"/>
      <c r="O90" s="721"/>
      <c r="P90" s="721"/>
      <c r="Q90" s="721"/>
      <c r="R90" s="721"/>
      <c r="S90" s="722"/>
    </row>
    <row r="91" spans="1:19" ht="13.5" thickBot="1">
      <c r="A91" s="29"/>
      <c r="B91" s="629" t="s">
        <v>119</v>
      </c>
      <c r="C91" s="629"/>
      <c r="D91" s="629"/>
      <c r="E91" s="629"/>
      <c r="F91" s="629"/>
      <c r="G91" s="629"/>
      <c r="H91" s="629"/>
      <c r="I91" s="629"/>
      <c r="J91" s="629"/>
      <c r="K91" s="629"/>
      <c r="L91" s="629"/>
      <c r="M91" s="629"/>
      <c r="N91" s="629"/>
      <c r="O91" s="629"/>
      <c r="P91" s="629"/>
      <c r="Q91" s="629"/>
      <c r="R91" s="629"/>
      <c r="S91" s="715"/>
    </row>
    <row r="92" spans="1:19" ht="12.75">
      <c r="A92" s="765" t="s">
        <v>45</v>
      </c>
      <c r="B92" s="34"/>
      <c r="C92" s="30">
        <v>0</v>
      </c>
      <c r="D92" s="30">
        <v>0.2</v>
      </c>
      <c r="E92" s="30">
        <v>0.4</v>
      </c>
      <c r="F92" s="30">
        <v>0.6</v>
      </c>
      <c r="G92" s="30">
        <v>1</v>
      </c>
      <c r="H92" s="30">
        <v>1.5</v>
      </c>
      <c r="I92" s="30">
        <v>2</v>
      </c>
      <c r="J92" s="30">
        <v>3</v>
      </c>
      <c r="K92" s="30">
        <v>4</v>
      </c>
      <c r="L92" s="30">
        <v>5</v>
      </c>
      <c r="M92" s="30">
        <v>6</v>
      </c>
      <c r="N92" s="30">
        <v>7</v>
      </c>
      <c r="O92" s="30">
        <v>8</v>
      </c>
      <c r="P92" s="30">
        <v>9</v>
      </c>
      <c r="Q92" s="30">
        <v>10</v>
      </c>
      <c r="R92" s="30">
        <v>11</v>
      </c>
      <c r="S92" s="31">
        <v>12</v>
      </c>
    </row>
    <row r="93" spans="1:19" ht="12.75">
      <c r="A93" s="765"/>
      <c r="B93" s="35">
        <v>0</v>
      </c>
      <c r="C93" s="20">
        <v>0.5</v>
      </c>
      <c r="D93" s="20">
        <v>0.481</v>
      </c>
      <c r="E93" s="20">
        <v>0.464</v>
      </c>
      <c r="F93" s="20">
        <v>0.449</v>
      </c>
      <c r="G93" s="20">
        <v>0.426</v>
      </c>
      <c r="H93" s="20">
        <v>0.403</v>
      </c>
      <c r="I93" s="20">
        <v>0.387</v>
      </c>
      <c r="J93" s="20">
        <v>0.362</v>
      </c>
      <c r="K93" s="20">
        <v>0.345</v>
      </c>
      <c r="L93" s="20">
        <v>0.333</v>
      </c>
      <c r="M93" s="20">
        <v>0.324</v>
      </c>
      <c r="N93" s="20">
        <v>0.318</v>
      </c>
      <c r="O93" s="20">
        <v>0.311</v>
      </c>
      <c r="P93" s="20">
        <v>0.307</v>
      </c>
      <c r="Q93" s="20">
        <v>0.303</v>
      </c>
      <c r="R93" s="20">
        <v>0.299</v>
      </c>
      <c r="S93" s="21">
        <v>0.295</v>
      </c>
    </row>
    <row r="94" spans="1:19" ht="12.75">
      <c r="A94" s="765"/>
      <c r="B94" s="35">
        <v>0.25</v>
      </c>
      <c r="C94" s="20">
        <v>0.382</v>
      </c>
      <c r="D94" s="20">
        <v>0.371</v>
      </c>
      <c r="E94" s="20">
        <v>0.362</v>
      </c>
      <c r="F94" s="20">
        <v>0.354</v>
      </c>
      <c r="G94" s="20">
        <v>0.341</v>
      </c>
      <c r="H94" s="20">
        <v>0.327</v>
      </c>
      <c r="I94" s="20">
        <v>0.3175</v>
      </c>
      <c r="J94" s="20">
        <v>0.303</v>
      </c>
      <c r="K94" s="20">
        <v>0.295</v>
      </c>
      <c r="L94" s="20">
        <v>0.289</v>
      </c>
      <c r="M94" s="20">
        <v>0.284</v>
      </c>
      <c r="N94" s="20">
        <v>0.28</v>
      </c>
      <c r="O94" s="20">
        <v>0.278</v>
      </c>
      <c r="P94" s="20">
        <v>0.275</v>
      </c>
      <c r="Q94" s="20">
        <v>0.2735</v>
      </c>
      <c r="R94" s="20">
        <v>0.2725</v>
      </c>
      <c r="S94" s="21">
        <v>0.271</v>
      </c>
    </row>
    <row r="95" spans="1:19" ht="12.75">
      <c r="A95" s="765"/>
      <c r="B95" s="35">
        <v>0.5</v>
      </c>
      <c r="C95" s="20">
        <v>0.285</v>
      </c>
      <c r="D95" s="20">
        <v>0.278</v>
      </c>
      <c r="E95" s="20">
        <v>0.272</v>
      </c>
      <c r="F95" s="20">
        <v>0.267</v>
      </c>
      <c r="G95" s="20">
        <v>0.259</v>
      </c>
      <c r="H95" s="20">
        <v>0.253</v>
      </c>
      <c r="I95" s="20">
        <v>0.25</v>
      </c>
      <c r="J95" s="20">
        <v>0.246</v>
      </c>
      <c r="K95" s="20">
        <v>0.245</v>
      </c>
      <c r="L95" s="20">
        <v>0.244</v>
      </c>
      <c r="M95" s="20">
        <v>0.243</v>
      </c>
      <c r="N95" s="20">
        <v>0.243</v>
      </c>
      <c r="O95" s="20">
        <v>0.243</v>
      </c>
      <c r="P95" s="20">
        <v>0.244</v>
      </c>
      <c r="Q95" s="20">
        <v>0.244</v>
      </c>
      <c r="R95" s="20">
        <v>0.245</v>
      </c>
      <c r="S95" s="21">
        <v>0.245</v>
      </c>
    </row>
    <row r="96" spans="1:19" ht="12.75">
      <c r="A96" s="765"/>
      <c r="B96" s="35">
        <v>0.75</v>
      </c>
      <c r="C96" s="20">
        <v>0.216</v>
      </c>
      <c r="D96" s="20">
        <v>0.213</v>
      </c>
      <c r="E96" s="20">
        <v>0.209</v>
      </c>
      <c r="F96" s="20">
        <v>0.207</v>
      </c>
      <c r="G96" s="20">
        <v>0.203</v>
      </c>
      <c r="H96" s="20">
        <v>0.2</v>
      </c>
      <c r="I96" s="20">
        <v>0.201</v>
      </c>
      <c r="J96" s="20">
        <v>0.204</v>
      </c>
      <c r="K96" s="20">
        <v>0.208</v>
      </c>
      <c r="L96" s="20">
        <v>0.212</v>
      </c>
      <c r="M96" s="20">
        <v>0.215</v>
      </c>
      <c r="N96" s="20">
        <v>0.217</v>
      </c>
      <c r="O96" s="20">
        <v>0.218</v>
      </c>
      <c r="P96" s="20">
        <v>0.22</v>
      </c>
      <c r="Q96" s="20">
        <v>0.222</v>
      </c>
      <c r="R96" s="20">
        <v>0.223</v>
      </c>
      <c r="S96" s="21">
        <v>0.224</v>
      </c>
    </row>
    <row r="97" spans="1:19" ht="13.5" thickBot="1">
      <c r="A97" s="766"/>
      <c r="B97" s="36">
        <v>1</v>
      </c>
      <c r="C97" s="22">
        <v>0.166</v>
      </c>
      <c r="D97" s="22">
        <v>0.165</v>
      </c>
      <c r="E97" s="22">
        <v>0.164</v>
      </c>
      <c r="F97" s="22">
        <v>0.164</v>
      </c>
      <c r="G97" s="22">
        <v>0.164</v>
      </c>
      <c r="H97" s="22">
        <v>0.165</v>
      </c>
      <c r="I97" s="22">
        <v>0.169</v>
      </c>
      <c r="J97" s="22">
        <v>0.178</v>
      </c>
      <c r="K97" s="22">
        <v>0.186</v>
      </c>
      <c r="L97" s="22">
        <v>0.191</v>
      </c>
      <c r="M97" s="22">
        <v>0.195</v>
      </c>
      <c r="N97" s="22">
        <v>0.199</v>
      </c>
      <c r="O97" s="22">
        <v>0.201</v>
      </c>
      <c r="P97" s="22">
        <v>0.203</v>
      </c>
      <c r="Q97" s="22">
        <v>0.205</v>
      </c>
      <c r="R97" s="22">
        <v>0.207</v>
      </c>
      <c r="S97" s="23">
        <v>0.208</v>
      </c>
    </row>
    <row r="98" spans="1:19" ht="13.5" thickBot="1">
      <c r="A98" s="720" t="s">
        <v>219</v>
      </c>
      <c r="B98" s="721"/>
      <c r="C98" s="721"/>
      <c r="D98" s="721"/>
      <c r="E98" s="721"/>
      <c r="F98" s="721"/>
      <c r="G98" s="721"/>
      <c r="H98" s="721"/>
      <c r="I98" s="721"/>
      <c r="J98" s="721"/>
      <c r="K98" s="721"/>
      <c r="L98" s="721"/>
      <c r="M98" s="721"/>
      <c r="N98" s="721"/>
      <c r="O98" s="721"/>
      <c r="P98" s="721"/>
      <c r="Q98" s="721"/>
      <c r="R98" s="721"/>
      <c r="S98" s="722"/>
    </row>
    <row r="99" spans="1:19" ht="13.5" thickBot="1">
      <c r="A99" s="29"/>
      <c r="B99" s="629" t="s">
        <v>119</v>
      </c>
      <c r="C99" s="629"/>
      <c r="D99" s="629"/>
      <c r="E99" s="629"/>
      <c r="F99" s="629"/>
      <c r="G99" s="629"/>
      <c r="H99" s="629"/>
      <c r="I99" s="629"/>
      <c r="J99" s="629"/>
      <c r="K99" s="629"/>
      <c r="L99" s="629"/>
      <c r="M99" s="629"/>
      <c r="N99" s="629"/>
      <c r="O99" s="629"/>
      <c r="P99" s="629"/>
      <c r="Q99" s="629"/>
      <c r="R99" s="629"/>
      <c r="S99" s="715"/>
    </row>
    <row r="100" spans="1:19" ht="12.75">
      <c r="A100" s="765" t="s">
        <v>45</v>
      </c>
      <c r="B100" s="34"/>
      <c r="C100" s="30">
        <v>0</v>
      </c>
      <c r="D100" s="30">
        <v>0.2</v>
      </c>
      <c r="E100" s="30">
        <v>0.4</v>
      </c>
      <c r="F100" s="30">
        <v>0.6</v>
      </c>
      <c r="G100" s="30">
        <v>1</v>
      </c>
      <c r="H100" s="30">
        <v>1.5</v>
      </c>
      <c r="I100" s="30">
        <v>2</v>
      </c>
      <c r="J100" s="30">
        <v>3</v>
      </c>
      <c r="K100" s="30">
        <v>4</v>
      </c>
      <c r="L100" s="30">
        <v>5</v>
      </c>
      <c r="M100" s="30">
        <v>6</v>
      </c>
      <c r="N100" s="30">
        <v>7</v>
      </c>
      <c r="O100" s="30">
        <v>8</v>
      </c>
      <c r="P100" s="30">
        <v>9</v>
      </c>
      <c r="Q100" s="30">
        <v>10</v>
      </c>
      <c r="R100" s="30">
        <v>11</v>
      </c>
      <c r="S100" s="31">
        <v>12</v>
      </c>
    </row>
    <row r="101" spans="1:19" ht="12.75">
      <c r="A101" s="765"/>
      <c r="B101" s="35">
        <v>0</v>
      </c>
      <c r="C101" s="20">
        <v>0.505</v>
      </c>
      <c r="D101" s="20">
        <v>0.499</v>
      </c>
      <c r="E101" s="20">
        <v>0.492</v>
      </c>
      <c r="F101" s="20">
        <v>0.483</v>
      </c>
      <c r="G101" s="20">
        <v>0.468</v>
      </c>
      <c r="H101" s="20">
        <v>0.447</v>
      </c>
      <c r="I101" s="20">
        <v>0.431</v>
      </c>
      <c r="J101" s="20">
        <v>0.404</v>
      </c>
      <c r="K101" s="20">
        <v>0.383</v>
      </c>
      <c r="L101" s="20">
        <v>0.368</v>
      </c>
      <c r="M101" s="20">
        <v>0.356</v>
      </c>
      <c r="N101" s="20">
        <v>0.346</v>
      </c>
      <c r="O101" s="20">
        <v>0.339</v>
      </c>
      <c r="P101" s="20">
        <v>0.333</v>
      </c>
      <c r="Q101" s="20">
        <v>0.327</v>
      </c>
      <c r="R101" s="20">
        <v>0.321</v>
      </c>
      <c r="S101" s="21">
        <v>0.316</v>
      </c>
    </row>
    <row r="102" spans="1:19" ht="12.75">
      <c r="A102" s="765"/>
      <c r="B102" s="35">
        <v>0.25</v>
      </c>
      <c r="C102" s="20">
        <v>0.407</v>
      </c>
      <c r="D102" s="20">
        <v>0.401</v>
      </c>
      <c r="E102" s="20">
        <v>0.395</v>
      </c>
      <c r="F102" s="20">
        <v>0.39</v>
      </c>
      <c r="G102" s="20">
        <v>0.379</v>
      </c>
      <c r="H102" s="20">
        <v>0.3675</v>
      </c>
      <c r="I102" s="20">
        <v>0.356</v>
      </c>
      <c r="J102" s="20">
        <v>0.3375</v>
      </c>
      <c r="K102" s="20">
        <v>0.325</v>
      </c>
      <c r="L102" s="20">
        <v>0.315</v>
      </c>
      <c r="M102" s="20">
        <v>0.308</v>
      </c>
      <c r="N102" s="20">
        <v>0.302</v>
      </c>
      <c r="O102" s="20">
        <v>0.298</v>
      </c>
      <c r="P102" s="20">
        <v>0.294</v>
      </c>
      <c r="Q102" s="20">
        <v>0.29</v>
      </c>
      <c r="R102" s="20">
        <v>0.286</v>
      </c>
      <c r="S102" s="21">
        <v>0.284</v>
      </c>
    </row>
    <row r="103" spans="1:19" ht="12.75">
      <c r="A103" s="765"/>
      <c r="B103" s="35">
        <v>0.5</v>
      </c>
      <c r="C103" s="20">
        <v>0.309</v>
      </c>
      <c r="D103" s="20">
        <v>0.304</v>
      </c>
      <c r="E103" s="20">
        <v>0.3</v>
      </c>
      <c r="F103" s="20">
        <v>0.296</v>
      </c>
      <c r="G103" s="20">
        <v>0.288</v>
      </c>
      <c r="H103" s="20">
        <v>0.28</v>
      </c>
      <c r="I103" s="20">
        <v>0.273</v>
      </c>
      <c r="J103" s="20">
        <v>0.264</v>
      </c>
      <c r="K103" s="20">
        <v>0.259</v>
      </c>
      <c r="L103" s="20">
        <v>0.255</v>
      </c>
      <c r="M103" s="20">
        <v>0.253</v>
      </c>
      <c r="N103" s="20">
        <v>0.251</v>
      </c>
      <c r="O103" s="20">
        <v>0.25</v>
      </c>
      <c r="P103" s="20">
        <v>0.249</v>
      </c>
      <c r="Q103" s="20">
        <v>0.249</v>
      </c>
      <c r="R103" s="20">
        <v>0.25</v>
      </c>
      <c r="S103" s="21">
        <v>0.25</v>
      </c>
    </row>
    <row r="104" spans="1:19" ht="12.75">
      <c r="A104" s="765"/>
      <c r="B104" s="35">
        <v>0.75</v>
      </c>
      <c r="C104" s="20">
        <v>0.231</v>
      </c>
      <c r="D104" s="20">
        <v>0.228</v>
      </c>
      <c r="E104" s="20">
        <v>0.225</v>
      </c>
      <c r="F104" s="20">
        <v>0.222</v>
      </c>
      <c r="G104" s="20">
        <v>0.218</v>
      </c>
      <c r="H104" s="20">
        <v>0.214</v>
      </c>
      <c r="I104" s="20">
        <v>0.212</v>
      </c>
      <c r="J104" s="20">
        <v>0.211</v>
      </c>
      <c r="K104" s="20">
        <v>0.2115</v>
      </c>
      <c r="L104" s="20">
        <v>0.213</v>
      </c>
      <c r="M104" s="20">
        <v>0.214</v>
      </c>
      <c r="N104" s="20">
        <v>0.2145</v>
      </c>
      <c r="O104" s="20">
        <v>0.215</v>
      </c>
      <c r="P104" s="20">
        <v>0.216</v>
      </c>
      <c r="Q104" s="20">
        <v>0.2175</v>
      </c>
      <c r="R104" s="20">
        <v>0.219</v>
      </c>
      <c r="S104" s="21">
        <v>0.22</v>
      </c>
    </row>
    <row r="105" spans="1:19" ht="13.5" thickBot="1">
      <c r="A105" s="766"/>
      <c r="B105" s="36">
        <v>1</v>
      </c>
      <c r="C105" s="22">
        <v>0.175</v>
      </c>
      <c r="D105" s="22">
        <v>0.173</v>
      </c>
      <c r="E105" s="22">
        <v>0.172</v>
      </c>
      <c r="F105" s="22">
        <v>0.171</v>
      </c>
      <c r="G105" s="22">
        <v>0.169</v>
      </c>
      <c r="H105" s="22">
        <v>0.1675</v>
      </c>
      <c r="I105" s="22">
        <v>0.169</v>
      </c>
      <c r="J105" s="22">
        <v>0.17</v>
      </c>
      <c r="K105" s="22">
        <v>0.175</v>
      </c>
      <c r="L105" s="22">
        <v>0.179</v>
      </c>
      <c r="M105" s="22">
        <v>0.182</v>
      </c>
      <c r="N105" s="22">
        <v>0.185</v>
      </c>
      <c r="O105" s="22">
        <v>0.188</v>
      </c>
      <c r="P105" s="22">
        <v>0.19</v>
      </c>
      <c r="Q105" s="22">
        <v>0.193</v>
      </c>
      <c r="R105" s="22">
        <v>0.195</v>
      </c>
      <c r="S105" s="23">
        <v>0.196</v>
      </c>
    </row>
    <row r="106" spans="1:19" ht="13.5" thickBot="1">
      <c r="A106" s="720" t="s">
        <v>222</v>
      </c>
      <c r="B106" s="721"/>
      <c r="C106" s="721"/>
      <c r="D106" s="721"/>
      <c r="E106" s="721"/>
      <c r="F106" s="721"/>
      <c r="G106" s="721"/>
      <c r="H106" s="721"/>
      <c r="I106" s="721"/>
      <c r="J106" s="721"/>
      <c r="K106" s="721"/>
      <c r="L106" s="721"/>
      <c r="M106" s="721"/>
      <c r="N106" s="721"/>
      <c r="O106" s="721"/>
      <c r="P106" s="721"/>
      <c r="Q106" s="721"/>
      <c r="R106" s="721"/>
      <c r="S106" s="722"/>
    </row>
    <row r="107" spans="1:19" ht="13.5" thickBot="1">
      <c r="A107" s="19"/>
      <c r="B107" s="629" t="s">
        <v>119</v>
      </c>
      <c r="C107" s="629"/>
      <c r="D107" s="629"/>
      <c r="E107" s="629"/>
      <c r="F107" s="629"/>
      <c r="G107" s="629"/>
      <c r="H107" s="629"/>
      <c r="I107" s="629"/>
      <c r="J107" s="629"/>
      <c r="K107" s="629"/>
      <c r="L107" s="629"/>
      <c r="M107" s="629"/>
      <c r="N107" s="629"/>
      <c r="O107" s="629"/>
      <c r="P107" s="629"/>
      <c r="Q107" s="629"/>
      <c r="R107" s="629"/>
      <c r="S107" s="715"/>
    </row>
    <row r="108" spans="1:19" ht="12.75">
      <c r="A108" s="765" t="s">
        <v>45</v>
      </c>
      <c r="B108" s="34"/>
      <c r="C108" s="30">
        <v>0</v>
      </c>
      <c r="D108" s="30">
        <v>0.2</v>
      </c>
      <c r="E108" s="30">
        <v>0.4</v>
      </c>
      <c r="F108" s="30">
        <v>0.6</v>
      </c>
      <c r="G108" s="30">
        <v>1</v>
      </c>
      <c r="H108" s="30">
        <v>1.5</v>
      </c>
      <c r="I108" s="30">
        <v>2</v>
      </c>
      <c r="J108" s="30">
        <v>3</v>
      </c>
      <c r="K108" s="30">
        <v>4</v>
      </c>
      <c r="L108" s="30">
        <v>5</v>
      </c>
      <c r="M108" s="30">
        <v>6</v>
      </c>
      <c r="N108" s="30">
        <v>7</v>
      </c>
      <c r="O108" s="30">
        <v>8</v>
      </c>
      <c r="P108" s="30">
        <v>9</v>
      </c>
      <c r="Q108" s="30">
        <v>10</v>
      </c>
      <c r="R108" s="30">
        <v>11</v>
      </c>
      <c r="S108" s="31">
        <v>12</v>
      </c>
    </row>
    <row r="109" spans="1:19" ht="12.75">
      <c r="A109" s="765"/>
      <c r="B109" s="35">
        <v>0</v>
      </c>
      <c r="C109" s="20">
        <v>0.513</v>
      </c>
      <c r="D109" s="20">
        <v>0.509</v>
      </c>
      <c r="E109" s="20">
        <v>0.505</v>
      </c>
      <c r="F109" s="20">
        <v>0.5005</v>
      </c>
      <c r="G109" s="20">
        <v>0.491</v>
      </c>
      <c r="H109" s="20">
        <v>0.477</v>
      </c>
      <c r="I109" s="20">
        <v>0.464</v>
      </c>
      <c r="J109" s="20">
        <v>0.439</v>
      </c>
      <c r="K109" s="20">
        <v>0.419</v>
      </c>
      <c r="L109" s="20">
        <v>0.402</v>
      </c>
      <c r="M109" s="20">
        <v>0.389</v>
      </c>
      <c r="N109" s="20">
        <v>0.376</v>
      </c>
      <c r="O109" s="20">
        <v>0.366</v>
      </c>
      <c r="P109" s="20">
        <v>0.359</v>
      </c>
      <c r="Q109" s="20">
        <v>0.35</v>
      </c>
      <c r="R109" s="20">
        <v>0.344</v>
      </c>
      <c r="S109" s="21">
        <v>0.337</v>
      </c>
    </row>
    <row r="110" spans="1:19" ht="12.75">
      <c r="A110" s="765"/>
      <c r="B110" s="35">
        <v>0.25</v>
      </c>
      <c r="C110" s="20">
        <v>0.426</v>
      </c>
      <c r="D110" s="20">
        <v>0.423</v>
      </c>
      <c r="E110" s="20">
        <v>0.42</v>
      </c>
      <c r="F110" s="20">
        <v>0.416</v>
      </c>
      <c r="G110" s="20">
        <v>0.408</v>
      </c>
      <c r="H110" s="20">
        <v>0.397</v>
      </c>
      <c r="I110" s="20">
        <v>0.387</v>
      </c>
      <c r="J110" s="20">
        <v>0.368</v>
      </c>
      <c r="K110" s="20">
        <v>0.353</v>
      </c>
      <c r="L110" s="20">
        <v>0.342</v>
      </c>
      <c r="M110" s="20">
        <v>0.332</v>
      </c>
      <c r="N110" s="20">
        <v>0.325</v>
      </c>
      <c r="O110" s="20">
        <v>0.319</v>
      </c>
      <c r="P110" s="20">
        <v>0.314</v>
      </c>
      <c r="Q110" s="20">
        <v>0.309</v>
      </c>
      <c r="R110" s="20">
        <v>0.304</v>
      </c>
      <c r="S110" s="21">
        <v>0.3</v>
      </c>
    </row>
    <row r="111" spans="1:19" ht="12.75">
      <c r="A111" s="765"/>
      <c r="B111" s="35">
        <v>0.5</v>
      </c>
      <c r="C111" s="20">
        <v>0.326</v>
      </c>
      <c r="D111" s="20">
        <v>0.323</v>
      </c>
      <c r="E111" s="20">
        <v>0.319</v>
      </c>
      <c r="F111" s="20">
        <v>0.316</v>
      </c>
      <c r="G111" s="20">
        <v>0.31</v>
      </c>
      <c r="H111" s="20">
        <v>0.302</v>
      </c>
      <c r="I111" s="20">
        <v>0.295</v>
      </c>
      <c r="J111" s="20">
        <v>0.284</v>
      </c>
      <c r="K111" s="20">
        <v>0.276</v>
      </c>
      <c r="L111" s="20">
        <v>0.27</v>
      </c>
      <c r="M111" s="20">
        <v>0.265</v>
      </c>
      <c r="N111" s="20">
        <v>0.262</v>
      </c>
      <c r="O111" s="20">
        <v>0.26</v>
      </c>
      <c r="P111" s="20">
        <v>0.259</v>
      </c>
      <c r="Q111" s="20">
        <v>0.2575</v>
      </c>
      <c r="R111" s="20">
        <v>0.2565</v>
      </c>
      <c r="S111" s="21">
        <v>0.256</v>
      </c>
    </row>
    <row r="112" spans="1:19" ht="12.75">
      <c r="A112" s="765"/>
      <c r="B112" s="35">
        <v>0.75</v>
      </c>
      <c r="C112" s="20">
        <v>0.239</v>
      </c>
      <c r="D112" s="20">
        <v>0.237</v>
      </c>
      <c r="E112" s="20">
        <v>0.235</v>
      </c>
      <c r="F112" s="20">
        <v>0.233</v>
      </c>
      <c r="G112" s="20">
        <v>0.23</v>
      </c>
      <c r="H112" s="20">
        <v>0.226</v>
      </c>
      <c r="I112" s="20">
        <v>0.222</v>
      </c>
      <c r="J112" s="20">
        <v>0.2175</v>
      </c>
      <c r="K112" s="20">
        <v>0.2155</v>
      </c>
      <c r="L112" s="20">
        <v>0.216</v>
      </c>
      <c r="M112" s="20">
        <v>0.216</v>
      </c>
      <c r="N112" s="20">
        <v>0.216</v>
      </c>
      <c r="O112" s="20">
        <v>0.216</v>
      </c>
      <c r="P112" s="20">
        <v>0.2165</v>
      </c>
      <c r="Q112" s="20">
        <v>0.217</v>
      </c>
      <c r="R112" s="20">
        <v>0.2175</v>
      </c>
      <c r="S112" s="21">
        <v>0.219</v>
      </c>
    </row>
    <row r="113" spans="1:19" ht="13.5" thickBot="1">
      <c r="A113" s="766"/>
      <c r="B113" s="36">
        <v>1</v>
      </c>
      <c r="C113" s="22">
        <v>0.182</v>
      </c>
      <c r="D113" s="22">
        <v>0.181</v>
      </c>
      <c r="E113" s="22">
        <v>0.179</v>
      </c>
      <c r="F113" s="22">
        <v>0.178</v>
      </c>
      <c r="G113" s="22">
        <v>0.176</v>
      </c>
      <c r="H113" s="22">
        <v>0.174</v>
      </c>
      <c r="I113" s="22">
        <v>0.172</v>
      </c>
      <c r="J113" s="22">
        <v>0.171</v>
      </c>
      <c r="K113" s="22">
        <v>0.173</v>
      </c>
      <c r="L113" s="22">
        <v>0.175</v>
      </c>
      <c r="M113" s="22">
        <v>0.177</v>
      </c>
      <c r="N113" s="22">
        <v>0.18</v>
      </c>
      <c r="O113" s="22">
        <v>0.181</v>
      </c>
      <c r="P113" s="22">
        <v>0.183</v>
      </c>
      <c r="Q113" s="22">
        <v>0.185</v>
      </c>
      <c r="R113" s="22">
        <v>0.187</v>
      </c>
      <c r="S113" s="23">
        <v>0.188</v>
      </c>
    </row>
    <row r="114" spans="1:19" ht="13.5" thickBot="1">
      <c r="A114" s="720" t="s">
        <v>221</v>
      </c>
      <c r="B114" s="721"/>
      <c r="C114" s="721"/>
      <c r="D114" s="721"/>
      <c r="E114" s="721"/>
      <c r="F114" s="721"/>
      <c r="G114" s="721"/>
      <c r="H114" s="721"/>
      <c r="I114" s="721"/>
      <c r="J114" s="721"/>
      <c r="K114" s="721"/>
      <c r="L114" s="721"/>
      <c r="M114" s="721"/>
      <c r="N114" s="721"/>
      <c r="O114" s="721"/>
      <c r="P114" s="721"/>
      <c r="Q114" s="721"/>
      <c r="R114" s="721"/>
      <c r="S114" s="722"/>
    </row>
    <row r="115" spans="1:19" ht="13.5" thickBot="1">
      <c r="A115" s="19"/>
      <c r="B115" s="629" t="s">
        <v>119</v>
      </c>
      <c r="C115" s="629"/>
      <c r="D115" s="629"/>
      <c r="E115" s="629"/>
      <c r="F115" s="629"/>
      <c r="G115" s="629"/>
      <c r="H115" s="629"/>
      <c r="I115" s="629"/>
      <c r="J115" s="629"/>
      <c r="K115" s="629"/>
      <c r="L115" s="629"/>
      <c r="M115" s="629"/>
      <c r="N115" s="629"/>
      <c r="O115" s="629"/>
      <c r="P115" s="629"/>
      <c r="Q115" s="629"/>
      <c r="R115" s="629"/>
      <c r="S115" s="715"/>
    </row>
    <row r="116" spans="1:19" ht="12.75">
      <c r="A116" s="765" t="s">
        <v>45</v>
      </c>
      <c r="B116" s="34"/>
      <c r="C116" s="30">
        <v>0</v>
      </c>
      <c r="D116" s="30">
        <v>0.2</v>
      </c>
      <c r="E116" s="30">
        <v>0.4</v>
      </c>
      <c r="F116" s="30">
        <v>0.6</v>
      </c>
      <c r="G116" s="30">
        <v>1</v>
      </c>
      <c r="H116" s="30">
        <v>1.5</v>
      </c>
      <c r="I116" s="30">
        <v>2</v>
      </c>
      <c r="J116" s="30">
        <v>3</v>
      </c>
      <c r="K116" s="30">
        <v>4</v>
      </c>
      <c r="L116" s="30">
        <v>5</v>
      </c>
      <c r="M116" s="30">
        <v>6</v>
      </c>
      <c r="N116" s="30">
        <v>7</v>
      </c>
      <c r="O116" s="30">
        <v>8</v>
      </c>
      <c r="P116" s="30">
        <v>9</v>
      </c>
      <c r="Q116" s="30">
        <v>10</v>
      </c>
      <c r="R116" s="30">
        <v>11</v>
      </c>
      <c r="S116" s="31">
        <v>12</v>
      </c>
    </row>
    <row r="117" spans="1:19" ht="12.75">
      <c r="A117" s="765"/>
      <c r="B117" s="35">
        <v>0</v>
      </c>
      <c r="C117" s="20">
        <v>0.525</v>
      </c>
      <c r="D117" s="20">
        <v>0.522</v>
      </c>
      <c r="E117" s="20">
        <v>0.519</v>
      </c>
      <c r="F117" s="20">
        <v>0.516</v>
      </c>
      <c r="G117" s="20">
        <v>0.509</v>
      </c>
      <c r="H117" s="20">
        <v>0.499</v>
      </c>
      <c r="I117" s="20">
        <v>0.489</v>
      </c>
      <c r="J117" s="20">
        <v>0.468</v>
      </c>
      <c r="K117" s="20">
        <v>0.45</v>
      </c>
      <c r="L117" s="20">
        <v>0.434</v>
      </c>
      <c r="M117" s="20">
        <v>0.42</v>
      </c>
      <c r="N117" s="20">
        <v>0.406</v>
      </c>
      <c r="O117" s="20">
        <v>0.395</v>
      </c>
      <c r="P117" s="20">
        <v>0.385</v>
      </c>
      <c r="Q117" s="20">
        <v>0.375</v>
      </c>
      <c r="R117" s="20">
        <v>0.367</v>
      </c>
      <c r="S117" s="21">
        <v>0.359</v>
      </c>
    </row>
    <row r="118" spans="1:19" ht="12.75">
      <c r="A118" s="765"/>
      <c r="B118" s="35">
        <v>0.25</v>
      </c>
      <c r="C118" s="20">
        <v>0.445</v>
      </c>
      <c r="D118" s="20">
        <v>0.441</v>
      </c>
      <c r="E118" s="20">
        <v>0.438</v>
      </c>
      <c r="F118" s="20">
        <v>0.434</v>
      </c>
      <c r="G118" s="20">
        <v>0.4275</v>
      </c>
      <c r="H118" s="20">
        <v>0.419</v>
      </c>
      <c r="I118" s="20">
        <v>0.411</v>
      </c>
      <c r="J118" s="20">
        <v>0.395</v>
      </c>
      <c r="K118" s="20">
        <v>0.381</v>
      </c>
      <c r="L118" s="20">
        <v>0.369</v>
      </c>
      <c r="M118" s="20">
        <v>0.358</v>
      </c>
      <c r="N118" s="20">
        <v>0.349</v>
      </c>
      <c r="O118" s="20">
        <v>0.341</v>
      </c>
      <c r="P118" s="20">
        <v>0.335</v>
      </c>
      <c r="Q118" s="20">
        <v>0.328</v>
      </c>
      <c r="R118" s="20">
        <v>0.322</v>
      </c>
      <c r="S118" s="21">
        <v>0.316</v>
      </c>
    </row>
    <row r="119" spans="1:19" ht="12.75">
      <c r="A119" s="765"/>
      <c r="B119" s="35">
        <v>0.5</v>
      </c>
      <c r="C119" s="20">
        <v>0.342</v>
      </c>
      <c r="D119" s="20">
        <v>0.339</v>
      </c>
      <c r="E119" s="20">
        <v>0.336</v>
      </c>
      <c r="F119" s="20">
        <v>0.333</v>
      </c>
      <c r="G119" s="20">
        <v>0.327</v>
      </c>
      <c r="H119" s="20">
        <v>0.32</v>
      </c>
      <c r="I119" s="20">
        <v>0.315</v>
      </c>
      <c r="J119" s="20">
        <v>0.304</v>
      </c>
      <c r="K119" s="20">
        <v>0.295</v>
      </c>
      <c r="L119" s="20">
        <v>0.288</v>
      </c>
      <c r="M119" s="20">
        <v>0.281</v>
      </c>
      <c r="N119" s="20">
        <v>0.276</v>
      </c>
      <c r="O119" s="20">
        <v>0.272</v>
      </c>
      <c r="P119" s="20">
        <v>0.27</v>
      </c>
      <c r="Q119" s="20">
        <v>0.268</v>
      </c>
      <c r="R119" s="20">
        <v>0.266</v>
      </c>
      <c r="S119" s="21">
        <v>0.265</v>
      </c>
    </row>
    <row r="120" spans="1:19" ht="12.75">
      <c r="A120" s="765"/>
      <c r="B120" s="35">
        <v>0.75</v>
      </c>
      <c r="C120" s="20">
        <v>0.253</v>
      </c>
      <c r="D120" s="20">
        <v>0.25</v>
      </c>
      <c r="E120" s="20">
        <v>0.248</v>
      </c>
      <c r="F120" s="20">
        <v>0.246</v>
      </c>
      <c r="G120" s="20">
        <v>0.242</v>
      </c>
      <c r="H120" s="20">
        <v>0.239</v>
      </c>
      <c r="I120" s="20">
        <v>0.235</v>
      </c>
      <c r="J120" s="20">
        <v>0.231</v>
      </c>
      <c r="K120" s="20">
        <v>0.227</v>
      </c>
      <c r="L120" s="20">
        <v>0.225</v>
      </c>
      <c r="M120" s="20">
        <v>0.223</v>
      </c>
      <c r="N120" s="20">
        <v>0.221</v>
      </c>
      <c r="O120" s="20">
        <v>0.219</v>
      </c>
      <c r="P120" s="20">
        <v>0.219</v>
      </c>
      <c r="Q120" s="20">
        <v>0.219</v>
      </c>
      <c r="R120" s="20">
        <v>0.219</v>
      </c>
      <c r="S120" s="21">
        <v>0.219</v>
      </c>
    </row>
    <row r="121" spans="1:19" ht="13.5" thickBot="1">
      <c r="A121" s="766"/>
      <c r="B121" s="36">
        <v>1</v>
      </c>
      <c r="C121" s="22">
        <v>0.191</v>
      </c>
      <c r="D121" s="22">
        <v>0.189</v>
      </c>
      <c r="E121" s="22">
        <v>0.188</v>
      </c>
      <c r="F121" s="22">
        <v>0.187</v>
      </c>
      <c r="G121" s="22">
        <v>0.184</v>
      </c>
      <c r="H121" s="22">
        <v>0.181</v>
      </c>
      <c r="I121" s="22">
        <v>0.179</v>
      </c>
      <c r="J121" s="22">
        <v>0.176</v>
      </c>
      <c r="K121" s="22">
        <v>0.175</v>
      </c>
      <c r="L121" s="22">
        <v>0.175</v>
      </c>
      <c r="M121" s="22">
        <v>0.1755</v>
      </c>
      <c r="N121" s="22">
        <v>0.176</v>
      </c>
      <c r="O121" s="22">
        <v>0.178</v>
      </c>
      <c r="P121" s="22">
        <v>0.179</v>
      </c>
      <c r="Q121" s="22">
        <v>0.18</v>
      </c>
      <c r="R121" s="22">
        <v>0.181</v>
      </c>
      <c r="S121" s="23">
        <v>0.182</v>
      </c>
    </row>
    <row r="122" spans="1:19" ht="13.5" thickBot="1">
      <c r="A122" s="720" t="s">
        <v>220</v>
      </c>
      <c r="B122" s="721"/>
      <c r="C122" s="721"/>
      <c r="D122" s="721"/>
      <c r="E122" s="721"/>
      <c r="F122" s="721"/>
      <c r="G122" s="721"/>
      <c r="H122" s="721"/>
      <c r="I122" s="721"/>
      <c r="J122" s="721"/>
      <c r="K122" s="721"/>
      <c r="L122" s="721"/>
      <c r="M122" s="721"/>
      <c r="N122" s="721"/>
      <c r="O122" s="721"/>
      <c r="P122" s="721"/>
      <c r="Q122" s="721"/>
      <c r="R122" s="721"/>
      <c r="S122" s="722"/>
    </row>
    <row r="123" spans="1:19" ht="13.5" thickBot="1">
      <c r="A123" s="19"/>
      <c r="B123" s="629" t="s">
        <v>119</v>
      </c>
      <c r="C123" s="629"/>
      <c r="D123" s="629"/>
      <c r="E123" s="629"/>
      <c r="F123" s="629"/>
      <c r="G123" s="629"/>
      <c r="H123" s="629"/>
      <c r="I123" s="629"/>
      <c r="J123" s="629"/>
      <c r="K123" s="629"/>
      <c r="L123" s="629"/>
      <c r="M123" s="629"/>
      <c r="N123" s="629"/>
      <c r="O123" s="629"/>
      <c r="P123" s="629"/>
      <c r="Q123" s="629"/>
      <c r="R123" s="629"/>
      <c r="S123" s="715"/>
    </row>
    <row r="124" spans="1:19" ht="12.75">
      <c r="A124" s="765" t="s">
        <v>45</v>
      </c>
      <c r="B124" s="34"/>
      <c r="C124" s="30">
        <v>0</v>
      </c>
      <c r="D124" s="30">
        <v>0.2</v>
      </c>
      <c r="E124" s="30">
        <v>0.4</v>
      </c>
      <c r="F124" s="30">
        <v>0.6</v>
      </c>
      <c r="G124" s="30">
        <v>1</v>
      </c>
      <c r="H124" s="30">
        <v>1.5</v>
      </c>
      <c r="I124" s="30">
        <v>2</v>
      </c>
      <c r="J124" s="30">
        <v>3</v>
      </c>
      <c r="K124" s="30">
        <v>4</v>
      </c>
      <c r="L124" s="30">
        <v>5</v>
      </c>
      <c r="M124" s="30">
        <v>6</v>
      </c>
      <c r="N124" s="30">
        <v>7</v>
      </c>
      <c r="O124" s="30">
        <v>8</v>
      </c>
      <c r="P124" s="30">
        <v>9</v>
      </c>
      <c r="Q124" s="30">
        <v>10</v>
      </c>
      <c r="R124" s="30">
        <v>11</v>
      </c>
      <c r="S124" s="31">
        <v>12</v>
      </c>
    </row>
    <row r="125" spans="1:19" ht="12.75">
      <c r="A125" s="765"/>
      <c r="B125" s="35">
        <v>0</v>
      </c>
      <c r="C125" s="20">
        <v>0.539</v>
      </c>
      <c r="D125" s="20">
        <v>0.536</v>
      </c>
      <c r="E125" s="20">
        <v>0.534</v>
      </c>
      <c r="F125" s="20">
        <v>0.531</v>
      </c>
      <c r="G125" s="20">
        <v>0.525</v>
      </c>
      <c r="H125" s="20">
        <v>0.516</v>
      </c>
      <c r="I125" s="20">
        <v>0.509</v>
      </c>
      <c r="J125" s="20">
        <v>0.493</v>
      </c>
      <c r="K125" s="20">
        <v>0.477</v>
      </c>
      <c r="L125" s="20">
        <v>0.461</v>
      </c>
      <c r="M125" s="20">
        <v>0.4475</v>
      </c>
      <c r="N125" s="20">
        <v>0.433</v>
      </c>
      <c r="O125" s="20">
        <v>0.42</v>
      </c>
      <c r="P125" s="20">
        <v>0.409</v>
      </c>
      <c r="Q125" s="20">
        <v>0.399</v>
      </c>
      <c r="R125" s="20">
        <v>0.39</v>
      </c>
      <c r="S125" s="21">
        <v>0.382</v>
      </c>
    </row>
    <row r="126" spans="1:19" ht="12.75">
      <c r="A126" s="765"/>
      <c r="B126" s="35">
        <v>0.25</v>
      </c>
      <c r="C126" s="20">
        <v>0.462</v>
      </c>
      <c r="D126" s="20">
        <v>0.459</v>
      </c>
      <c r="E126" s="20">
        <v>0.455</v>
      </c>
      <c r="F126" s="20">
        <v>0.452</v>
      </c>
      <c r="G126" s="20">
        <v>0.446</v>
      </c>
      <c r="H126" s="20">
        <v>0.439</v>
      </c>
      <c r="I126" s="20">
        <v>0.432</v>
      </c>
      <c r="J126" s="20">
        <v>0.42</v>
      </c>
      <c r="K126" s="20">
        <v>0.407</v>
      </c>
      <c r="L126" s="20">
        <v>0.395</v>
      </c>
      <c r="M126" s="20">
        <v>0.384</v>
      </c>
      <c r="N126" s="20">
        <v>0.373</v>
      </c>
      <c r="O126" s="20">
        <v>0.364</v>
      </c>
      <c r="P126" s="20">
        <v>0.354</v>
      </c>
      <c r="Q126" s="20">
        <v>0.347</v>
      </c>
      <c r="R126" s="20">
        <v>0.34</v>
      </c>
      <c r="S126" s="21">
        <v>0.335</v>
      </c>
    </row>
    <row r="127" spans="1:19" ht="12.75">
      <c r="A127" s="765"/>
      <c r="B127" s="35">
        <v>0.5</v>
      </c>
      <c r="C127" s="20">
        <v>0.358</v>
      </c>
      <c r="D127" s="20">
        <v>0.354</v>
      </c>
      <c r="E127" s="20">
        <v>0.35</v>
      </c>
      <c r="F127" s="20">
        <v>0.347</v>
      </c>
      <c r="G127" s="20">
        <v>0.341</v>
      </c>
      <c r="H127" s="20">
        <v>0.335</v>
      </c>
      <c r="I127" s="20">
        <v>0.331</v>
      </c>
      <c r="J127" s="20">
        <v>0.322</v>
      </c>
      <c r="K127" s="20">
        <v>0.314</v>
      </c>
      <c r="L127" s="20">
        <v>0.306</v>
      </c>
      <c r="M127" s="20">
        <v>0.3</v>
      </c>
      <c r="N127" s="20">
        <v>0.294</v>
      </c>
      <c r="O127" s="20">
        <v>0.287</v>
      </c>
      <c r="P127" s="20">
        <v>0.284</v>
      </c>
      <c r="Q127" s="20">
        <v>0.28</v>
      </c>
      <c r="R127" s="20">
        <v>0.276</v>
      </c>
      <c r="S127" s="21">
        <v>0.274</v>
      </c>
    </row>
    <row r="128" spans="1:19" ht="12.75">
      <c r="A128" s="765"/>
      <c r="B128" s="35">
        <v>0.75</v>
      </c>
      <c r="C128" s="20">
        <v>0.267</v>
      </c>
      <c r="D128" s="20">
        <v>0.263</v>
      </c>
      <c r="E128" s="20">
        <v>0.259</v>
      </c>
      <c r="F128" s="20">
        <v>0.256</v>
      </c>
      <c r="G128" s="20">
        <v>0.25</v>
      </c>
      <c r="H128" s="20">
        <v>0.246</v>
      </c>
      <c r="I128" s="20">
        <v>0.243</v>
      </c>
      <c r="J128" s="20">
        <v>0.239</v>
      </c>
      <c r="K128" s="20">
        <v>0.234</v>
      </c>
      <c r="L128" s="20">
        <v>0.231</v>
      </c>
      <c r="M128" s="20">
        <v>0.229</v>
      </c>
      <c r="N128" s="20">
        <v>0.226</v>
      </c>
      <c r="O128" s="20">
        <v>0.225</v>
      </c>
      <c r="P128" s="20">
        <v>0.223</v>
      </c>
      <c r="Q128" s="20">
        <v>0.221</v>
      </c>
      <c r="R128" s="20">
        <v>0.22</v>
      </c>
      <c r="S128" s="21">
        <v>0.219</v>
      </c>
    </row>
    <row r="129" spans="1:19" ht="13.5" thickBot="1">
      <c r="A129" s="766"/>
      <c r="B129" s="36">
        <v>1</v>
      </c>
      <c r="C129" s="22">
        <v>0.202</v>
      </c>
      <c r="D129" s="22">
        <v>0.199</v>
      </c>
      <c r="E129" s="22">
        <v>0.197</v>
      </c>
      <c r="F129" s="22">
        <v>0.195</v>
      </c>
      <c r="G129" s="22">
        <v>0.191</v>
      </c>
      <c r="H129" s="22">
        <v>0.189</v>
      </c>
      <c r="I129" s="22">
        <v>0.187</v>
      </c>
      <c r="J129" s="22">
        <v>0.184</v>
      </c>
      <c r="K129" s="22">
        <v>0.182</v>
      </c>
      <c r="L129" s="22">
        <v>0.18</v>
      </c>
      <c r="M129" s="22">
        <v>0.179</v>
      </c>
      <c r="N129" s="22">
        <v>0.178</v>
      </c>
      <c r="O129" s="22">
        <v>0.177</v>
      </c>
      <c r="P129" s="22">
        <v>0.176</v>
      </c>
      <c r="Q129" s="22">
        <v>0.175</v>
      </c>
      <c r="R129" s="22">
        <v>0.176</v>
      </c>
      <c r="S129" s="23">
        <v>0.177</v>
      </c>
    </row>
    <row r="130" spans="1:19" ht="13.5" thickBot="1">
      <c r="A130" s="643" t="s">
        <v>223</v>
      </c>
      <c r="B130" s="784"/>
      <c r="C130" s="40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2"/>
    </row>
    <row r="131" spans="1:19" ht="13.5" thickBot="1">
      <c r="A131" s="37" t="s">
        <v>109</v>
      </c>
      <c r="B131" s="16" t="s">
        <v>224</v>
      </c>
      <c r="C131" s="40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2"/>
    </row>
    <row r="132" spans="1:19" ht="12.75">
      <c r="A132" s="35">
        <v>0</v>
      </c>
      <c r="B132" s="26" t="e">
        <f>DITP('Coeficientes Longitudinais'!$C$7,'Dados Geométricos'!$E$16,'ESDU 70011'!B76:S81)</f>
        <v>#NAME?</v>
      </c>
      <c r="C132" s="40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2"/>
    </row>
    <row r="133" spans="1:19" ht="12.75">
      <c r="A133" s="35">
        <v>1</v>
      </c>
      <c r="B133" s="26" t="e">
        <f>DITP('Coeficientes Longitudinais'!$C$7,'Dados Geométricos'!$E$16,'ESDU 70011'!B84:S89)</f>
        <v>#NAME?</v>
      </c>
      <c r="C133" s="40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2"/>
    </row>
    <row r="134" spans="1:19" ht="12.75">
      <c r="A134" s="35">
        <v>2</v>
      </c>
      <c r="B134" s="26" t="e">
        <f>DITP('Coeficientes Longitudinais'!$C$7,'Dados Geométricos'!$E$16,'ESDU 70011'!B92:S97)</f>
        <v>#NAME?</v>
      </c>
      <c r="C134" s="40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2"/>
    </row>
    <row r="135" spans="1:19" ht="12.75">
      <c r="A135" s="35">
        <v>3</v>
      </c>
      <c r="B135" s="26" t="e">
        <f>DITP('Coeficientes Longitudinais'!$C$7,'Dados Geométricos'!$E$16,'ESDU 70011'!B100:S105)</f>
        <v>#NAME?</v>
      </c>
      <c r="C135" s="40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2"/>
    </row>
    <row r="136" spans="1:19" ht="12.75">
      <c r="A136" s="35">
        <v>4</v>
      </c>
      <c r="B136" s="26" t="e">
        <f>DITP('Coeficientes Longitudinais'!$C$7,'Dados Geométricos'!$E$16,'ESDU 70011'!B108:S113)</f>
        <v>#NAME?</v>
      </c>
      <c r="C136" s="40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2"/>
    </row>
    <row r="137" spans="1:19" ht="12.75">
      <c r="A137" s="35">
        <v>5</v>
      </c>
      <c r="B137" s="26" t="e">
        <f>DITP('Coeficientes Longitudinais'!$C$7,'Dados Geométricos'!$E$16,'ESDU 70011'!B116:S121)</f>
        <v>#NAME?</v>
      </c>
      <c r="C137" s="40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2"/>
    </row>
    <row r="138" spans="1:19" ht="13.5" thickBot="1">
      <c r="A138" s="36">
        <v>6</v>
      </c>
      <c r="B138" s="28" t="e">
        <f>DITP('Coeficientes Longitudinais'!$C$7,'Dados Geométricos'!$E$16,'ESDU 70011'!B124:S129)</f>
        <v>#NAME?</v>
      </c>
      <c r="C138" s="43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5"/>
    </row>
  </sheetData>
  <sheetProtection/>
  <mergeCells count="80">
    <mergeCell ref="N68:O68"/>
    <mergeCell ref="Q68:R68"/>
    <mergeCell ref="M67:O67"/>
    <mergeCell ref="P67:R67"/>
    <mergeCell ref="N73:O73"/>
    <mergeCell ref="Q69:R69"/>
    <mergeCell ref="Q70:R70"/>
    <mergeCell ref="Q71:R71"/>
    <mergeCell ref="Q72:R72"/>
    <mergeCell ref="Q73:R73"/>
    <mergeCell ref="N69:O69"/>
    <mergeCell ref="N70:O70"/>
    <mergeCell ref="N71:O71"/>
    <mergeCell ref="N72:O72"/>
    <mergeCell ref="B68:C68"/>
    <mergeCell ref="A67:C67"/>
    <mergeCell ref="B72:C72"/>
    <mergeCell ref="B71:C71"/>
    <mergeCell ref="B70:C70"/>
    <mergeCell ref="B69:C69"/>
    <mergeCell ref="E70:F70"/>
    <mergeCell ref="E71:F71"/>
    <mergeCell ref="E72:F72"/>
    <mergeCell ref="E73:F73"/>
    <mergeCell ref="K68:L68"/>
    <mergeCell ref="J67:L67"/>
    <mergeCell ref="H72:I72"/>
    <mergeCell ref="H71:I71"/>
    <mergeCell ref="H69:I69"/>
    <mergeCell ref="H70:I70"/>
    <mergeCell ref="A30:A40"/>
    <mergeCell ref="A41:S41"/>
    <mergeCell ref="B42:S42"/>
    <mergeCell ref="A43:A53"/>
    <mergeCell ref="H73:I73"/>
    <mergeCell ref="H68:I68"/>
    <mergeCell ref="G67:I67"/>
    <mergeCell ref="E68:F68"/>
    <mergeCell ref="D67:F67"/>
    <mergeCell ref="E69:F69"/>
    <mergeCell ref="A124:A129"/>
    <mergeCell ref="A54:S54"/>
    <mergeCell ref="B55:S55"/>
    <mergeCell ref="A56:A66"/>
    <mergeCell ref="K73:L73"/>
    <mergeCell ref="B73:C73"/>
    <mergeCell ref="K69:L69"/>
    <mergeCell ref="K70:L70"/>
    <mergeCell ref="K71:L71"/>
    <mergeCell ref="K72:L72"/>
    <mergeCell ref="A122:S122"/>
    <mergeCell ref="B115:S115"/>
    <mergeCell ref="A130:B130"/>
    <mergeCell ref="B3:S3"/>
    <mergeCell ref="A4:A14"/>
    <mergeCell ref="A15:S15"/>
    <mergeCell ref="B16:S16"/>
    <mergeCell ref="A17:A27"/>
    <mergeCell ref="A28:S28"/>
    <mergeCell ref="B29:S29"/>
    <mergeCell ref="B123:S123"/>
    <mergeCell ref="A108:A113"/>
    <mergeCell ref="A116:A121"/>
    <mergeCell ref="A76:A81"/>
    <mergeCell ref="A98:S98"/>
    <mergeCell ref="A100:A105"/>
    <mergeCell ref="B99:S99"/>
    <mergeCell ref="B107:S107"/>
    <mergeCell ref="A106:S106"/>
    <mergeCell ref="A114:S114"/>
    <mergeCell ref="A1:S1"/>
    <mergeCell ref="A90:S90"/>
    <mergeCell ref="A92:A97"/>
    <mergeCell ref="B91:S91"/>
    <mergeCell ref="A74:S74"/>
    <mergeCell ref="A82:S82"/>
    <mergeCell ref="A84:A89"/>
    <mergeCell ref="B83:S83"/>
    <mergeCell ref="B75:S75"/>
    <mergeCell ref="A2:S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8">
    <tabColor indexed="19"/>
  </sheetPr>
  <dimension ref="A1:Q43"/>
  <sheetViews>
    <sheetView zoomScale="85" zoomScaleNormal="85" zoomScalePageLayoutView="0" workbookViewId="0" topLeftCell="A1">
      <selection activeCell="B10" sqref="B10:L10"/>
    </sheetView>
  </sheetViews>
  <sheetFormatPr defaultColWidth="9.140625" defaultRowHeight="12.75"/>
  <cols>
    <col min="1" max="1" width="9.140625" style="152" customWidth="1"/>
    <col min="2" max="2" width="9.140625" style="395" customWidth="1"/>
    <col min="3" max="17" width="9.140625" style="154" customWidth="1"/>
    <col min="18" max="16384" width="9.140625" style="152" customWidth="1"/>
  </cols>
  <sheetData>
    <row r="1" spans="1:17" ht="13.5" thickBot="1">
      <c r="A1" s="632" t="s">
        <v>714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4"/>
    </row>
    <row r="2" spans="1:17" ht="13.5" thickBot="1">
      <c r="A2" s="643"/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44"/>
    </row>
    <row r="3" spans="1:17" ht="13.5" thickBot="1">
      <c r="A3" s="19"/>
      <c r="B3" s="628" t="s">
        <v>678</v>
      </c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715"/>
    </row>
    <row r="4" spans="1:17" ht="12.75">
      <c r="A4" s="737" t="s">
        <v>681</v>
      </c>
      <c r="B4" s="396"/>
      <c r="C4" s="30">
        <v>0</v>
      </c>
      <c r="D4" s="30">
        <v>5</v>
      </c>
      <c r="E4" s="30">
        <v>10</v>
      </c>
      <c r="F4" s="30">
        <v>15</v>
      </c>
      <c r="G4" s="30">
        <v>20</v>
      </c>
      <c r="H4" s="30">
        <v>25</v>
      </c>
      <c r="I4" s="30">
        <v>30</v>
      </c>
      <c r="J4" s="30">
        <v>35</v>
      </c>
      <c r="K4" s="30">
        <v>40</v>
      </c>
      <c r="L4" s="30">
        <v>45</v>
      </c>
      <c r="M4" s="30">
        <v>50</v>
      </c>
      <c r="N4" s="30">
        <v>55</v>
      </c>
      <c r="O4" s="30">
        <v>60</v>
      </c>
      <c r="P4" s="30">
        <v>65</v>
      </c>
      <c r="Q4" s="31">
        <v>70</v>
      </c>
    </row>
    <row r="5" spans="1:17" ht="12.75">
      <c r="A5" s="718"/>
      <c r="B5" s="92">
        <v>0.1</v>
      </c>
      <c r="C5" s="33">
        <v>0</v>
      </c>
      <c r="D5" s="33">
        <v>0.2122</v>
      </c>
      <c r="E5" s="33">
        <v>0.38293</v>
      </c>
      <c r="F5" s="33">
        <v>0.52439</v>
      </c>
      <c r="G5" s="33">
        <v>0.63415</v>
      </c>
      <c r="H5" s="33">
        <v>0.72439</v>
      </c>
      <c r="I5" s="33">
        <v>0.79756</v>
      </c>
      <c r="J5" s="33">
        <v>0.8561</v>
      </c>
      <c r="K5" s="33">
        <v>0.89268</v>
      </c>
      <c r="L5" s="33">
        <v>0.91951</v>
      </c>
      <c r="M5" s="33">
        <v>0.93902</v>
      </c>
      <c r="N5" s="33">
        <v>0.9439</v>
      </c>
      <c r="O5" s="33">
        <v>0.94634</v>
      </c>
      <c r="P5" s="33">
        <v>0.93659</v>
      </c>
      <c r="Q5" s="26">
        <v>0.90732</v>
      </c>
    </row>
    <row r="6" spans="1:17" ht="12.75">
      <c r="A6" s="718"/>
      <c r="B6" s="92">
        <v>0.15</v>
      </c>
      <c r="C6" s="33">
        <v>0</v>
      </c>
      <c r="D6" s="33">
        <v>0.25122</v>
      </c>
      <c r="E6" s="33">
        <v>0.45366</v>
      </c>
      <c r="F6" s="33">
        <v>0.61951</v>
      </c>
      <c r="G6" s="33">
        <v>0.7561</v>
      </c>
      <c r="H6" s="33">
        <v>0.87561</v>
      </c>
      <c r="I6" s="33">
        <v>0.96585</v>
      </c>
      <c r="J6" s="33">
        <v>1.0293</v>
      </c>
      <c r="K6" s="33">
        <v>1.078</v>
      </c>
      <c r="L6" s="33">
        <v>1.1073</v>
      </c>
      <c r="M6" s="33">
        <v>1.122</v>
      </c>
      <c r="N6" s="33">
        <v>1.1244</v>
      </c>
      <c r="O6" s="33">
        <v>1.1244</v>
      </c>
      <c r="P6" s="33">
        <v>1.1098</v>
      </c>
      <c r="Q6" s="26">
        <v>1.0829</v>
      </c>
    </row>
    <row r="7" spans="1:17" ht="12.75">
      <c r="A7" s="718"/>
      <c r="B7" s="92">
        <v>0.2</v>
      </c>
      <c r="C7" s="33">
        <v>0</v>
      </c>
      <c r="D7" s="33">
        <v>0.29268</v>
      </c>
      <c r="E7" s="33">
        <v>0.52683</v>
      </c>
      <c r="F7" s="33">
        <v>0.7122</v>
      </c>
      <c r="G7" s="33">
        <v>0.86585</v>
      </c>
      <c r="H7" s="33">
        <v>1.0024</v>
      </c>
      <c r="I7" s="33">
        <v>1.1073</v>
      </c>
      <c r="J7" s="33">
        <v>1.1854</v>
      </c>
      <c r="K7" s="33">
        <v>1.2317</v>
      </c>
      <c r="L7" s="33">
        <v>1.2659</v>
      </c>
      <c r="M7" s="33">
        <v>1.2829</v>
      </c>
      <c r="N7" s="33">
        <v>1.2878</v>
      </c>
      <c r="O7" s="33">
        <v>1.2902</v>
      </c>
      <c r="P7" s="33">
        <v>1.2805</v>
      </c>
      <c r="Q7" s="26">
        <v>1.2488</v>
      </c>
    </row>
    <row r="8" spans="1:17" ht="12.75">
      <c r="A8" s="718"/>
      <c r="B8" s="92">
        <v>0.25</v>
      </c>
      <c r="C8" s="33">
        <v>0</v>
      </c>
      <c r="D8" s="33">
        <v>0.32927</v>
      </c>
      <c r="E8" s="33">
        <v>0.59512</v>
      </c>
      <c r="F8" s="33">
        <v>0.8</v>
      </c>
      <c r="G8" s="33">
        <v>0.97073</v>
      </c>
      <c r="H8" s="33">
        <v>1.1195</v>
      </c>
      <c r="I8" s="33">
        <v>1.239</v>
      </c>
      <c r="J8" s="33">
        <v>1.3146</v>
      </c>
      <c r="K8" s="33">
        <v>1.3707</v>
      </c>
      <c r="L8" s="33">
        <v>1.4098</v>
      </c>
      <c r="M8" s="33">
        <v>1.4293</v>
      </c>
      <c r="N8" s="33">
        <v>1.4415</v>
      </c>
      <c r="O8" s="33">
        <v>1.4439</v>
      </c>
      <c r="P8" s="33">
        <v>1.4317</v>
      </c>
      <c r="Q8" s="26">
        <v>1.4024</v>
      </c>
    </row>
    <row r="9" spans="1:17" ht="12.75">
      <c r="A9" s="718"/>
      <c r="B9" s="92">
        <v>0.3</v>
      </c>
      <c r="C9" s="33">
        <v>0</v>
      </c>
      <c r="D9" s="33">
        <v>0.36585</v>
      </c>
      <c r="E9" s="33">
        <v>0.65366</v>
      </c>
      <c r="F9" s="33">
        <v>0.88293</v>
      </c>
      <c r="G9" s="33">
        <v>1.0683</v>
      </c>
      <c r="H9" s="33">
        <v>1.2268</v>
      </c>
      <c r="I9" s="33">
        <v>1.3512</v>
      </c>
      <c r="J9" s="33">
        <v>1.4317</v>
      </c>
      <c r="K9" s="33">
        <v>1.4927</v>
      </c>
      <c r="L9" s="33">
        <v>1.5439</v>
      </c>
      <c r="M9" s="33">
        <v>1.5707</v>
      </c>
      <c r="N9" s="33">
        <v>1.5829</v>
      </c>
      <c r="O9" s="33">
        <v>1.5854</v>
      </c>
      <c r="P9" s="33">
        <v>1.5707</v>
      </c>
      <c r="Q9" s="26">
        <v>1.5415</v>
      </c>
    </row>
    <row r="10" spans="1:17" ht="12.75">
      <c r="A10" s="718"/>
      <c r="B10" s="92">
        <v>0.35</v>
      </c>
      <c r="C10" s="33">
        <v>0</v>
      </c>
      <c r="D10" s="33">
        <v>0.39268</v>
      </c>
      <c r="E10" s="33">
        <v>0.70488</v>
      </c>
      <c r="F10" s="33">
        <v>0.9561</v>
      </c>
      <c r="G10" s="33">
        <v>1.1585</v>
      </c>
      <c r="H10" s="33">
        <v>1.322</v>
      </c>
      <c r="I10" s="33">
        <v>1.4512</v>
      </c>
      <c r="J10" s="33">
        <v>1.5439</v>
      </c>
      <c r="K10" s="33">
        <v>1.6146</v>
      </c>
      <c r="L10" s="33">
        <v>1.661</v>
      </c>
      <c r="M10" s="33">
        <v>1.6951</v>
      </c>
      <c r="N10" s="33">
        <v>1.7122</v>
      </c>
      <c r="O10" s="33">
        <v>1.7122</v>
      </c>
      <c r="P10" s="33">
        <v>1.6976</v>
      </c>
      <c r="Q10" s="26">
        <v>1.6634</v>
      </c>
    </row>
    <row r="11" spans="1:17" ht="13.5" thickBot="1">
      <c r="A11" s="719"/>
      <c r="B11" s="93">
        <v>0.4</v>
      </c>
      <c r="C11" s="97">
        <v>0</v>
      </c>
      <c r="D11" s="97">
        <v>0.4122</v>
      </c>
      <c r="E11" s="97">
        <v>0.7439</v>
      </c>
      <c r="F11" s="97">
        <v>1.0195</v>
      </c>
      <c r="G11" s="97">
        <v>1.2366</v>
      </c>
      <c r="H11" s="97">
        <v>1.4122</v>
      </c>
      <c r="I11" s="97">
        <v>1.5512</v>
      </c>
      <c r="J11" s="97">
        <v>1.6512</v>
      </c>
      <c r="K11" s="97">
        <v>1.722</v>
      </c>
      <c r="L11" s="97">
        <v>1.7732</v>
      </c>
      <c r="M11" s="97">
        <v>1.8024</v>
      </c>
      <c r="N11" s="97">
        <v>1.8171</v>
      </c>
      <c r="O11" s="97">
        <v>1.8146</v>
      </c>
      <c r="P11" s="97">
        <v>1.8024</v>
      </c>
      <c r="Q11" s="28">
        <v>1.7732</v>
      </c>
    </row>
    <row r="12" spans="1:17" ht="13.5" thickBot="1">
      <c r="A12" s="643"/>
      <c r="B12" s="688"/>
      <c r="C12" s="688"/>
      <c r="D12" s="688"/>
      <c r="E12" s="688"/>
      <c r="F12" s="688"/>
      <c r="G12" s="644"/>
      <c r="H12" s="598"/>
      <c r="I12" s="599"/>
      <c r="J12" s="599"/>
      <c r="K12" s="599"/>
      <c r="L12" s="599"/>
      <c r="M12" s="599"/>
      <c r="N12" s="599"/>
      <c r="O12" s="599"/>
      <c r="P12" s="599"/>
      <c r="Q12" s="600"/>
    </row>
    <row r="13" spans="1:17" ht="13.5" thickBot="1">
      <c r="A13" s="19"/>
      <c r="B13" s="628" t="s">
        <v>677</v>
      </c>
      <c r="C13" s="629"/>
      <c r="D13" s="629"/>
      <c r="E13" s="629"/>
      <c r="F13" s="629"/>
      <c r="G13" s="715"/>
      <c r="H13" s="601"/>
      <c r="I13" s="602"/>
      <c r="J13" s="602"/>
      <c r="K13" s="602"/>
      <c r="L13" s="602"/>
      <c r="M13" s="602"/>
      <c r="N13" s="602"/>
      <c r="O13" s="602"/>
      <c r="P13" s="602"/>
      <c r="Q13" s="603"/>
    </row>
    <row r="14" spans="1:17" ht="12.75">
      <c r="A14" s="737" t="s">
        <v>698</v>
      </c>
      <c r="B14" s="396"/>
      <c r="C14" s="30">
        <v>1</v>
      </c>
      <c r="D14" s="30">
        <v>0.6</v>
      </c>
      <c r="E14" s="30">
        <v>0.4</v>
      </c>
      <c r="F14" s="30">
        <v>0.2</v>
      </c>
      <c r="G14" s="31">
        <v>0</v>
      </c>
      <c r="H14" s="601"/>
      <c r="I14" s="602"/>
      <c r="J14" s="602"/>
      <c r="K14" s="602"/>
      <c r="L14" s="602"/>
      <c r="M14" s="602"/>
      <c r="N14" s="602"/>
      <c r="O14" s="602"/>
      <c r="P14" s="602"/>
      <c r="Q14" s="603"/>
    </row>
    <row r="15" spans="1:17" ht="12.75">
      <c r="A15" s="718"/>
      <c r="B15" s="119">
        <v>0.1</v>
      </c>
      <c r="C15" s="33">
        <v>0.10062</v>
      </c>
      <c r="D15" s="33">
        <v>0.14783</v>
      </c>
      <c r="E15" s="33">
        <v>0.18137</v>
      </c>
      <c r="F15" s="33">
        <v>0.2236</v>
      </c>
      <c r="G15" s="26">
        <v>0.27329</v>
      </c>
      <c r="H15" s="601"/>
      <c r="I15" s="602"/>
      <c r="J15" s="602"/>
      <c r="K15" s="602"/>
      <c r="L15" s="602"/>
      <c r="M15" s="602"/>
      <c r="N15" s="602"/>
      <c r="O15" s="602"/>
      <c r="P15" s="602"/>
      <c r="Q15" s="603"/>
    </row>
    <row r="16" spans="1:17" ht="12.75">
      <c r="A16" s="718"/>
      <c r="B16" s="119">
        <v>0.2</v>
      </c>
      <c r="C16" s="33">
        <v>0.2</v>
      </c>
      <c r="D16" s="33">
        <v>0.28199</v>
      </c>
      <c r="E16" s="33">
        <v>0.33913</v>
      </c>
      <c r="F16" s="33">
        <v>0.4087</v>
      </c>
      <c r="G16" s="26">
        <v>0.48696</v>
      </c>
      <c r="H16" s="601"/>
      <c r="I16" s="602"/>
      <c r="J16" s="602"/>
      <c r="K16" s="602"/>
      <c r="L16" s="602"/>
      <c r="M16" s="602"/>
      <c r="N16" s="602"/>
      <c r="O16" s="602"/>
      <c r="P16" s="602"/>
      <c r="Q16" s="603"/>
    </row>
    <row r="17" spans="1:17" ht="12.75">
      <c r="A17" s="718"/>
      <c r="B17" s="119">
        <v>0.3</v>
      </c>
      <c r="C17" s="33">
        <v>0.29938</v>
      </c>
      <c r="D17" s="33">
        <v>0.40497</v>
      </c>
      <c r="E17" s="33">
        <v>0.47826</v>
      </c>
      <c r="F17" s="33">
        <v>0.56273</v>
      </c>
      <c r="G17" s="26">
        <v>0.6559</v>
      </c>
      <c r="H17" s="601"/>
      <c r="I17" s="602"/>
      <c r="J17" s="602"/>
      <c r="K17" s="602"/>
      <c r="L17" s="602"/>
      <c r="M17" s="602"/>
      <c r="N17" s="602"/>
      <c r="O17" s="602"/>
      <c r="P17" s="602"/>
      <c r="Q17" s="603"/>
    </row>
    <row r="18" spans="1:17" ht="12.75">
      <c r="A18" s="718"/>
      <c r="B18" s="119">
        <v>0.4</v>
      </c>
      <c r="C18" s="33">
        <v>0.39876</v>
      </c>
      <c r="D18" s="33">
        <v>0.51801</v>
      </c>
      <c r="E18" s="33">
        <v>0.59752</v>
      </c>
      <c r="F18" s="33">
        <v>0.68944</v>
      </c>
      <c r="G18" s="26">
        <v>0.78012</v>
      </c>
      <c r="H18" s="601"/>
      <c r="I18" s="602"/>
      <c r="J18" s="602"/>
      <c r="K18" s="602"/>
      <c r="L18" s="602"/>
      <c r="M18" s="602"/>
      <c r="N18" s="602"/>
      <c r="O18" s="602"/>
      <c r="P18" s="602"/>
      <c r="Q18" s="603"/>
    </row>
    <row r="19" spans="1:17" ht="12.75">
      <c r="A19" s="718"/>
      <c r="B19" s="119">
        <v>0.50125</v>
      </c>
      <c r="C19" s="33">
        <v>0.49814</v>
      </c>
      <c r="D19" s="33">
        <v>0.62112</v>
      </c>
      <c r="E19" s="33">
        <v>0.70062</v>
      </c>
      <c r="F19" s="33">
        <v>0.78882</v>
      </c>
      <c r="G19" s="26">
        <v>0.87329</v>
      </c>
      <c r="H19" s="601"/>
      <c r="I19" s="602"/>
      <c r="J19" s="602"/>
      <c r="K19" s="602"/>
      <c r="L19" s="602"/>
      <c r="M19" s="602"/>
      <c r="N19" s="602"/>
      <c r="O19" s="602"/>
      <c r="P19" s="602"/>
      <c r="Q19" s="603"/>
    </row>
    <row r="20" spans="1:17" ht="12.75">
      <c r="A20" s="718"/>
      <c r="B20" s="119">
        <v>0.6025</v>
      </c>
      <c r="C20" s="33">
        <v>0.59876</v>
      </c>
      <c r="D20" s="33">
        <v>0.71429</v>
      </c>
      <c r="E20" s="33">
        <v>0.78634</v>
      </c>
      <c r="F20" s="33">
        <v>0.86335</v>
      </c>
      <c r="G20" s="26">
        <v>0.93292</v>
      </c>
      <c r="H20" s="601"/>
      <c r="I20" s="602"/>
      <c r="J20" s="602"/>
      <c r="K20" s="602"/>
      <c r="L20" s="602"/>
      <c r="M20" s="602"/>
      <c r="N20" s="602"/>
      <c r="O20" s="602"/>
      <c r="P20" s="602"/>
      <c r="Q20" s="603"/>
    </row>
    <row r="21" spans="1:17" ht="12.75">
      <c r="A21" s="718"/>
      <c r="B21" s="119">
        <v>0.70125</v>
      </c>
      <c r="C21" s="33">
        <v>0.69814</v>
      </c>
      <c r="D21" s="33">
        <v>0.79752</v>
      </c>
      <c r="E21" s="33">
        <v>0.85714</v>
      </c>
      <c r="F21" s="33">
        <v>0.91925</v>
      </c>
      <c r="G21" s="26">
        <v>0.96894</v>
      </c>
      <c r="H21" s="601"/>
      <c r="I21" s="602"/>
      <c r="J21" s="602"/>
      <c r="K21" s="602"/>
      <c r="L21" s="602"/>
      <c r="M21" s="602"/>
      <c r="N21" s="602"/>
      <c r="O21" s="602"/>
      <c r="P21" s="602"/>
      <c r="Q21" s="603"/>
    </row>
    <row r="22" spans="1:17" ht="12.75">
      <c r="A22" s="718"/>
      <c r="B22" s="119">
        <v>0.80125</v>
      </c>
      <c r="C22" s="33">
        <v>0.79752</v>
      </c>
      <c r="D22" s="33">
        <v>0.87081</v>
      </c>
      <c r="E22" s="33">
        <v>0.91553</v>
      </c>
      <c r="F22" s="33">
        <v>0.95776</v>
      </c>
      <c r="G22" s="26">
        <v>0.98882</v>
      </c>
      <c r="H22" s="601"/>
      <c r="I22" s="602"/>
      <c r="J22" s="602"/>
      <c r="K22" s="602"/>
      <c r="L22" s="602"/>
      <c r="M22" s="602"/>
      <c r="N22" s="602"/>
      <c r="O22" s="602"/>
      <c r="P22" s="602"/>
      <c r="Q22" s="603"/>
    </row>
    <row r="23" spans="1:17" ht="12.75">
      <c r="A23" s="718"/>
      <c r="B23" s="119">
        <v>0.9025</v>
      </c>
      <c r="C23" s="33">
        <v>0.89689</v>
      </c>
      <c r="D23" s="33">
        <v>0.93789</v>
      </c>
      <c r="E23" s="33">
        <v>0.96149</v>
      </c>
      <c r="F23" s="33">
        <v>0.98261</v>
      </c>
      <c r="G23" s="26">
        <v>0.99627</v>
      </c>
      <c r="H23" s="601"/>
      <c r="I23" s="602"/>
      <c r="J23" s="602"/>
      <c r="K23" s="602"/>
      <c r="L23" s="602"/>
      <c r="M23" s="602"/>
      <c r="N23" s="602"/>
      <c r="O23" s="602"/>
      <c r="P23" s="602"/>
      <c r="Q23" s="603"/>
    </row>
    <row r="24" spans="1:17" ht="13.5" thickBot="1">
      <c r="A24" s="719"/>
      <c r="B24" s="397">
        <v>1.0025</v>
      </c>
      <c r="C24" s="97">
        <v>0.99627</v>
      </c>
      <c r="D24" s="97">
        <v>0.99627</v>
      </c>
      <c r="E24" s="97">
        <v>0.99627</v>
      </c>
      <c r="F24" s="97">
        <v>0.99627</v>
      </c>
      <c r="G24" s="28">
        <v>0.99627</v>
      </c>
      <c r="H24" s="604"/>
      <c r="I24" s="605"/>
      <c r="J24" s="605"/>
      <c r="K24" s="605"/>
      <c r="L24" s="605"/>
      <c r="M24" s="605"/>
      <c r="N24" s="605"/>
      <c r="O24" s="605"/>
      <c r="P24" s="605"/>
      <c r="Q24" s="606"/>
    </row>
    <row r="34" spans="8:9" ht="12.75">
      <c r="H34" s="178"/>
      <c r="I34" s="178"/>
    </row>
    <row r="35" spans="8:9" ht="12.75">
      <c r="H35" s="178"/>
      <c r="I35" s="178"/>
    </row>
    <row r="36" spans="8:9" ht="12.75">
      <c r="H36" s="178"/>
      <c r="I36" s="178"/>
    </row>
    <row r="37" spans="8:9" ht="12.75">
      <c r="H37" s="178"/>
      <c r="I37" s="178"/>
    </row>
    <row r="38" spans="8:9" ht="12.75">
      <c r="H38" s="178"/>
      <c r="I38" s="178"/>
    </row>
    <row r="39" spans="8:9" ht="12.75">
      <c r="H39" s="178"/>
      <c r="I39" s="178"/>
    </row>
    <row r="40" spans="8:9" ht="12.75">
      <c r="H40" s="178"/>
      <c r="I40" s="178"/>
    </row>
    <row r="41" spans="8:9" ht="12.75">
      <c r="H41" s="178"/>
      <c r="I41" s="178"/>
    </row>
    <row r="42" spans="8:9" ht="12.75">
      <c r="H42" s="178"/>
      <c r="I42" s="178"/>
    </row>
    <row r="43" ht="12.75">
      <c r="I43" s="178"/>
    </row>
  </sheetData>
  <sheetProtection/>
  <mergeCells count="8">
    <mergeCell ref="A1:Q1"/>
    <mergeCell ref="A2:Q2"/>
    <mergeCell ref="A4:A11"/>
    <mergeCell ref="B3:Q3"/>
    <mergeCell ref="B13:G13"/>
    <mergeCell ref="A14:A24"/>
    <mergeCell ref="A12:G12"/>
    <mergeCell ref="H12:Q24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33">
    <tabColor indexed="19"/>
  </sheetPr>
  <dimension ref="A1:R50"/>
  <sheetViews>
    <sheetView zoomScalePageLayoutView="0" workbookViewId="0" topLeftCell="A1">
      <selection activeCell="B10" sqref="B10:L10"/>
    </sheetView>
  </sheetViews>
  <sheetFormatPr defaultColWidth="9.140625" defaultRowHeight="12.75"/>
  <cols>
    <col min="1" max="1" width="9.140625" style="152" customWidth="1"/>
    <col min="2" max="2" width="9.140625" style="363" customWidth="1"/>
    <col min="3" max="3" width="9.140625" style="395" customWidth="1"/>
    <col min="4" max="18" width="9.140625" style="154" customWidth="1"/>
    <col min="19" max="16384" width="9.140625" style="152" customWidth="1"/>
  </cols>
  <sheetData>
    <row r="1" spans="1:8" ht="13.5" thickBot="1">
      <c r="A1" s="632" t="s">
        <v>715</v>
      </c>
      <c r="B1" s="633"/>
      <c r="C1" s="633"/>
      <c r="D1" s="633"/>
      <c r="E1" s="633"/>
      <c r="F1" s="633"/>
      <c r="G1" s="633"/>
      <c r="H1" s="634"/>
    </row>
    <row r="2" spans="1:8" ht="13.5" thickBot="1">
      <c r="A2" s="720" t="s">
        <v>716</v>
      </c>
      <c r="B2" s="721"/>
      <c r="C2" s="721"/>
      <c r="D2" s="721"/>
      <c r="E2" s="721"/>
      <c r="F2" s="721"/>
      <c r="G2" s="721"/>
      <c r="H2" s="722"/>
    </row>
    <row r="3" spans="1:8" ht="13.5" thickBot="1">
      <c r="A3" s="19"/>
      <c r="B3" s="794" t="s">
        <v>704</v>
      </c>
      <c r="C3" s="795"/>
      <c r="D3" s="795"/>
      <c r="E3" s="795"/>
      <c r="F3" s="795"/>
      <c r="G3" s="795"/>
      <c r="H3" s="796"/>
    </row>
    <row r="4" spans="1:8" ht="12.75">
      <c r="A4" s="737" t="s">
        <v>705</v>
      </c>
      <c r="B4" s="400"/>
      <c r="C4" s="399">
        <v>0.36</v>
      </c>
      <c r="D4" s="30">
        <v>0.38</v>
      </c>
      <c r="E4" s="399">
        <v>0.4</v>
      </c>
      <c r="F4" s="30">
        <v>0.42</v>
      </c>
      <c r="G4" s="399">
        <v>0.44</v>
      </c>
      <c r="H4" s="31">
        <v>0.46</v>
      </c>
    </row>
    <row r="5" spans="1:8" ht="12.75">
      <c r="A5" s="718"/>
      <c r="B5" s="92">
        <v>0</v>
      </c>
      <c r="C5" s="161">
        <v>0</v>
      </c>
      <c r="D5" s="161">
        <v>0</v>
      </c>
      <c r="E5" s="161">
        <v>0</v>
      </c>
      <c r="F5" s="161">
        <v>0</v>
      </c>
      <c r="G5" s="161">
        <v>0</v>
      </c>
      <c r="H5" s="160">
        <v>0</v>
      </c>
    </row>
    <row r="6" spans="1:8" ht="12.75">
      <c r="A6" s="718"/>
      <c r="B6" s="92">
        <v>0.1</v>
      </c>
      <c r="C6" s="161">
        <v>0.15897</v>
      </c>
      <c r="D6" s="161">
        <v>0.15128</v>
      </c>
      <c r="E6" s="161">
        <v>0.14231</v>
      </c>
      <c r="F6" s="161">
        <v>0.12564</v>
      </c>
      <c r="G6" s="161">
        <v>0.11667</v>
      </c>
      <c r="H6" s="160">
        <v>0.10641</v>
      </c>
    </row>
    <row r="7" spans="1:18" ht="12.75">
      <c r="A7" s="718"/>
      <c r="B7" s="92">
        <v>0.2</v>
      </c>
      <c r="C7" s="161">
        <v>0.31923</v>
      </c>
      <c r="D7" s="161">
        <v>0.30128</v>
      </c>
      <c r="E7" s="161">
        <v>0.28333</v>
      </c>
      <c r="F7" s="161">
        <v>0.25</v>
      </c>
      <c r="G7" s="161">
        <v>0.23333</v>
      </c>
      <c r="H7" s="160">
        <v>0.21667</v>
      </c>
      <c r="N7" s="153"/>
      <c r="O7" s="153"/>
      <c r="P7" s="153"/>
      <c r="Q7" s="153"/>
      <c r="R7" s="153"/>
    </row>
    <row r="8" spans="1:18" ht="12.75">
      <c r="A8" s="718"/>
      <c r="B8" s="92">
        <v>0.3</v>
      </c>
      <c r="C8" s="161">
        <v>0.46538</v>
      </c>
      <c r="D8" s="161">
        <v>0.44231</v>
      </c>
      <c r="E8" s="161">
        <v>0.41795</v>
      </c>
      <c r="F8" s="161">
        <v>0.37179</v>
      </c>
      <c r="G8" s="161">
        <v>0.34744</v>
      </c>
      <c r="H8" s="160">
        <v>0.32436</v>
      </c>
      <c r="N8" s="153"/>
      <c r="O8" s="153"/>
      <c r="P8" s="153"/>
      <c r="Q8" s="153"/>
      <c r="R8" s="153"/>
    </row>
    <row r="9" spans="1:18" ht="12.75">
      <c r="A9" s="718"/>
      <c r="B9" s="92">
        <v>0.4</v>
      </c>
      <c r="C9" s="161">
        <v>0.6</v>
      </c>
      <c r="D9" s="161">
        <v>0.57179</v>
      </c>
      <c r="E9" s="161">
        <v>0.54487</v>
      </c>
      <c r="F9" s="161">
        <v>0.48846</v>
      </c>
      <c r="G9" s="161">
        <v>0.46154</v>
      </c>
      <c r="H9" s="160">
        <v>0.43333</v>
      </c>
      <c r="N9" s="153"/>
      <c r="O9" s="153"/>
      <c r="P9" s="153"/>
      <c r="Q9" s="153"/>
      <c r="R9" s="153"/>
    </row>
    <row r="10" spans="1:18" ht="12.75">
      <c r="A10" s="718"/>
      <c r="B10" s="92">
        <v>0.5</v>
      </c>
      <c r="C10" s="161">
        <v>0.71923</v>
      </c>
      <c r="D10" s="161">
        <v>0.68846</v>
      </c>
      <c r="E10" s="161">
        <v>0.65897</v>
      </c>
      <c r="F10" s="161">
        <v>0.60128</v>
      </c>
      <c r="G10" s="161">
        <v>0.57179</v>
      </c>
      <c r="H10" s="160">
        <v>0.54231</v>
      </c>
      <c r="N10" s="153"/>
      <c r="O10" s="153"/>
      <c r="P10" s="153"/>
      <c r="Q10" s="153"/>
      <c r="R10" s="153"/>
    </row>
    <row r="11" spans="1:18" ht="12.75">
      <c r="A11" s="718"/>
      <c r="B11" s="92">
        <v>0.59873</v>
      </c>
      <c r="C11" s="161">
        <v>0.82308</v>
      </c>
      <c r="D11" s="161">
        <v>0.79359</v>
      </c>
      <c r="E11" s="161">
        <v>0.76538</v>
      </c>
      <c r="F11" s="161">
        <v>0.70769</v>
      </c>
      <c r="G11" s="161">
        <v>0.67949</v>
      </c>
      <c r="H11" s="160">
        <v>0.64872</v>
      </c>
      <c r="N11" s="153"/>
      <c r="O11" s="153"/>
      <c r="P11" s="153"/>
      <c r="Q11" s="153"/>
      <c r="R11" s="153"/>
    </row>
    <row r="12" spans="1:18" ht="12.75">
      <c r="A12" s="718"/>
      <c r="B12" s="92">
        <v>0.69873</v>
      </c>
      <c r="C12" s="161">
        <v>0.90513</v>
      </c>
      <c r="D12" s="161">
        <v>0.87949</v>
      </c>
      <c r="E12" s="161">
        <v>0.85641</v>
      </c>
      <c r="F12" s="161">
        <v>0.80769</v>
      </c>
      <c r="G12" s="161">
        <v>0.78333</v>
      </c>
      <c r="H12" s="160">
        <v>0.75769</v>
      </c>
      <c r="N12" s="153"/>
      <c r="O12" s="153"/>
      <c r="P12" s="153"/>
      <c r="Q12" s="153"/>
      <c r="R12" s="153"/>
    </row>
    <row r="13" spans="1:18" ht="12.75">
      <c r="A13" s="718"/>
      <c r="B13" s="92">
        <v>0.79873</v>
      </c>
      <c r="C13" s="161">
        <v>0.95897</v>
      </c>
      <c r="D13" s="161">
        <v>0.94103</v>
      </c>
      <c r="E13" s="161">
        <v>0.92436</v>
      </c>
      <c r="F13" s="161">
        <v>0.89231</v>
      </c>
      <c r="G13" s="161">
        <v>0.87564</v>
      </c>
      <c r="H13" s="160">
        <v>0.86026</v>
      </c>
      <c r="N13" s="153"/>
      <c r="O13" s="153"/>
      <c r="P13" s="153"/>
      <c r="Q13" s="153"/>
      <c r="R13" s="153"/>
    </row>
    <row r="14" spans="1:8" ht="12.75">
      <c r="A14" s="718"/>
      <c r="B14" s="92">
        <v>0.89873</v>
      </c>
      <c r="C14" s="161">
        <v>0.99615</v>
      </c>
      <c r="D14" s="161">
        <v>0.98846</v>
      </c>
      <c r="E14" s="161">
        <v>0.98205</v>
      </c>
      <c r="F14" s="161">
        <v>0.96795</v>
      </c>
      <c r="G14" s="161">
        <v>0.96026</v>
      </c>
      <c r="H14" s="160">
        <v>0.95256</v>
      </c>
    </row>
    <row r="15" spans="1:8" ht="13.5" thickBot="1">
      <c r="A15" s="719"/>
      <c r="B15" s="93">
        <v>0.99873</v>
      </c>
      <c r="C15" s="398">
        <v>1.0115</v>
      </c>
      <c r="D15" s="398">
        <v>1.0103</v>
      </c>
      <c r="E15" s="398">
        <v>1.0115</v>
      </c>
      <c r="F15" s="398">
        <v>1.0115</v>
      </c>
      <c r="G15" s="398">
        <v>1.0115</v>
      </c>
      <c r="H15" s="394">
        <v>1.0115</v>
      </c>
    </row>
    <row r="22" spans="4:8" ht="12.75">
      <c r="D22" s="153"/>
      <c r="E22" s="153"/>
      <c r="F22" s="153"/>
      <c r="G22" s="153"/>
      <c r="H22" s="153"/>
    </row>
    <row r="23" spans="4:8" ht="12.75">
      <c r="D23" s="153"/>
      <c r="E23" s="153"/>
      <c r="F23" s="153"/>
      <c r="G23" s="153"/>
      <c r="H23" s="153"/>
    </row>
    <row r="24" spans="4:8" ht="12.75">
      <c r="D24" s="153"/>
      <c r="E24" s="153"/>
      <c r="F24" s="153"/>
      <c r="G24" s="153"/>
      <c r="H24" s="153"/>
    </row>
    <row r="25" spans="4:8" ht="12.75">
      <c r="D25" s="153"/>
      <c r="E25" s="153"/>
      <c r="F25" s="153"/>
      <c r="G25" s="153"/>
      <c r="H25" s="153"/>
    </row>
    <row r="26" spans="4:8" ht="12.75">
      <c r="D26" s="153"/>
      <c r="E26" s="153"/>
      <c r="F26" s="153"/>
      <c r="G26" s="153"/>
      <c r="H26" s="153"/>
    </row>
    <row r="27" spans="4:8" ht="12.75">
      <c r="D27" s="153"/>
      <c r="E27" s="153"/>
      <c r="F27" s="153"/>
      <c r="G27" s="153"/>
      <c r="H27" s="153"/>
    </row>
    <row r="28" spans="4:8" ht="12.75">
      <c r="D28" s="153"/>
      <c r="E28" s="153"/>
      <c r="F28" s="153"/>
      <c r="G28" s="153"/>
      <c r="H28" s="153"/>
    </row>
    <row r="29" spans="4:8" ht="12.75">
      <c r="D29" s="153"/>
      <c r="E29" s="153"/>
      <c r="F29" s="153"/>
      <c r="G29" s="153"/>
      <c r="H29" s="153"/>
    </row>
    <row r="30" spans="4:8" ht="12.75">
      <c r="D30" s="153"/>
      <c r="E30" s="153"/>
      <c r="F30" s="153"/>
      <c r="G30" s="153"/>
      <c r="H30" s="153"/>
    </row>
    <row r="31" spans="4:8" ht="12.75">
      <c r="D31" s="153"/>
      <c r="E31" s="153"/>
      <c r="F31" s="153"/>
      <c r="G31" s="153"/>
      <c r="H31" s="153"/>
    </row>
    <row r="41" spans="9:10" ht="12.75">
      <c r="I41" s="178"/>
      <c r="J41" s="178"/>
    </row>
    <row r="42" spans="9:10" ht="12.75">
      <c r="I42" s="178"/>
      <c r="J42" s="178"/>
    </row>
    <row r="43" spans="9:10" ht="12.75">
      <c r="I43" s="178"/>
      <c r="J43" s="178"/>
    </row>
    <row r="44" spans="9:10" ht="12.75">
      <c r="I44" s="178"/>
      <c r="J44" s="178"/>
    </row>
    <row r="45" spans="9:10" ht="12.75">
      <c r="I45" s="178"/>
      <c r="J45" s="178"/>
    </row>
    <row r="46" spans="9:10" ht="12.75">
      <c r="I46" s="178"/>
      <c r="J46" s="178"/>
    </row>
    <row r="47" spans="9:10" ht="12.75">
      <c r="I47" s="178"/>
      <c r="J47" s="178"/>
    </row>
    <row r="48" spans="9:10" ht="12.75">
      <c r="I48" s="178"/>
      <c r="J48" s="178"/>
    </row>
    <row r="49" spans="9:10" ht="12.75">
      <c r="I49" s="178"/>
      <c r="J49" s="178"/>
    </row>
    <row r="50" ht="12.75">
      <c r="J50" s="178"/>
    </row>
  </sheetData>
  <sheetProtection/>
  <mergeCells count="4">
    <mergeCell ref="B3:H3"/>
    <mergeCell ref="A4:A15"/>
    <mergeCell ref="A2:H2"/>
    <mergeCell ref="A1:H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B2:S111"/>
  <sheetViews>
    <sheetView zoomScale="85" zoomScaleNormal="85" zoomScalePageLayoutView="0" workbookViewId="0" topLeftCell="A1">
      <selection activeCell="C67" sqref="C67"/>
    </sheetView>
  </sheetViews>
  <sheetFormatPr defaultColWidth="9.140625" defaultRowHeight="12.75"/>
  <cols>
    <col min="1" max="2" width="2.140625" style="18" bestFit="1" customWidth="1"/>
    <col min="3" max="3" width="58.28125" style="18" customWidth="1"/>
    <col min="4" max="4" width="11.421875" style="20" bestFit="1" customWidth="1"/>
    <col min="5" max="5" width="11.8515625" style="18" customWidth="1"/>
    <col min="6" max="6" width="9.140625" style="20" customWidth="1"/>
    <col min="7" max="10" width="13.57421875" style="18" customWidth="1"/>
    <col min="11" max="12" width="12.140625" style="18" customWidth="1"/>
    <col min="13" max="13" width="9.28125" style="18" bestFit="1" customWidth="1"/>
    <col min="14" max="14" width="2.140625" style="18" bestFit="1" customWidth="1"/>
    <col min="15" max="16384" width="9.140625" style="18" customWidth="1"/>
  </cols>
  <sheetData>
    <row r="2" spans="2:14" ht="13.5" thickBot="1">
      <c r="B2" s="487"/>
      <c r="C2" s="488"/>
      <c r="D2" s="445"/>
      <c r="E2" s="488"/>
      <c r="F2" s="445"/>
      <c r="G2" s="488"/>
      <c r="H2" s="488"/>
      <c r="I2" s="488"/>
      <c r="J2" s="488"/>
      <c r="K2" s="488"/>
      <c r="L2" s="488"/>
      <c r="M2" s="488"/>
      <c r="N2" s="489"/>
    </row>
    <row r="3" spans="2:14" ht="28.5" customHeight="1" thickBot="1">
      <c r="B3" s="192"/>
      <c r="C3" s="607" t="s">
        <v>346</v>
      </c>
      <c r="D3" s="608"/>
      <c r="E3" s="608"/>
      <c r="F3" s="608"/>
      <c r="G3" s="608"/>
      <c r="H3" s="608"/>
      <c r="I3" s="608"/>
      <c r="J3" s="608"/>
      <c r="K3" s="608"/>
      <c r="L3" s="608"/>
      <c r="M3" s="609"/>
      <c r="N3" s="446"/>
    </row>
    <row r="4" spans="2:14" ht="15.75" thickBot="1">
      <c r="B4" s="192"/>
      <c r="C4" s="617" t="s">
        <v>914</v>
      </c>
      <c r="D4" s="618"/>
      <c r="E4" s="618"/>
      <c r="F4" s="618"/>
      <c r="G4" s="618"/>
      <c r="H4" s="618"/>
      <c r="I4" s="618"/>
      <c r="J4" s="618"/>
      <c r="K4" s="618"/>
      <c r="L4" s="618"/>
      <c r="M4" s="619"/>
      <c r="N4" s="446"/>
    </row>
    <row r="5" spans="2:14" ht="12.75" customHeight="1" thickBot="1">
      <c r="B5" s="192"/>
      <c r="C5" s="590" t="s">
        <v>913</v>
      </c>
      <c r="D5" s="591"/>
      <c r="E5" s="591"/>
      <c r="F5" s="616"/>
      <c r="G5" s="590" t="s">
        <v>896</v>
      </c>
      <c r="H5" s="591"/>
      <c r="I5" s="591"/>
      <c r="J5" s="591"/>
      <c r="K5" s="431" t="s">
        <v>791</v>
      </c>
      <c r="L5" s="432" t="s">
        <v>332</v>
      </c>
      <c r="M5" s="433" t="s">
        <v>792</v>
      </c>
      <c r="N5" s="446"/>
    </row>
    <row r="6" spans="2:14" ht="13.5" customHeight="1">
      <c r="B6" s="192"/>
      <c r="C6" s="610" t="str">
        <f>Principal!H3</f>
        <v>Embraer MSJ (EMB-515)</v>
      </c>
      <c r="D6" s="611"/>
      <c r="E6" s="611"/>
      <c r="F6" s="612"/>
      <c r="G6" s="147" t="s">
        <v>755</v>
      </c>
      <c r="K6" s="144" t="s">
        <v>816</v>
      </c>
      <c r="L6" s="144">
        <v>1</v>
      </c>
      <c r="M6" s="21" t="s">
        <v>43</v>
      </c>
      <c r="N6" s="446"/>
    </row>
    <row r="7" spans="2:14" ht="12.75" customHeight="1">
      <c r="B7" s="192"/>
      <c r="C7" s="610"/>
      <c r="D7" s="611"/>
      <c r="E7" s="611"/>
      <c r="F7" s="612"/>
      <c r="G7" s="147" t="s">
        <v>815</v>
      </c>
      <c r="K7" s="144" t="s">
        <v>817</v>
      </c>
      <c r="L7" s="144">
        <v>2</v>
      </c>
      <c r="M7" s="21" t="s">
        <v>43</v>
      </c>
      <c r="N7" s="446"/>
    </row>
    <row r="8" spans="2:14" ht="13.5" customHeight="1">
      <c r="B8" s="192"/>
      <c r="C8" s="610"/>
      <c r="D8" s="611"/>
      <c r="E8" s="611"/>
      <c r="F8" s="612"/>
      <c r="G8" s="147"/>
      <c r="K8" s="144"/>
      <c r="L8" s="144"/>
      <c r="M8" s="21"/>
      <c r="N8" s="446"/>
    </row>
    <row r="9" spans="2:14" ht="13.5" customHeight="1" thickBot="1">
      <c r="B9" s="192"/>
      <c r="C9" s="613"/>
      <c r="D9" s="614"/>
      <c r="E9" s="614"/>
      <c r="F9" s="615"/>
      <c r="G9" s="148"/>
      <c r="H9" s="173"/>
      <c r="I9" s="173"/>
      <c r="J9" s="173"/>
      <c r="K9" s="229"/>
      <c r="L9" s="229"/>
      <c r="M9" s="23"/>
      <c r="N9" s="446"/>
    </row>
    <row r="10" spans="2:14" ht="17.25" customHeight="1" thickBot="1">
      <c r="B10" s="192"/>
      <c r="C10" s="617" t="s">
        <v>895</v>
      </c>
      <c r="D10" s="618"/>
      <c r="E10" s="618"/>
      <c r="F10" s="618"/>
      <c r="G10" s="618"/>
      <c r="H10" s="618"/>
      <c r="I10" s="618"/>
      <c r="J10" s="618"/>
      <c r="K10" s="618"/>
      <c r="L10" s="618"/>
      <c r="M10" s="619"/>
      <c r="N10" s="446"/>
    </row>
    <row r="11" spans="2:14" ht="13.5" customHeight="1" thickBot="1">
      <c r="B11" s="192"/>
      <c r="C11" s="136" t="s">
        <v>51</v>
      </c>
      <c r="D11" s="431" t="s">
        <v>791</v>
      </c>
      <c r="E11" s="432" t="s">
        <v>332</v>
      </c>
      <c r="F11" s="361" t="s">
        <v>792</v>
      </c>
      <c r="G11" s="590" t="s">
        <v>711</v>
      </c>
      <c r="H11" s="591"/>
      <c r="I11" s="591"/>
      <c r="J11" s="591"/>
      <c r="K11" s="441" t="s">
        <v>791</v>
      </c>
      <c r="L11" s="432" t="s">
        <v>332</v>
      </c>
      <c r="M11" s="133" t="s">
        <v>792</v>
      </c>
      <c r="N11" s="446"/>
    </row>
    <row r="12" spans="2:14" ht="12.75">
      <c r="B12" s="192"/>
      <c r="C12" s="155" t="s">
        <v>762</v>
      </c>
      <c r="D12" s="392" t="s">
        <v>756</v>
      </c>
      <c r="E12" s="391">
        <v>44.34</v>
      </c>
      <c r="F12" s="39" t="s">
        <v>50</v>
      </c>
      <c r="G12" s="291" t="s">
        <v>708</v>
      </c>
      <c r="H12" s="342"/>
      <c r="I12" s="342"/>
      <c r="J12" s="448"/>
      <c r="K12" s="222" t="s">
        <v>949</v>
      </c>
      <c r="L12" s="391">
        <v>1.141</v>
      </c>
      <c r="M12" s="21" t="s">
        <v>42</v>
      </c>
      <c r="N12" s="446"/>
    </row>
    <row r="13" spans="2:14" ht="12.75">
      <c r="B13" s="192"/>
      <c r="C13" s="147" t="s">
        <v>44</v>
      </c>
      <c r="D13" s="144" t="s">
        <v>443</v>
      </c>
      <c r="E13" s="233">
        <v>18.96</v>
      </c>
      <c r="F13" s="20" t="s">
        <v>42</v>
      </c>
      <c r="G13" s="323" t="s">
        <v>709</v>
      </c>
      <c r="H13" s="73"/>
      <c r="I13" s="73"/>
      <c r="J13" s="447"/>
      <c r="K13" s="222" t="s">
        <v>950</v>
      </c>
      <c r="L13" s="233">
        <v>3.39</v>
      </c>
      <c r="M13" s="21" t="s">
        <v>42</v>
      </c>
      <c r="N13" s="446"/>
    </row>
    <row r="14" spans="2:14" ht="12.75">
      <c r="B14" s="192"/>
      <c r="C14" s="147" t="s">
        <v>761</v>
      </c>
      <c r="D14" s="144" t="s">
        <v>763</v>
      </c>
      <c r="E14" s="233">
        <v>2.569</v>
      </c>
      <c r="F14" s="20" t="s">
        <v>42</v>
      </c>
      <c r="G14" s="323" t="s">
        <v>710</v>
      </c>
      <c r="H14" s="73"/>
      <c r="I14" s="73"/>
      <c r="J14" s="447"/>
      <c r="K14" s="222" t="s">
        <v>951</v>
      </c>
      <c r="L14" s="144">
        <v>1</v>
      </c>
      <c r="M14" s="21" t="s">
        <v>43</v>
      </c>
      <c r="N14" s="446"/>
    </row>
    <row r="15" spans="2:14" ht="12.75">
      <c r="B15" s="192"/>
      <c r="C15" s="147" t="s">
        <v>214</v>
      </c>
      <c r="D15" s="144" t="s">
        <v>758</v>
      </c>
      <c r="E15" s="430">
        <v>26</v>
      </c>
      <c r="F15" s="20" t="s">
        <v>49</v>
      </c>
      <c r="G15" s="323" t="s">
        <v>953</v>
      </c>
      <c r="H15" s="73"/>
      <c r="I15" s="73"/>
      <c r="J15" s="447"/>
      <c r="K15" s="222" t="s">
        <v>952</v>
      </c>
      <c r="L15" s="144">
        <v>0.075</v>
      </c>
      <c r="M15" s="21" t="s">
        <v>43</v>
      </c>
      <c r="N15" s="446"/>
    </row>
    <row r="16" spans="2:14" ht="12.75">
      <c r="B16" s="192"/>
      <c r="C16" s="147" t="s">
        <v>45</v>
      </c>
      <c r="D16" s="144" t="s">
        <v>757</v>
      </c>
      <c r="E16" s="233">
        <v>0.298</v>
      </c>
      <c r="F16" s="20" t="s">
        <v>43</v>
      </c>
      <c r="G16" s="323" t="s">
        <v>894</v>
      </c>
      <c r="H16" s="73"/>
      <c r="I16" s="73"/>
      <c r="J16" s="447"/>
      <c r="K16" s="222" t="s">
        <v>954</v>
      </c>
      <c r="L16" s="144">
        <v>0.83</v>
      </c>
      <c r="M16" s="21" t="s">
        <v>43</v>
      </c>
      <c r="N16" s="446"/>
    </row>
    <row r="17" spans="2:14" ht="12.75">
      <c r="B17" s="192"/>
      <c r="C17" s="147" t="s">
        <v>52</v>
      </c>
      <c r="D17" s="144" t="s">
        <v>442</v>
      </c>
      <c r="E17" s="233">
        <v>3.607</v>
      </c>
      <c r="F17" s="20" t="s">
        <v>42</v>
      </c>
      <c r="G17" s="323" t="s">
        <v>706</v>
      </c>
      <c r="H17" s="73"/>
      <c r="I17" s="73"/>
      <c r="J17" s="447"/>
      <c r="K17" s="222" t="s">
        <v>960</v>
      </c>
      <c r="L17" s="144">
        <v>0.27</v>
      </c>
      <c r="M17" s="21" t="s">
        <v>43</v>
      </c>
      <c r="N17" s="446"/>
    </row>
    <row r="18" spans="2:14" ht="12.75">
      <c r="B18" s="192"/>
      <c r="C18" s="147" t="s">
        <v>120</v>
      </c>
      <c r="D18" s="144" t="s">
        <v>766</v>
      </c>
      <c r="E18" s="233">
        <v>3.302</v>
      </c>
      <c r="F18" s="20" t="s">
        <v>42</v>
      </c>
      <c r="G18" s="323" t="s">
        <v>892</v>
      </c>
      <c r="H18" s="73"/>
      <c r="I18" s="73"/>
      <c r="J18" s="447"/>
      <c r="K18" s="222" t="s">
        <v>961</v>
      </c>
      <c r="L18" s="233">
        <v>0</v>
      </c>
      <c r="M18" s="21" t="s">
        <v>43</v>
      </c>
      <c r="N18" s="446"/>
    </row>
    <row r="19" spans="2:14" ht="13.5" thickBot="1">
      <c r="B19" s="192"/>
      <c r="C19" s="147" t="s">
        <v>47</v>
      </c>
      <c r="D19" s="144" t="s">
        <v>759</v>
      </c>
      <c r="E19" s="430">
        <v>2</v>
      </c>
      <c r="F19" s="20" t="s">
        <v>49</v>
      </c>
      <c r="G19" s="359" t="s">
        <v>893</v>
      </c>
      <c r="H19" s="360"/>
      <c r="I19" s="360"/>
      <c r="J19" s="449"/>
      <c r="K19" s="222" t="s">
        <v>962</v>
      </c>
      <c r="L19" s="234">
        <v>0</v>
      </c>
      <c r="M19" s="21" t="s">
        <v>43</v>
      </c>
      <c r="N19" s="446"/>
    </row>
    <row r="20" spans="2:14" ht="13.5" thickBot="1">
      <c r="B20" s="192"/>
      <c r="C20" s="147" t="s">
        <v>146</v>
      </c>
      <c r="D20" s="144" t="s">
        <v>760</v>
      </c>
      <c r="E20" s="430">
        <v>0</v>
      </c>
      <c r="F20" s="20" t="s">
        <v>49</v>
      </c>
      <c r="G20" s="590" t="s">
        <v>736</v>
      </c>
      <c r="H20" s="591"/>
      <c r="I20" s="591"/>
      <c r="J20" s="591"/>
      <c r="K20" s="431" t="s">
        <v>791</v>
      </c>
      <c r="L20" s="432" t="s">
        <v>332</v>
      </c>
      <c r="M20" s="133" t="s">
        <v>792</v>
      </c>
      <c r="N20" s="446"/>
    </row>
    <row r="21" spans="2:14" ht="12.75">
      <c r="B21" s="192"/>
      <c r="C21" s="147" t="s">
        <v>48</v>
      </c>
      <c r="D21" s="144" t="s">
        <v>863</v>
      </c>
      <c r="E21" s="430">
        <v>0</v>
      </c>
      <c r="F21" s="20" t="s">
        <v>49</v>
      </c>
      <c r="G21" s="156" t="s">
        <v>708</v>
      </c>
      <c r="H21" s="24"/>
      <c r="I21" s="24"/>
      <c r="J21" s="24"/>
      <c r="K21" s="222" t="s">
        <v>955</v>
      </c>
      <c r="L21" s="391">
        <v>3.61</v>
      </c>
      <c r="M21" s="21" t="s">
        <v>42</v>
      </c>
      <c r="N21" s="446"/>
    </row>
    <row r="22" spans="2:14" ht="12.75">
      <c r="B22" s="192"/>
      <c r="C22" s="147" t="s">
        <v>814</v>
      </c>
      <c r="D22" s="144" t="s">
        <v>765</v>
      </c>
      <c r="E22" s="233">
        <v>6.646</v>
      </c>
      <c r="F22" s="20" t="s">
        <v>42</v>
      </c>
      <c r="G22" s="156" t="s">
        <v>709</v>
      </c>
      <c r="H22" s="24"/>
      <c r="I22" s="24"/>
      <c r="J22" s="24"/>
      <c r="K22" s="222" t="s">
        <v>956</v>
      </c>
      <c r="L22" s="233">
        <v>6.67</v>
      </c>
      <c r="M22" s="21" t="s">
        <v>42</v>
      </c>
      <c r="N22" s="446"/>
    </row>
    <row r="23" spans="2:14" ht="12.75">
      <c r="B23" s="192"/>
      <c r="C23" s="147" t="s">
        <v>829</v>
      </c>
      <c r="D23" s="144" t="s">
        <v>764</v>
      </c>
      <c r="E23" s="233">
        <v>3.882</v>
      </c>
      <c r="F23" s="20" t="s">
        <v>42</v>
      </c>
      <c r="G23" s="156" t="s">
        <v>710</v>
      </c>
      <c r="H23" s="24"/>
      <c r="I23" s="24"/>
      <c r="J23" s="24"/>
      <c r="K23" s="222" t="s">
        <v>957</v>
      </c>
      <c r="L23" s="144">
        <v>1</v>
      </c>
      <c r="M23" s="21" t="s">
        <v>43</v>
      </c>
      <c r="N23" s="446"/>
    </row>
    <row r="24" spans="2:14" ht="13.5" thickBot="1">
      <c r="B24" s="192"/>
      <c r="C24" s="148" t="s">
        <v>813</v>
      </c>
      <c r="D24" s="229" t="s">
        <v>35</v>
      </c>
      <c r="E24" s="234">
        <v>-1.226</v>
      </c>
      <c r="F24" s="22" t="s">
        <v>42</v>
      </c>
      <c r="G24" s="156" t="s">
        <v>707</v>
      </c>
      <c r="H24" s="24"/>
      <c r="I24" s="24"/>
      <c r="J24" s="24"/>
      <c r="K24" s="222" t="s">
        <v>958</v>
      </c>
      <c r="L24" s="144">
        <v>0.065</v>
      </c>
      <c r="M24" s="21" t="s">
        <v>43</v>
      </c>
      <c r="N24" s="446"/>
    </row>
    <row r="25" spans="2:14" ht="13.5" thickBot="1">
      <c r="B25" s="192"/>
      <c r="C25" s="136" t="s">
        <v>213</v>
      </c>
      <c r="D25" s="431" t="s">
        <v>791</v>
      </c>
      <c r="E25" s="432" t="s">
        <v>332</v>
      </c>
      <c r="F25" s="361" t="s">
        <v>792</v>
      </c>
      <c r="G25" s="323" t="s">
        <v>894</v>
      </c>
      <c r="H25" s="73"/>
      <c r="I25" s="73"/>
      <c r="J25" s="447"/>
      <c r="K25" s="222" t="s">
        <v>959</v>
      </c>
      <c r="L25" s="233">
        <v>0.87</v>
      </c>
      <c r="M25" s="21" t="s">
        <v>43</v>
      </c>
      <c r="N25" s="446"/>
    </row>
    <row r="26" spans="2:14" ht="12.75">
      <c r="B26" s="192"/>
      <c r="C26" s="155" t="s">
        <v>927</v>
      </c>
      <c r="D26" s="392" t="s">
        <v>929</v>
      </c>
      <c r="E26" s="391">
        <v>0.15</v>
      </c>
      <c r="F26" s="21" t="s">
        <v>43</v>
      </c>
      <c r="G26" s="323" t="s">
        <v>706</v>
      </c>
      <c r="H26" s="73"/>
      <c r="I26" s="73"/>
      <c r="J26" s="447"/>
      <c r="K26" s="222" t="s">
        <v>960</v>
      </c>
      <c r="L26" s="233">
        <v>0.25</v>
      </c>
      <c r="M26" s="21" t="s">
        <v>43</v>
      </c>
      <c r="N26" s="446"/>
    </row>
    <row r="27" spans="2:14" ht="12.75">
      <c r="B27" s="192"/>
      <c r="C27" s="147" t="s">
        <v>928</v>
      </c>
      <c r="D27" s="144" t="s">
        <v>930</v>
      </c>
      <c r="E27" s="370">
        <v>0.12</v>
      </c>
      <c r="F27" s="21" t="s">
        <v>43</v>
      </c>
      <c r="G27" s="73" t="s">
        <v>892</v>
      </c>
      <c r="H27" s="73"/>
      <c r="I27" s="73"/>
      <c r="J27" s="447"/>
      <c r="K27" s="222" t="s">
        <v>961</v>
      </c>
      <c r="L27" s="233">
        <v>0</v>
      </c>
      <c r="M27" s="21" t="s">
        <v>43</v>
      </c>
      <c r="N27" s="446"/>
    </row>
    <row r="28" spans="2:14" ht="13.5" thickBot="1">
      <c r="B28" s="192"/>
      <c r="C28" s="147" t="s">
        <v>925</v>
      </c>
      <c r="D28" s="144" t="s">
        <v>931</v>
      </c>
      <c r="E28" s="430">
        <v>14</v>
      </c>
      <c r="F28" s="21" t="s">
        <v>49</v>
      </c>
      <c r="G28" s="360" t="s">
        <v>893</v>
      </c>
      <c r="H28" s="360"/>
      <c r="I28" s="360"/>
      <c r="J28" s="449"/>
      <c r="K28" s="222" t="s">
        <v>962</v>
      </c>
      <c r="L28" s="234">
        <v>0</v>
      </c>
      <c r="M28" s="21" t="s">
        <v>43</v>
      </c>
      <c r="N28" s="446"/>
    </row>
    <row r="29" spans="2:14" ht="13.5" thickBot="1">
      <c r="B29" s="192"/>
      <c r="C29" s="147" t="s">
        <v>926</v>
      </c>
      <c r="D29" s="144" t="s">
        <v>932</v>
      </c>
      <c r="E29" s="436">
        <v>14</v>
      </c>
      <c r="F29" s="21" t="s">
        <v>49</v>
      </c>
      <c r="G29" s="623" t="s">
        <v>740</v>
      </c>
      <c r="H29" s="624"/>
      <c r="I29" s="624"/>
      <c r="J29" s="624"/>
      <c r="K29" s="624"/>
      <c r="L29" s="624"/>
      <c r="M29" s="625"/>
      <c r="N29" s="446"/>
    </row>
    <row r="30" spans="2:14" ht="13.5" thickBot="1">
      <c r="B30" s="192"/>
      <c r="C30" s="147" t="s">
        <v>133</v>
      </c>
      <c r="D30" s="144" t="s">
        <v>749</v>
      </c>
      <c r="E30" s="370">
        <v>6.83</v>
      </c>
      <c r="F30" s="21" t="s">
        <v>463</v>
      </c>
      <c r="G30" s="628" t="s">
        <v>699</v>
      </c>
      <c r="H30" s="629"/>
      <c r="I30" s="629"/>
      <c r="J30" s="629"/>
      <c r="K30" s="629"/>
      <c r="L30" s="629"/>
      <c r="M30" s="587" t="s">
        <v>792</v>
      </c>
      <c r="N30" s="446"/>
    </row>
    <row r="31" spans="2:14" ht="13.5" thickBot="1">
      <c r="B31" s="192"/>
      <c r="C31" s="147" t="s">
        <v>132</v>
      </c>
      <c r="D31" s="144" t="s">
        <v>750</v>
      </c>
      <c r="E31" s="370">
        <v>6.93</v>
      </c>
      <c r="F31" s="21" t="s">
        <v>463</v>
      </c>
      <c r="G31" s="203"/>
      <c r="H31" s="201" t="s">
        <v>729</v>
      </c>
      <c r="I31" s="202">
        <v>1</v>
      </c>
      <c r="J31" s="226">
        <v>2</v>
      </c>
      <c r="K31" s="226">
        <v>3</v>
      </c>
      <c r="L31" s="202">
        <v>4</v>
      </c>
      <c r="M31" s="589"/>
      <c r="N31" s="446"/>
    </row>
    <row r="32" spans="2:14" ht="12.75">
      <c r="B32" s="192"/>
      <c r="C32" s="147" t="s">
        <v>461</v>
      </c>
      <c r="D32" s="144" t="s">
        <v>751</v>
      </c>
      <c r="E32" s="370">
        <v>-0.072</v>
      </c>
      <c r="F32" s="21" t="s">
        <v>463</v>
      </c>
      <c r="G32" s="626" t="s">
        <v>730</v>
      </c>
      <c r="H32" s="143" t="s">
        <v>731</v>
      </c>
      <c r="I32" s="231">
        <v>0</v>
      </c>
      <c r="J32" s="430">
        <v>10</v>
      </c>
      <c r="K32" s="430">
        <v>20</v>
      </c>
      <c r="L32" s="231">
        <v>35</v>
      </c>
      <c r="M32" s="195" t="s">
        <v>49</v>
      </c>
      <c r="N32" s="446"/>
    </row>
    <row r="33" spans="2:14" ht="12.75">
      <c r="B33" s="192"/>
      <c r="C33" s="147" t="s">
        <v>462</v>
      </c>
      <c r="D33" s="144" t="s">
        <v>752</v>
      </c>
      <c r="E33" s="370">
        <v>-0.0684</v>
      </c>
      <c r="F33" s="21" t="s">
        <v>463</v>
      </c>
      <c r="G33" s="627"/>
      <c r="H33" s="417" t="s">
        <v>732</v>
      </c>
      <c r="I33" s="205">
        <v>-0.1</v>
      </c>
      <c r="J33" s="418">
        <v>-0.0715</v>
      </c>
      <c r="K33" s="418">
        <v>-0.043</v>
      </c>
      <c r="L33" s="205">
        <v>-0.0003</v>
      </c>
      <c r="M33" s="417" t="s">
        <v>43</v>
      </c>
      <c r="N33" s="446"/>
    </row>
    <row r="34" spans="2:14" ht="12.75">
      <c r="B34" s="192"/>
      <c r="C34" s="147" t="s">
        <v>134</v>
      </c>
      <c r="D34" s="144" t="s">
        <v>753</v>
      </c>
      <c r="E34" s="370">
        <v>-2.89</v>
      </c>
      <c r="F34" s="21" t="s">
        <v>49</v>
      </c>
      <c r="G34" s="593" t="s">
        <v>733</v>
      </c>
      <c r="H34" s="444" t="s">
        <v>731</v>
      </c>
      <c r="I34" s="231">
        <v>0</v>
      </c>
      <c r="J34" s="430">
        <v>0</v>
      </c>
      <c r="K34" s="430">
        <v>0</v>
      </c>
      <c r="L34" s="231">
        <v>0</v>
      </c>
      <c r="M34" s="450" t="s">
        <v>49</v>
      </c>
      <c r="N34" s="446"/>
    </row>
    <row r="35" spans="2:16" ht="13.5" thickBot="1">
      <c r="B35" s="192"/>
      <c r="C35" s="148" t="s">
        <v>131</v>
      </c>
      <c r="D35" s="229" t="s">
        <v>754</v>
      </c>
      <c r="E35" s="442">
        <v>-2</v>
      </c>
      <c r="F35" s="23" t="s">
        <v>49</v>
      </c>
      <c r="G35" s="594"/>
      <c r="H35" s="206" t="s">
        <v>732</v>
      </c>
      <c r="I35" s="473">
        <v>0</v>
      </c>
      <c r="J35" s="472">
        <v>0</v>
      </c>
      <c r="K35" s="472">
        <v>0</v>
      </c>
      <c r="L35" s="473">
        <v>0</v>
      </c>
      <c r="M35" s="417" t="s">
        <v>43</v>
      </c>
      <c r="N35" s="446"/>
      <c r="P35" s="104"/>
    </row>
    <row r="36" spans="2:14" ht="13.5" thickBot="1">
      <c r="B36" s="192"/>
      <c r="C36" s="136" t="s">
        <v>634</v>
      </c>
      <c r="D36" s="431" t="s">
        <v>791</v>
      </c>
      <c r="E36" s="432" t="s">
        <v>332</v>
      </c>
      <c r="F36" s="361" t="s">
        <v>792</v>
      </c>
      <c r="G36" s="620" t="s">
        <v>891</v>
      </c>
      <c r="H36" s="21" t="s">
        <v>731</v>
      </c>
      <c r="I36" s="231">
        <v>0</v>
      </c>
      <c r="J36" s="430">
        <v>0</v>
      </c>
      <c r="K36" s="430">
        <v>0</v>
      </c>
      <c r="L36" s="231">
        <v>0</v>
      </c>
      <c r="M36" s="450" t="s">
        <v>49</v>
      </c>
      <c r="N36" s="446"/>
    </row>
    <row r="37" spans="2:14" ht="13.5" thickBot="1">
      <c r="B37" s="192"/>
      <c r="C37" s="147" t="s">
        <v>838</v>
      </c>
      <c r="D37" s="144" t="s">
        <v>933</v>
      </c>
      <c r="E37" s="370">
        <v>0.25</v>
      </c>
      <c r="F37" s="21" t="s">
        <v>43</v>
      </c>
      <c r="G37" s="621"/>
      <c r="H37" s="23" t="s">
        <v>732</v>
      </c>
      <c r="I37" s="473">
        <v>0</v>
      </c>
      <c r="J37" s="472">
        <v>0</v>
      </c>
      <c r="K37" s="472">
        <v>0</v>
      </c>
      <c r="L37" s="473">
        <v>0</v>
      </c>
      <c r="M37" s="417" t="s">
        <v>43</v>
      </c>
      <c r="N37" s="446"/>
    </row>
    <row r="38" spans="2:14" ht="13.5" thickBot="1">
      <c r="B38" s="192"/>
      <c r="C38" s="147" t="s">
        <v>44</v>
      </c>
      <c r="D38" s="144" t="s">
        <v>934</v>
      </c>
      <c r="E38" s="370">
        <v>2.674</v>
      </c>
      <c r="F38" s="21" t="s">
        <v>42</v>
      </c>
      <c r="G38" s="628" t="s">
        <v>703</v>
      </c>
      <c r="H38" s="629"/>
      <c r="I38" s="629"/>
      <c r="J38" s="629"/>
      <c r="K38" s="629"/>
      <c r="L38" s="629"/>
      <c r="M38" s="587" t="s">
        <v>792</v>
      </c>
      <c r="N38" s="446"/>
    </row>
    <row r="39" spans="2:14" ht="13.5" thickBot="1">
      <c r="B39" s="192"/>
      <c r="C39" s="147" t="s">
        <v>353</v>
      </c>
      <c r="D39" s="144" t="s">
        <v>935</v>
      </c>
      <c r="E39" s="436">
        <v>20</v>
      </c>
      <c r="F39" s="21" t="s">
        <v>49</v>
      </c>
      <c r="G39" s="202"/>
      <c r="H39" s="201" t="s">
        <v>729</v>
      </c>
      <c r="I39" s="202">
        <v>1</v>
      </c>
      <c r="J39" s="226">
        <v>2</v>
      </c>
      <c r="K39" s="226">
        <v>3</v>
      </c>
      <c r="L39" s="202">
        <v>4</v>
      </c>
      <c r="M39" s="589"/>
      <c r="N39" s="446"/>
    </row>
    <row r="40" spans="2:14" ht="12.75">
      <c r="B40" s="192"/>
      <c r="C40" s="147" t="s">
        <v>352</v>
      </c>
      <c r="D40" s="144" t="s">
        <v>936</v>
      </c>
      <c r="E40" s="370">
        <v>6.77</v>
      </c>
      <c r="F40" s="21" t="s">
        <v>42</v>
      </c>
      <c r="G40" s="626" t="s">
        <v>730</v>
      </c>
      <c r="H40" s="195" t="s">
        <v>731</v>
      </c>
      <c r="I40" s="413">
        <v>0</v>
      </c>
      <c r="J40" s="414">
        <v>10</v>
      </c>
      <c r="K40" s="414">
        <v>20</v>
      </c>
      <c r="L40" s="413">
        <v>35</v>
      </c>
      <c r="M40" s="143" t="s">
        <v>49</v>
      </c>
      <c r="N40" s="446"/>
    </row>
    <row r="41" spans="2:14" ht="12.75">
      <c r="B41" s="192"/>
      <c r="C41" s="147" t="s">
        <v>883</v>
      </c>
      <c r="D41" s="144" t="s">
        <v>937</v>
      </c>
      <c r="E41" s="370">
        <v>2</v>
      </c>
      <c r="F41" s="21" t="s">
        <v>43</v>
      </c>
      <c r="G41" s="594"/>
      <c r="H41" s="417" t="s">
        <v>732</v>
      </c>
      <c r="I41" s="205">
        <v>-0.12</v>
      </c>
      <c r="J41" s="418">
        <v>-0.08579999999999999</v>
      </c>
      <c r="K41" s="418">
        <v>-0.05159999999999999</v>
      </c>
      <c r="L41" s="205">
        <v>-0.0003</v>
      </c>
      <c r="M41" s="417" t="s">
        <v>43</v>
      </c>
      <c r="N41" s="446"/>
    </row>
    <row r="42" spans="2:14" ht="12.75">
      <c r="B42" s="192"/>
      <c r="C42" s="147" t="s">
        <v>854</v>
      </c>
      <c r="D42" s="144" t="s">
        <v>938</v>
      </c>
      <c r="E42" s="370">
        <v>0.12</v>
      </c>
      <c r="F42" s="21" t="s">
        <v>43</v>
      </c>
      <c r="G42" s="620" t="s">
        <v>733</v>
      </c>
      <c r="H42" s="444" t="s">
        <v>731</v>
      </c>
      <c r="I42" s="231">
        <v>0</v>
      </c>
      <c r="J42" s="430">
        <v>0</v>
      </c>
      <c r="K42" s="430">
        <v>0</v>
      </c>
      <c r="L42" s="231">
        <v>0</v>
      </c>
      <c r="M42" s="450" t="s">
        <v>49</v>
      </c>
      <c r="N42" s="446"/>
    </row>
    <row r="43" spans="2:14" ht="12.75">
      <c r="B43" s="192"/>
      <c r="C43" s="147" t="s">
        <v>924</v>
      </c>
      <c r="D43" s="144" t="s">
        <v>939</v>
      </c>
      <c r="E43" s="370">
        <v>0.24</v>
      </c>
      <c r="F43" s="21" t="s">
        <v>43</v>
      </c>
      <c r="G43" s="594"/>
      <c r="H43" s="206" t="s">
        <v>732</v>
      </c>
      <c r="I43" s="473">
        <v>0</v>
      </c>
      <c r="J43" s="472">
        <v>0</v>
      </c>
      <c r="K43" s="472">
        <v>0</v>
      </c>
      <c r="L43" s="473">
        <v>0</v>
      </c>
      <c r="M43" s="417" t="s">
        <v>43</v>
      </c>
      <c r="N43" s="446"/>
    </row>
    <row r="44" spans="2:14" ht="13.5" thickBot="1">
      <c r="B44" s="192"/>
      <c r="C44" s="148" t="s">
        <v>555</v>
      </c>
      <c r="D44" s="229" t="s">
        <v>940</v>
      </c>
      <c r="E44" s="442">
        <v>0.95</v>
      </c>
      <c r="F44" s="23" t="s">
        <v>43</v>
      </c>
      <c r="G44" s="620" t="s">
        <v>891</v>
      </c>
      <c r="H44" s="21" t="s">
        <v>731</v>
      </c>
      <c r="I44" s="231">
        <v>0</v>
      </c>
      <c r="J44" s="430">
        <v>0</v>
      </c>
      <c r="K44" s="430">
        <v>0</v>
      </c>
      <c r="L44" s="231">
        <v>0</v>
      </c>
      <c r="M44" s="450" t="s">
        <v>49</v>
      </c>
      <c r="N44" s="446"/>
    </row>
    <row r="45" spans="2:14" ht="13.5" thickBot="1">
      <c r="B45" s="192"/>
      <c r="C45" s="136" t="s">
        <v>640</v>
      </c>
      <c r="D45" s="431" t="s">
        <v>791</v>
      </c>
      <c r="E45" s="432" t="s">
        <v>332</v>
      </c>
      <c r="F45" s="361" t="s">
        <v>792</v>
      </c>
      <c r="G45" s="621"/>
      <c r="H45" s="23" t="s">
        <v>732</v>
      </c>
      <c r="I45" s="473">
        <v>0</v>
      </c>
      <c r="J45" s="472">
        <v>0</v>
      </c>
      <c r="K45" s="472">
        <v>0</v>
      </c>
      <c r="L45" s="473">
        <v>0</v>
      </c>
      <c r="M45" s="146" t="s">
        <v>43</v>
      </c>
      <c r="N45" s="446"/>
    </row>
    <row r="46" spans="2:14" ht="12.75">
      <c r="B46" s="192"/>
      <c r="C46" s="147" t="s">
        <v>941</v>
      </c>
      <c r="D46" s="392" t="s">
        <v>942</v>
      </c>
      <c r="E46" s="370">
        <v>1</v>
      </c>
      <c r="F46" s="21" t="s">
        <v>43</v>
      </c>
      <c r="G46" s="598"/>
      <c r="H46" s="599"/>
      <c r="I46" s="599"/>
      <c r="J46" s="599"/>
      <c r="K46" s="599"/>
      <c r="L46" s="599"/>
      <c r="M46" s="600"/>
      <c r="N46" s="446"/>
    </row>
    <row r="47" spans="2:15" ht="12.75">
      <c r="B47" s="192"/>
      <c r="C47" s="147" t="s">
        <v>605</v>
      </c>
      <c r="D47" s="144" t="s">
        <v>943</v>
      </c>
      <c r="E47" s="370">
        <v>0</v>
      </c>
      <c r="F47" s="21" t="s">
        <v>42</v>
      </c>
      <c r="G47" s="601"/>
      <c r="H47" s="602"/>
      <c r="I47" s="602"/>
      <c r="J47" s="602"/>
      <c r="K47" s="602"/>
      <c r="L47" s="602"/>
      <c r="M47" s="603"/>
      <c r="N47" s="446"/>
      <c r="O47" s="232"/>
    </row>
    <row r="48" spans="2:14" ht="13.5" thickBot="1">
      <c r="B48" s="192"/>
      <c r="C48" s="147" t="s">
        <v>606</v>
      </c>
      <c r="D48" s="144" t="s">
        <v>944</v>
      </c>
      <c r="E48" s="505">
        <v>3</v>
      </c>
      <c r="F48" s="21"/>
      <c r="G48" s="601"/>
      <c r="H48" s="602"/>
      <c r="I48" s="602"/>
      <c r="J48" s="602"/>
      <c r="K48" s="602"/>
      <c r="L48" s="602"/>
      <c r="M48" s="603"/>
      <c r="N48" s="446"/>
    </row>
    <row r="49" spans="2:14" ht="13.5" thickBot="1">
      <c r="B49" s="192"/>
      <c r="C49" s="136" t="s">
        <v>641</v>
      </c>
      <c r="D49" s="431" t="s">
        <v>791</v>
      </c>
      <c r="E49" s="432" t="s">
        <v>332</v>
      </c>
      <c r="F49" s="361" t="s">
        <v>792</v>
      </c>
      <c r="G49" s="602"/>
      <c r="H49" s="602"/>
      <c r="I49" s="602"/>
      <c r="J49" s="602"/>
      <c r="K49" s="602"/>
      <c r="L49" s="602"/>
      <c r="M49" s="603"/>
      <c r="N49" s="446"/>
    </row>
    <row r="50" spans="2:14" ht="12.75">
      <c r="B50" s="192"/>
      <c r="C50" s="147" t="s">
        <v>838</v>
      </c>
      <c r="D50" s="144" t="s">
        <v>945</v>
      </c>
      <c r="E50" s="369">
        <v>0.1</v>
      </c>
      <c r="F50" s="21" t="s">
        <v>43</v>
      </c>
      <c r="G50" s="602"/>
      <c r="H50" s="602"/>
      <c r="I50" s="602"/>
      <c r="J50" s="602"/>
      <c r="K50" s="602"/>
      <c r="L50" s="602"/>
      <c r="M50" s="603"/>
      <c r="N50" s="446"/>
    </row>
    <row r="51" spans="2:14" ht="12.75">
      <c r="B51" s="192"/>
      <c r="C51" s="147" t="s">
        <v>44</v>
      </c>
      <c r="D51" s="144" t="s">
        <v>946</v>
      </c>
      <c r="E51" s="369">
        <v>0</v>
      </c>
      <c r="F51" s="21" t="s">
        <v>42</v>
      </c>
      <c r="G51" s="602"/>
      <c r="H51" s="602"/>
      <c r="I51" s="602"/>
      <c r="J51" s="602"/>
      <c r="K51" s="602"/>
      <c r="L51" s="602"/>
      <c r="M51" s="603"/>
      <c r="N51" s="446"/>
    </row>
    <row r="52" spans="2:14" ht="12.75">
      <c r="B52" s="192"/>
      <c r="C52" s="147" t="s">
        <v>352</v>
      </c>
      <c r="D52" s="144" t="s">
        <v>947</v>
      </c>
      <c r="E52" s="369">
        <v>5.968</v>
      </c>
      <c r="F52" s="21" t="s">
        <v>42</v>
      </c>
      <c r="G52" s="602"/>
      <c r="H52" s="602"/>
      <c r="I52" s="602"/>
      <c r="J52" s="602"/>
      <c r="K52" s="602"/>
      <c r="L52" s="602"/>
      <c r="M52" s="603"/>
      <c r="N52" s="446"/>
    </row>
    <row r="53" spans="2:14" ht="13.5" thickBot="1">
      <c r="B53" s="192"/>
      <c r="C53" s="148" t="s">
        <v>353</v>
      </c>
      <c r="D53" s="229" t="s">
        <v>948</v>
      </c>
      <c r="E53" s="506">
        <v>18</v>
      </c>
      <c r="F53" s="23" t="s">
        <v>49</v>
      </c>
      <c r="G53" s="605"/>
      <c r="H53" s="605"/>
      <c r="I53" s="605"/>
      <c r="J53" s="605"/>
      <c r="K53" s="605"/>
      <c r="L53" s="605"/>
      <c r="M53" s="606"/>
      <c r="N53" s="446"/>
    </row>
    <row r="54" spans="2:14" ht="15.75" thickBot="1">
      <c r="B54" s="192"/>
      <c r="C54" s="595" t="s">
        <v>898</v>
      </c>
      <c r="D54" s="596"/>
      <c r="E54" s="596"/>
      <c r="F54" s="596"/>
      <c r="G54" s="596"/>
      <c r="H54" s="596"/>
      <c r="I54" s="596"/>
      <c r="J54" s="596"/>
      <c r="K54" s="596"/>
      <c r="L54" s="596"/>
      <c r="M54" s="597"/>
      <c r="N54" s="446"/>
    </row>
    <row r="55" spans="2:14" ht="13.5" customHeight="1" thickBot="1">
      <c r="B55" s="192"/>
      <c r="C55" s="136" t="s">
        <v>55</v>
      </c>
      <c r="D55" s="431" t="s">
        <v>791</v>
      </c>
      <c r="E55" s="432" t="s">
        <v>332</v>
      </c>
      <c r="F55" s="433" t="s">
        <v>792</v>
      </c>
      <c r="G55" s="590" t="s">
        <v>649</v>
      </c>
      <c r="H55" s="591"/>
      <c r="I55" s="591"/>
      <c r="J55" s="591"/>
      <c r="K55" s="431" t="s">
        <v>791</v>
      </c>
      <c r="L55" s="432" t="s">
        <v>332</v>
      </c>
      <c r="M55" s="433" t="s">
        <v>792</v>
      </c>
      <c r="N55" s="446"/>
    </row>
    <row r="56" spans="2:19" ht="12.75">
      <c r="B56" s="192"/>
      <c r="C56" s="155" t="s">
        <v>802</v>
      </c>
      <c r="D56" s="392" t="s">
        <v>776</v>
      </c>
      <c r="E56" s="437">
        <v>17.701</v>
      </c>
      <c r="F56" s="149" t="s">
        <v>42</v>
      </c>
      <c r="G56" s="147" t="s">
        <v>645</v>
      </c>
      <c r="K56" s="392" t="s">
        <v>846</v>
      </c>
      <c r="L56" s="392">
        <v>3.418</v>
      </c>
      <c r="M56" s="149" t="s">
        <v>42</v>
      </c>
      <c r="N56" s="446"/>
      <c r="Q56" s="232"/>
      <c r="R56" s="232"/>
      <c r="S56" s="232"/>
    </row>
    <row r="57" spans="2:19" ht="12.75">
      <c r="B57" s="192"/>
      <c r="C57" s="147" t="s">
        <v>803</v>
      </c>
      <c r="D57" s="144" t="s">
        <v>777</v>
      </c>
      <c r="E57" s="233">
        <v>7.28</v>
      </c>
      <c r="F57" s="21" t="s">
        <v>42</v>
      </c>
      <c r="G57" s="147" t="s">
        <v>646</v>
      </c>
      <c r="K57" s="144" t="s">
        <v>847</v>
      </c>
      <c r="L57" s="144">
        <v>2.818</v>
      </c>
      <c r="M57" s="150" t="s">
        <v>42</v>
      </c>
      <c r="N57" s="446"/>
      <c r="Q57" s="232"/>
      <c r="R57" s="232"/>
      <c r="S57" s="232"/>
    </row>
    <row r="58" spans="2:19" ht="12.75">
      <c r="B58" s="192"/>
      <c r="C58" s="147" t="s">
        <v>804</v>
      </c>
      <c r="D58" s="144" t="s">
        <v>772</v>
      </c>
      <c r="E58" s="233">
        <v>2.28</v>
      </c>
      <c r="F58" s="21" t="s">
        <v>42</v>
      </c>
      <c r="G58" s="147" t="s">
        <v>44</v>
      </c>
      <c r="K58" s="144" t="s">
        <v>848</v>
      </c>
      <c r="L58" s="233">
        <v>2.994</v>
      </c>
      <c r="M58" s="150" t="s">
        <v>42</v>
      </c>
      <c r="N58" s="446"/>
      <c r="Q58" s="232"/>
      <c r="R58" s="232"/>
      <c r="S58" s="232"/>
    </row>
    <row r="59" spans="2:19" ht="12.75">
      <c r="B59" s="192"/>
      <c r="C59" s="147" t="s">
        <v>818</v>
      </c>
      <c r="D59" s="144" t="s">
        <v>778</v>
      </c>
      <c r="E59" s="233">
        <v>2.28</v>
      </c>
      <c r="F59" s="21" t="s">
        <v>42</v>
      </c>
      <c r="G59" s="147" t="s">
        <v>214</v>
      </c>
      <c r="K59" s="144" t="s">
        <v>849</v>
      </c>
      <c r="L59" s="233">
        <v>-5</v>
      </c>
      <c r="M59" s="150" t="s">
        <v>49</v>
      </c>
      <c r="N59" s="446"/>
      <c r="Q59" s="232"/>
      <c r="R59" s="232"/>
      <c r="S59" s="232"/>
    </row>
    <row r="60" spans="2:19" ht="12.75">
      <c r="B60" s="192"/>
      <c r="C60" s="147" t="s">
        <v>819</v>
      </c>
      <c r="D60" s="144" t="s">
        <v>811</v>
      </c>
      <c r="E60" s="144">
        <v>0</v>
      </c>
      <c r="F60" s="21" t="s">
        <v>42</v>
      </c>
      <c r="G60" s="147" t="s">
        <v>814</v>
      </c>
      <c r="K60" s="144" t="s">
        <v>850</v>
      </c>
      <c r="L60" s="144">
        <v>11.955</v>
      </c>
      <c r="M60" s="150" t="s">
        <v>42</v>
      </c>
      <c r="N60" s="446"/>
      <c r="Q60" s="232"/>
      <c r="R60" s="232"/>
      <c r="S60" s="232"/>
    </row>
    <row r="61" spans="2:19" ht="13.5" thickBot="1">
      <c r="B61" s="192"/>
      <c r="C61" s="147" t="s">
        <v>820</v>
      </c>
      <c r="D61" s="144" t="s">
        <v>810</v>
      </c>
      <c r="E61" s="233">
        <v>1.67</v>
      </c>
      <c r="F61" s="150" t="s">
        <v>42</v>
      </c>
      <c r="G61" s="148" t="s">
        <v>728</v>
      </c>
      <c r="H61" s="173"/>
      <c r="I61" s="173"/>
      <c r="J61" s="173"/>
      <c r="K61" s="229" t="s">
        <v>851</v>
      </c>
      <c r="L61" s="234">
        <v>2</v>
      </c>
      <c r="M61" s="151" t="s">
        <v>49</v>
      </c>
      <c r="N61" s="446"/>
      <c r="Q61" s="232"/>
      <c r="R61" s="232"/>
      <c r="S61" s="232"/>
    </row>
    <row r="62" spans="2:19" ht="13.5" thickBot="1">
      <c r="B62" s="192"/>
      <c r="C62" s="147" t="s">
        <v>821</v>
      </c>
      <c r="D62" s="144" t="s">
        <v>807</v>
      </c>
      <c r="E62" s="370">
        <v>0.897</v>
      </c>
      <c r="F62" s="21" t="s">
        <v>42</v>
      </c>
      <c r="G62" s="590" t="s">
        <v>647</v>
      </c>
      <c r="H62" s="591"/>
      <c r="I62" s="591"/>
      <c r="J62" s="591"/>
      <c r="K62" s="431" t="s">
        <v>791</v>
      </c>
      <c r="L62" s="432" t="s">
        <v>332</v>
      </c>
      <c r="M62" s="433" t="s">
        <v>792</v>
      </c>
      <c r="N62" s="446"/>
      <c r="Q62" s="232"/>
      <c r="R62" s="232"/>
      <c r="S62" s="232"/>
    </row>
    <row r="63" spans="2:19" ht="12.75">
      <c r="B63" s="192"/>
      <c r="C63" s="147" t="s">
        <v>822</v>
      </c>
      <c r="D63" s="144" t="s">
        <v>773</v>
      </c>
      <c r="E63" s="233">
        <v>2.274</v>
      </c>
      <c r="F63" s="21" t="s">
        <v>42</v>
      </c>
      <c r="G63" s="147" t="s">
        <v>158</v>
      </c>
      <c r="K63" s="144" t="s">
        <v>767</v>
      </c>
      <c r="L63" s="388">
        <v>3.22</v>
      </c>
      <c r="M63" s="21" t="s">
        <v>42</v>
      </c>
      <c r="N63" s="446"/>
      <c r="Q63" s="232"/>
      <c r="R63" s="232"/>
      <c r="S63" s="232"/>
    </row>
    <row r="64" spans="2:19" ht="12.75">
      <c r="B64" s="192"/>
      <c r="C64" s="147" t="s">
        <v>844</v>
      </c>
      <c r="D64" s="144" t="s">
        <v>845</v>
      </c>
      <c r="E64" s="233">
        <v>1.902</v>
      </c>
      <c r="F64" s="21" t="s">
        <v>42</v>
      </c>
      <c r="G64" s="147" t="s">
        <v>157</v>
      </c>
      <c r="K64" s="144" t="s">
        <v>768</v>
      </c>
      <c r="L64" s="145">
        <v>1.186</v>
      </c>
      <c r="M64" s="21" t="s">
        <v>42</v>
      </c>
      <c r="N64" s="446"/>
      <c r="Q64" s="232"/>
      <c r="R64" s="232"/>
      <c r="S64" s="232"/>
    </row>
    <row r="65" spans="2:19" ht="12.75">
      <c r="B65" s="192"/>
      <c r="C65" s="147" t="s">
        <v>805</v>
      </c>
      <c r="D65" s="144" t="s">
        <v>783</v>
      </c>
      <c r="E65" s="233">
        <v>2.28</v>
      </c>
      <c r="F65" s="21" t="s">
        <v>42</v>
      </c>
      <c r="G65" s="147" t="s">
        <v>674</v>
      </c>
      <c r="K65" s="144" t="s">
        <v>769</v>
      </c>
      <c r="L65" s="145">
        <v>12.433</v>
      </c>
      <c r="M65" s="21" t="s">
        <v>42</v>
      </c>
      <c r="N65" s="446"/>
      <c r="Q65" s="232"/>
      <c r="R65" s="232"/>
      <c r="S65" s="232"/>
    </row>
    <row r="66" spans="2:19" ht="12.75">
      <c r="B66" s="192"/>
      <c r="C66" s="147" t="s">
        <v>806</v>
      </c>
      <c r="D66" s="144" t="s">
        <v>784</v>
      </c>
      <c r="E66" s="233">
        <v>2.255</v>
      </c>
      <c r="F66" s="21" t="s">
        <v>42</v>
      </c>
      <c r="G66" s="147" t="s">
        <v>648</v>
      </c>
      <c r="K66" s="144" t="s">
        <v>770</v>
      </c>
      <c r="L66" s="145">
        <v>1.99</v>
      </c>
      <c r="M66" s="21" t="s">
        <v>42</v>
      </c>
      <c r="N66" s="446"/>
      <c r="Q66" s="232"/>
      <c r="R66" s="232"/>
      <c r="S66" s="232"/>
    </row>
    <row r="67" spans="2:19" ht="13.5" thickBot="1">
      <c r="B67" s="192"/>
      <c r="C67" s="147" t="s">
        <v>826</v>
      </c>
      <c r="D67" s="144" t="s">
        <v>782</v>
      </c>
      <c r="E67" s="233">
        <v>2.7</v>
      </c>
      <c r="F67" s="21" t="s">
        <v>42</v>
      </c>
      <c r="G67" s="148" t="s">
        <v>496</v>
      </c>
      <c r="H67" s="173"/>
      <c r="I67" s="173"/>
      <c r="J67" s="173"/>
      <c r="K67" s="525" t="s">
        <v>771</v>
      </c>
      <c r="L67" s="526">
        <v>0.585</v>
      </c>
      <c r="M67" s="23" t="s">
        <v>42</v>
      </c>
      <c r="N67" s="446"/>
      <c r="Q67" s="232"/>
      <c r="R67" s="232"/>
      <c r="S67" s="232"/>
    </row>
    <row r="68" spans="2:19" ht="12.75">
      <c r="B68" s="192"/>
      <c r="C68" s="147" t="s">
        <v>825</v>
      </c>
      <c r="D68" s="144" t="s">
        <v>812</v>
      </c>
      <c r="E68" s="428">
        <v>0</v>
      </c>
      <c r="F68" s="150" t="s">
        <v>42</v>
      </c>
      <c r="G68" s="598"/>
      <c r="H68" s="599"/>
      <c r="I68" s="599"/>
      <c r="J68" s="599"/>
      <c r="K68" s="599"/>
      <c r="L68" s="599"/>
      <c r="M68" s="600"/>
      <c r="N68" s="446"/>
      <c r="Q68" s="232"/>
      <c r="R68" s="232"/>
      <c r="S68" s="232"/>
    </row>
    <row r="69" spans="2:19" ht="12.75">
      <c r="B69" s="192"/>
      <c r="C69" s="147" t="s">
        <v>824</v>
      </c>
      <c r="D69" s="144" t="s">
        <v>809</v>
      </c>
      <c r="E69" s="428">
        <v>1.69</v>
      </c>
      <c r="F69" s="150" t="s">
        <v>42</v>
      </c>
      <c r="G69" s="601"/>
      <c r="H69" s="602"/>
      <c r="I69" s="602"/>
      <c r="J69" s="602"/>
      <c r="K69" s="602"/>
      <c r="L69" s="602"/>
      <c r="M69" s="603"/>
      <c r="N69" s="446"/>
      <c r="Q69" s="232"/>
      <c r="R69" s="232"/>
      <c r="S69" s="232"/>
    </row>
    <row r="70" spans="2:19" ht="12.75">
      <c r="B70" s="192"/>
      <c r="C70" s="147" t="s">
        <v>823</v>
      </c>
      <c r="D70" s="144" t="s">
        <v>808</v>
      </c>
      <c r="E70" s="370">
        <v>1.176</v>
      </c>
      <c r="F70" s="21" t="s">
        <v>42</v>
      </c>
      <c r="G70" s="601"/>
      <c r="H70" s="602"/>
      <c r="I70" s="602"/>
      <c r="J70" s="602"/>
      <c r="K70" s="602"/>
      <c r="L70" s="602"/>
      <c r="M70" s="603"/>
      <c r="N70" s="446"/>
      <c r="Q70" s="232"/>
      <c r="R70" s="232"/>
      <c r="S70" s="232"/>
    </row>
    <row r="71" spans="2:19" ht="12.75">
      <c r="B71" s="192"/>
      <c r="C71" s="426" t="s">
        <v>169</v>
      </c>
      <c r="D71" s="429" t="s">
        <v>785</v>
      </c>
      <c r="E71" s="438">
        <v>0</v>
      </c>
      <c r="F71" s="11" t="s">
        <v>42</v>
      </c>
      <c r="G71" s="601"/>
      <c r="H71" s="602"/>
      <c r="I71" s="602"/>
      <c r="J71" s="602"/>
      <c r="K71" s="602"/>
      <c r="L71" s="602"/>
      <c r="M71" s="603"/>
      <c r="N71" s="446"/>
      <c r="Q71" s="232"/>
      <c r="R71" s="232"/>
      <c r="S71" s="232"/>
    </row>
    <row r="72" spans="2:19" ht="12.75">
      <c r="B72" s="192"/>
      <c r="C72" s="147" t="s">
        <v>464</v>
      </c>
      <c r="D72" s="144" t="s">
        <v>774</v>
      </c>
      <c r="E72" s="527">
        <v>5</v>
      </c>
      <c r="F72" s="21" t="s">
        <v>49</v>
      </c>
      <c r="G72" s="601"/>
      <c r="H72" s="602"/>
      <c r="I72" s="602"/>
      <c r="J72" s="602"/>
      <c r="K72" s="602"/>
      <c r="L72" s="602"/>
      <c r="M72" s="603"/>
      <c r="N72" s="446"/>
      <c r="Q72" s="232"/>
      <c r="R72" s="232"/>
      <c r="S72" s="232"/>
    </row>
    <row r="73" spans="2:19" ht="12.75">
      <c r="B73" s="192"/>
      <c r="C73" s="147" t="s">
        <v>465</v>
      </c>
      <c r="D73" s="144" t="s">
        <v>775</v>
      </c>
      <c r="E73" s="527">
        <v>1</v>
      </c>
      <c r="F73" s="21" t="s">
        <v>49</v>
      </c>
      <c r="G73" s="601"/>
      <c r="H73" s="602"/>
      <c r="I73" s="602"/>
      <c r="J73" s="602"/>
      <c r="K73" s="602"/>
      <c r="L73" s="602"/>
      <c r="M73" s="603"/>
      <c r="N73" s="446"/>
      <c r="O73" s="232"/>
      <c r="P73" s="232"/>
      <c r="Q73" s="232"/>
      <c r="R73" s="232"/>
      <c r="S73" s="232"/>
    </row>
    <row r="74" spans="2:19" ht="12.75">
      <c r="B74" s="192"/>
      <c r="C74" s="147" t="s">
        <v>46</v>
      </c>
      <c r="D74" s="144" t="s">
        <v>786</v>
      </c>
      <c r="E74" s="233">
        <v>32.63</v>
      </c>
      <c r="F74" s="21" t="s">
        <v>50</v>
      </c>
      <c r="G74" s="601"/>
      <c r="H74" s="602"/>
      <c r="I74" s="602"/>
      <c r="J74" s="602"/>
      <c r="K74" s="602"/>
      <c r="L74" s="602"/>
      <c r="M74" s="603"/>
      <c r="N74" s="446"/>
      <c r="O74" s="622"/>
      <c r="P74" s="622"/>
      <c r="Q74" s="622"/>
      <c r="R74" s="622"/>
      <c r="S74" s="232"/>
    </row>
    <row r="75" spans="2:19" ht="12.75">
      <c r="B75" s="192"/>
      <c r="C75" s="147" t="s">
        <v>781</v>
      </c>
      <c r="D75" s="144" t="s">
        <v>787</v>
      </c>
      <c r="E75" s="233">
        <v>14.18</v>
      </c>
      <c r="F75" s="21" t="s">
        <v>50</v>
      </c>
      <c r="G75" s="601"/>
      <c r="H75" s="602"/>
      <c r="I75" s="602"/>
      <c r="J75" s="602"/>
      <c r="K75" s="602"/>
      <c r="L75" s="602"/>
      <c r="M75" s="603"/>
      <c r="N75" s="446"/>
      <c r="O75" s="232"/>
      <c r="P75" s="232"/>
      <c r="Q75" s="232"/>
      <c r="R75" s="232"/>
      <c r="S75" s="232"/>
    </row>
    <row r="76" spans="2:19" ht="12.75">
      <c r="B76" s="192"/>
      <c r="C76" s="147" t="s">
        <v>779</v>
      </c>
      <c r="D76" s="144" t="s">
        <v>788</v>
      </c>
      <c r="E76" s="233">
        <v>35.24</v>
      </c>
      <c r="F76" s="21" t="s">
        <v>50</v>
      </c>
      <c r="G76" s="601"/>
      <c r="H76" s="602"/>
      <c r="I76" s="602"/>
      <c r="J76" s="602"/>
      <c r="K76" s="602"/>
      <c r="L76" s="602"/>
      <c r="M76" s="603"/>
      <c r="N76" s="446"/>
      <c r="O76" s="232"/>
      <c r="P76" s="232"/>
      <c r="Q76" s="232"/>
      <c r="R76" s="232"/>
      <c r="S76" s="232"/>
    </row>
    <row r="77" spans="2:19" ht="12.75">
      <c r="B77" s="192"/>
      <c r="C77" s="147" t="s">
        <v>92</v>
      </c>
      <c r="D77" s="144" t="s">
        <v>789</v>
      </c>
      <c r="E77" s="233">
        <v>4.083</v>
      </c>
      <c r="F77" s="21" t="s">
        <v>50</v>
      </c>
      <c r="G77" s="601"/>
      <c r="H77" s="602"/>
      <c r="I77" s="602"/>
      <c r="J77" s="602"/>
      <c r="K77" s="602"/>
      <c r="L77" s="602"/>
      <c r="M77" s="603"/>
      <c r="N77" s="446"/>
      <c r="O77" s="232"/>
      <c r="P77" s="232"/>
      <c r="Q77" s="232"/>
      <c r="R77" s="232"/>
      <c r="S77" s="232"/>
    </row>
    <row r="78" spans="2:19" ht="13.5" thickBot="1">
      <c r="B78" s="192"/>
      <c r="C78" s="148" t="s">
        <v>780</v>
      </c>
      <c r="D78" s="229" t="s">
        <v>790</v>
      </c>
      <c r="E78" s="234">
        <v>0</v>
      </c>
      <c r="F78" s="23" t="s">
        <v>50</v>
      </c>
      <c r="G78" s="604"/>
      <c r="H78" s="605"/>
      <c r="I78" s="605"/>
      <c r="J78" s="605"/>
      <c r="K78" s="605"/>
      <c r="L78" s="605"/>
      <c r="M78" s="606"/>
      <c r="N78" s="446"/>
      <c r="O78" s="232"/>
      <c r="P78" s="232"/>
      <c r="Q78" s="232"/>
      <c r="R78" s="232"/>
      <c r="S78" s="232"/>
    </row>
    <row r="79" spans="2:19" ht="15.75" thickBot="1">
      <c r="B79" s="192"/>
      <c r="C79" s="595" t="s">
        <v>899</v>
      </c>
      <c r="D79" s="596"/>
      <c r="E79" s="596"/>
      <c r="F79" s="596"/>
      <c r="G79" s="596"/>
      <c r="H79" s="596"/>
      <c r="I79" s="596"/>
      <c r="J79" s="596"/>
      <c r="K79" s="596"/>
      <c r="L79" s="596"/>
      <c r="M79" s="597"/>
      <c r="N79" s="446"/>
      <c r="O79" s="232"/>
      <c r="P79" s="232"/>
      <c r="Q79" s="232"/>
      <c r="R79" s="232"/>
      <c r="S79" s="232"/>
    </row>
    <row r="80" spans="2:19" ht="13.5" customHeight="1" thickBot="1">
      <c r="B80" s="192"/>
      <c r="C80" s="136" t="s">
        <v>801</v>
      </c>
      <c r="D80" s="431" t="s">
        <v>791</v>
      </c>
      <c r="E80" s="432" t="s">
        <v>332</v>
      </c>
      <c r="F80" s="433" t="s">
        <v>792</v>
      </c>
      <c r="G80" s="590" t="s">
        <v>890</v>
      </c>
      <c r="H80" s="591"/>
      <c r="I80" s="591"/>
      <c r="J80" s="592"/>
      <c r="K80" s="431" t="s">
        <v>791</v>
      </c>
      <c r="L80" s="432" t="s">
        <v>332</v>
      </c>
      <c r="M80" s="133" t="s">
        <v>792</v>
      </c>
      <c r="N80" s="446"/>
      <c r="O80" s="232"/>
      <c r="P80" s="232"/>
      <c r="Q80" s="232"/>
      <c r="R80" s="232"/>
      <c r="S80" s="232"/>
    </row>
    <row r="81" spans="2:19" ht="12.75">
      <c r="B81" s="192"/>
      <c r="C81" s="147" t="s">
        <v>52</v>
      </c>
      <c r="D81" s="144" t="s">
        <v>793</v>
      </c>
      <c r="E81" s="233">
        <v>2.092</v>
      </c>
      <c r="F81" s="150" t="s">
        <v>42</v>
      </c>
      <c r="G81" s="147" t="s">
        <v>52</v>
      </c>
      <c r="K81" s="144" t="s">
        <v>833</v>
      </c>
      <c r="L81" s="233">
        <v>3.778</v>
      </c>
      <c r="M81" s="21" t="s">
        <v>42</v>
      </c>
      <c r="N81" s="446"/>
      <c r="O81" s="232"/>
      <c r="P81" s="232"/>
      <c r="Q81" s="232"/>
      <c r="R81" s="232"/>
      <c r="S81" s="232"/>
    </row>
    <row r="82" spans="2:19" ht="12.75">
      <c r="B82" s="192"/>
      <c r="C82" s="147" t="s">
        <v>53</v>
      </c>
      <c r="D82" s="144" t="s">
        <v>794</v>
      </c>
      <c r="E82" s="233">
        <v>1.071</v>
      </c>
      <c r="F82" s="150" t="s">
        <v>42</v>
      </c>
      <c r="G82" s="147" t="s">
        <v>53</v>
      </c>
      <c r="K82" s="144" t="s">
        <v>832</v>
      </c>
      <c r="L82" s="233">
        <v>2.319</v>
      </c>
      <c r="M82" s="21" t="s">
        <v>42</v>
      </c>
      <c r="N82" s="446"/>
      <c r="O82" s="232"/>
      <c r="P82" s="232"/>
      <c r="Q82" s="232"/>
      <c r="R82" s="232"/>
      <c r="S82" s="232"/>
    </row>
    <row r="83" spans="2:19" ht="12.75">
      <c r="B83" s="192"/>
      <c r="C83" s="147" t="s">
        <v>44</v>
      </c>
      <c r="D83" s="144" t="s">
        <v>795</v>
      </c>
      <c r="E83" s="233">
        <v>6.962</v>
      </c>
      <c r="F83" s="150" t="s">
        <v>42</v>
      </c>
      <c r="G83" s="147" t="s">
        <v>44</v>
      </c>
      <c r="K83" s="144" t="s">
        <v>830</v>
      </c>
      <c r="L83" s="233">
        <v>2.408</v>
      </c>
      <c r="M83" s="21" t="s">
        <v>42</v>
      </c>
      <c r="N83" s="446"/>
      <c r="O83" s="362"/>
      <c r="P83" s="232"/>
      <c r="Q83" s="232"/>
      <c r="R83" s="232"/>
      <c r="S83" s="232"/>
    </row>
    <row r="84" spans="2:19" ht="12.75">
      <c r="B84" s="192"/>
      <c r="C84" s="147" t="s">
        <v>827</v>
      </c>
      <c r="D84" s="144" t="s">
        <v>796</v>
      </c>
      <c r="E84" s="430">
        <v>27</v>
      </c>
      <c r="F84" s="150" t="s">
        <v>49</v>
      </c>
      <c r="G84" s="147" t="s">
        <v>827</v>
      </c>
      <c r="K84" s="144" t="s">
        <v>834</v>
      </c>
      <c r="L84" s="430">
        <v>46</v>
      </c>
      <c r="M84" s="21" t="s">
        <v>49</v>
      </c>
      <c r="N84" s="446"/>
      <c r="O84" s="343"/>
      <c r="P84" s="232"/>
      <c r="Q84" s="232"/>
      <c r="R84" s="232"/>
      <c r="S84" s="232"/>
    </row>
    <row r="85" spans="2:19" ht="12.75">
      <c r="B85" s="192"/>
      <c r="C85" s="147" t="s">
        <v>814</v>
      </c>
      <c r="D85" s="144" t="s">
        <v>797</v>
      </c>
      <c r="E85" s="233">
        <v>16.513</v>
      </c>
      <c r="F85" s="150" t="s">
        <v>42</v>
      </c>
      <c r="G85" s="147" t="s">
        <v>814</v>
      </c>
      <c r="K85" s="144" t="s">
        <v>835</v>
      </c>
      <c r="L85" s="233">
        <v>13.595</v>
      </c>
      <c r="M85" s="21" t="s">
        <v>42</v>
      </c>
      <c r="N85" s="446"/>
      <c r="O85" s="232"/>
      <c r="P85" s="232"/>
      <c r="Q85" s="232"/>
      <c r="R85" s="232"/>
      <c r="S85" s="232"/>
    </row>
    <row r="86" spans="2:19" ht="12.75">
      <c r="B86" s="192"/>
      <c r="C86" s="147" t="s">
        <v>829</v>
      </c>
      <c r="D86" s="144" t="s">
        <v>798</v>
      </c>
      <c r="E86" s="233">
        <v>1.554</v>
      </c>
      <c r="F86" s="150" t="s">
        <v>42</v>
      </c>
      <c r="G86" s="147" t="s">
        <v>813</v>
      </c>
      <c r="K86" s="144" t="s">
        <v>836</v>
      </c>
      <c r="L86" s="233">
        <v>0.833</v>
      </c>
      <c r="M86" s="21" t="s">
        <v>42</v>
      </c>
      <c r="N86" s="446"/>
      <c r="O86" s="232"/>
      <c r="P86" s="232"/>
      <c r="Q86" s="232"/>
      <c r="S86" s="232"/>
    </row>
    <row r="87" spans="2:19" ht="13.5" thickBot="1">
      <c r="B87" s="192"/>
      <c r="C87" s="147" t="s">
        <v>828</v>
      </c>
      <c r="D87" s="144" t="s">
        <v>799</v>
      </c>
      <c r="E87" s="233">
        <v>2.407</v>
      </c>
      <c r="F87" s="150" t="s">
        <v>42</v>
      </c>
      <c r="G87" s="147" t="s">
        <v>54</v>
      </c>
      <c r="K87" s="144" t="s">
        <v>843</v>
      </c>
      <c r="L87" s="233">
        <v>0.95</v>
      </c>
      <c r="M87" s="21" t="s">
        <v>43</v>
      </c>
      <c r="N87" s="446"/>
      <c r="O87" s="232"/>
      <c r="P87" s="343"/>
      <c r="Q87" s="232"/>
      <c r="R87" s="232"/>
      <c r="S87" s="232"/>
    </row>
    <row r="88" spans="2:19" ht="13.5" thickBot="1">
      <c r="B88" s="192"/>
      <c r="C88" s="148" t="s">
        <v>54</v>
      </c>
      <c r="D88" s="229" t="s">
        <v>800</v>
      </c>
      <c r="E88" s="434">
        <v>0.85</v>
      </c>
      <c r="F88" s="151" t="s">
        <v>43</v>
      </c>
      <c r="G88" s="590" t="s">
        <v>858</v>
      </c>
      <c r="H88" s="591"/>
      <c r="I88" s="591"/>
      <c r="J88" s="592"/>
      <c r="K88" s="431" t="s">
        <v>791</v>
      </c>
      <c r="L88" s="432" t="s">
        <v>332</v>
      </c>
      <c r="M88" s="133" t="s">
        <v>792</v>
      </c>
      <c r="N88" s="446"/>
      <c r="O88" s="232"/>
      <c r="P88" s="232"/>
      <c r="Q88" s="232"/>
      <c r="S88" s="232"/>
    </row>
    <row r="89" spans="2:14" ht="13.5" thickBot="1">
      <c r="B89" s="192"/>
      <c r="C89" s="136" t="s">
        <v>858</v>
      </c>
      <c r="D89" s="431" t="s">
        <v>791</v>
      </c>
      <c r="E89" s="432" t="s">
        <v>332</v>
      </c>
      <c r="F89" s="433" t="s">
        <v>792</v>
      </c>
      <c r="G89" s="147" t="s">
        <v>859</v>
      </c>
      <c r="K89" s="144" t="s">
        <v>876</v>
      </c>
      <c r="L89" s="370">
        <v>0.1</v>
      </c>
      <c r="M89" s="21" t="s">
        <v>43</v>
      </c>
      <c r="N89" s="446"/>
    </row>
    <row r="90" spans="2:14" ht="12.75">
      <c r="B90" s="192"/>
      <c r="C90" s="147" t="s">
        <v>859</v>
      </c>
      <c r="D90" s="392" t="s">
        <v>862</v>
      </c>
      <c r="E90" s="440">
        <v>0.12</v>
      </c>
      <c r="F90" s="21" t="s">
        <v>43</v>
      </c>
      <c r="G90" s="147" t="s">
        <v>354</v>
      </c>
      <c r="K90" s="144" t="s">
        <v>877</v>
      </c>
      <c r="L90" s="436">
        <v>14</v>
      </c>
      <c r="M90" s="21" t="s">
        <v>49</v>
      </c>
      <c r="N90" s="446"/>
    </row>
    <row r="91" spans="2:14" ht="12.75">
      <c r="B91" s="192"/>
      <c r="C91" s="147" t="s">
        <v>354</v>
      </c>
      <c r="D91" s="144" t="s">
        <v>861</v>
      </c>
      <c r="E91" s="436">
        <v>14</v>
      </c>
      <c r="F91" s="21" t="s">
        <v>49</v>
      </c>
      <c r="G91" s="147" t="s">
        <v>864</v>
      </c>
      <c r="K91" s="144" t="s">
        <v>878</v>
      </c>
      <c r="L91" s="144" t="s">
        <v>866</v>
      </c>
      <c r="M91" s="21" t="s">
        <v>463</v>
      </c>
      <c r="N91" s="446"/>
    </row>
    <row r="92" spans="2:14" ht="13.5" thickBot="1">
      <c r="B92" s="192"/>
      <c r="C92" s="147" t="s">
        <v>864</v>
      </c>
      <c r="D92" s="144" t="s">
        <v>860</v>
      </c>
      <c r="E92" s="144" t="s">
        <v>866</v>
      </c>
      <c r="F92" s="21" t="s">
        <v>463</v>
      </c>
      <c r="G92" s="147" t="s">
        <v>880</v>
      </c>
      <c r="K92" s="144" t="s">
        <v>879</v>
      </c>
      <c r="L92" s="144" t="s">
        <v>866</v>
      </c>
      <c r="M92" s="21" t="s">
        <v>463</v>
      </c>
      <c r="N92" s="446"/>
    </row>
    <row r="93" spans="2:14" ht="13.5" thickBot="1">
      <c r="B93" s="192"/>
      <c r="C93" s="148" t="s">
        <v>865</v>
      </c>
      <c r="D93" s="229" t="s">
        <v>867</v>
      </c>
      <c r="E93" s="229" t="s">
        <v>866</v>
      </c>
      <c r="F93" s="23" t="s">
        <v>463</v>
      </c>
      <c r="G93" s="590" t="s">
        <v>633</v>
      </c>
      <c r="H93" s="591"/>
      <c r="I93" s="591"/>
      <c r="J93" s="592"/>
      <c r="K93" s="431" t="s">
        <v>791</v>
      </c>
      <c r="L93" s="432" t="s">
        <v>332</v>
      </c>
      <c r="M93" s="133" t="s">
        <v>792</v>
      </c>
      <c r="N93" s="446"/>
    </row>
    <row r="94" spans="2:14" ht="13.5" thickBot="1">
      <c r="B94" s="192"/>
      <c r="C94" s="136" t="s">
        <v>632</v>
      </c>
      <c r="D94" s="431" t="s">
        <v>791</v>
      </c>
      <c r="E94" s="432" t="s">
        <v>332</v>
      </c>
      <c r="F94" s="433" t="s">
        <v>792</v>
      </c>
      <c r="G94" s="147" t="s">
        <v>838</v>
      </c>
      <c r="K94" s="144" t="s">
        <v>887</v>
      </c>
      <c r="L94" s="370">
        <v>0.3</v>
      </c>
      <c r="M94" s="21" t="s">
        <v>43</v>
      </c>
      <c r="N94" s="446"/>
    </row>
    <row r="95" spans="2:14" ht="12.75">
      <c r="B95" s="192"/>
      <c r="C95" s="147" t="s">
        <v>838</v>
      </c>
      <c r="D95" s="144" t="s">
        <v>853</v>
      </c>
      <c r="E95" s="369">
        <v>0.275</v>
      </c>
      <c r="F95" s="21" t="s">
        <v>43</v>
      </c>
      <c r="G95" s="147" t="s">
        <v>44</v>
      </c>
      <c r="K95" s="144" t="s">
        <v>888</v>
      </c>
      <c r="L95" s="370">
        <v>2.184</v>
      </c>
      <c r="M95" s="21" t="s">
        <v>42</v>
      </c>
      <c r="N95" s="446"/>
    </row>
    <row r="96" spans="2:14" ht="12.75">
      <c r="B96" s="192"/>
      <c r="C96" s="147" t="s">
        <v>44</v>
      </c>
      <c r="D96" s="144" t="s">
        <v>852</v>
      </c>
      <c r="E96" s="370">
        <v>3.351</v>
      </c>
      <c r="F96" s="21" t="s">
        <v>42</v>
      </c>
      <c r="G96" s="147" t="s">
        <v>353</v>
      </c>
      <c r="K96" s="144" t="s">
        <v>889</v>
      </c>
      <c r="L96" s="436">
        <v>37</v>
      </c>
      <c r="M96" s="21" t="s">
        <v>49</v>
      </c>
      <c r="N96" s="446"/>
    </row>
    <row r="97" spans="2:14" ht="12.75">
      <c r="B97" s="192"/>
      <c r="C97" s="147" t="s">
        <v>353</v>
      </c>
      <c r="D97" s="144" t="s">
        <v>875</v>
      </c>
      <c r="E97" s="436">
        <v>20</v>
      </c>
      <c r="F97" s="21" t="s">
        <v>49</v>
      </c>
      <c r="G97" s="147" t="s">
        <v>839</v>
      </c>
      <c r="K97" s="144" t="s">
        <v>841</v>
      </c>
      <c r="L97" s="370">
        <v>0.657</v>
      </c>
      <c r="M97" s="21" t="s">
        <v>42</v>
      </c>
      <c r="N97" s="446"/>
    </row>
    <row r="98" spans="2:14" ht="12.75">
      <c r="B98" s="192"/>
      <c r="C98" s="147" t="s">
        <v>352</v>
      </c>
      <c r="D98" s="144" t="s">
        <v>856</v>
      </c>
      <c r="E98" s="369">
        <v>0.13</v>
      </c>
      <c r="F98" s="21" t="s">
        <v>42</v>
      </c>
      <c r="G98" s="147" t="s">
        <v>837</v>
      </c>
      <c r="K98" s="144" t="s">
        <v>842</v>
      </c>
      <c r="L98" s="370">
        <v>0</v>
      </c>
      <c r="M98" s="21" t="s">
        <v>42</v>
      </c>
      <c r="N98" s="446"/>
    </row>
    <row r="99" spans="2:14" ht="12.75">
      <c r="B99" s="192"/>
      <c r="C99" s="147" t="s">
        <v>883</v>
      </c>
      <c r="D99" s="144" t="s">
        <v>868</v>
      </c>
      <c r="E99" s="369">
        <v>3</v>
      </c>
      <c r="F99" s="21" t="s">
        <v>43</v>
      </c>
      <c r="G99" s="147" t="s">
        <v>883</v>
      </c>
      <c r="K99" s="144" t="s">
        <v>885</v>
      </c>
      <c r="L99" s="435">
        <v>3</v>
      </c>
      <c r="M99" s="21" t="s">
        <v>43</v>
      </c>
      <c r="N99" s="446"/>
    </row>
    <row r="100" spans="2:14" ht="12.75">
      <c r="B100" s="192"/>
      <c r="C100" s="147" t="s">
        <v>854</v>
      </c>
      <c r="D100" s="144" t="s">
        <v>855</v>
      </c>
      <c r="E100" s="503">
        <v>0.2</v>
      </c>
      <c r="F100" s="21" t="s">
        <v>43</v>
      </c>
      <c r="G100" s="147" t="s">
        <v>854</v>
      </c>
      <c r="K100" s="144" t="s">
        <v>882</v>
      </c>
      <c r="L100" s="370">
        <v>0.12</v>
      </c>
      <c r="M100" s="21" t="s">
        <v>43</v>
      </c>
      <c r="N100" s="446"/>
    </row>
    <row r="101" spans="2:14" ht="13.5" thickBot="1">
      <c r="B101" s="192"/>
      <c r="C101" s="148" t="s">
        <v>924</v>
      </c>
      <c r="D101" s="229" t="s">
        <v>857</v>
      </c>
      <c r="E101" s="504">
        <v>0.24</v>
      </c>
      <c r="F101" s="23" t="s">
        <v>43</v>
      </c>
      <c r="G101" s="147" t="s">
        <v>924</v>
      </c>
      <c r="K101" s="229" t="s">
        <v>881</v>
      </c>
      <c r="L101" s="442">
        <v>0.24</v>
      </c>
      <c r="M101" s="23" t="s">
        <v>43</v>
      </c>
      <c r="N101" s="446"/>
    </row>
    <row r="102" spans="2:14" ht="13.5" thickBot="1">
      <c r="B102" s="192"/>
      <c r="C102" s="136" t="s">
        <v>630</v>
      </c>
      <c r="D102" s="431" t="s">
        <v>791</v>
      </c>
      <c r="E102" s="432" t="s">
        <v>332</v>
      </c>
      <c r="F102" s="433" t="s">
        <v>792</v>
      </c>
      <c r="G102" s="590" t="s">
        <v>639</v>
      </c>
      <c r="H102" s="591"/>
      <c r="I102" s="591"/>
      <c r="J102" s="616"/>
      <c r="K102" s="443" t="s">
        <v>791</v>
      </c>
      <c r="L102" s="432" t="s">
        <v>332</v>
      </c>
      <c r="M102" s="133" t="s">
        <v>792</v>
      </c>
      <c r="N102" s="446"/>
    </row>
    <row r="103" spans="2:14" ht="12.75">
      <c r="B103" s="192"/>
      <c r="C103" s="147" t="s">
        <v>884</v>
      </c>
      <c r="D103" s="392" t="s">
        <v>869</v>
      </c>
      <c r="E103" s="370">
        <v>1.31</v>
      </c>
      <c r="F103" s="21" t="s">
        <v>43</v>
      </c>
      <c r="G103" s="147" t="s">
        <v>838</v>
      </c>
      <c r="K103" s="144" t="s">
        <v>871</v>
      </c>
      <c r="L103" s="370">
        <v>0</v>
      </c>
      <c r="M103" s="21" t="s">
        <v>43</v>
      </c>
      <c r="N103" s="446"/>
    </row>
    <row r="104" spans="2:14" ht="12.75">
      <c r="B104" s="192"/>
      <c r="C104" s="147" t="s">
        <v>44</v>
      </c>
      <c r="D104" s="144" t="s">
        <v>870</v>
      </c>
      <c r="E104" s="370">
        <v>0.47</v>
      </c>
      <c r="F104" s="21" t="s">
        <v>42</v>
      </c>
      <c r="G104" s="147" t="s">
        <v>44</v>
      </c>
      <c r="K104" s="144" t="s">
        <v>872</v>
      </c>
      <c r="L104" s="370">
        <v>0</v>
      </c>
      <c r="M104" s="21" t="s">
        <v>42</v>
      </c>
      <c r="N104" s="446"/>
    </row>
    <row r="105" spans="2:14" ht="13.5" thickBot="1">
      <c r="B105" s="192"/>
      <c r="C105" s="147" t="s">
        <v>883</v>
      </c>
      <c r="D105" s="144" t="s">
        <v>886</v>
      </c>
      <c r="E105" s="505">
        <v>2</v>
      </c>
      <c r="F105" s="21" t="s">
        <v>43</v>
      </c>
      <c r="G105" s="147" t="s">
        <v>352</v>
      </c>
      <c r="K105" s="144" t="s">
        <v>873</v>
      </c>
      <c r="L105" s="370">
        <v>0.13</v>
      </c>
      <c r="M105" s="21" t="s">
        <v>42</v>
      </c>
      <c r="N105" s="446"/>
    </row>
    <row r="106" spans="2:14" ht="13.5" thickBot="1">
      <c r="B106" s="192"/>
      <c r="C106" s="136" t="s">
        <v>631</v>
      </c>
      <c r="D106" s="431" t="s">
        <v>791</v>
      </c>
      <c r="E106" s="432" t="s">
        <v>332</v>
      </c>
      <c r="F106" s="433" t="s">
        <v>792</v>
      </c>
      <c r="G106" s="148" t="s">
        <v>353</v>
      </c>
      <c r="H106" s="173"/>
      <c r="I106" s="173"/>
      <c r="J106" s="173"/>
      <c r="K106" s="229" t="s">
        <v>874</v>
      </c>
      <c r="L106" s="506">
        <v>18</v>
      </c>
      <c r="M106" s="23" t="s">
        <v>49</v>
      </c>
      <c r="N106" s="446"/>
    </row>
    <row r="107" spans="2:14" ht="12.75">
      <c r="B107" s="192"/>
      <c r="C107" s="147" t="s">
        <v>838</v>
      </c>
      <c r="D107" s="144" t="s">
        <v>871</v>
      </c>
      <c r="E107" s="370">
        <v>0</v>
      </c>
      <c r="F107" s="21" t="s">
        <v>43</v>
      </c>
      <c r="G107" s="598"/>
      <c r="H107" s="599"/>
      <c r="I107" s="599"/>
      <c r="J107" s="599"/>
      <c r="K107" s="599"/>
      <c r="L107" s="599"/>
      <c r="M107" s="600"/>
      <c r="N107" s="446"/>
    </row>
    <row r="108" spans="2:14" ht="12.75">
      <c r="B108" s="192"/>
      <c r="C108" s="147" t="s">
        <v>44</v>
      </c>
      <c r="D108" s="144" t="s">
        <v>872</v>
      </c>
      <c r="E108" s="370">
        <v>0</v>
      </c>
      <c r="F108" s="21" t="s">
        <v>42</v>
      </c>
      <c r="G108" s="601"/>
      <c r="H108" s="602"/>
      <c r="I108" s="602"/>
      <c r="J108" s="602"/>
      <c r="K108" s="602"/>
      <c r="L108" s="602"/>
      <c r="M108" s="603"/>
      <c r="N108" s="446"/>
    </row>
    <row r="109" spans="2:14" ht="12.75">
      <c r="B109" s="192"/>
      <c r="C109" s="147" t="s">
        <v>352</v>
      </c>
      <c r="D109" s="144" t="s">
        <v>873</v>
      </c>
      <c r="E109" s="370">
        <v>0.13</v>
      </c>
      <c r="F109" s="21" t="s">
        <v>42</v>
      </c>
      <c r="G109" s="601"/>
      <c r="H109" s="602"/>
      <c r="I109" s="602"/>
      <c r="J109" s="602"/>
      <c r="K109" s="602"/>
      <c r="L109" s="602"/>
      <c r="M109" s="603"/>
      <c r="N109" s="446"/>
    </row>
    <row r="110" spans="2:14" ht="13.5" thickBot="1">
      <c r="B110" s="192"/>
      <c r="C110" s="148" t="s">
        <v>353</v>
      </c>
      <c r="D110" s="229" t="s">
        <v>874</v>
      </c>
      <c r="E110" s="506">
        <v>18</v>
      </c>
      <c r="F110" s="23" t="s">
        <v>49</v>
      </c>
      <c r="G110" s="604"/>
      <c r="H110" s="605"/>
      <c r="I110" s="605"/>
      <c r="J110" s="605"/>
      <c r="K110" s="605"/>
      <c r="L110" s="605"/>
      <c r="M110" s="606"/>
      <c r="N110" s="446"/>
    </row>
    <row r="111" spans="2:14" ht="12.75">
      <c r="B111" s="490"/>
      <c r="C111" s="491"/>
      <c r="D111" s="205"/>
      <c r="E111" s="491"/>
      <c r="F111" s="205"/>
      <c r="G111" s="491"/>
      <c r="H111" s="491"/>
      <c r="I111" s="491"/>
      <c r="J111" s="491"/>
      <c r="K111" s="491"/>
      <c r="L111" s="491"/>
      <c r="M111" s="491"/>
      <c r="N111" s="492"/>
    </row>
  </sheetData>
  <sheetProtection/>
  <mergeCells count="31">
    <mergeCell ref="G32:G33"/>
    <mergeCell ref="M30:M31"/>
    <mergeCell ref="G30:L30"/>
    <mergeCell ref="G38:L38"/>
    <mergeCell ref="O74:R74"/>
    <mergeCell ref="G55:J55"/>
    <mergeCell ref="G62:J62"/>
    <mergeCell ref="G68:M78"/>
    <mergeCell ref="G29:M29"/>
    <mergeCell ref="C4:M4"/>
    <mergeCell ref="G40:G41"/>
    <mergeCell ref="G36:G37"/>
    <mergeCell ref="G11:J11"/>
    <mergeCell ref="G20:J20"/>
    <mergeCell ref="G107:M110"/>
    <mergeCell ref="C3:M3"/>
    <mergeCell ref="G5:J5"/>
    <mergeCell ref="C6:F9"/>
    <mergeCell ref="C5:F5"/>
    <mergeCell ref="C10:M10"/>
    <mergeCell ref="G46:M53"/>
    <mergeCell ref="G102:J102"/>
    <mergeCell ref="G42:G43"/>
    <mergeCell ref="G44:G45"/>
    <mergeCell ref="G93:J93"/>
    <mergeCell ref="G88:J88"/>
    <mergeCell ref="M38:M39"/>
    <mergeCell ref="G34:G35"/>
    <mergeCell ref="G80:J80"/>
    <mergeCell ref="C54:M54"/>
    <mergeCell ref="C79:M7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5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34">
    <tabColor indexed="19"/>
  </sheetPr>
  <dimension ref="A1:R53"/>
  <sheetViews>
    <sheetView zoomScale="85" zoomScaleNormal="85" zoomScalePageLayoutView="0" workbookViewId="0" topLeftCell="A1">
      <selection activeCell="B10" sqref="B10:L10"/>
    </sheetView>
  </sheetViews>
  <sheetFormatPr defaultColWidth="9.140625" defaultRowHeight="12.75"/>
  <cols>
    <col min="1" max="1" width="9.140625" style="154" customWidth="1"/>
    <col min="2" max="2" width="9.140625" style="333" customWidth="1"/>
    <col min="3" max="3" width="9.140625" style="377" customWidth="1"/>
    <col min="4" max="14" width="9.140625" style="154" customWidth="1"/>
    <col min="15" max="15" width="9.140625" style="377" customWidth="1"/>
    <col min="16" max="16384" width="9.140625" style="154" customWidth="1"/>
  </cols>
  <sheetData>
    <row r="1" spans="1:12" ht="13.5" thickBot="1">
      <c r="A1" s="632" t="s">
        <v>723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4"/>
    </row>
    <row r="2" spans="1:12" ht="13.5" thickBot="1">
      <c r="A2" s="720" t="s">
        <v>717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2"/>
    </row>
    <row r="3" spans="1:12" ht="13.5" thickBot="1">
      <c r="A3" s="38"/>
      <c r="B3" s="797" t="s">
        <v>65</v>
      </c>
      <c r="C3" s="798"/>
      <c r="D3" s="798"/>
      <c r="E3" s="798"/>
      <c r="F3" s="798"/>
      <c r="G3" s="798"/>
      <c r="H3" s="798"/>
      <c r="I3" s="798"/>
      <c r="J3" s="798"/>
      <c r="K3" s="798"/>
      <c r="L3" s="799"/>
    </row>
    <row r="4" spans="1:12" ht="12.75">
      <c r="A4" s="737" t="s">
        <v>722</v>
      </c>
      <c r="B4" s="400"/>
      <c r="C4" s="401">
        <v>0.333</v>
      </c>
      <c r="D4" s="30">
        <v>0.34</v>
      </c>
      <c r="E4" s="30">
        <v>0.36</v>
      </c>
      <c r="F4" s="30">
        <v>0.38</v>
      </c>
      <c r="G4" s="30">
        <v>0.4</v>
      </c>
      <c r="H4" s="30">
        <v>0.42</v>
      </c>
      <c r="I4" s="30">
        <v>0.44</v>
      </c>
      <c r="J4" s="30">
        <v>0.46</v>
      </c>
      <c r="K4" s="30">
        <v>0.48</v>
      </c>
      <c r="L4" s="31">
        <v>0.5</v>
      </c>
    </row>
    <row r="5" spans="1:14" ht="12.75">
      <c r="A5" s="718"/>
      <c r="B5" s="92">
        <v>0</v>
      </c>
      <c r="C5" s="161">
        <v>0.4092</v>
      </c>
      <c r="D5" s="161">
        <v>0.41093</v>
      </c>
      <c r="E5" s="161">
        <v>0.4152</v>
      </c>
      <c r="F5" s="161">
        <v>0.418</v>
      </c>
      <c r="G5" s="161">
        <v>0.42013</v>
      </c>
      <c r="H5" s="161">
        <v>0.42173</v>
      </c>
      <c r="I5" s="161">
        <v>0.4228</v>
      </c>
      <c r="J5" s="161">
        <v>0.424</v>
      </c>
      <c r="K5" s="161">
        <v>0.42493</v>
      </c>
      <c r="L5" s="160">
        <v>0.42613</v>
      </c>
      <c r="N5" s="178"/>
    </row>
    <row r="6" spans="1:18" ht="12.75">
      <c r="A6" s="718"/>
      <c r="B6" s="92">
        <v>2</v>
      </c>
      <c r="C6" s="161">
        <v>0.41453</v>
      </c>
      <c r="D6" s="161">
        <v>0.4176</v>
      </c>
      <c r="E6" s="161">
        <v>0.42347</v>
      </c>
      <c r="F6" s="161">
        <v>0.42747</v>
      </c>
      <c r="G6" s="161">
        <v>0.4304</v>
      </c>
      <c r="H6" s="161">
        <v>0.43227</v>
      </c>
      <c r="I6" s="161">
        <v>0.434</v>
      </c>
      <c r="J6" s="161">
        <v>0.4356</v>
      </c>
      <c r="K6" s="161">
        <v>0.4372</v>
      </c>
      <c r="L6" s="160">
        <v>0.43867</v>
      </c>
      <c r="N6" s="153"/>
      <c r="P6" s="153"/>
      <c r="Q6" s="153"/>
      <c r="R6" s="153"/>
    </row>
    <row r="7" spans="1:18" ht="12.75">
      <c r="A7" s="718"/>
      <c r="B7" s="92">
        <v>4</v>
      </c>
      <c r="C7" s="161">
        <v>0.41307</v>
      </c>
      <c r="D7" s="161">
        <v>0.4192</v>
      </c>
      <c r="E7" s="161">
        <v>0.42973</v>
      </c>
      <c r="F7" s="161">
        <v>0.4368</v>
      </c>
      <c r="G7" s="161">
        <v>0.4424</v>
      </c>
      <c r="H7" s="161">
        <v>0.44693</v>
      </c>
      <c r="I7" s="161">
        <v>0.45107</v>
      </c>
      <c r="J7" s="161">
        <v>0.4548</v>
      </c>
      <c r="K7" s="161">
        <v>0.45853</v>
      </c>
      <c r="L7" s="160">
        <v>0.462</v>
      </c>
      <c r="N7" s="153"/>
      <c r="P7" s="153"/>
      <c r="Q7" s="153"/>
      <c r="R7" s="153"/>
    </row>
    <row r="8" spans="1:18" ht="13.5" thickBot="1">
      <c r="A8" s="719"/>
      <c r="B8" s="92">
        <v>6</v>
      </c>
      <c r="C8" s="161">
        <v>0.40827</v>
      </c>
      <c r="D8" s="161">
        <v>0.4152</v>
      </c>
      <c r="E8" s="161">
        <v>0.42867</v>
      </c>
      <c r="F8" s="161">
        <v>0.4384</v>
      </c>
      <c r="G8" s="161">
        <v>0.4468</v>
      </c>
      <c r="H8" s="161">
        <v>0.454</v>
      </c>
      <c r="I8" s="161">
        <v>0.4604</v>
      </c>
      <c r="J8" s="161">
        <v>0.46653</v>
      </c>
      <c r="K8" s="161">
        <v>0.4724</v>
      </c>
      <c r="L8" s="160">
        <v>0.47827</v>
      </c>
      <c r="N8" s="153"/>
      <c r="P8" s="153"/>
      <c r="Q8" s="153"/>
      <c r="R8" s="153"/>
    </row>
    <row r="9" spans="1:18" ht="13.5" thickBot="1">
      <c r="A9" s="720" t="s">
        <v>718</v>
      </c>
      <c r="B9" s="721"/>
      <c r="C9" s="721"/>
      <c r="D9" s="721"/>
      <c r="E9" s="721"/>
      <c r="F9" s="721"/>
      <c r="G9" s="721"/>
      <c r="H9" s="721"/>
      <c r="I9" s="721"/>
      <c r="J9" s="721"/>
      <c r="K9" s="721"/>
      <c r="L9" s="722"/>
      <c r="N9" s="153"/>
      <c r="P9" s="153"/>
      <c r="Q9" s="153"/>
      <c r="R9" s="153"/>
    </row>
    <row r="10" spans="1:18" ht="13.5" thickBot="1">
      <c r="A10" s="25"/>
      <c r="B10" s="797" t="s">
        <v>65</v>
      </c>
      <c r="C10" s="798"/>
      <c r="D10" s="798"/>
      <c r="E10" s="798"/>
      <c r="F10" s="798"/>
      <c r="G10" s="798"/>
      <c r="H10" s="798"/>
      <c r="I10" s="798"/>
      <c r="J10" s="798"/>
      <c r="K10" s="798"/>
      <c r="L10" s="799"/>
      <c r="N10" s="153"/>
      <c r="P10" s="153"/>
      <c r="Q10" s="153"/>
      <c r="R10" s="153"/>
    </row>
    <row r="11" spans="1:18" ht="12.75">
      <c r="A11" s="737" t="s">
        <v>722</v>
      </c>
      <c r="B11" s="400"/>
      <c r="C11" s="401">
        <v>0.333</v>
      </c>
      <c r="D11" s="30">
        <v>0.34</v>
      </c>
      <c r="E11" s="30">
        <v>0.36</v>
      </c>
      <c r="F11" s="30">
        <v>0.38</v>
      </c>
      <c r="G11" s="30">
        <v>0.4</v>
      </c>
      <c r="H11" s="30">
        <v>0.42</v>
      </c>
      <c r="I11" s="30">
        <v>0.44</v>
      </c>
      <c r="J11" s="30">
        <v>0.46</v>
      </c>
      <c r="K11" s="30">
        <v>0.48</v>
      </c>
      <c r="L11" s="31">
        <v>0.5</v>
      </c>
      <c r="N11" s="153"/>
      <c r="P11" s="153"/>
      <c r="Q11" s="153"/>
      <c r="R11" s="153"/>
    </row>
    <row r="12" spans="1:18" ht="12.75">
      <c r="A12" s="718"/>
      <c r="B12" s="92">
        <v>0</v>
      </c>
      <c r="C12" s="161">
        <v>0.3972</v>
      </c>
      <c r="D12" s="161">
        <v>0.40027</v>
      </c>
      <c r="E12" s="161">
        <v>0.4076</v>
      </c>
      <c r="F12" s="161">
        <v>0.4132</v>
      </c>
      <c r="G12" s="161">
        <v>0.41747</v>
      </c>
      <c r="H12" s="161">
        <v>0.42093</v>
      </c>
      <c r="I12" s="161">
        <v>0.42387</v>
      </c>
      <c r="J12" s="161">
        <v>0.42653</v>
      </c>
      <c r="K12" s="161">
        <v>0.42907</v>
      </c>
      <c r="L12" s="160">
        <v>0.43173</v>
      </c>
      <c r="N12" s="153"/>
      <c r="P12" s="153"/>
      <c r="Q12" s="153"/>
      <c r="R12" s="153"/>
    </row>
    <row r="13" spans="1:18" ht="12.75">
      <c r="A13" s="718"/>
      <c r="B13" s="92">
        <v>2</v>
      </c>
      <c r="C13" s="161">
        <v>0.40493</v>
      </c>
      <c r="D13" s="161">
        <v>0.40907</v>
      </c>
      <c r="E13" s="161">
        <v>0.41787</v>
      </c>
      <c r="F13" s="161">
        <v>0.4244</v>
      </c>
      <c r="G13" s="161">
        <v>0.42933</v>
      </c>
      <c r="H13" s="161">
        <v>0.4332</v>
      </c>
      <c r="I13" s="161">
        <v>0.43667</v>
      </c>
      <c r="J13" s="161">
        <v>0.43987</v>
      </c>
      <c r="K13" s="161">
        <v>0.44293</v>
      </c>
      <c r="L13" s="160">
        <v>0.44627</v>
      </c>
      <c r="N13" s="153"/>
      <c r="P13" s="153"/>
      <c r="Q13" s="153"/>
      <c r="R13" s="153"/>
    </row>
    <row r="14" spans="1:12" ht="12.75">
      <c r="A14" s="718"/>
      <c r="B14" s="92">
        <v>4</v>
      </c>
      <c r="C14" s="161">
        <v>0.40653</v>
      </c>
      <c r="D14" s="161">
        <v>0.41107</v>
      </c>
      <c r="E14" s="161">
        <v>0.42227</v>
      </c>
      <c r="F14" s="161">
        <v>0.43173</v>
      </c>
      <c r="G14" s="161">
        <v>0.43893</v>
      </c>
      <c r="H14" s="161">
        <v>0.44453</v>
      </c>
      <c r="I14" s="161">
        <v>0.44933</v>
      </c>
      <c r="J14" s="161">
        <v>0.454</v>
      </c>
      <c r="K14" s="161">
        <v>0.45867</v>
      </c>
      <c r="L14" s="160">
        <v>0.4632</v>
      </c>
    </row>
    <row r="15" spans="1:14" ht="13.5" thickBot="1">
      <c r="A15" s="719"/>
      <c r="B15" s="92">
        <v>6</v>
      </c>
      <c r="C15" s="161">
        <v>0.4048</v>
      </c>
      <c r="D15" s="161">
        <v>0.4096</v>
      </c>
      <c r="E15" s="161">
        <v>0.42293</v>
      </c>
      <c r="F15" s="161">
        <v>0.4344</v>
      </c>
      <c r="G15" s="161">
        <v>0.44347</v>
      </c>
      <c r="H15" s="161">
        <v>0.4512</v>
      </c>
      <c r="I15" s="161">
        <v>0.458</v>
      </c>
      <c r="J15" s="161">
        <v>0.46467</v>
      </c>
      <c r="K15" s="161">
        <v>0.47093</v>
      </c>
      <c r="L15" s="160">
        <v>0.47733</v>
      </c>
      <c r="N15" s="178"/>
    </row>
    <row r="16" spans="1:14" ht="13.5" thickBot="1">
      <c r="A16" s="720" t="s">
        <v>719</v>
      </c>
      <c r="B16" s="721"/>
      <c r="C16" s="721"/>
      <c r="D16" s="721"/>
      <c r="E16" s="721"/>
      <c r="F16" s="721"/>
      <c r="G16" s="721"/>
      <c r="H16" s="721"/>
      <c r="I16" s="721"/>
      <c r="J16" s="721"/>
      <c r="K16" s="721"/>
      <c r="L16" s="722"/>
      <c r="N16" s="178"/>
    </row>
    <row r="17" spans="1:14" ht="13.5" thickBot="1">
      <c r="A17" s="25"/>
      <c r="B17" s="797" t="s">
        <v>65</v>
      </c>
      <c r="C17" s="798"/>
      <c r="D17" s="798"/>
      <c r="E17" s="798"/>
      <c r="F17" s="798"/>
      <c r="G17" s="798"/>
      <c r="H17" s="798"/>
      <c r="I17" s="798"/>
      <c r="J17" s="798"/>
      <c r="K17" s="798"/>
      <c r="L17" s="799"/>
      <c r="N17" s="178"/>
    </row>
    <row r="18" spans="1:12" ht="12.75">
      <c r="A18" s="737" t="s">
        <v>722</v>
      </c>
      <c r="B18" s="400"/>
      <c r="C18" s="401">
        <v>0.333</v>
      </c>
      <c r="D18" s="30">
        <v>0.34</v>
      </c>
      <c r="E18" s="30">
        <v>0.36</v>
      </c>
      <c r="F18" s="30">
        <v>0.38</v>
      </c>
      <c r="G18" s="30">
        <v>0.4</v>
      </c>
      <c r="H18" s="30">
        <v>0.42</v>
      </c>
      <c r="I18" s="30">
        <v>0.44</v>
      </c>
      <c r="J18" s="30">
        <v>0.46</v>
      </c>
      <c r="K18" s="30">
        <v>0.48</v>
      </c>
      <c r="L18" s="31">
        <v>0.5</v>
      </c>
    </row>
    <row r="19" spans="1:12" ht="12.75">
      <c r="A19" s="718"/>
      <c r="B19" s="92">
        <v>0</v>
      </c>
      <c r="C19" s="161">
        <v>0.38581</v>
      </c>
      <c r="D19" s="161">
        <v>0.38959</v>
      </c>
      <c r="E19" s="161">
        <v>0.4</v>
      </c>
      <c r="F19" s="161">
        <v>0.40878</v>
      </c>
      <c r="G19" s="161">
        <v>0.41541</v>
      </c>
      <c r="H19" s="161">
        <v>0.42108</v>
      </c>
      <c r="I19" s="161">
        <v>0.42608</v>
      </c>
      <c r="J19" s="161">
        <v>0.43068</v>
      </c>
      <c r="K19" s="161">
        <v>0.43554</v>
      </c>
      <c r="L19" s="160">
        <v>0.44014</v>
      </c>
    </row>
    <row r="20" spans="1:14" ht="12.75">
      <c r="A20" s="718"/>
      <c r="B20" s="92">
        <v>2</v>
      </c>
      <c r="C20" s="161">
        <v>0.39405</v>
      </c>
      <c r="D20" s="161">
        <v>0.39797</v>
      </c>
      <c r="E20" s="161">
        <v>0.40851</v>
      </c>
      <c r="F20" s="161">
        <v>0.41811</v>
      </c>
      <c r="G20" s="161">
        <v>0.42622</v>
      </c>
      <c r="H20" s="161">
        <v>0.43257</v>
      </c>
      <c r="I20" s="161">
        <v>0.43743</v>
      </c>
      <c r="J20" s="161">
        <v>0.44297</v>
      </c>
      <c r="K20" s="161">
        <v>0.44797</v>
      </c>
      <c r="L20" s="160">
        <v>0.45311</v>
      </c>
      <c r="N20" s="178"/>
    </row>
    <row r="21" spans="1:14" ht="12.75">
      <c r="A21" s="718"/>
      <c r="B21" s="92">
        <v>4</v>
      </c>
      <c r="C21" s="161">
        <v>0.39784</v>
      </c>
      <c r="D21" s="161">
        <v>0.4023</v>
      </c>
      <c r="E21" s="161">
        <v>0.41446</v>
      </c>
      <c r="F21" s="161">
        <v>0.42541</v>
      </c>
      <c r="G21" s="161">
        <v>0.43446</v>
      </c>
      <c r="H21" s="161">
        <v>0.44189</v>
      </c>
      <c r="I21" s="161">
        <v>0.44797</v>
      </c>
      <c r="J21" s="161">
        <v>0.45419</v>
      </c>
      <c r="K21" s="161">
        <v>0.46</v>
      </c>
      <c r="L21" s="160">
        <v>0.46595</v>
      </c>
      <c r="N21" s="178"/>
    </row>
    <row r="22" spans="1:12" ht="13.5" thickBot="1">
      <c r="A22" s="719"/>
      <c r="B22" s="92">
        <v>6</v>
      </c>
      <c r="C22" s="161">
        <v>0.39905</v>
      </c>
      <c r="D22" s="161">
        <v>0.40351</v>
      </c>
      <c r="E22" s="161">
        <v>0.4173</v>
      </c>
      <c r="F22" s="161">
        <v>0.42932</v>
      </c>
      <c r="G22" s="161">
        <v>0.43932</v>
      </c>
      <c r="H22" s="161">
        <v>0.44838</v>
      </c>
      <c r="I22" s="161">
        <v>0.45554</v>
      </c>
      <c r="J22" s="161">
        <v>0.4627</v>
      </c>
      <c r="K22" s="161">
        <v>0.47014</v>
      </c>
      <c r="L22" s="160">
        <v>0.47743</v>
      </c>
    </row>
    <row r="23" spans="1:12" ht="13.5" thickBot="1">
      <c r="A23" s="720" t="s">
        <v>720</v>
      </c>
      <c r="B23" s="721"/>
      <c r="C23" s="721"/>
      <c r="D23" s="721"/>
      <c r="E23" s="721"/>
      <c r="F23" s="721"/>
      <c r="G23" s="721"/>
      <c r="H23" s="721"/>
      <c r="I23" s="721"/>
      <c r="J23" s="721"/>
      <c r="K23" s="721"/>
      <c r="L23" s="722"/>
    </row>
    <row r="24" spans="1:12" ht="13.5" thickBot="1">
      <c r="A24" s="25"/>
      <c r="B24" s="797" t="s">
        <v>65</v>
      </c>
      <c r="C24" s="798"/>
      <c r="D24" s="798"/>
      <c r="E24" s="798"/>
      <c r="F24" s="798"/>
      <c r="G24" s="798"/>
      <c r="H24" s="798"/>
      <c r="I24" s="798"/>
      <c r="J24" s="798"/>
      <c r="K24" s="798"/>
      <c r="L24" s="799"/>
    </row>
    <row r="25" spans="1:14" ht="12.75">
      <c r="A25" s="737" t="s">
        <v>722</v>
      </c>
      <c r="B25" s="400"/>
      <c r="C25" s="401">
        <v>0.333</v>
      </c>
      <c r="D25" s="30">
        <v>0.34</v>
      </c>
      <c r="E25" s="30">
        <v>0.36</v>
      </c>
      <c r="F25" s="30">
        <v>0.38</v>
      </c>
      <c r="G25" s="30">
        <v>0.4</v>
      </c>
      <c r="H25" s="30">
        <v>0.42</v>
      </c>
      <c r="I25" s="30">
        <v>0.44</v>
      </c>
      <c r="J25" s="30">
        <v>0.46</v>
      </c>
      <c r="K25" s="30">
        <v>0.48</v>
      </c>
      <c r="L25" s="31">
        <v>0.5</v>
      </c>
      <c r="N25" s="178"/>
    </row>
    <row r="26" spans="1:14" ht="12.75">
      <c r="A26" s="718"/>
      <c r="B26" s="92">
        <v>0</v>
      </c>
      <c r="C26" s="161">
        <v>0.37453</v>
      </c>
      <c r="D26" s="161">
        <v>0.38</v>
      </c>
      <c r="E26" s="161">
        <v>0.39307</v>
      </c>
      <c r="F26" s="161">
        <v>0.4032</v>
      </c>
      <c r="G26" s="161">
        <v>0.41187</v>
      </c>
      <c r="H26" s="161">
        <v>0.41987</v>
      </c>
      <c r="I26" s="161">
        <v>0.42707</v>
      </c>
      <c r="J26" s="161">
        <v>0.434</v>
      </c>
      <c r="K26" s="161">
        <v>0.44093</v>
      </c>
      <c r="L26" s="160">
        <v>0.448</v>
      </c>
      <c r="N26" s="178"/>
    </row>
    <row r="27" spans="1:12" ht="12.75">
      <c r="A27" s="718"/>
      <c r="B27" s="92">
        <v>2</v>
      </c>
      <c r="C27" s="161">
        <v>0.3816</v>
      </c>
      <c r="D27" s="161">
        <v>0.3872</v>
      </c>
      <c r="E27" s="161">
        <v>0.4008</v>
      </c>
      <c r="F27" s="161">
        <v>0.4116</v>
      </c>
      <c r="G27" s="161">
        <v>0.4204</v>
      </c>
      <c r="H27" s="161">
        <v>0.4284</v>
      </c>
      <c r="I27" s="161">
        <v>0.436</v>
      </c>
      <c r="J27" s="161">
        <v>0.44347</v>
      </c>
      <c r="K27" s="161">
        <v>0.45067</v>
      </c>
      <c r="L27" s="160">
        <v>0.45773</v>
      </c>
    </row>
    <row r="28" spans="1:12" ht="12.75">
      <c r="A28" s="718"/>
      <c r="B28" s="92">
        <v>4</v>
      </c>
      <c r="C28" s="161">
        <v>0.386</v>
      </c>
      <c r="D28" s="161">
        <v>0.39187</v>
      </c>
      <c r="E28" s="161">
        <v>0.40613</v>
      </c>
      <c r="F28" s="161">
        <v>0.4176</v>
      </c>
      <c r="G28" s="161">
        <v>0.4272</v>
      </c>
      <c r="H28" s="161">
        <v>0.436</v>
      </c>
      <c r="I28" s="161">
        <v>0.44427</v>
      </c>
      <c r="J28" s="161">
        <v>0.45173</v>
      </c>
      <c r="K28" s="161">
        <v>0.45933</v>
      </c>
      <c r="L28" s="160">
        <v>0.46707</v>
      </c>
    </row>
    <row r="29" spans="1:12" ht="13.5" thickBot="1">
      <c r="A29" s="719"/>
      <c r="B29" s="92">
        <v>6</v>
      </c>
      <c r="C29" s="161">
        <v>0.3888</v>
      </c>
      <c r="D29" s="161">
        <v>0.39493</v>
      </c>
      <c r="E29" s="161">
        <v>0.4104</v>
      </c>
      <c r="F29" s="161">
        <v>0.42213</v>
      </c>
      <c r="G29" s="161">
        <v>0.432</v>
      </c>
      <c r="H29" s="161">
        <v>0.4412</v>
      </c>
      <c r="I29" s="161">
        <v>0.45</v>
      </c>
      <c r="J29" s="161">
        <v>0.45867</v>
      </c>
      <c r="K29" s="161">
        <v>0.46693</v>
      </c>
      <c r="L29" s="160">
        <v>0.4756</v>
      </c>
    </row>
    <row r="30" spans="1:12" ht="13.5" thickBot="1">
      <c r="A30" s="720" t="s">
        <v>721</v>
      </c>
      <c r="B30" s="721"/>
      <c r="C30" s="721"/>
      <c r="D30" s="721"/>
      <c r="E30" s="721"/>
      <c r="F30" s="721"/>
      <c r="G30" s="721"/>
      <c r="H30" s="721"/>
      <c r="I30" s="721"/>
      <c r="J30" s="721"/>
      <c r="K30" s="721"/>
      <c r="L30" s="722"/>
    </row>
    <row r="31" spans="1:14" ht="13.5" thickBot="1">
      <c r="A31" s="25"/>
      <c r="B31" s="797" t="s">
        <v>65</v>
      </c>
      <c r="C31" s="798"/>
      <c r="D31" s="798"/>
      <c r="E31" s="798"/>
      <c r="F31" s="798"/>
      <c r="G31" s="798"/>
      <c r="H31" s="798"/>
      <c r="I31" s="798"/>
      <c r="J31" s="798"/>
      <c r="K31" s="798"/>
      <c r="L31" s="799"/>
      <c r="N31" s="178"/>
    </row>
    <row r="32" spans="1:12" ht="12.75">
      <c r="A32" s="737" t="s">
        <v>722</v>
      </c>
      <c r="B32" s="400"/>
      <c r="C32" s="401">
        <v>0.333</v>
      </c>
      <c r="D32" s="30">
        <v>0.34</v>
      </c>
      <c r="E32" s="30">
        <v>0.36</v>
      </c>
      <c r="F32" s="30">
        <v>0.38</v>
      </c>
      <c r="G32" s="30">
        <v>0.4</v>
      </c>
      <c r="H32" s="30">
        <v>0.42</v>
      </c>
      <c r="I32" s="30">
        <v>0.44</v>
      </c>
      <c r="J32" s="30">
        <v>0.46</v>
      </c>
      <c r="K32" s="30">
        <v>0.48</v>
      </c>
      <c r="L32" s="31">
        <v>0.5</v>
      </c>
    </row>
    <row r="33" spans="1:12" ht="12.75">
      <c r="A33" s="718"/>
      <c r="B33" s="92">
        <v>0</v>
      </c>
      <c r="C33" s="161">
        <v>0.36418</v>
      </c>
      <c r="D33" s="161">
        <v>0.37194</v>
      </c>
      <c r="E33" s="161">
        <v>0.38597</v>
      </c>
      <c r="F33" s="161">
        <v>0.39701</v>
      </c>
      <c r="G33" s="161">
        <v>0.40776</v>
      </c>
      <c r="H33" s="161">
        <v>0.41806</v>
      </c>
      <c r="I33" s="161">
        <v>0.42806</v>
      </c>
      <c r="J33" s="161">
        <v>0.43806</v>
      </c>
      <c r="K33" s="161">
        <v>0.44896</v>
      </c>
      <c r="L33" s="160">
        <v>0.45836</v>
      </c>
    </row>
    <row r="34" spans="1:12" ht="12.75">
      <c r="A34" s="718"/>
      <c r="B34" s="92">
        <v>2</v>
      </c>
      <c r="C34" s="161">
        <v>0.36791</v>
      </c>
      <c r="D34" s="161">
        <v>0.37701</v>
      </c>
      <c r="E34" s="161">
        <v>0.39299</v>
      </c>
      <c r="F34" s="161">
        <v>0.40507</v>
      </c>
      <c r="G34" s="161">
        <v>0.41597</v>
      </c>
      <c r="H34" s="161">
        <v>0.42582</v>
      </c>
      <c r="I34" s="161">
        <v>0.43507</v>
      </c>
      <c r="J34" s="161">
        <v>0.44463</v>
      </c>
      <c r="K34" s="161">
        <v>0.45403</v>
      </c>
      <c r="L34" s="160">
        <v>0.46299</v>
      </c>
    </row>
    <row r="35" spans="1:14" ht="12.75">
      <c r="A35" s="718"/>
      <c r="B35" s="92">
        <v>4</v>
      </c>
      <c r="C35" s="161">
        <v>0.37164</v>
      </c>
      <c r="D35" s="161">
        <v>0.38224</v>
      </c>
      <c r="E35" s="161">
        <v>0.39985</v>
      </c>
      <c r="F35" s="161">
        <v>0.41194</v>
      </c>
      <c r="G35" s="161">
        <v>0.42299</v>
      </c>
      <c r="H35" s="161">
        <v>0.43254</v>
      </c>
      <c r="I35" s="161">
        <v>0.44194</v>
      </c>
      <c r="J35" s="161">
        <v>0.45104</v>
      </c>
      <c r="K35" s="161">
        <v>0.4594</v>
      </c>
      <c r="L35" s="160">
        <v>0.46806</v>
      </c>
      <c r="N35" s="178"/>
    </row>
    <row r="36" spans="1:12" ht="13.5" thickBot="1">
      <c r="A36" s="719"/>
      <c r="B36" s="93">
        <v>6</v>
      </c>
      <c r="C36" s="398">
        <v>0.37522</v>
      </c>
      <c r="D36" s="398">
        <v>0.38687</v>
      </c>
      <c r="E36" s="398">
        <v>0.40448</v>
      </c>
      <c r="F36" s="398">
        <v>0.41746</v>
      </c>
      <c r="G36" s="398">
        <v>0.42851</v>
      </c>
      <c r="H36" s="398">
        <v>0.4391</v>
      </c>
      <c r="I36" s="398">
        <v>0.44866</v>
      </c>
      <c r="J36" s="398">
        <v>0.45791</v>
      </c>
      <c r="K36" s="398">
        <v>0.46716</v>
      </c>
      <c r="L36" s="394">
        <v>0.47612</v>
      </c>
    </row>
    <row r="37" spans="1:12" ht="13.5" thickBot="1">
      <c r="A37" s="643"/>
      <c r="B37" s="688"/>
      <c r="C37" s="644"/>
      <c r="D37" s="598"/>
      <c r="E37" s="599"/>
      <c r="F37" s="599"/>
      <c r="G37" s="599"/>
      <c r="H37" s="599"/>
      <c r="I37" s="599"/>
      <c r="J37" s="599"/>
      <c r="K37" s="599"/>
      <c r="L37" s="600"/>
    </row>
    <row r="38" spans="1:12" ht="13.5" thickBot="1">
      <c r="A38" s="203"/>
      <c r="B38" s="802" t="s">
        <v>704</v>
      </c>
      <c r="C38" s="799"/>
      <c r="D38" s="601"/>
      <c r="E38" s="602"/>
      <c r="F38" s="602"/>
      <c r="G38" s="602"/>
      <c r="H38" s="602"/>
      <c r="I38" s="602"/>
      <c r="J38" s="602"/>
      <c r="K38" s="602"/>
      <c r="L38" s="603"/>
    </row>
    <row r="39" spans="1:12" ht="12.75">
      <c r="A39" s="159">
        <v>1.5</v>
      </c>
      <c r="B39" s="803" t="e">
        <f>DITP('Coeficientes de Flapes e Slats'!$C$15,'Coeficientes Longitudinais'!$C$10,'ESDU 83040'!$B$4:$L$8)</f>
        <v>#NAME?</v>
      </c>
      <c r="C39" s="804"/>
      <c r="D39" s="601"/>
      <c r="E39" s="602"/>
      <c r="F39" s="602"/>
      <c r="G39" s="602"/>
      <c r="H39" s="602"/>
      <c r="I39" s="602"/>
      <c r="J39" s="602"/>
      <c r="K39" s="602"/>
      <c r="L39" s="603"/>
    </row>
    <row r="40" spans="1:12" ht="12.75">
      <c r="A40" s="159">
        <v>3</v>
      </c>
      <c r="B40" s="803" t="e">
        <f>DITP('Coeficientes de Flapes e Slats'!$C$15,'Coeficientes Longitudinais'!$C$10,'ESDU 83040'!$B$11:$L$15)</f>
        <v>#NAME?</v>
      </c>
      <c r="C40" s="804"/>
      <c r="D40" s="601"/>
      <c r="E40" s="602"/>
      <c r="F40" s="602"/>
      <c r="G40" s="602"/>
      <c r="H40" s="602"/>
      <c r="I40" s="602"/>
      <c r="J40" s="602"/>
      <c r="K40" s="602"/>
      <c r="L40" s="603"/>
    </row>
    <row r="41" spans="1:12" ht="12.75">
      <c r="A41" s="159">
        <v>5</v>
      </c>
      <c r="B41" s="803" t="e">
        <f>DITP('Coeficientes de Flapes e Slats'!$C$15,'Coeficientes Longitudinais'!$C$10,'ESDU 83040'!$B$18:$L$22)</f>
        <v>#NAME?</v>
      </c>
      <c r="C41" s="804"/>
      <c r="D41" s="601"/>
      <c r="E41" s="602"/>
      <c r="F41" s="602"/>
      <c r="G41" s="602"/>
      <c r="H41" s="602"/>
      <c r="I41" s="602"/>
      <c r="J41" s="602"/>
      <c r="K41" s="602"/>
      <c r="L41" s="603"/>
    </row>
    <row r="42" spans="1:12" ht="12.75">
      <c r="A42" s="159">
        <v>8</v>
      </c>
      <c r="B42" s="803" t="e">
        <f>DITP('Coeficientes de Flapes e Slats'!$C$15,'Coeficientes Longitudinais'!$C$10,'ESDU 83040'!$B$25:$L$29)</f>
        <v>#NAME?</v>
      </c>
      <c r="C42" s="804"/>
      <c r="D42" s="601"/>
      <c r="E42" s="602"/>
      <c r="F42" s="602"/>
      <c r="G42" s="602"/>
      <c r="H42" s="602"/>
      <c r="I42" s="602"/>
      <c r="J42" s="602"/>
      <c r="K42" s="602"/>
      <c r="L42" s="603"/>
    </row>
    <row r="43" spans="1:12" ht="13.5" thickBot="1">
      <c r="A43" s="365">
        <v>12</v>
      </c>
      <c r="B43" s="800" t="e">
        <f>DITP('Coeficientes de Flapes e Slats'!$C$15,'Coeficientes Longitudinais'!$C$10,'ESDU 83040'!$B$32:$L$36)</f>
        <v>#NAME?</v>
      </c>
      <c r="C43" s="801"/>
      <c r="D43" s="604"/>
      <c r="E43" s="605"/>
      <c r="F43" s="605"/>
      <c r="G43" s="605"/>
      <c r="H43" s="605"/>
      <c r="I43" s="605"/>
      <c r="J43" s="605"/>
      <c r="K43" s="605"/>
      <c r="L43" s="606"/>
    </row>
    <row r="44" spans="9:10" ht="12.75">
      <c r="I44" s="178"/>
      <c r="J44" s="178"/>
    </row>
    <row r="45" spans="9:10" ht="12.75">
      <c r="I45" s="178"/>
      <c r="J45" s="178"/>
    </row>
    <row r="46" spans="9:10" ht="12.75">
      <c r="I46" s="178"/>
      <c r="J46" s="178"/>
    </row>
    <row r="47" spans="9:10" ht="12.75">
      <c r="I47" s="178"/>
      <c r="J47" s="178"/>
    </row>
    <row r="48" spans="9:10" ht="12.75">
      <c r="I48" s="178"/>
      <c r="J48" s="178"/>
    </row>
    <row r="49" spans="9:10" ht="12.75">
      <c r="I49" s="178"/>
      <c r="J49" s="178"/>
    </row>
    <row r="50" spans="9:10" ht="12.75">
      <c r="I50" s="178"/>
      <c r="J50" s="178"/>
    </row>
    <row r="51" spans="9:10" ht="12.75">
      <c r="I51" s="178"/>
      <c r="J51" s="178"/>
    </row>
    <row r="52" spans="9:10" ht="12.75">
      <c r="I52" s="178"/>
      <c r="J52" s="178"/>
    </row>
    <row r="53" ht="12.75">
      <c r="J53" s="178"/>
    </row>
  </sheetData>
  <sheetProtection/>
  <mergeCells count="24">
    <mergeCell ref="B43:C43"/>
    <mergeCell ref="B38:C38"/>
    <mergeCell ref="A37:C37"/>
    <mergeCell ref="D37:L43"/>
    <mergeCell ref="B39:C39"/>
    <mergeCell ref="B40:C40"/>
    <mergeCell ref="B41:C41"/>
    <mergeCell ref="B42:C42"/>
    <mergeCell ref="A32:A36"/>
    <mergeCell ref="A11:A15"/>
    <mergeCell ref="A18:A22"/>
    <mergeCell ref="A25:A29"/>
    <mergeCell ref="A16:L16"/>
    <mergeCell ref="A23:L23"/>
    <mergeCell ref="A30:L30"/>
    <mergeCell ref="B31:L31"/>
    <mergeCell ref="B10:L10"/>
    <mergeCell ref="B17:L17"/>
    <mergeCell ref="B24:L24"/>
    <mergeCell ref="A1:L1"/>
    <mergeCell ref="A2:L2"/>
    <mergeCell ref="A9:L9"/>
    <mergeCell ref="A4:A8"/>
    <mergeCell ref="B3:L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Plan36">
    <tabColor indexed="62"/>
  </sheetPr>
  <dimension ref="B2:D16"/>
  <sheetViews>
    <sheetView zoomScalePageLayoutView="0" workbookViewId="0" topLeftCell="A1">
      <selection activeCell="H39" sqref="H39"/>
    </sheetView>
  </sheetViews>
  <sheetFormatPr defaultColWidth="9.140625" defaultRowHeight="12.75"/>
  <cols>
    <col min="1" max="1" width="2.00390625" style="152" bestFit="1" customWidth="1"/>
    <col min="2" max="2" width="9.140625" style="152" customWidth="1"/>
    <col min="3" max="3" width="16.140625" style="152" customWidth="1"/>
    <col min="4" max="4" width="10.8515625" style="152" customWidth="1"/>
    <col min="5" max="16384" width="9.140625" style="152" customWidth="1"/>
  </cols>
  <sheetData>
    <row r="1" ht="13.5" thickBot="1"/>
    <row r="2" spans="2:4" ht="13.5" thickBot="1">
      <c r="B2" s="632" t="s">
        <v>976</v>
      </c>
      <c r="C2" s="633"/>
      <c r="D2" s="634"/>
    </row>
    <row r="3" spans="2:4" ht="13.5" thickBot="1">
      <c r="B3" s="628" t="s">
        <v>746</v>
      </c>
      <c r="C3" s="629"/>
      <c r="D3" s="715"/>
    </row>
    <row r="4" spans="2:4" ht="12.75">
      <c r="B4" s="34" t="s">
        <v>6</v>
      </c>
      <c r="C4" s="717" t="s">
        <v>977</v>
      </c>
      <c r="D4" s="712"/>
    </row>
    <row r="5" spans="2:4" ht="12.75">
      <c r="B5" s="92">
        <v>0</v>
      </c>
      <c r="C5" s="422">
        <v>0.7</v>
      </c>
      <c r="D5" s="421"/>
    </row>
    <row r="6" spans="2:4" ht="12.75">
      <c r="B6" s="92">
        <v>4</v>
      </c>
      <c r="C6" s="196">
        <v>0.7</v>
      </c>
      <c r="D6" s="197"/>
    </row>
    <row r="7" spans="2:4" ht="12.75">
      <c r="B7" s="92">
        <v>6</v>
      </c>
      <c r="C7" s="196">
        <v>0.7</v>
      </c>
      <c r="D7" s="197"/>
    </row>
    <row r="8" spans="2:4" ht="12.75">
      <c r="B8" s="92">
        <v>6.5</v>
      </c>
      <c r="C8" s="196">
        <v>0.705</v>
      </c>
      <c r="D8" s="197"/>
    </row>
    <row r="9" spans="2:4" ht="12.75">
      <c r="B9" s="92">
        <v>7</v>
      </c>
      <c r="C9" s="196">
        <v>0.717</v>
      </c>
      <c r="D9" s="197"/>
    </row>
    <row r="10" spans="2:4" ht="12.75">
      <c r="B10" s="92">
        <v>7.5</v>
      </c>
      <c r="C10" s="196">
        <v>0.756</v>
      </c>
      <c r="D10" s="197"/>
    </row>
    <row r="11" spans="2:4" ht="12.75">
      <c r="B11" s="92">
        <v>8</v>
      </c>
      <c r="C11" s="196">
        <v>0.8</v>
      </c>
      <c r="D11" s="197"/>
    </row>
    <row r="12" spans="2:4" ht="12.75">
      <c r="B12" s="92">
        <v>8.5</v>
      </c>
      <c r="C12" s="196">
        <v>0.848</v>
      </c>
      <c r="D12" s="197"/>
    </row>
    <row r="13" spans="2:4" ht="12.75">
      <c r="B13" s="92">
        <v>9</v>
      </c>
      <c r="C13" s="196">
        <v>0.88</v>
      </c>
      <c r="D13" s="197"/>
    </row>
    <row r="14" spans="2:4" ht="12.75">
      <c r="B14" s="92">
        <v>9.5</v>
      </c>
      <c r="C14" s="196">
        <v>0.896</v>
      </c>
      <c r="D14" s="197"/>
    </row>
    <row r="15" spans="2:4" ht="12.75">
      <c r="B15" s="92">
        <v>10</v>
      </c>
      <c r="C15" s="196">
        <v>0.9</v>
      </c>
      <c r="D15" s="197"/>
    </row>
    <row r="16" spans="2:4" ht="13.5" thickBot="1">
      <c r="B16" s="93">
        <v>11</v>
      </c>
      <c r="C16" s="198">
        <v>0.9</v>
      </c>
      <c r="D16" s="199"/>
    </row>
  </sheetData>
  <sheetProtection/>
  <mergeCells count="3">
    <mergeCell ref="B2:D2"/>
    <mergeCell ref="C4:D4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Plan8"/>
  <dimension ref="A1:K58"/>
  <sheetViews>
    <sheetView zoomScale="75" zoomScaleNormal="75" zoomScalePageLayoutView="0" workbookViewId="0" topLeftCell="A20">
      <selection activeCell="I11" sqref="I11:J23"/>
    </sheetView>
  </sheetViews>
  <sheetFormatPr defaultColWidth="9.140625" defaultRowHeight="12.75"/>
  <cols>
    <col min="1" max="1" width="10.28125" style="18" customWidth="1"/>
    <col min="2" max="16384" width="9.140625" style="18" customWidth="1"/>
  </cols>
  <sheetData>
    <row r="1" spans="1:11" ht="13.5" thickBot="1">
      <c r="A1" s="632" t="s">
        <v>235</v>
      </c>
      <c r="B1" s="633"/>
      <c r="C1" s="633"/>
      <c r="D1" s="633"/>
      <c r="E1" s="633"/>
      <c r="F1" s="633"/>
      <c r="G1" s="633"/>
      <c r="H1" s="633"/>
      <c r="I1" s="633"/>
      <c r="J1" s="633"/>
      <c r="K1" s="634"/>
    </row>
    <row r="2" spans="1:11" ht="13.5" thickBot="1">
      <c r="A2" s="777" t="s">
        <v>236</v>
      </c>
      <c r="B2" s="778"/>
      <c r="C2" s="778"/>
      <c r="D2" s="778"/>
      <c r="E2" s="778"/>
      <c r="F2" s="778"/>
      <c r="G2" s="778"/>
      <c r="H2" s="778"/>
      <c r="I2" s="778"/>
      <c r="J2" s="778"/>
      <c r="K2" s="780"/>
    </row>
    <row r="3" spans="1:11" ht="13.5" thickBot="1">
      <c r="A3" s="53" t="s">
        <v>86</v>
      </c>
      <c r="B3" s="808" t="s">
        <v>112</v>
      </c>
      <c r="C3" s="808"/>
      <c r="D3" s="808"/>
      <c r="E3" s="808"/>
      <c r="F3" s="808"/>
      <c r="G3" s="808"/>
      <c r="H3" s="808"/>
      <c r="I3" s="808"/>
      <c r="J3" s="808"/>
      <c r="K3" s="809"/>
    </row>
    <row r="4" spans="1:11" ht="12.75">
      <c r="A4" s="806" t="s">
        <v>113</v>
      </c>
      <c r="B4" s="34"/>
      <c r="C4" s="30">
        <v>0.5</v>
      </c>
      <c r="D4" s="30">
        <v>1</v>
      </c>
      <c r="E4" s="30">
        <v>1.5</v>
      </c>
      <c r="F4" s="30">
        <v>2</v>
      </c>
      <c r="G4" s="30">
        <v>2.5</v>
      </c>
      <c r="H4" s="30">
        <v>3</v>
      </c>
      <c r="I4" s="30">
        <v>3.5</v>
      </c>
      <c r="J4" s="30">
        <v>4</v>
      </c>
      <c r="K4" s="31">
        <v>5</v>
      </c>
    </row>
    <row r="5" spans="1:11" ht="12.75">
      <c r="A5" s="806"/>
      <c r="B5" s="35">
        <v>1</v>
      </c>
      <c r="C5" s="20">
        <v>1.2447</v>
      </c>
      <c r="D5" s="20">
        <v>2.0855</v>
      </c>
      <c r="E5" s="20">
        <v>3.0261</v>
      </c>
      <c r="F5" s="20">
        <v>3.924</v>
      </c>
      <c r="G5" s="20">
        <v>4.7791</v>
      </c>
      <c r="H5" s="20">
        <v>5.7482</v>
      </c>
      <c r="I5" s="20">
        <v>6.6603</v>
      </c>
      <c r="J5" s="20">
        <v>7.6295</v>
      </c>
      <c r="K5" s="21">
        <v>7.6295</v>
      </c>
    </row>
    <row r="6" spans="1:11" ht="12.75">
      <c r="A6" s="806"/>
      <c r="B6" s="35">
        <v>2</v>
      </c>
      <c r="C6" s="20">
        <v>1.5154</v>
      </c>
      <c r="D6" s="20">
        <v>2.2993</v>
      </c>
      <c r="E6" s="20">
        <v>3.2257</v>
      </c>
      <c r="F6" s="20">
        <v>4.1378</v>
      </c>
      <c r="G6" s="20">
        <v>5.0356</v>
      </c>
      <c r="H6" s="20">
        <v>5.9762</v>
      </c>
      <c r="I6" s="20">
        <v>6.8741</v>
      </c>
      <c r="J6" s="20">
        <v>7.7862</v>
      </c>
      <c r="K6" s="21">
        <v>7.7862</v>
      </c>
    </row>
    <row r="7" spans="1:11" ht="12.75">
      <c r="A7" s="806"/>
      <c r="B7" s="35">
        <v>3</v>
      </c>
      <c r="C7" s="20">
        <v>1.9572</v>
      </c>
      <c r="D7" s="20">
        <v>2.6841</v>
      </c>
      <c r="E7" s="20">
        <v>3.5534</v>
      </c>
      <c r="F7" s="20">
        <v>4.4513</v>
      </c>
      <c r="G7" s="20">
        <v>5.2922</v>
      </c>
      <c r="H7" s="20">
        <v>6.2043</v>
      </c>
      <c r="I7" s="20">
        <v>7.0594</v>
      </c>
      <c r="J7" s="20">
        <v>7.9287</v>
      </c>
      <c r="K7" s="21">
        <v>7.9287</v>
      </c>
    </row>
    <row r="8" spans="1:11" ht="12.75">
      <c r="A8" s="806"/>
      <c r="B8" s="35">
        <v>4</v>
      </c>
      <c r="C8" s="20">
        <v>2.4988</v>
      </c>
      <c r="D8" s="20">
        <v>3.1829</v>
      </c>
      <c r="E8" s="20">
        <v>3.9382</v>
      </c>
      <c r="F8" s="20">
        <v>4.7791</v>
      </c>
      <c r="G8" s="20">
        <v>5.5914</v>
      </c>
      <c r="H8" s="20">
        <v>6.4466</v>
      </c>
      <c r="I8" s="20">
        <v>7.2447</v>
      </c>
      <c r="J8" s="20">
        <v>8.0855</v>
      </c>
      <c r="K8" s="21">
        <v>8.0855</v>
      </c>
    </row>
    <row r="9" spans="1:11" ht="13.5" thickBot="1">
      <c r="A9" s="807"/>
      <c r="B9" s="36">
        <v>5</v>
      </c>
      <c r="C9" s="22">
        <v>3.0974</v>
      </c>
      <c r="D9" s="22">
        <v>3.6532</v>
      </c>
      <c r="E9" s="22">
        <v>4.3515</v>
      </c>
      <c r="F9" s="22">
        <v>5.0784</v>
      </c>
      <c r="G9" s="22">
        <v>5.8907</v>
      </c>
      <c r="H9" s="22">
        <v>6.6746</v>
      </c>
      <c r="I9" s="22">
        <v>7.4157</v>
      </c>
      <c r="J9" s="22">
        <v>8.228</v>
      </c>
      <c r="K9" s="23">
        <v>8.228</v>
      </c>
    </row>
    <row r="10" spans="1:11" ht="28.5" customHeight="1" thickBot="1">
      <c r="A10" s="814" t="s">
        <v>237</v>
      </c>
      <c r="B10" s="815"/>
      <c r="C10" s="816"/>
      <c r="D10" s="598"/>
      <c r="E10" s="599"/>
      <c r="F10" s="599"/>
      <c r="G10" s="599"/>
      <c r="H10" s="599"/>
      <c r="I10" s="599"/>
      <c r="J10" s="599"/>
      <c r="K10" s="600"/>
    </row>
    <row r="11" spans="1:11" ht="13.5" thickBot="1">
      <c r="A11" s="54"/>
      <c r="B11" s="85"/>
      <c r="C11" s="16" t="s">
        <v>115</v>
      </c>
      <c r="D11" s="601"/>
      <c r="E11" s="602"/>
      <c r="F11" s="602"/>
      <c r="G11" s="602"/>
      <c r="H11" s="602"/>
      <c r="I11" s="602"/>
      <c r="J11" s="602"/>
      <c r="K11" s="603"/>
    </row>
    <row r="12" spans="1:11" ht="12.75">
      <c r="A12" s="806" t="s">
        <v>114</v>
      </c>
      <c r="B12" s="92">
        <v>0.19974</v>
      </c>
      <c r="C12" s="26">
        <v>1.4207</v>
      </c>
      <c r="D12" s="601"/>
      <c r="E12" s="602"/>
      <c r="F12" s="602"/>
      <c r="G12" s="602"/>
      <c r="H12" s="602"/>
      <c r="I12" s="602"/>
      <c r="J12" s="602"/>
      <c r="K12" s="603"/>
    </row>
    <row r="13" spans="1:11" ht="12.75">
      <c r="A13" s="806"/>
      <c r="B13" s="92">
        <v>0.39947</v>
      </c>
      <c r="C13" s="26">
        <v>1.2392</v>
      </c>
      <c r="D13" s="601"/>
      <c r="E13" s="602"/>
      <c r="F13" s="602"/>
      <c r="G13" s="602"/>
      <c r="H13" s="602"/>
      <c r="I13" s="602"/>
      <c r="J13" s="602"/>
      <c r="K13" s="603"/>
    </row>
    <row r="14" spans="1:11" ht="12.75">
      <c r="A14" s="806"/>
      <c r="B14" s="92">
        <v>0.59921</v>
      </c>
      <c r="C14" s="26">
        <v>1.081</v>
      </c>
      <c r="D14" s="601"/>
      <c r="E14" s="602"/>
      <c r="F14" s="602"/>
      <c r="G14" s="602"/>
      <c r="H14" s="602"/>
      <c r="I14" s="602"/>
      <c r="J14" s="602"/>
      <c r="K14" s="603"/>
    </row>
    <row r="15" spans="1:11" ht="12.75">
      <c r="A15" s="806"/>
      <c r="B15" s="92">
        <v>0.79895</v>
      </c>
      <c r="C15" s="26">
        <v>0.93966</v>
      </c>
      <c r="D15" s="601"/>
      <c r="E15" s="602"/>
      <c r="F15" s="602"/>
      <c r="G15" s="602"/>
      <c r="H15" s="602"/>
      <c r="I15" s="602"/>
      <c r="J15" s="602"/>
      <c r="K15" s="603"/>
    </row>
    <row r="16" spans="1:11" ht="12.75">
      <c r="A16" s="806"/>
      <c r="B16" s="92">
        <v>0.99869</v>
      </c>
      <c r="C16" s="26">
        <v>0.82574</v>
      </c>
      <c r="D16" s="601"/>
      <c r="E16" s="602"/>
      <c r="F16" s="602"/>
      <c r="G16" s="602"/>
      <c r="H16" s="602"/>
      <c r="I16" s="602"/>
      <c r="J16" s="602"/>
      <c r="K16" s="603"/>
    </row>
    <row r="17" spans="1:11" ht="12.75">
      <c r="A17" s="806"/>
      <c r="B17" s="92">
        <v>1.1984</v>
      </c>
      <c r="C17" s="26">
        <v>0.74979</v>
      </c>
      <c r="D17" s="601"/>
      <c r="E17" s="602"/>
      <c r="F17" s="602"/>
      <c r="G17" s="602"/>
      <c r="H17" s="602"/>
      <c r="I17" s="602"/>
      <c r="J17" s="602"/>
      <c r="K17" s="603"/>
    </row>
    <row r="18" spans="1:11" ht="12.75">
      <c r="A18" s="806"/>
      <c r="B18" s="92">
        <v>1.3982</v>
      </c>
      <c r="C18" s="26">
        <v>0.69916</v>
      </c>
      <c r="D18" s="601"/>
      <c r="E18" s="602"/>
      <c r="F18" s="602"/>
      <c r="G18" s="602"/>
      <c r="H18" s="602"/>
      <c r="I18" s="602"/>
      <c r="J18" s="602"/>
      <c r="K18" s="603"/>
    </row>
    <row r="19" spans="1:11" ht="13.5" thickBot="1">
      <c r="A19" s="807"/>
      <c r="B19" s="93">
        <v>1.5979</v>
      </c>
      <c r="C19" s="26">
        <v>0.69072</v>
      </c>
      <c r="D19" s="604"/>
      <c r="E19" s="605"/>
      <c r="F19" s="605"/>
      <c r="G19" s="605"/>
      <c r="H19" s="602"/>
      <c r="I19" s="602"/>
      <c r="J19" s="602"/>
      <c r="K19" s="603"/>
    </row>
    <row r="20" spans="1:11" ht="13.5" thickBot="1">
      <c r="A20" s="731" t="s">
        <v>239</v>
      </c>
      <c r="B20" s="810"/>
      <c r="C20" s="810"/>
      <c r="D20" s="810"/>
      <c r="E20" s="810"/>
      <c r="F20" s="810"/>
      <c r="G20" s="811"/>
      <c r="H20" s="602"/>
      <c r="I20" s="602"/>
      <c r="J20" s="602"/>
      <c r="K20" s="603"/>
    </row>
    <row r="21" spans="1:11" ht="13.5" thickBot="1">
      <c r="A21" s="53" t="s">
        <v>40</v>
      </c>
      <c r="B21" s="629" t="s">
        <v>118</v>
      </c>
      <c r="C21" s="629"/>
      <c r="D21" s="629"/>
      <c r="E21" s="629"/>
      <c r="F21" s="629"/>
      <c r="G21" s="715"/>
      <c r="H21" s="602"/>
      <c r="I21" s="602"/>
      <c r="J21" s="602"/>
      <c r="K21" s="603"/>
    </row>
    <row r="22" spans="1:11" ht="12.75">
      <c r="A22" s="806" t="s">
        <v>117</v>
      </c>
      <c r="B22" s="34"/>
      <c r="C22" s="30">
        <v>0</v>
      </c>
      <c r="D22" s="30">
        <v>2</v>
      </c>
      <c r="E22" s="30">
        <v>4</v>
      </c>
      <c r="F22" s="30">
        <v>6</v>
      </c>
      <c r="G22" s="31">
        <v>8</v>
      </c>
      <c r="H22" s="602"/>
      <c r="I22" s="602"/>
      <c r="J22" s="602"/>
      <c r="K22" s="603"/>
    </row>
    <row r="23" spans="1:11" ht="12.75" customHeight="1">
      <c r="A23" s="806"/>
      <c r="B23" s="35">
        <v>0</v>
      </c>
      <c r="C23" s="33">
        <v>0.005445</v>
      </c>
      <c r="D23" s="33">
        <v>0.016126</v>
      </c>
      <c r="E23" s="33">
        <v>0.025969</v>
      </c>
      <c r="F23" s="33">
        <v>0.034555</v>
      </c>
      <c r="G23" s="26">
        <v>0.041257</v>
      </c>
      <c r="H23" s="602"/>
      <c r="I23" s="602"/>
      <c r="J23" s="602"/>
      <c r="K23" s="603"/>
    </row>
    <row r="24" spans="1:11" ht="12.75">
      <c r="A24" s="806"/>
      <c r="B24" s="35">
        <v>0.25</v>
      </c>
      <c r="C24" s="33">
        <v>0.0025131</v>
      </c>
      <c r="D24" s="33">
        <v>0.010262</v>
      </c>
      <c r="E24" s="33">
        <v>0.017382</v>
      </c>
      <c r="F24" s="33">
        <v>0.02199</v>
      </c>
      <c r="G24" s="26">
        <v>0.024503</v>
      </c>
      <c r="H24" s="602"/>
      <c r="I24" s="602"/>
      <c r="J24" s="602"/>
      <c r="K24" s="603"/>
    </row>
    <row r="25" spans="1:11" ht="12.75">
      <c r="A25" s="806"/>
      <c r="B25" s="35">
        <v>0.5</v>
      </c>
      <c r="C25" s="33">
        <v>0.0010471</v>
      </c>
      <c r="D25" s="33">
        <v>0.0058639</v>
      </c>
      <c r="E25" s="33">
        <v>0.0075393</v>
      </c>
      <c r="F25" s="33">
        <v>0.0073298</v>
      </c>
      <c r="G25" s="26">
        <v>0.0062827</v>
      </c>
      <c r="H25" s="602"/>
      <c r="I25" s="602"/>
      <c r="J25" s="602"/>
      <c r="K25" s="603"/>
    </row>
    <row r="26" spans="1:11" ht="12.75">
      <c r="A26" s="806"/>
      <c r="B26" s="35">
        <v>0.75</v>
      </c>
      <c r="C26" s="33">
        <v>0.00062827</v>
      </c>
      <c r="D26" s="33">
        <v>0.0016754</v>
      </c>
      <c r="E26" s="33">
        <v>0.0012565</v>
      </c>
      <c r="F26" s="33">
        <v>-0.0018848</v>
      </c>
      <c r="G26" s="26">
        <v>-0.0079581</v>
      </c>
      <c r="H26" s="602"/>
      <c r="I26" s="602"/>
      <c r="J26" s="602"/>
      <c r="K26" s="603"/>
    </row>
    <row r="27" spans="1:11" ht="13.5" thickBot="1">
      <c r="A27" s="807"/>
      <c r="B27" s="36">
        <v>1</v>
      </c>
      <c r="C27" s="33">
        <v>-0.0008377</v>
      </c>
      <c r="D27" s="33">
        <v>-0.0016754</v>
      </c>
      <c r="E27" s="33">
        <v>-0.011728</v>
      </c>
      <c r="F27" s="33">
        <v>-0.021361</v>
      </c>
      <c r="G27" s="26">
        <v>-0.03288</v>
      </c>
      <c r="H27" s="605"/>
      <c r="I27" s="605"/>
      <c r="J27" s="605"/>
      <c r="K27" s="606"/>
    </row>
    <row r="28" spans="1:11" ht="13.5" thickBot="1">
      <c r="A28" s="720" t="s">
        <v>240</v>
      </c>
      <c r="B28" s="721"/>
      <c r="C28" s="721"/>
      <c r="D28" s="721"/>
      <c r="E28" s="721"/>
      <c r="F28" s="721"/>
      <c r="G28" s="721"/>
      <c r="H28" s="721"/>
      <c r="I28" s="721"/>
      <c r="J28" s="721"/>
      <c r="K28" s="722"/>
    </row>
    <row r="29" spans="1:11" ht="13.5" thickBot="1">
      <c r="A29" s="53" t="s">
        <v>40</v>
      </c>
      <c r="B29" s="808" t="s">
        <v>118</v>
      </c>
      <c r="C29" s="808"/>
      <c r="D29" s="808"/>
      <c r="E29" s="808"/>
      <c r="F29" s="808"/>
      <c r="G29" s="808"/>
      <c r="H29" s="808"/>
      <c r="I29" s="808"/>
      <c r="J29" s="808"/>
      <c r="K29" s="809"/>
    </row>
    <row r="30" spans="1:11" ht="12.75">
      <c r="A30" s="806" t="s">
        <v>117</v>
      </c>
      <c r="B30" s="34"/>
      <c r="C30" s="30">
        <v>0</v>
      </c>
      <c r="D30" s="30">
        <v>1</v>
      </c>
      <c r="E30" s="30">
        <v>2</v>
      </c>
      <c r="F30" s="30">
        <v>3</v>
      </c>
      <c r="G30" s="30">
        <v>4</v>
      </c>
      <c r="H30" s="30">
        <v>5</v>
      </c>
      <c r="I30" s="30">
        <v>6</v>
      </c>
      <c r="J30" s="30">
        <v>7</v>
      </c>
      <c r="K30" s="31">
        <v>8</v>
      </c>
    </row>
    <row r="31" spans="1:11" ht="12.75">
      <c r="A31" s="806"/>
      <c r="B31" s="35">
        <v>0</v>
      </c>
      <c r="C31" s="33">
        <v>0.014849</v>
      </c>
      <c r="D31" s="33">
        <v>0.027842</v>
      </c>
      <c r="E31" s="33">
        <v>0.039211</v>
      </c>
      <c r="F31" s="33">
        <v>0.050348</v>
      </c>
      <c r="G31" s="33">
        <v>0.062181</v>
      </c>
      <c r="H31" s="33">
        <v>0.07239</v>
      </c>
      <c r="I31" s="33">
        <v>0.082367</v>
      </c>
      <c r="J31" s="33">
        <v>0.091879</v>
      </c>
      <c r="K31" s="26">
        <v>0.1</v>
      </c>
    </row>
    <row r="32" spans="1:11" ht="12.75">
      <c r="A32" s="806"/>
      <c r="B32" s="35">
        <v>0.25</v>
      </c>
      <c r="C32" s="33">
        <v>0.0099768</v>
      </c>
      <c r="D32" s="33">
        <v>0.019954</v>
      </c>
      <c r="E32" s="33">
        <v>0.030162</v>
      </c>
      <c r="F32" s="33">
        <v>0.040139</v>
      </c>
      <c r="G32" s="33">
        <v>0.04826</v>
      </c>
      <c r="H32" s="33">
        <v>0.055684</v>
      </c>
      <c r="I32" s="33">
        <v>0.063341</v>
      </c>
      <c r="J32" s="33">
        <v>0.07007</v>
      </c>
      <c r="K32" s="26">
        <v>0.076334</v>
      </c>
    </row>
    <row r="33" spans="1:11" ht="12.75">
      <c r="A33" s="806"/>
      <c r="B33" s="35">
        <v>0.5</v>
      </c>
      <c r="C33" s="33">
        <v>0.0060325</v>
      </c>
      <c r="D33" s="33">
        <v>0.013689</v>
      </c>
      <c r="E33" s="33">
        <v>0.021114</v>
      </c>
      <c r="F33" s="33">
        <v>0.029002</v>
      </c>
      <c r="G33" s="33">
        <v>0.034571</v>
      </c>
      <c r="H33" s="33">
        <v>0.040139</v>
      </c>
      <c r="I33" s="33">
        <v>0.045476</v>
      </c>
      <c r="J33" s="33">
        <v>0.04942</v>
      </c>
      <c r="K33" s="26">
        <v>0.052436</v>
      </c>
    </row>
    <row r="34" spans="1:11" ht="12.75">
      <c r="A34" s="806"/>
      <c r="B34" s="35">
        <v>0.75</v>
      </c>
      <c r="C34" s="33">
        <v>0.0034803</v>
      </c>
      <c r="D34" s="33">
        <v>0.0090487</v>
      </c>
      <c r="E34" s="33">
        <v>0.014153</v>
      </c>
      <c r="F34" s="33">
        <v>0.01949</v>
      </c>
      <c r="G34" s="33">
        <v>0.023202</v>
      </c>
      <c r="H34" s="33">
        <v>0.026218</v>
      </c>
      <c r="I34" s="33">
        <v>0.02877</v>
      </c>
      <c r="J34" s="33">
        <v>0.030394</v>
      </c>
      <c r="K34" s="26">
        <v>0.031323</v>
      </c>
    </row>
    <row r="35" spans="1:11" ht="13.5" thickBot="1">
      <c r="A35" s="807"/>
      <c r="B35" s="36">
        <v>1</v>
      </c>
      <c r="C35" s="97">
        <v>0.00092807</v>
      </c>
      <c r="D35" s="97">
        <v>0.0044084</v>
      </c>
      <c r="E35" s="97">
        <v>0.0081206</v>
      </c>
      <c r="F35" s="97">
        <v>0.011137</v>
      </c>
      <c r="G35" s="97">
        <v>0.012993</v>
      </c>
      <c r="H35" s="97">
        <v>0.014849</v>
      </c>
      <c r="I35" s="97">
        <v>0.016241</v>
      </c>
      <c r="J35" s="97">
        <v>0.017169</v>
      </c>
      <c r="K35" s="28">
        <v>0.018329</v>
      </c>
    </row>
    <row r="36" spans="1:11" ht="13.5" thickBot="1">
      <c r="A36" s="720" t="s">
        <v>241</v>
      </c>
      <c r="B36" s="721"/>
      <c r="C36" s="721"/>
      <c r="D36" s="721"/>
      <c r="E36" s="721"/>
      <c r="F36" s="721"/>
      <c r="G36" s="721"/>
      <c r="H36" s="721"/>
      <c r="I36" s="721"/>
      <c r="J36" s="721"/>
      <c r="K36" s="722"/>
    </row>
    <row r="37" spans="1:11" ht="13.5" thickBot="1">
      <c r="A37" s="53" t="s">
        <v>40</v>
      </c>
      <c r="B37" s="629" t="s">
        <v>118</v>
      </c>
      <c r="C37" s="629"/>
      <c r="D37" s="629"/>
      <c r="E37" s="629"/>
      <c r="F37" s="629"/>
      <c r="G37" s="629"/>
      <c r="H37" s="629"/>
      <c r="I37" s="629"/>
      <c r="J37" s="629"/>
      <c r="K37" s="715"/>
    </row>
    <row r="38" spans="1:11" ht="12.75">
      <c r="A38" s="806" t="s">
        <v>117</v>
      </c>
      <c r="B38" s="34"/>
      <c r="C38" s="30">
        <v>0</v>
      </c>
      <c r="D38" s="30">
        <v>1</v>
      </c>
      <c r="E38" s="30">
        <v>2</v>
      </c>
      <c r="F38" s="30">
        <v>3</v>
      </c>
      <c r="G38" s="30">
        <v>4</v>
      </c>
      <c r="H38" s="30">
        <v>5</v>
      </c>
      <c r="I38" s="30">
        <v>6</v>
      </c>
      <c r="J38" s="30">
        <v>7</v>
      </c>
      <c r="K38" s="31">
        <v>8</v>
      </c>
    </row>
    <row r="39" spans="1:11" ht="12.75">
      <c r="A39" s="806"/>
      <c r="B39" s="252">
        <v>0</v>
      </c>
      <c r="C39" s="33">
        <v>0.02792</v>
      </c>
      <c r="D39" s="33">
        <v>0.050584</v>
      </c>
      <c r="E39" s="33">
        <v>0.071934</v>
      </c>
      <c r="F39" s="33">
        <v>0.092956</v>
      </c>
      <c r="G39" s="33">
        <v>0.11201</v>
      </c>
      <c r="H39" s="33">
        <v>0.12974</v>
      </c>
      <c r="I39" s="33">
        <v>0.14748</v>
      </c>
      <c r="J39" s="33">
        <v>0.16423</v>
      </c>
      <c r="K39" s="26">
        <v>0.18</v>
      </c>
    </row>
    <row r="40" spans="1:11" ht="12.75">
      <c r="A40" s="806"/>
      <c r="B40" s="35">
        <v>0.25</v>
      </c>
      <c r="C40" s="33">
        <v>0.020036</v>
      </c>
      <c r="D40" s="33">
        <v>0.040073</v>
      </c>
      <c r="E40" s="33">
        <v>0.05781</v>
      </c>
      <c r="F40" s="33">
        <v>0.074891</v>
      </c>
      <c r="G40" s="33">
        <v>0.091642</v>
      </c>
      <c r="H40" s="33">
        <v>0.10642</v>
      </c>
      <c r="I40" s="33">
        <v>0.11989</v>
      </c>
      <c r="J40" s="33">
        <v>0.13369</v>
      </c>
      <c r="K40" s="26">
        <v>0.14288</v>
      </c>
    </row>
    <row r="41" spans="1:11" ht="12.75">
      <c r="A41" s="806"/>
      <c r="B41" s="35">
        <v>0.5</v>
      </c>
      <c r="C41" s="33">
        <v>0.012153</v>
      </c>
      <c r="D41" s="33">
        <v>0.029891</v>
      </c>
      <c r="E41" s="33">
        <v>0.044672</v>
      </c>
      <c r="F41" s="33">
        <v>0.058139</v>
      </c>
      <c r="G41" s="33">
        <v>0.071934</v>
      </c>
      <c r="H41" s="33">
        <v>0.083431</v>
      </c>
      <c r="I41" s="33">
        <v>0.093942</v>
      </c>
      <c r="J41" s="33">
        <v>0.1038</v>
      </c>
      <c r="K41" s="26">
        <v>0.11168</v>
      </c>
    </row>
    <row r="42" spans="1:11" ht="12.75">
      <c r="A42" s="806"/>
      <c r="B42" s="35">
        <v>0.75</v>
      </c>
      <c r="C42" s="33">
        <v>0.0062409</v>
      </c>
      <c r="D42" s="33">
        <v>0.020365</v>
      </c>
      <c r="E42" s="33">
        <v>0.032847</v>
      </c>
      <c r="F42" s="33">
        <v>0.043358</v>
      </c>
      <c r="G42" s="33">
        <v>0.053869</v>
      </c>
      <c r="H42" s="33">
        <v>0.062409</v>
      </c>
      <c r="I42" s="33">
        <v>0.069635</v>
      </c>
      <c r="J42" s="33">
        <v>0.076204</v>
      </c>
      <c r="K42" s="26">
        <v>0.081131</v>
      </c>
    </row>
    <row r="43" spans="1:11" ht="13.5" thickBot="1">
      <c r="A43" s="807"/>
      <c r="B43" s="36">
        <v>1</v>
      </c>
      <c r="C43" s="97">
        <v>0.0019708</v>
      </c>
      <c r="D43" s="97">
        <v>0.013139</v>
      </c>
      <c r="E43" s="97">
        <v>0.022993</v>
      </c>
      <c r="F43" s="97">
        <v>0.030876</v>
      </c>
      <c r="G43" s="97">
        <v>0.037774</v>
      </c>
      <c r="H43" s="97">
        <v>0.044343</v>
      </c>
      <c r="I43" s="97">
        <v>0.04927</v>
      </c>
      <c r="J43" s="97">
        <v>0.052883</v>
      </c>
      <c r="K43" s="28">
        <v>0.054854</v>
      </c>
    </row>
    <row r="44" spans="1:11" ht="13.5" thickBot="1">
      <c r="A44" s="643" t="s">
        <v>238</v>
      </c>
      <c r="B44" s="688"/>
      <c r="C44" s="644"/>
      <c r="D44" s="598"/>
      <c r="E44" s="599"/>
      <c r="F44" s="599"/>
      <c r="G44" s="599"/>
      <c r="H44" s="599"/>
      <c r="I44" s="599"/>
      <c r="J44" s="599"/>
      <c r="K44" s="600"/>
    </row>
    <row r="45" spans="1:11" ht="13.5" thickBot="1">
      <c r="A45" s="54"/>
      <c r="B45" s="37"/>
      <c r="C45" s="16" t="s">
        <v>40</v>
      </c>
      <c r="D45" s="601"/>
      <c r="E45" s="602"/>
      <c r="F45" s="602"/>
      <c r="G45" s="602"/>
      <c r="H45" s="602"/>
      <c r="I45" s="602"/>
      <c r="J45" s="602"/>
      <c r="K45" s="603"/>
    </row>
    <row r="46" spans="1:11" ht="12.75">
      <c r="A46" s="806" t="s">
        <v>116</v>
      </c>
      <c r="B46" s="35">
        <v>0.08</v>
      </c>
      <c r="C46" s="26" t="e">
        <f>DITP('Coeficientes Longitudinais'!$C$10,'Dados Geométricos'!$E$16,'ESDU 76015'!$B$22:$G$27)</f>
        <v>#NAME?</v>
      </c>
      <c r="D46" s="601"/>
      <c r="E46" s="602"/>
      <c r="F46" s="602"/>
      <c r="G46" s="602"/>
      <c r="H46" s="602"/>
      <c r="I46" s="602"/>
      <c r="J46" s="602"/>
      <c r="K46" s="603"/>
    </row>
    <row r="47" spans="1:11" ht="12.75">
      <c r="A47" s="806"/>
      <c r="B47" s="35">
        <v>0.12</v>
      </c>
      <c r="C47" s="26" t="e">
        <f>DITP('Coeficientes Longitudinais'!$C$10,'Dados Geométricos'!$E$16,'ESDU 76015'!$B$30:$K$35)</f>
        <v>#NAME?</v>
      </c>
      <c r="D47" s="601"/>
      <c r="E47" s="602"/>
      <c r="F47" s="602"/>
      <c r="G47" s="602"/>
      <c r="H47" s="602"/>
      <c r="I47" s="602"/>
      <c r="J47" s="602"/>
      <c r="K47" s="603"/>
    </row>
    <row r="48" spans="1:11" ht="13.5" thickBot="1">
      <c r="A48" s="807"/>
      <c r="B48" s="36">
        <v>0.16</v>
      </c>
      <c r="C48" s="26" t="e">
        <f>DITP('Coeficientes Longitudinais'!$C$10,'Dados Geométricos'!$E$16,'ESDU 76015'!$B$38:$K$43)</f>
        <v>#NAME?</v>
      </c>
      <c r="D48" s="601"/>
      <c r="E48" s="602"/>
      <c r="F48" s="602"/>
      <c r="G48" s="602"/>
      <c r="H48" s="602"/>
      <c r="I48" s="602"/>
      <c r="J48" s="602"/>
      <c r="K48" s="603"/>
    </row>
    <row r="49" spans="1:11" ht="13.5" thickBot="1">
      <c r="A49" s="720" t="s">
        <v>242</v>
      </c>
      <c r="B49" s="721"/>
      <c r="C49" s="721"/>
      <c r="D49" s="721"/>
      <c r="E49" s="721"/>
      <c r="F49" s="721"/>
      <c r="G49" s="721"/>
      <c r="H49" s="721"/>
      <c r="I49" s="721"/>
      <c r="J49" s="722"/>
      <c r="K49" s="812"/>
    </row>
    <row r="50" spans="1:11" ht="13.5" thickBot="1">
      <c r="A50" s="53" t="s">
        <v>41</v>
      </c>
      <c r="B50" s="628" t="s">
        <v>118</v>
      </c>
      <c r="C50" s="629"/>
      <c r="D50" s="629"/>
      <c r="E50" s="629"/>
      <c r="F50" s="629"/>
      <c r="G50" s="629"/>
      <c r="H50" s="629"/>
      <c r="I50" s="629"/>
      <c r="J50" s="715"/>
      <c r="K50" s="812"/>
    </row>
    <row r="51" spans="1:11" ht="12.75">
      <c r="A51" s="805" t="s">
        <v>119</v>
      </c>
      <c r="B51" s="34"/>
      <c r="C51" s="253">
        <v>0</v>
      </c>
      <c r="D51" s="254">
        <v>1</v>
      </c>
      <c r="E51" s="253">
        <v>2</v>
      </c>
      <c r="F51" s="253">
        <v>3</v>
      </c>
      <c r="G51" s="253">
        <v>4</v>
      </c>
      <c r="H51" s="253">
        <v>5</v>
      </c>
      <c r="I51" s="253">
        <v>6</v>
      </c>
      <c r="J51" s="255">
        <v>7</v>
      </c>
      <c r="K51" s="812"/>
    </row>
    <row r="52" spans="1:11" ht="12.75">
      <c r="A52" s="806"/>
      <c r="B52" s="35">
        <v>4</v>
      </c>
      <c r="C52" s="33">
        <v>0</v>
      </c>
      <c r="D52" s="33">
        <v>0.0051683</v>
      </c>
      <c r="E52" s="33">
        <v>0.010216</v>
      </c>
      <c r="F52" s="33">
        <v>0.015024</v>
      </c>
      <c r="G52" s="33">
        <v>0.01905</v>
      </c>
      <c r="H52" s="33">
        <v>0.022055</v>
      </c>
      <c r="I52" s="33">
        <v>0.024038</v>
      </c>
      <c r="J52" s="26">
        <v>0.02482</v>
      </c>
      <c r="K52" s="812"/>
    </row>
    <row r="53" spans="1:11" ht="12.75">
      <c r="A53" s="806"/>
      <c r="B53" s="35">
        <v>5</v>
      </c>
      <c r="C53" s="33">
        <v>0</v>
      </c>
      <c r="D53" s="33">
        <v>0.0038462</v>
      </c>
      <c r="E53" s="33">
        <v>0.0076923</v>
      </c>
      <c r="F53" s="33">
        <v>0.011358</v>
      </c>
      <c r="G53" s="33">
        <v>0.014303</v>
      </c>
      <c r="H53" s="33">
        <v>0.016406</v>
      </c>
      <c r="I53" s="33">
        <v>0.017488</v>
      </c>
      <c r="J53" s="26">
        <v>0.018089</v>
      </c>
      <c r="K53" s="812"/>
    </row>
    <row r="54" spans="1:11" ht="12.75">
      <c r="A54" s="806"/>
      <c r="B54" s="35">
        <v>6</v>
      </c>
      <c r="C54" s="33">
        <v>0</v>
      </c>
      <c r="D54" s="33">
        <v>0.0027043</v>
      </c>
      <c r="E54" s="33">
        <v>0.0055288</v>
      </c>
      <c r="F54" s="33">
        <v>0.008113</v>
      </c>
      <c r="G54" s="33">
        <v>0.010216</v>
      </c>
      <c r="H54" s="33">
        <v>0.011538</v>
      </c>
      <c r="I54" s="33">
        <v>0.012139</v>
      </c>
      <c r="J54" s="26">
        <v>0.01238</v>
      </c>
      <c r="K54" s="812"/>
    </row>
    <row r="55" spans="1:11" ht="12.75">
      <c r="A55" s="806"/>
      <c r="B55" s="35">
        <v>7</v>
      </c>
      <c r="C55" s="33">
        <v>0</v>
      </c>
      <c r="D55" s="33">
        <v>0.001863</v>
      </c>
      <c r="E55" s="33">
        <v>0.0036659</v>
      </c>
      <c r="F55" s="33">
        <v>0.0054087</v>
      </c>
      <c r="G55" s="33">
        <v>0.006851</v>
      </c>
      <c r="H55" s="33">
        <v>0.0076923</v>
      </c>
      <c r="I55" s="33">
        <v>0.008113</v>
      </c>
      <c r="J55" s="26">
        <v>0.008113</v>
      </c>
      <c r="K55" s="812"/>
    </row>
    <row r="56" spans="1:11" ht="12.75">
      <c r="A56" s="806"/>
      <c r="B56" s="35">
        <v>8</v>
      </c>
      <c r="C56" s="33">
        <v>0</v>
      </c>
      <c r="D56" s="33">
        <v>0.0010216</v>
      </c>
      <c r="E56" s="33">
        <v>0.0020433</v>
      </c>
      <c r="F56" s="33">
        <v>0.003125</v>
      </c>
      <c r="G56" s="33">
        <v>0.0039663</v>
      </c>
      <c r="H56" s="33">
        <v>0.0045673</v>
      </c>
      <c r="I56" s="33">
        <v>0.0048077</v>
      </c>
      <c r="J56" s="26">
        <v>0.0047476</v>
      </c>
      <c r="K56" s="812"/>
    </row>
    <row r="57" spans="1:11" ht="12.75">
      <c r="A57" s="806"/>
      <c r="B57" s="35">
        <v>9</v>
      </c>
      <c r="C57" s="33">
        <v>0</v>
      </c>
      <c r="D57" s="33">
        <v>0.00048077</v>
      </c>
      <c r="E57" s="33">
        <v>0.0010817</v>
      </c>
      <c r="F57" s="33">
        <v>0.0015625</v>
      </c>
      <c r="G57" s="33">
        <v>0.0018029</v>
      </c>
      <c r="H57" s="33">
        <v>0.0019832</v>
      </c>
      <c r="I57" s="33">
        <v>0.0021034</v>
      </c>
      <c r="J57" s="26">
        <v>0.0021635</v>
      </c>
      <c r="K57" s="812"/>
    </row>
    <row r="58" spans="1:11" ht="13.5" thickBot="1">
      <c r="A58" s="807"/>
      <c r="B58" s="36">
        <v>10</v>
      </c>
      <c r="C58" s="97">
        <v>0</v>
      </c>
      <c r="D58" s="97">
        <v>0</v>
      </c>
      <c r="E58" s="97">
        <v>0</v>
      </c>
      <c r="F58" s="97">
        <v>0</v>
      </c>
      <c r="G58" s="97">
        <v>0</v>
      </c>
      <c r="H58" s="97">
        <v>0</v>
      </c>
      <c r="I58" s="97">
        <v>0</v>
      </c>
      <c r="J58" s="28">
        <v>0</v>
      </c>
      <c r="K58" s="813"/>
    </row>
  </sheetData>
  <sheetProtection/>
  <mergeCells count="24">
    <mergeCell ref="K49:K58"/>
    <mergeCell ref="D10:G19"/>
    <mergeCell ref="H10:K27"/>
    <mergeCell ref="A10:C10"/>
    <mergeCell ref="B21:G21"/>
    <mergeCell ref="A1:K1"/>
    <mergeCell ref="B3:K3"/>
    <mergeCell ref="A4:A9"/>
    <mergeCell ref="A2:K2"/>
    <mergeCell ref="B29:K29"/>
    <mergeCell ref="A20:G20"/>
    <mergeCell ref="A22:A27"/>
    <mergeCell ref="A28:K28"/>
    <mergeCell ref="A12:A19"/>
    <mergeCell ref="A51:A58"/>
    <mergeCell ref="A30:A35"/>
    <mergeCell ref="A36:K36"/>
    <mergeCell ref="A38:A43"/>
    <mergeCell ref="B50:J50"/>
    <mergeCell ref="B37:K37"/>
    <mergeCell ref="A46:A48"/>
    <mergeCell ref="A49:J49"/>
    <mergeCell ref="A44:C44"/>
    <mergeCell ref="D44:K48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Plan20"/>
  <dimension ref="A1:K16"/>
  <sheetViews>
    <sheetView zoomScale="75" zoomScaleNormal="75" zoomScalePageLayoutView="0" workbookViewId="0" topLeftCell="A1">
      <selection activeCell="N16" sqref="N16"/>
    </sheetView>
  </sheetViews>
  <sheetFormatPr defaultColWidth="9.140625" defaultRowHeight="12.75"/>
  <cols>
    <col min="1" max="1" width="10.28125" style="18" customWidth="1"/>
    <col min="2" max="16384" width="9.140625" style="18" customWidth="1"/>
  </cols>
  <sheetData>
    <row r="1" spans="1:11" ht="13.5" thickBot="1">
      <c r="A1" s="632" t="s">
        <v>459</v>
      </c>
      <c r="B1" s="633"/>
      <c r="C1" s="633"/>
      <c r="D1" s="633"/>
      <c r="E1" s="633"/>
      <c r="F1" s="633"/>
      <c r="G1" s="633"/>
      <c r="H1" s="633"/>
      <c r="I1" s="633"/>
      <c r="J1" s="633"/>
      <c r="K1" s="634"/>
    </row>
    <row r="2" spans="1:11" ht="13.5" thickBot="1">
      <c r="A2" s="819" t="s">
        <v>453</v>
      </c>
      <c r="B2" s="779"/>
      <c r="C2" s="820"/>
      <c r="D2" s="821"/>
      <c r="E2" s="822"/>
      <c r="F2" s="822"/>
      <c r="G2" s="822"/>
      <c r="H2" s="822"/>
      <c r="I2" s="822"/>
      <c r="J2" s="822"/>
      <c r="K2" s="823"/>
    </row>
    <row r="3" spans="1:11" ht="13.5" thickBot="1">
      <c r="A3" s="32"/>
      <c r="B3" s="32"/>
      <c r="C3" s="225" t="s">
        <v>86</v>
      </c>
      <c r="D3" s="738"/>
      <c r="E3" s="739"/>
      <c r="F3" s="739"/>
      <c r="G3" s="739"/>
      <c r="H3" s="739"/>
      <c r="I3" s="739"/>
      <c r="J3" s="739"/>
      <c r="K3" s="740"/>
    </row>
    <row r="4" spans="1:11" ht="12.75" customHeight="1">
      <c r="A4" s="817" t="s">
        <v>454</v>
      </c>
      <c r="B4" s="25">
        <v>0</v>
      </c>
      <c r="C4" s="140">
        <v>1</v>
      </c>
      <c r="D4" s="738"/>
      <c r="E4" s="739"/>
      <c r="F4" s="739"/>
      <c r="G4" s="739"/>
      <c r="H4" s="739"/>
      <c r="I4" s="739"/>
      <c r="J4" s="739"/>
      <c r="K4" s="740"/>
    </row>
    <row r="5" spans="1:11" ht="12.75">
      <c r="A5" s="817"/>
      <c r="B5" s="25">
        <v>0.02</v>
      </c>
      <c r="C5" s="140">
        <v>0.94043</v>
      </c>
      <c r="D5" s="738"/>
      <c r="E5" s="739"/>
      <c r="F5" s="739"/>
      <c r="G5" s="739"/>
      <c r="H5" s="739"/>
      <c r="I5" s="739"/>
      <c r="J5" s="739"/>
      <c r="K5" s="740"/>
    </row>
    <row r="6" spans="1:11" ht="12.75">
      <c r="A6" s="817"/>
      <c r="B6" s="25">
        <v>0.04</v>
      </c>
      <c r="C6" s="140">
        <v>0.90213</v>
      </c>
      <c r="D6" s="738"/>
      <c r="E6" s="739"/>
      <c r="F6" s="739"/>
      <c r="G6" s="739"/>
      <c r="H6" s="739"/>
      <c r="I6" s="739"/>
      <c r="J6" s="739"/>
      <c r="K6" s="740"/>
    </row>
    <row r="7" spans="1:11" ht="12.75">
      <c r="A7" s="817"/>
      <c r="B7" s="25">
        <v>0.06</v>
      </c>
      <c r="C7" s="140">
        <v>0.87234</v>
      </c>
      <c r="D7" s="738"/>
      <c r="E7" s="739"/>
      <c r="F7" s="739"/>
      <c r="G7" s="739"/>
      <c r="H7" s="739"/>
      <c r="I7" s="739"/>
      <c r="J7" s="739"/>
      <c r="K7" s="740"/>
    </row>
    <row r="8" spans="1:11" ht="12.75">
      <c r="A8" s="817"/>
      <c r="B8" s="25">
        <v>0.08</v>
      </c>
      <c r="C8" s="140">
        <v>0.84397</v>
      </c>
      <c r="D8" s="738"/>
      <c r="E8" s="739"/>
      <c r="F8" s="739"/>
      <c r="G8" s="739"/>
      <c r="H8" s="739"/>
      <c r="I8" s="739"/>
      <c r="J8" s="739"/>
      <c r="K8" s="740"/>
    </row>
    <row r="9" spans="1:11" ht="12.75">
      <c r="A9" s="817"/>
      <c r="B9" s="25">
        <v>0.1</v>
      </c>
      <c r="C9" s="140">
        <v>0.81844</v>
      </c>
      <c r="D9" s="738"/>
      <c r="E9" s="739"/>
      <c r="F9" s="739"/>
      <c r="G9" s="739"/>
      <c r="H9" s="739"/>
      <c r="I9" s="739"/>
      <c r="J9" s="739"/>
      <c r="K9" s="740"/>
    </row>
    <row r="10" spans="1:11" ht="12.75">
      <c r="A10" s="817"/>
      <c r="B10" s="25">
        <v>0.12</v>
      </c>
      <c r="C10" s="140">
        <v>0.79574</v>
      </c>
      <c r="D10" s="738"/>
      <c r="E10" s="739"/>
      <c r="F10" s="739"/>
      <c r="G10" s="739"/>
      <c r="H10" s="739"/>
      <c r="I10" s="739"/>
      <c r="J10" s="739"/>
      <c r="K10" s="740"/>
    </row>
    <row r="11" spans="1:11" ht="12.75">
      <c r="A11" s="817"/>
      <c r="B11" s="25">
        <v>0.14</v>
      </c>
      <c r="C11" s="140">
        <v>0.77872</v>
      </c>
      <c r="D11" s="738"/>
      <c r="E11" s="739"/>
      <c r="F11" s="739"/>
      <c r="G11" s="739"/>
      <c r="H11" s="739"/>
      <c r="I11" s="739"/>
      <c r="J11" s="739"/>
      <c r="K11" s="740"/>
    </row>
    <row r="12" spans="1:11" ht="12.75" customHeight="1">
      <c r="A12" s="817"/>
      <c r="B12" s="25">
        <v>0.16</v>
      </c>
      <c r="C12" s="140">
        <v>0.76454</v>
      </c>
      <c r="D12" s="738"/>
      <c r="E12" s="739"/>
      <c r="F12" s="739"/>
      <c r="G12" s="739"/>
      <c r="H12" s="739"/>
      <c r="I12" s="739"/>
      <c r="J12" s="739"/>
      <c r="K12" s="740"/>
    </row>
    <row r="13" spans="1:11" ht="12.75">
      <c r="A13" s="817"/>
      <c r="B13" s="25">
        <v>0.18</v>
      </c>
      <c r="C13" s="140">
        <v>0.74894</v>
      </c>
      <c r="D13" s="738"/>
      <c r="E13" s="739"/>
      <c r="F13" s="739"/>
      <c r="G13" s="739"/>
      <c r="H13" s="739"/>
      <c r="I13" s="739"/>
      <c r="J13" s="739"/>
      <c r="K13" s="740"/>
    </row>
    <row r="14" spans="1:11" ht="12.75">
      <c r="A14" s="817"/>
      <c r="B14" s="25">
        <v>0.2</v>
      </c>
      <c r="C14" s="140">
        <v>0.73759</v>
      </c>
      <c r="D14" s="738"/>
      <c r="E14" s="739"/>
      <c r="F14" s="739"/>
      <c r="G14" s="739"/>
      <c r="H14" s="739"/>
      <c r="I14" s="739"/>
      <c r="J14" s="739"/>
      <c r="K14" s="740"/>
    </row>
    <row r="15" spans="1:11" ht="12.75">
      <c r="A15" s="817"/>
      <c r="B15" s="25">
        <v>0.22</v>
      </c>
      <c r="C15" s="140">
        <v>0.72624</v>
      </c>
      <c r="D15" s="738"/>
      <c r="E15" s="739"/>
      <c r="F15" s="739"/>
      <c r="G15" s="739"/>
      <c r="H15" s="739"/>
      <c r="I15" s="739"/>
      <c r="J15" s="739"/>
      <c r="K15" s="740"/>
    </row>
    <row r="16" spans="1:11" ht="13.5" thickBot="1">
      <c r="A16" s="818"/>
      <c r="B16" s="27">
        <v>0.24</v>
      </c>
      <c r="C16" s="142">
        <v>0.71915</v>
      </c>
      <c r="D16" s="741"/>
      <c r="E16" s="742"/>
      <c r="F16" s="742"/>
      <c r="G16" s="742"/>
      <c r="H16" s="742"/>
      <c r="I16" s="742"/>
      <c r="J16" s="742"/>
      <c r="K16" s="743"/>
    </row>
    <row r="22" ht="12.75" customHeight="1"/>
    <row r="23" ht="12.75" customHeight="1"/>
    <row r="30" ht="12.75" customHeight="1"/>
    <row r="38" ht="12.75" customHeight="1"/>
    <row r="46" ht="12.75" customHeight="1"/>
    <row r="51" ht="12.75" customHeight="1"/>
  </sheetData>
  <sheetProtection/>
  <mergeCells count="4">
    <mergeCell ref="A4:A16"/>
    <mergeCell ref="A2:C2"/>
    <mergeCell ref="D2:K16"/>
    <mergeCell ref="A1:K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Plan27"/>
  <dimension ref="A1:P90"/>
  <sheetViews>
    <sheetView zoomScale="75" zoomScaleNormal="75" zoomScalePageLayoutView="0" workbookViewId="0" topLeftCell="A1">
      <selection activeCell="I11" sqref="I11:J23"/>
    </sheetView>
  </sheetViews>
  <sheetFormatPr defaultColWidth="9.140625" defaultRowHeight="12.75"/>
  <cols>
    <col min="1" max="1" width="10.28125" style="18" customWidth="1"/>
    <col min="2" max="16384" width="9.140625" style="18" customWidth="1"/>
  </cols>
  <sheetData>
    <row r="1" spans="1:14" ht="13.5" thickBot="1">
      <c r="A1" s="632" t="s">
        <v>468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4"/>
    </row>
    <row r="2" spans="1:14" ht="13.5" thickBot="1">
      <c r="A2" s="720" t="s">
        <v>469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2"/>
      <c r="N2" s="824"/>
    </row>
    <row r="3" spans="1:14" ht="13.5" thickBot="1">
      <c r="A3" s="179"/>
      <c r="B3" s="629" t="s">
        <v>467</v>
      </c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715"/>
      <c r="N3" s="825"/>
    </row>
    <row r="4" spans="1:14" ht="12.75">
      <c r="A4" s="764" t="s">
        <v>466</v>
      </c>
      <c r="B4" s="245"/>
      <c r="C4" s="30">
        <v>0</v>
      </c>
      <c r="D4" s="30">
        <v>0.1</v>
      </c>
      <c r="E4" s="30">
        <v>0.2</v>
      </c>
      <c r="F4" s="30">
        <v>0.3</v>
      </c>
      <c r="G4" s="30">
        <v>0.4</v>
      </c>
      <c r="H4" s="30">
        <v>0.5</v>
      </c>
      <c r="I4" s="30">
        <v>0.6</v>
      </c>
      <c r="J4" s="30">
        <v>0.7</v>
      </c>
      <c r="K4" s="30">
        <v>0.8</v>
      </c>
      <c r="L4" s="30">
        <v>0.9</v>
      </c>
      <c r="M4" s="31">
        <v>1</v>
      </c>
      <c r="N4" s="825"/>
    </row>
    <row r="5" spans="1:14" ht="12.75">
      <c r="A5" s="765"/>
      <c r="B5" s="246">
        <v>0.05</v>
      </c>
      <c r="C5" s="241">
        <v>0.43315</v>
      </c>
      <c r="D5" s="241">
        <v>0.61205</v>
      </c>
      <c r="E5" s="241">
        <v>0.66855</v>
      </c>
      <c r="F5" s="241">
        <v>0.71563</v>
      </c>
      <c r="G5" s="241">
        <v>0.76271</v>
      </c>
      <c r="H5" s="241">
        <v>0.80038</v>
      </c>
      <c r="I5" s="241">
        <v>0.82863</v>
      </c>
      <c r="J5" s="241">
        <v>0.86629</v>
      </c>
      <c r="K5" s="241">
        <v>0.90395</v>
      </c>
      <c r="L5" s="241">
        <v>0.90395</v>
      </c>
      <c r="M5" s="242">
        <v>0.91337</v>
      </c>
      <c r="N5" s="825"/>
    </row>
    <row r="6" spans="1:14" ht="12.75">
      <c r="A6" s="765"/>
      <c r="B6" s="246">
        <v>0.1</v>
      </c>
      <c r="C6" s="241">
        <v>0.88512</v>
      </c>
      <c r="D6" s="241">
        <v>1.1394</v>
      </c>
      <c r="E6" s="241">
        <v>1.2524</v>
      </c>
      <c r="F6" s="241">
        <v>1.3183</v>
      </c>
      <c r="G6" s="241">
        <v>1.3748</v>
      </c>
      <c r="H6" s="241">
        <v>1.4501</v>
      </c>
      <c r="I6" s="241">
        <v>1.4972</v>
      </c>
      <c r="J6" s="241">
        <v>1.5443</v>
      </c>
      <c r="K6" s="241">
        <v>1.5913</v>
      </c>
      <c r="L6" s="241">
        <v>1.6196</v>
      </c>
      <c r="M6" s="242">
        <v>1.6478</v>
      </c>
      <c r="N6" s="825"/>
    </row>
    <row r="7" spans="1:14" ht="12.75" customHeight="1">
      <c r="A7" s="765"/>
      <c r="B7" s="246">
        <v>0.15</v>
      </c>
      <c r="C7" s="241">
        <v>1.2994</v>
      </c>
      <c r="D7" s="241">
        <v>1.6102</v>
      </c>
      <c r="E7" s="241">
        <v>1.7232</v>
      </c>
      <c r="F7" s="241">
        <v>1.8267</v>
      </c>
      <c r="G7" s="241">
        <v>1.9115</v>
      </c>
      <c r="H7" s="241">
        <v>1.9962</v>
      </c>
      <c r="I7" s="241">
        <v>2.0527</v>
      </c>
      <c r="J7" s="241">
        <v>2.1186</v>
      </c>
      <c r="K7" s="241">
        <v>2.1751</v>
      </c>
      <c r="L7" s="241">
        <v>2.2222</v>
      </c>
      <c r="M7" s="242">
        <v>2.2505</v>
      </c>
      <c r="N7" s="825"/>
    </row>
    <row r="8" spans="1:14" ht="12.75" customHeight="1">
      <c r="A8" s="765"/>
      <c r="B8" s="246">
        <v>0.2</v>
      </c>
      <c r="C8" s="241">
        <v>1.629</v>
      </c>
      <c r="D8" s="241">
        <v>1.9962</v>
      </c>
      <c r="E8" s="241">
        <v>2.1657</v>
      </c>
      <c r="F8" s="241">
        <v>2.307</v>
      </c>
      <c r="G8" s="241">
        <v>2.4105</v>
      </c>
      <c r="H8" s="241">
        <v>2.5141</v>
      </c>
      <c r="I8" s="241">
        <v>2.5989</v>
      </c>
      <c r="J8" s="241">
        <v>2.693</v>
      </c>
      <c r="K8" s="241">
        <v>2.7495</v>
      </c>
      <c r="L8" s="241">
        <v>2.8154</v>
      </c>
      <c r="M8" s="242">
        <v>2.9002</v>
      </c>
      <c r="N8" s="825"/>
    </row>
    <row r="9" spans="1:14" ht="12.75">
      <c r="A9" s="765"/>
      <c r="B9" s="246">
        <v>0.25</v>
      </c>
      <c r="C9" s="241">
        <v>1.9209</v>
      </c>
      <c r="D9" s="241">
        <v>2.3823</v>
      </c>
      <c r="E9" s="241">
        <v>2.5706</v>
      </c>
      <c r="F9" s="241">
        <v>2.7119</v>
      </c>
      <c r="G9" s="241">
        <v>2.8531</v>
      </c>
      <c r="H9" s="241">
        <v>2.9661</v>
      </c>
      <c r="I9" s="241">
        <v>3.0979</v>
      </c>
      <c r="J9" s="241">
        <v>3.1921</v>
      </c>
      <c r="K9" s="241">
        <v>3.2768</v>
      </c>
      <c r="L9" s="241">
        <v>3.3522</v>
      </c>
      <c r="M9" s="242">
        <v>3.4275</v>
      </c>
      <c r="N9" s="825"/>
    </row>
    <row r="10" spans="1:14" ht="12.75">
      <c r="A10" s="765"/>
      <c r="B10" s="246">
        <v>0.3</v>
      </c>
      <c r="C10" s="241">
        <v>2.1657</v>
      </c>
      <c r="D10" s="241">
        <v>2.6742</v>
      </c>
      <c r="E10" s="241">
        <v>2.9002</v>
      </c>
      <c r="F10" s="241">
        <v>3.0697</v>
      </c>
      <c r="G10" s="241">
        <v>3.2109</v>
      </c>
      <c r="H10" s="241">
        <v>3.3616</v>
      </c>
      <c r="I10" s="241">
        <v>3.5028</v>
      </c>
      <c r="J10" s="241">
        <v>3.597</v>
      </c>
      <c r="K10" s="241">
        <v>3.7194</v>
      </c>
      <c r="L10" s="241">
        <v>3.823</v>
      </c>
      <c r="M10" s="242">
        <v>3.9171</v>
      </c>
      <c r="N10" s="825"/>
    </row>
    <row r="11" spans="1:14" ht="12.75">
      <c r="A11" s="765"/>
      <c r="B11" s="246">
        <v>0.35</v>
      </c>
      <c r="C11" s="241">
        <v>2.354</v>
      </c>
      <c r="D11" s="241">
        <v>2.9379</v>
      </c>
      <c r="E11" s="241">
        <v>3.2203</v>
      </c>
      <c r="F11" s="241">
        <v>3.4181</v>
      </c>
      <c r="G11" s="241">
        <v>3.6158</v>
      </c>
      <c r="H11" s="241">
        <v>3.7853</v>
      </c>
      <c r="I11" s="241">
        <v>3.9077</v>
      </c>
      <c r="J11" s="241">
        <v>4.049</v>
      </c>
      <c r="K11" s="241">
        <v>4.1714</v>
      </c>
      <c r="L11" s="241">
        <v>4.275</v>
      </c>
      <c r="M11" s="242">
        <v>4.3503</v>
      </c>
      <c r="N11" s="825"/>
    </row>
    <row r="12" spans="1:14" ht="13.5" thickBot="1">
      <c r="A12" s="766"/>
      <c r="B12" s="247">
        <v>0.4</v>
      </c>
      <c r="C12" s="243">
        <v>2.4294</v>
      </c>
      <c r="D12" s="243">
        <v>3.2015</v>
      </c>
      <c r="E12" s="243">
        <v>3.4934</v>
      </c>
      <c r="F12" s="243">
        <v>3.7476</v>
      </c>
      <c r="G12" s="243">
        <v>3.9642</v>
      </c>
      <c r="H12" s="243">
        <v>4.1431</v>
      </c>
      <c r="I12" s="243">
        <v>4.275</v>
      </c>
      <c r="J12" s="243">
        <v>4.4068</v>
      </c>
      <c r="K12" s="243">
        <v>4.548</v>
      </c>
      <c r="L12" s="243">
        <v>4.6704</v>
      </c>
      <c r="M12" s="244">
        <v>4.8023</v>
      </c>
      <c r="N12" s="826"/>
    </row>
    <row r="15" ht="12.75" customHeight="1"/>
    <row r="23" ht="12.75" customHeight="1"/>
    <row r="27" ht="12.75">
      <c r="P27" s="103"/>
    </row>
    <row r="31" ht="12.75" customHeight="1"/>
    <row r="35" ht="12.75">
      <c r="P35" s="103"/>
    </row>
    <row r="36" ht="12.75" customHeight="1">
      <c r="P36" s="103"/>
    </row>
    <row r="43" ht="12.75">
      <c r="P43" s="103"/>
    </row>
    <row r="44" ht="12.75">
      <c r="P44" s="103"/>
    </row>
    <row r="45" ht="12.75">
      <c r="P45" s="103"/>
    </row>
    <row r="51" ht="12.75">
      <c r="P51" s="103"/>
    </row>
    <row r="52" ht="12.75">
      <c r="P52" s="103"/>
    </row>
    <row r="53" ht="12.75">
      <c r="P53" s="103"/>
    </row>
    <row r="54" ht="12.75">
      <c r="P54" s="103"/>
    </row>
    <row r="59" ht="12.75">
      <c r="P59" s="103"/>
    </row>
    <row r="60" ht="12.75">
      <c r="P60" s="103"/>
    </row>
    <row r="61" ht="12.75">
      <c r="P61" s="103"/>
    </row>
    <row r="62" ht="12.75">
      <c r="P62" s="103"/>
    </row>
    <row r="63" ht="12.75">
      <c r="P63" s="103"/>
    </row>
    <row r="67" ht="12.75">
      <c r="P67" s="103"/>
    </row>
    <row r="68" ht="12.75">
      <c r="P68" s="103"/>
    </row>
    <row r="69" ht="12.75">
      <c r="P69" s="103"/>
    </row>
    <row r="70" ht="12.75">
      <c r="P70" s="103"/>
    </row>
    <row r="71" ht="12.75">
      <c r="P71" s="103"/>
    </row>
    <row r="72" ht="12.75">
      <c r="P72" s="103"/>
    </row>
    <row r="75" ht="12.75">
      <c r="P75" s="103"/>
    </row>
    <row r="76" ht="12.75">
      <c r="P76" s="103"/>
    </row>
    <row r="77" ht="12.75">
      <c r="P77" s="103"/>
    </row>
    <row r="78" ht="12.75">
      <c r="P78" s="103"/>
    </row>
    <row r="79" ht="12.75">
      <c r="P79" s="103"/>
    </row>
    <row r="80" ht="12.75">
      <c r="P80" s="103"/>
    </row>
    <row r="81" ht="12.75">
      <c r="P81" s="103"/>
    </row>
    <row r="83" ht="12.75">
      <c r="P83" s="103"/>
    </row>
    <row r="84" ht="12.75">
      <c r="P84" s="103"/>
    </row>
    <row r="85" ht="12.75">
      <c r="P85" s="103"/>
    </row>
    <row r="86" ht="12.75">
      <c r="P86" s="103"/>
    </row>
    <row r="87" ht="12.75">
      <c r="P87" s="103"/>
    </row>
    <row r="88" ht="12.75">
      <c r="P88" s="103"/>
    </row>
    <row r="89" ht="12.75">
      <c r="P89" s="103"/>
    </row>
    <row r="90" ht="12.75">
      <c r="P90" s="103"/>
    </row>
  </sheetData>
  <sheetProtection/>
  <mergeCells count="5">
    <mergeCell ref="A1:N1"/>
    <mergeCell ref="B3:M3"/>
    <mergeCell ref="A4:A12"/>
    <mergeCell ref="A2:M2"/>
    <mergeCell ref="N2:N1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Plan29"/>
  <dimension ref="A1:P67"/>
  <sheetViews>
    <sheetView zoomScale="75" zoomScaleNormal="75" zoomScalePageLayoutView="0" workbookViewId="0" topLeftCell="A1">
      <selection activeCell="G11" sqref="G11:H27"/>
    </sheetView>
  </sheetViews>
  <sheetFormatPr defaultColWidth="9.140625" defaultRowHeight="12.75"/>
  <cols>
    <col min="1" max="16384" width="9.140625" style="262" customWidth="1"/>
  </cols>
  <sheetData>
    <row r="1" spans="1:13" s="70" customFormat="1" ht="13.5" thickBot="1">
      <c r="A1" s="723" t="s">
        <v>481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5"/>
    </row>
    <row r="2" spans="1:13" ht="13.5" thickBot="1">
      <c r="A2" s="574" t="s">
        <v>482</v>
      </c>
      <c r="B2" s="575"/>
      <c r="C2" s="575"/>
      <c r="D2" s="575"/>
      <c r="E2" s="575"/>
      <c r="F2" s="575"/>
      <c r="G2" s="575"/>
      <c r="H2" s="575"/>
      <c r="I2" s="575"/>
      <c r="J2" s="833"/>
      <c r="K2" s="295"/>
      <c r="L2" s="296"/>
      <c r="M2" s="297"/>
    </row>
    <row r="3" spans="1:13" ht="13.5" thickBot="1">
      <c r="A3" s="302"/>
      <c r="B3" s="830" t="s">
        <v>356</v>
      </c>
      <c r="C3" s="831"/>
      <c r="D3" s="831"/>
      <c r="E3" s="831"/>
      <c r="F3" s="831"/>
      <c r="G3" s="831"/>
      <c r="H3" s="831"/>
      <c r="I3" s="831"/>
      <c r="J3" s="832"/>
      <c r="K3" s="298"/>
      <c r="L3" s="299"/>
      <c r="M3" s="300"/>
    </row>
    <row r="4" spans="1:16" ht="12.75">
      <c r="A4" s="828" t="s">
        <v>478</v>
      </c>
      <c r="B4" s="110"/>
      <c r="C4" s="301">
        <v>0.04999</v>
      </c>
      <c r="D4" s="111">
        <v>0.1</v>
      </c>
      <c r="E4" s="111">
        <v>0.15</v>
      </c>
      <c r="F4" s="111">
        <v>0.2</v>
      </c>
      <c r="G4" s="111">
        <v>0.25</v>
      </c>
      <c r="H4" s="111">
        <v>0.3</v>
      </c>
      <c r="I4" s="111">
        <v>0.35</v>
      </c>
      <c r="J4" s="112">
        <v>0.4</v>
      </c>
      <c r="K4" s="298"/>
      <c r="L4" s="299"/>
      <c r="M4" s="300"/>
      <c r="N4" s="70"/>
      <c r="O4" s="70"/>
      <c r="P4" s="70"/>
    </row>
    <row r="5" spans="1:16" ht="12.75">
      <c r="A5" s="828"/>
      <c r="B5" s="113">
        <v>0</v>
      </c>
      <c r="C5" s="239">
        <v>0.30803</v>
      </c>
      <c r="D5" s="239">
        <v>0.39411</v>
      </c>
      <c r="E5" s="239">
        <v>0.48019</v>
      </c>
      <c r="F5" s="239">
        <v>0.54836</v>
      </c>
      <c r="G5" s="239">
        <v>0.60936</v>
      </c>
      <c r="H5" s="239">
        <v>0.6596</v>
      </c>
      <c r="I5" s="239">
        <v>0.70626</v>
      </c>
      <c r="J5" s="237">
        <v>0.74575</v>
      </c>
      <c r="K5" s="298"/>
      <c r="L5" s="299"/>
      <c r="M5" s="300"/>
      <c r="N5" s="239"/>
      <c r="O5" s="239"/>
      <c r="P5" s="239"/>
    </row>
    <row r="6" spans="1:15" ht="12.75">
      <c r="A6" s="828"/>
      <c r="B6" s="113">
        <v>0.1</v>
      </c>
      <c r="C6" s="239">
        <v>0.31632</v>
      </c>
      <c r="D6" s="239">
        <v>0.40479</v>
      </c>
      <c r="E6" s="239">
        <v>0.49326</v>
      </c>
      <c r="F6" s="239">
        <v>0.56262</v>
      </c>
      <c r="G6" s="239">
        <v>0.62242</v>
      </c>
      <c r="H6" s="239">
        <v>0.67267</v>
      </c>
      <c r="I6" s="239">
        <v>0.71694</v>
      </c>
      <c r="J6" s="237">
        <v>0.75524</v>
      </c>
      <c r="K6" s="298"/>
      <c r="L6" s="299"/>
      <c r="M6" s="300"/>
      <c r="N6" s="70"/>
      <c r="O6" s="70"/>
    </row>
    <row r="7" spans="1:13" ht="12.75">
      <c r="A7" s="828"/>
      <c r="B7" s="113">
        <v>0.2</v>
      </c>
      <c r="C7" s="239">
        <v>0.33</v>
      </c>
      <c r="D7" s="239">
        <v>0.41600000000000004</v>
      </c>
      <c r="E7" s="239">
        <v>0.50991</v>
      </c>
      <c r="F7" s="239">
        <v>0.58046</v>
      </c>
      <c r="G7" s="239">
        <v>0.63907</v>
      </c>
      <c r="H7" s="239">
        <v>0.69051</v>
      </c>
      <c r="I7" s="239">
        <v>0.73359</v>
      </c>
      <c r="J7" s="237">
        <v>0.77069</v>
      </c>
      <c r="K7" s="298"/>
      <c r="L7" s="299"/>
      <c r="M7" s="300"/>
    </row>
    <row r="8" spans="1:13" ht="12.75">
      <c r="A8" s="828"/>
      <c r="B8" s="113">
        <v>0.3</v>
      </c>
      <c r="C8" s="239">
        <v>0.34961</v>
      </c>
      <c r="D8" s="239">
        <v>0.43928</v>
      </c>
      <c r="E8" s="239">
        <v>0.52895</v>
      </c>
      <c r="F8" s="239">
        <v>0.5995</v>
      </c>
      <c r="G8" s="239">
        <v>0.6605</v>
      </c>
      <c r="H8" s="239">
        <v>0.71193</v>
      </c>
      <c r="I8" s="239">
        <v>0.75501</v>
      </c>
      <c r="J8" s="237">
        <v>0.78973</v>
      </c>
      <c r="K8" s="298"/>
      <c r="L8" s="299"/>
      <c r="M8" s="300"/>
    </row>
    <row r="9" spans="1:13" ht="12.75">
      <c r="A9" s="828"/>
      <c r="B9" s="113">
        <v>0.4</v>
      </c>
      <c r="C9" s="239">
        <v>0.36506</v>
      </c>
      <c r="D9" s="239">
        <v>0.45712</v>
      </c>
      <c r="E9" s="239">
        <v>0.54918</v>
      </c>
      <c r="F9" s="239">
        <v>0.62093</v>
      </c>
      <c r="G9" s="239">
        <v>0.68192</v>
      </c>
      <c r="H9" s="239">
        <v>0.73097</v>
      </c>
      <c r="I9" s="239">
        <v>0.77166</v>
      </c>
      <c r="J9" s="237">
        <v>0.80877</v>
      </c>
      <c r="K9" s="298"/>
      <c r="L9" s="299"/>
      <c r="M9" s="300"/>
    </row>
    <row r="10" spans="1:13" ht="12.75">
      <c r="A10" s="828"/>
      <c r="B10" s="113">
        <v>0.5</v>
      </c>
      <c r="C10" s="239">
        <v>0.37694</v>
      </c>
      <c r="D10" s="239">
        <v>0.47258</v>
      </c>
      <c r="E10" s="239">
        <v>0.56822</v>
      </c>
      <c r="F10" s="239">
        <v>0.64116</v>
      </c>
      <c r="G10" s="239">
        <v>0.70215</v>
      </c>
      <c r="H10" s="239">
        <v>0.74882</v>
      </c>
      <c r="I10" s="239">
        <v>0.78831</v>
      </c>
      <c r="J10" s="237">
        <v>0.82542</v>
      </c>
      <c r="K10" s="298"/>
      <c r="L10" s="299"/>
      <c r="M10" s="300"/>
    </row>
    <row r="11" spans="1:13" ht="13.5" thickBot="1">
      <c r="A11" s="829"/>
      <c r="B11" s="114">
        <v>0.6</v>
      </c>
      <c r="C11" s="267">
        <v>0.39</v>
      </c>
      <c r="D11" s="267">
        <v>0.489</v>
      </c>
      <c r="E11" s="267">
        <v>0.58367</v>
      </c>
      <c r="F11" s="267">
        <v>0.66019</v>
      </c>
      <c r="G11" s="267">
        <v>0.71761</v>
      </c>
      <c r="H11" s="267">
        <v>0.76188</v>
      </c>
      <c r="I11" s="267">
        <v>0.80257</v>
      </c>
      <c r="J11" s="238">
        <v>0.83848</v>
      </c>
      <c r="K11" s="298"/>
      <c r="L11" s="299"/>
      <c r="M11" s="300"/>
    </row>
    <row r="12" spans="1:13" ht="13.5" thickBot="1">
      <c r="A12" s="777" t="s">
        <v>483</v>
      </c>
      <c r="B12" s="778"/>
      <c r="C12" s="778"/>
      <c r="D12" s="778"/>
      <c r="E12" s="778"/>
      <c r="F12" s="778"/>
      <c r="G12" s="780"/>
      <c r="H12" s="298"/>
      <c r="I12" s="299"/>
      <c r="J12" s="299"/>
      <c r="K12" s="299"/>
      <c r="L12" s="299"/>
      <c r="M12" s="300"/>
    </row>
    <row r="13" spans="1:13" ht="13.5" thickBot="1">
      <c r="A13" s="827" t="s">
        <v>356</v>
      </c>
      <c r="B13" s="830" t="s">
        <v>485</v>
      </c>
      <c r="C13" s="831"/>
      <c r="D13" s="831"/>
      <c r="E13" s="831"/>
      <c r="F13" s="831"/>
      <c r="G13" s="832"/>
      <c r="H13" s="298"/>
      <c r="I13" s="299"/>
      <c r="J13" s="299"/>
      <c r="K13" s="299"/>
      <c r="L13" s="299"/>
      <c r="M13" s="300"/>
    </row>
    <row r="14" spans="1:13" ht="12.75">
      <c r="A14" s="828"/>
      <c r="B14" s="110"/>
      <c r="C14" s="111">
        <v>0</v>
      </c>
      <c r="D14" s="111">
        <v>0.05</v>
      </c>
      <c r="E14" s="111">
        <v>0.1</v>
      </c>
      <c r="F14" s="111">
        <v>0.15</v>
      </c>
      <c r="G14" s="112">
        <v>0.2</v>
      </c>
      <c r="H14" s="298"/>
      <c r="I14" s="299"/>
      <c r="J14" s="299"/>
      <c r="K14" s="299"/>
      <c r="L14" s="299"/>
      <c r="M14" s="300"/>
    </row>
    <row r="15" spans="1:13" ht="12.75">
      <c r="A15" s="828"/>
      <c r="B15" s="113">
        <v>0</v>
      </c>
      <c r="C15" s="239">
        <v>0.139689</v>
      </c>
      <c r="D15" s="239">
        <v>0.21951</v>
      </c>
      <c r="E15" s="239">
        <v>0.33148</v>
      </c>
      <c r="F15" s="239">
        <v>0.45676</v>
      </c>
      <c r="G15" s="237">
        <v>0.57429</v>
      </c>
      <c r="H15" s="298"/>
      <c r="I15" s="299"/>
      <c r="J15" s="299"/>
      <c r="K15" s="299"/>
      <c r="L15" s="299"/>
      <c r="M15" s="300"/>
    </row>
    <row r="16" spans="1:13" ht="12.75">
      <c r="A16" s="828"/>
      <c r="B16" s="113">
        <v>0.1</v>
      </c>
      <c r="C16" s="239">
        <v>0.10643</v>
      </c>
      <c r="D16" s="239">
        <v>0.17073</v>
      </c>
      <c r="E16" s="239">
        <v>0.26164</v>
      </c>
      <c r="F16" s="239">
        <v>0.36807</v>
      </c>
      <c r="G16" s="237">
        <v>0.47783</v>
      </c>
      <c r="H16" s="298"/>
      <c r="I16" s="299"/>
      <c r="J16" s="299"/>
      <c r="K16" s="299"/>
      <c r="L16" s="299"/>
      <c r="M16" s="300"/>
    </row>
    <row r="17" spans="1:13" ht="12.75">
      <c r="A17" s="828"/>
      <c r="B17" s="113">
        <v>0.2</v>
      </c>
      <c r="C17" s="239">
        <v>0.073171</v>
      </c>
      <c r="D17" s="239">
        <v>0.12195</v>
      </c>
      <c r="E17" s="239">
        <v>0.1918</v>
      </c>
      <c r="F17" s="239">
        <v>0.27938</v>
      </c>
      <c r="G17" s="237">
        <v>0.38137</v>
      </c>
      <c r="H17" s="298"/>
      <c r="I17" s="299"/>
      <c r="J17" s="299"/>
      <c r="K17" s="299"/>
      <c r="L17" s="299"/>
      <c r="M17" s="300"/>
    </row>
    <row r="18" spans="1:13" ht="12.75">
      <c r="A18" s="828"/>
      <c r="B18" s="113">
        <v>0.3</v>
      </c>
      <c r="C18" s="239">
        <v>0.052106</v>
      </c>
      <c r="D18" s="239">
        <v>0.088692</v>
      </c>
      <c r="E18" s="239">
        <v>0.13969</v>
      </c>
      <c r="F18" s="239">
        <v>0.20953</v>
      </c>
      <c r="G18" s="237">
        <v>0.30044</v>
      </c>
      <c r="H18" s="298"/>
      <c r="I18" s="299"/>
      <c r="J18" s="299"/>
      <c r="K18" s="299"/>
      <c r="L18" s="299"/>
      <c r="M18" s="300"/>
    </row>
    <row r="19" spans="1:13" ht="13.5" thickBot="1">
      <c r="A19" s="829"/>
      <c r="B19" s="114">
        <v>0.4</v>
      </c>
      <c r="C19" s="267">
        <v>0.038803</v>
      </c>
      <c r="D19" s="267">
        <v>0.058758</v>
      </c>
      <c r="E19" s="267">
        <v>0.096452</v>
      </c>
      <c r="F19" s="267">
        <v>0.15743</v>
      </c>
      <c r="G19" s="238">
        <v>0.23392</v>
      </c>
      <c r="H19" s="298"/>
      <c r="I19" s="299"/>
      <c r="J19" s="299"/>
      <c r="K19" s="299"/>
      <c r="L19" s="299"/>
      <c r="M19" s="300"/>
    </row>
    <row r="20" spans="1:13" ht="13.5" thickBot="1">
      <c r="A20" s="574" t="s">
        <v>484</v>
      </c>
      <c r="B20" s="575"/>
      <c r="C20" s="575"/>
      <c r="D20" s="575"/>
      <c r="E20" s="575"/>
      <c r="F20" s="575"/>
      <c r="G20" s="833"/>
      <c r="H20" s="299"/>
      <c r="I20" s="299"/>
      <c r="J20" s="299"/>
      <c r="K20" s="299"/>
      <c r="L20" s="299"/>
      <c r="M20" s="300"/>
    </row>
    <row r="21" spans="1:13" ht="13.5" thickBot="1">
      <c r="A21" s="827" t="s">
        <v>486</v>
      </c>
      <c r="B21" s="830" t="s">
        <v>356</v>
      </c>
      <c r="C21" s="831"/>
      <c r="D21" s="831"/>
      <c r="E21" s="831"/>
      <c r="F21" s="831"/>
      <c r="G21" s="832"/>
      <c r="H21" s="299"/>
      <c r="I21" s="299"/>
      <c r="J21" s="299"/>
      <c r="K21" s="299"/>
      <c r="L21" s="299"/>
      <c r="M21" s="300"/>
    </row>
    <row r="22" spans="1:13" ht="12.75">
      <c r="A22" s="828"/>
      <c r="B22" s="110"/>
      <c r="C22" s="305">
        <v>0</v>
      </c>
      <c r="D22" s="111">
        <v>0.1</v>
      </c>
      <c r="E22" s="111">
        <v>0.2</v>
      </c>
      <c r="F22" s="111">
        <v>0.3</v>
      </c>
      <c r="G22" s="112">
        <v>0.4</v>
      </c>
      <c r="H22" s="299"/>
      <c r="I22" s="299"/>
      <c r="J22" s="299"/>
      <c r="K22" s="299"/>
      <c r="L22" s="299"/>
      <c r="M22" s="300"/>
    </row>
    <row r="23" spans="1:13" ht="12.75">
      <c r="A23" s="828"/>
      <c r="B23" s="113">
        <v>6</v>
      </c>
      <c r="C23" s="239">
        <v>1</v>
      </c>
      <c r="D23" s="239">
        <v>1</v>
      </c>
      <c r="E23" s="239">
        <v>1</v>
      </c>
      <c r="F23" s="239">
        <v>1</v>
      </c>
      <c r="G23" s="237">
        <v>1</v>
      </c>
      <c r="H23" s="299"/>
      <c r="I23" s="299"/>
      <c r="J23" s="299"/>
      <c r="K23" s="299"/>
      <c r="L23" s="299"/>
      <c r="M23" s="300"/>
    </row>
    <row r="24" spans="1:13" ht="12.75">
      <c r="A24" s="828"/>
      <c r="B24" s="113">
        <v>6.5</v>
      </c>
      <c r="C24" s="239">
        <v>0.51068</v>
      </c>
      <c r="D24" s="239">
        <v>0.58563</v>
      </c>
      <c r="E24" s="239">
        <v>0.66058</v>
      </c>
      <c r="F24" s="239">
        <v>0.71515</v>
      </c>
      <c r="G24" s="237">
        <v>0.75476</v>
      </c>
      <c r="H24" s="299"/>
      <c r="I24" s="299"/>
      <c r="J24" s="299"/>
      <c r="K24" s="299"/>
      <c r="L24" s="299"/>
      <c r="M24" s="300"/>
    </row>
    <row r="25" spans="1:13" ht="12.75">
      <c r="A25" s="828"/>
      <c r="B25" s="113">
        <v>7</v>
      </c>
      <c r="C25" s="239">
        <v>0.27846</v>
      </c>
      <c r="D25" s="239">
        <v>0.37923</v>
      </c>
      <c r="E25" s="239">
        <v>0.48</v>
      </c>
      <c r="F25" s="239">
        <v>0.55495</v>
      </c>
      <c r="G25" s="237">
        <v>0.61359</v>
      </c>
      <c r="H25" s="299"/>
      <c r="I25" s="299"/>
      <c r="J25" s="299"/>
      <c r="K25" s="299"/>
      <c r="L25" s="299"/>
      <c r="M25" s="300"/>
    </row>
    <row r="26" spans="1:13" ht="12.75">
      <c r="A26" s="828"/>
      <c r="B26" s="113">
        <v>7.5</v>
      </c>
      <c r="C26" s="239">
        <v>0.17533</v>
      </c>
      <c r="D26" s="239">
        <v>0.28291</v>
      </c>
      <c r="E26" s="239">
        <v>0.39049</v>
      </c>
      <c r="F26" s="239">
        <v>0.47223</v>
      </c>
      <c r="G26" s="237">
        <v>0.53631</v>
      </c>
      <c r="H26" s="299"/>
      <c r="I26" s="299"/>
      <c r="J26" s="299"/>
      <c r="K26" s="299"/>
      <c r="L26" s="299"/>
      <c r="M26" s="300"/>
    </row>
    <row r="27" spans="1:13" ht="13.5" thickBot="1">
      <c r="A27" s="829"/>
      <c r="B27" s="114">
        <v>8</v>
      </c>
      <c r="C27" s="267">
        <v>0.1103</v>
      </c>
      <c r="D27" s="267">
        <v>0.2301</v>
      </c>
      <c r="E27" s="267">
        <v>0.3499</v>
      </c>
      <c r="F27" s="267">
        <v>0.44116</v>
      </c>
      <c r="G27" s="238">
        <v>0.51068</v>
      </c>
      <c r="H27" s="303"/>
      <c r="I27" s="303"/>
      <c r="J27" s="303"/>
      <c r="K27" s="303"/>
      <c r="L27" s="303"/>
      <c r="M27" s="304"/>
    </row>
    <row r="29" spans="2:14" ht="12.75">
      <c r="B29" s="154"/>
      <c r="C29" s="262">
        <v>0</v>
      </c>
      <c r="D29" s="154">
        <v>0.1</v>
      </c>
      <c r="E29" s="154">
        <v>0.2</v>
      </c>
      <c r="F29" s="154">
        <v>0.3</v>
      </c>
      <c r="G29" s="154">
        <v>0.4</v>
      </c>
      <c r="H29" s="154">
        <v>0.5</v>
      </c>
      <c r="I29" s="154">
        <v>0.6</v>
      </c>
      <c r="J29" s="154">
        <v>0.7</v>
      </c>
      <c r="K29" s="154">
        <v>0.8</v>
      </c>
      <c r="L29" s="154">
        <v>0.9</v>
      </c>
      <c r="M29" s="154">
        <v>1</v>
      </c>
      <c r="N29" s="154"/>
    </row>
    <row r="30" spans="2:14" ht="12.75">
      <c r="B30" s="154">
        <v>0.08</v>
      </c>
      <c r="C30" s="153">
        <v>0.94917</v>
      </c>
      <c r="D30" s="153">
        <v>0.84171</v>
      </c>
      <c r="E30" s="153">
        <v>0.73425</v>
      </c>
      <c r="F30" s="153">
        <v>0.62679</v>
      </c>
      <c r="G30" s="153">
        <v>0.51978</v>
      </c>
      <c r="H30" s="153">
        <v>0.41097</v>
      </c>
      <c r="I30" s="153">
        <v>0.30486</v>
      </c>
      <c r="J30" s="153">
        <v>0.21673</v>
      </c>
      <c r="K30" s="153">
        <v>0.1295</v>
      </c>
      <c r="L30" s="153">
        <v>0.055755</v>
      </c>
      <c r="M30" s="153">
        <v>0.00089928</v>
      </c>
      <c r="N30" s="154"/>
    </row>
    <row r="31" spans="2:14" ht="12.75">
      <c r="B31" s="154">
        <v>0.09</v>
      </c>
      <c r="C31" s="153">
        <v>0.947541666666667</v>
      </c>
      <c r="D31" s="153">
        <v>0.840526666666667</v>
      </c>
      <c r="E31" s="153">
        <v>0.733511666666667</v>
      </c>
      <c r="F31" s="153">
        <v>0.626496666666667</v>
      </c>
      <c r="G31" s="153">
        <v>0.52068</v>
      </c>
      <c r="H31" s="153">
        <v>0.41007</v>
      </c>
      <c r="I31" s="153">
        <v>0.30665</v>
      </c>
      <c r="J31" s="153">
        <v>0.21493</v>
      </c>
      <c r="K31" s="153">
        <v>0.1286</v>
      </c>
      <c r="L31" s="153">
        <v>0.054856</v>
      </c>
      <c r="M31" s="153">
        <v>0.00089928</v>
      </c>
      <c r="N31" s="154"/>
    </row>
    <row r="32" spans="2:14" ht="12.75">
      <c r="B32" s="154">
        <v>0.1</v>
      </c>
      <c r="C32" s="153">
        <v>0.950101666666667</v>
      </c>
      <c r="D32" s="153">
        <v>0.841736666666667</v>
      </c>
      <c r="E32" s="153">
        <v>0.733371666666667</v>
      </c>
      <c r="F32" s="153">
        <v>0.625006666666667</v>
      </c>
      <c r="G32" s="153">
        <v>0.51799</v>
      </c>
      <c r="H32" s="153">
        <v>0.40558</v>
      </c>
      <c r="I32" s="153">
        <v>0.30126</v>
      </c>
      <c r="J32" s="153">
        <v>0.20953</v>
      </c>
      <c r="K32" s="153">
        <v>0.125</v>
      </c>
      <c r="L32" s="153">
        <v>0.053957</v>
      </c>
      <c r="M32" s="153">
        <v>0.00089928</v>
      </c>
      <c r="N32" s="154"/>
    </row>
    <row r="33" spans="2:14" ht="12.75">
      <c r="B33" s="154">
        <v>0.11</v>
      </c>
      <c r="C33" s="153">
        <v>0.949633333333333</v>
      </c>
      <c r="D33" s="153">
        <v>0.839023333333333</v>
      </c>
      <c r="E33" s="153">
        <v>0.728413333333333</v>
      </c>
      <c r="F33" s="153">
        <v>0.617803333333333</v>
      </c>
      <c r="G33" s="153">
        <v>0.50989</v>
      </c>
      <c r="H33" s="153">
        <v>0.39119</v>
      </c>
      <c r="I33" s="153">
        <v>0.28867</v>
      </c>
      <c r="J33" s="153">
        <v>0.19694</v>
      </c>
      <c r="K33" s="153">
        <v>0.11691</v>
      </c>
      <c r="L33" s="153">
        <v>0.051259</v>
      </c>
      <c r="M33" s="153">
        <v>0.00089928</v>
      </c>
      <c r="N33" s="154"/>
    </row>
    <row r="34" spans="2:14" ht="12.75">
      <c r="B34" s="154">
        <v>0.12</v>
      </c>
      <c r="C34" s="153">
        <v>0.928221666666669</v>
      </c>
      <c r="D34" s="153">
        <v>0.818956666666668</v>
      </c>
      <c r="E34" s="153">
        <v>0.709691666666667</v>
      </c>
      <c r="F34" s="153">
        <v>0.600426666666667</v>
      </c>
      <c r="G34" s="153">
        <v>0.49371</v>
      </c>
      <c r="H34" s="153">
        <v>0.3768</v>
      </c>
      <c r="I34" s="153">
        <v>0.27518</v>
      </c>
      <c r="J34" s="153">
        <v>0.18615</v>
      </c>
      <c r="K34" s="153">
        <v>0.10881</v>
      </c>
      <c r="L34" s="153">
        <v>0.048561</v>
      </c>
      <c r="M34" s="153">
        <v>0.00089928</v>
      </c>
      <c r="N34" s="154"/>
    </row>
    <row r="35" spans="2:14" ht="12.75">
      <c r="B35" s="154">
        <v>0.13</v>
      </c>
      <c r="C35" s="153">
        <v>0.904231666666667</v>
      </c>
      <c r="D35" s="153">
        <v>0.797666666666667</v>
      </c>
      <c r="E35" s="153">
        <v>0.691101666666667</v>
      </c>
      <c r="F35" s="153">
        <v>0.584536666666667</v>
      </c>
      <c r="G35" s="153">
        <v>0.48022</v>
      </c>
      <c r="H35" s="153">
        <v>0.36691</v>
      </c>
      <c r="I35" s="153">
        <v>0.26709</v>
      </c>
      <c r="J35" s="153">
        <v>0.18076</v>
      </c>
      <c r="K35" s="153">
        <v>0.10522</v>
      </c>
      <c r="L35" s="153">
        <v>0.046763</v>
      </c>
      <c r="M35" s="153">
        <v>0.00089928</v>
      </c>
      <c r="N35" s="154"/>
    </row>
    <row r="36" spans="2:14" ht="12.75">
      <c r="B36" s="154">
        <v>0.14</v>
      </c>
      <c r="C36" s="153">
        <v>0.87876</v>
      </c>
      <c r="D36" s="153">
        <v>0.77579</v>
      </c>
      <c r="E36" s="153">
        <v>0.67282</v>
      </c>
      <c r="F36" s="153">
        <v>0.56985</v>
      </c>
      <c r="G36" s="153">
        <v>0.46853</v>
      </c>
      <c r="H36" s="153">
        <v>0.36061</v>
      </c>
      <c r="I36" s="153">
        <v>0.26259</v>
      </c>
      <c r="J36" s="153">
        <v>0.17806</v>
      </c>
      <c r="K36" s="153">
        <v>0.10342</v>
      </c>
      <c r="L36" s="153">
        <v>0.045863</v>
      </c>
      <c r="M36" s="153">
        <v>0.00089928</v>
      </c>
      <c r="N36" s="154"/>
    </row>
    <row r="37" spans="2:14" ht="12.75">
      <c r="B37" s="154">
        <v>0.16</v>
      </c>
      <c r="C37" s="153">
        <v>0.85252</v>
      </c>
      <c r="D37" s="153">
        <v>0.7527</v>
      </c>
      <c r="E37" s="153">
        <v>0.65288</v>
      </c>
      <c r="F37" s="153">
        <v>0.55306</v>
      </c>
      <c r="G37" s="153">
        <v>0.45504</v>
      </c>
      <c r="H37" s="153">
        <v>0.34982</v>
      </c>
      <c r="I37" s="153">
        <v>0.2554</v>
      </c>
      <c r="J37" s="153">
        <v>0.17266</v>
      </c>
      <c r="K37" s="153">
        <v>0.10072</v>
      </c>
      <c r="L37" s="153">
        <v>0.044964</v>
      </c>
      <c r="M37" s="153">
        <v>0.00089928</v>
      </c>
      <c r="N37" s="154"/>
    </row>
    <row r="38" spans="2:14" ht="12.75">
      <c r="B38" s="154">
        <v>0.18</v>
      </c>
      <c r="C38" s="153">
        <v>0.832873333333335</v>
      </c>
      <c r="D38" s="153">
        <v>0.735303333333334</v>
      </c>
      <c r="E38" s="153">
        <v>0.637733333333333</v>
      </c>
      <c r="F38" s="153">
        <v>0.540163333333334</v>
      </c>
      <c r="G38" s="153">
        <v>0.44424</v>
      </c>
      <c r="H38" s="153">
        <v>0.34173</v>
      </c>
      <c r="I38" s="153">
        <v>0.2491</v>
      </c>
      <c r="J38" s="153">
        <v>0.16817</v>
      </c>
      <c r="K38" s="153">
        <v>0.10072</v>
      </c>
      <c r="L38" s="153">
        <v>0.044964</v>
      </c>
      <c r="M38" s="153">
        <v>0.00089928</v>
      </c>
      <c r="N38" s="154"/>
    </row>
    <row r="39" spans="2:14" ht="12.75">
      <c r="B39" s="154">
        <v>0.2</v>
      </c>
      <c r="C39" s="153">
        <v>0.815051666666667</v>
      </c>
      <c r="D39" s="153">
        <v>0.719726666666667</v>
      </c>
      <c r="E39" s="153">
        <v>0.624401666666667</v>
      </c>
      <c r="F39" s="153">
        <v>0.529076666666666</v>
      </c>
      <c r="G39" s="153">
        <v>0.43525</v>
      </c>
      <c r="H39" s="153">
        <v>0.33543</v>
      </c>
      <c r="I39" s="153">
        <v>0.2446</v>
      </c>
      <c r="J39" s="153">
        <v>0.16547</v>
      </c>
      <c r="K39" s="153">
        <v>0.09982</v>
      </c>
      <c r="L39" s="153">
        <v>0.044065</v>
      </c>
      <c r="M39" s="153">
        <v>0.00089928</v>
      </c>
      <c r="N39" s="154"/>
    </row>
    <row r="40" spans="2:14" ht="12.75">
      <c r="B40" s="154">
        <v>0.22</v>
      </c>
      <c r="C40" s="153">
        <v>0.797811666666667</v>
      </c>
      <c r="D40" s="153">
        <v>0.704736666666667</v>
      </c>
      <c r="E40" s="153">
        <v>0.611661666666667</v>
      </c>
      <c r="F40" s="153">
        <v>0.518586666666666</v>
      </c>
      <c r="G40" s="153">
        <v>0.42716</v>
      </c>
      <c r="H40" s="153">
        <v>0.32914</v>
      </c>
      <c r="I40" s="153">
        <v>0.24101</v>
      </c>
      <c r="J40" s="153">
        <v>0.16367</v>
      </c>
      <c r="K40" s="153">
        <v>0.09982</v>
      </c>
      <c r="L40" s="153">
        <v>0.043165</v>
      </c>
      <c r="M40" s="153">
        <v>0.00089928</v>
      </c>
      <c r="N40" s="154"/>
    </row>
    <row r="41" spans="2:14" ht="12.75">
      <c r="B41" s="154">
        <v>0.24</v>
      </c>
      <c r="C41" s="153">
        <v>0.780861666666667</v>
      </c>
      <c r="D41" s="153">
        <v>0.690036666666667</v>
      </c>
      <c r="E41" s="153">
        <v>0.599211666666667</v>
      </c>
      <c r="F41" s="153">
        <v>0.508386666666667</v>
      </c>
      <c r="G41" s="153">
        <v>0.41906</v>
      </c>
      <c r="H41" s="153">
        <v>0.32374</v>
      </c>
      <c r="I41" s="153">
        <v>0.23741</v>
      </c>
      <c r="J41" s="153">
        <v>0.16187</v>
      </c>
      <c r="K41" s="153">
        <v>0.098921</v>
      </c>
      <c r="L41" s="153">
        <v>0.042266</v>
      </c>
      <c r="M41" s="153">
        <v>0.00089928</v>
      </c>
      <c r="N41" s="154"/>
    </row>
    <row r="42" spans="2:14" ht="12.75">
      <c r="B42" s="154">
        <v>0.26</v>
      </c>
      <c r="C42" s="153">
        <v>0.761993333333331</v>
      </c>
      <c r="D42" s="153">
        <v>0.673863333333332</v>
      </c>
      <c r="E42" s="153">
        <v>0.585733333333333</v>
      </c>
      <c r="F42" s="153">
        <v>0.497603333333333</v>
      </c>
      <c r="G42" s="153">
        <v>0.41097</v>
      </c>
      <c r="H42" s="153">
        <v>0.31835</v>
      </c>
      <c r="I42" s="153">
        <v>0.23471</v>
      </c>
      <c r="J42" s="153">
        <v>0.16007</v>
      </c>
      <c r="K42" s="153">
        <v>0.098921</v>
      </c>
      <c r="L42" s="153">
        <v>0.043165</v>
      </c>
      <c r="M42" s="153">
        <v>0.00089928</v>
      </c>
      <c r="N42" s="154"/>
    </row>
    <row r="43" spans="2:14" ht="12.75">
      <c r="B43" s="154">
        <v>0.28</v>
      </c>
      <c r="C43" s="153">
        <v>0.7476</v>
      </c>
      <c r="D43" s="153">
        <v>0.66127</v>
      </c>
      <c r="E43" s="153">
        <v>0.57494</v>
      </c>
      <c r="F43" s="153">
        <v>0.48861</v>
      </c>
      <c r="G43" s="153">
        <v>0.40378</v>
      </c>
      <c r="H43" s="153">
        <v>0.31295</v>
      </c>
      <c r="I43" s="153">
        <v>0.23112</v>
      </c>
      <c r="J43" s="153">
        <v>0.16007</v>
      </c>
      <c r="K43" s="153">
        <v>0.098921</v>
      </c>
      <c r="L43" s="153">
        <v>0.043165</v>
      </c>
      <c r="M43" s="153">
        <v>0.00089928</v>
      </c>
      <c r="N43" s="154"/>
    </row>
    <row r="44" spans="2:14" ht="12.75">
      <c r="B44" s="154">
        <v>0.3</v>
      </c>
      <c r="C44" s="153">
        <v>0.73125</v>
      </c>
      <c r="D44" s="153">
        <v>0.64717</v>
      </c>
      <c r="E44" s="153">
        <v>0.56309</v>
      </c>
      <c r="F44" s="153">
        <v>0.47901</v>
      </c>
      <c r="G44" s="153">
        <v>0.39568</v>
      </c>
      <c r="H44" s="153">
        <v>0.30935</v>
      </c>
      <c r="I44" s="153">
        <v>0.22752</v>
      </c>
      <c r="J44" s="153">
        <v>0.15827</v>
      </c>
      <c r="K44" s="153">
        <v>0.098921</v>
      </c>
      <c r="L44" s="153">
        <v>0.043165</v>
      </c>
      <c r="M44" s="153">
        <v>0.00089928</v>
      </c>
      <c r="N44" s="154"/>
    </row>
    <row r="45" spans="10:14" ht="12.75">
      <c r="J45" s="154"/>
      <c r="K45" s="154"/>
      <c r="L45" s="154"/>
      <c r="M45" s="154"/>
      <c r="N45" s="154"/>
    </row>
    <row r="46" spans="2:14" ht="12.75"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</row>
    <row r="47" spans="2:14" ht="12.75"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</row>
    <row r="48" spans="2:14" ht="12.75">
      <c r="B48" s="154"/>
      <c r="C48" s="154">
        <v>-8</v>
      </c>
      <c r="D48" s="154">
        <v>-7</v>
      </c>
      <c r="E48" s="154">
        <v>-5</v>
      </c>
      <c r="F48" s="154">
        <v>-4</v>
      </c>
      <c r="G48" s="154">
        <v>-3</v>
      </c>
      <c r="H48" s="154">
        <v>-2</v>
      </c>
      <c r="I48" s="154">
        <v>-1</v>
      </c>
      <c r="J48" s="154">
        <v>0</v>
      </c>
      <c r="K48" s="154">
        <v>1</v>
      </c>
      <c r="L48" s="154">
        <v>2</v>
      </c>
      <c r="M48" s="154">
        <v>3</v>
      </c>
      <c r="N48" s="154">
        <v>4</v>
      </c>
    </row>
    <row r="49" spans="2:14" ht="12.75">
      <c r="B49" s="154">
        <v>0</v>
      </c>
      <c r="C49" s="153">
        <v>0</v>
      </c>
      <c r="D49" s="153">
        <v>0</v>
      </c>
      <c r="E49" s="153">
        <v>0</v>
      </c>
      <c r="F49" s="153">
        <v>0</v>
      </c>
      <c r="G49" s="153">
        <v>0</v>
      </c>
      <c r="H49" s="153">
        <v>0</v>
      </c>
      <c r="I49" s="153">
        <v>0</v>
      </c>
      <c r="J49" s="153">
        <v>0</v>
      </c>
      <c r="K49" s="153">
        <v>0</v>
      </c>
      <c r="L49" s="153">
        <v>0</v>
      </c>
      <c r="M49" s="153">
        <v>0</v>
      </c>
      <c r="N49" s="153">
        <v>0</v>
      </c>
    </row>
    <row r="50" spans="2:14" ht="12.75">
      <c r="B50" s="154">
        <v>0.1</v>
      </c>
      <c r="C50" s="153">
        <v>0</v>
      </c>
      <c r="D50" s="153">
        <v>0.00073555</v>
      </c>
      <c r="E50" s="153">
        <v>0.0039229</v>
      </c>
      <c r="F50" s="153">
        <v>0.0071103</v>
      </c>
      <c r="G50" s="153">
        <v>0.010543</v>
      </c>
      <c r="H50" s="153">
        <v>0.015201</v>
      </c>
      <c r="I50" s="153">
        <v>0.021331</v>
      </c>
      <c r="J50" s="153">
        <v>0.026235</v>
      </c>
      <c r="K50" s="153">
        <v>0.034326</v>
      </c>
      <c r="L50" s="153">
        <v>0.041681</v>
      </c>
      <c r="M50" s="153">
        <v>0.048301</v>
      </c>
      <c r="N50" s="153">
        <v>0.055902</v>
      </c>
    </row>
    <row r="51" spans="2:14" ht="12.75">
      <c r="B51" s="154">
        <v>0.2</v>
      </c>
      <c r="C51" s="153">
        <v>0</v>
      </c>
      <c r="D51" s="153">
        <v>0.0019615</v>
      </c>
      <c r="E51" s="153">
        <v>0.0080911</v>
      </c>
      <c r="F51" s="153">
        <v>0.013485</v>
      </c>
      <c r="G51" s="153">
        <v>0.01986</v>
      </c>
      <c r="H51" s="153">
        <v>0.027706</v>
      </c>
      <c r="I51" s="153">
        <v>0.037758</v>
      </c>
      <c r="J51" s="153">
        <v>0.047566</v>
      </c>
      <c r="K51" s="153">
        <v>0.060315</v>
      </c>
      <c r="L51" s="153">
        <v>0.071839</v>
      </c>
      <c r="M51" s="153">
        <v>0.084834</v>
      </c>
      <c r="N51" s="153">
        <v>0.097338</v>
      </c>
    </row>
    <row r="52" spans="2:14" ht="12.75">
      <c r="B52" s="154">
        <v>0.3</v>
      </c>
      <c r="C52" s="153">
        <v>0</v>
      </c>
      <c r="D52" s="153">
        <v>0.0029422</v>
      </c>
      <c r="E52" s="153">
        <v>0.0061296</v>
      </c>
      <c r="F52" s="153">
        <v>0.017898</v>
      </c>
      <c r="G52" s="153">
        <v>0.026235</v>
      </c>
      <c r="H52" s="153">
        <v>0.035797</v>
      </c>
      <c r="I52" s="153">
        <v>0.047811</v>
      </c>
      <c r="J52" s="153">
        <v>0.061296</v>
      </c>
      <c r="K52" s="153">
        <v>0.076497</v>
      </c>
      <c r="L52" s="153">
        <v>0.089737</v>
      </c>
      <c r="M52" s="153">
        <v>0.10641</v>
      </c>
      <c r="N52" s="153">
        <v>0.12186</v>
      </c>
    </row>
    <row r="53" spans="2:14" ht="12.75">
      <c r="B53" s="154">
        <v>0.4</v>
      </c>
      <c r="C53" s="153">
        <v>0</v>
      </c>
      <c r="D53" s="153">
        <v>0.0039229</v>
      </c>
      <c r="E53" s="153">
        <v>0.0073555</v>
      </c>
      <c r="F53" s="153">
        <v>0.02035</v>
      </c>
      <c r="G53" s="153">
        <v>0.030403</v>
      </c>
      <c r="H53" s="153">
        <v>0.040701</v>
      </c>
      <c r="I53" s="153">
        <v>0.053205</v>
      </c>
      <c r="J53" s="153">
        <v>0.067671</v>
      </c>
      <c r="K53" s="153">
        <v>0.083608</v>
      </c>
      <c r="L53" s="153">
        <v>0.09979</v>
      </c>
      <c r="M53" s="153">
        <v>0.11671</v>
      </c>
      <c r="N53" s="153">
        <v>0.13313</v>
      </c>
    </row>
    <row r="54" spans="2:14" ht="12.75">
      <c r="B54" s="154">
        <v>0.5</v>
      </c>
      <c r="C54" s="153">
        <v>0</v>
      </c>
      <c r="D54" s="153">
        <v>0.0044133</v>
      </c>
      <c r="E54" s="153">
        <v>0.0083363</v>
      </c>
      <c r="F54" s="153">
        <v>0.022067</v>
      </c>
      <c r="G54" s="153">
        <v>0.031874</v>
      </c>
      <c r="H54" s="153">
        <v>0.042907</v>
      </c>
      <c r="I54" s="153">
        <v>0.055166</v>
      </c>
      <c r="J54" s="153">
        <v>0.068897</v>
      </c>
      <c r="K54" s="153">
        <v>0.084834</v>
      </c>
      <c r="L54" s="153">
        <v>0.10077</v>
      </c>
      <c r="M54" s="153">
        <v>0.11695</v>
      </c>
      <c r="N54" s="153">
        <v>0.13289</v>
      </c>
    </row>
    <row r="55" spans="2:14" ht="12.75">
      <c r="B55" s="154">
        <v>0.6</v>
      </c>
      <c r="C55" s="153">
        <v>0</v>
      </c>
      <c r="D55" s="153">
        <v>0.0041681</v>
      </c>
      <c r="E55" s="153">
        <v>0.0078459</v>
      </c>
      <c r="F55" s="153">
        <v>0.021821</v>
      </c>
      <c r="G55" s="153">
        <v>0.030893</v>
      </c>
      <c r="H55" s="153">
        <v>0.040701</v>
      </c>
      <c r="I55" s="153">
        <v>0.051979</v>
      </c>
      <c r="J55" s="153">
        <v>0.064729</v>
      </c>
      <c r="K55" s="153">
        <v>0.078459</v>
      </c>
      <c r="L55" s="153">
        <v>0.09317</v>
      </c>
      <c r="M55" s="153">
        <v>0.10813</v>
      </c>
      <c r="N55" s="153">
        <v>0.12284</v>
      </c>
    </row>
    <row r="56" spans="2:14" ht="12.75">
      <c r="B56" s="154">
        <v>0.7</v>
      </c>
      <c r="C56" s="153">
        <v>0</v>
      </c>
      <c r="D56" s="153">
        <v>0.0034326</v>
      </c>
      <c r="E56" s="153">
        <v>0.0073555</v>
      </c>
      <c r="F56" s="153">
        <v>0.018634</v>
      </c>
      <c r="G56" s="153">
        <v>0.025499</v>
      </c>
      <c r="H56" s="153">
        <v>0.03359</v>
      </c>
      <c r="I56" s="153">
        <v>0.043398</v>
      </c>
      <c r="J56" s="153">
        <v>0.05345</v>
      </c>
      <c r="K56" s="153">
        <v>0.064729</v>
      </c>
      <c r="L56" s="153">
        <v>0.076252</v>
      </c>
      <c r="M56" s="153">
        <v>0.088266</v>
      </c>
      <c r="N56" s="153">
        <v>0.10028</v>
      </c>
    </row>
    <row r="57" spans="2:14" ht="12.75">
      <c r="B57" s="154">
        <v>0.8</v>
      </c>
      <c r="C57" s="153">
        <v>0</v>
      </c>
      <c r="D57" s="153">
        <v>0.0019615</v>
      </c>
      <c r="E57" s="153">
        <v>0.0049037</v>
      </c>
      <c r="F57" s="153">
        <v>0.01324</v>
      </c>
      <c r="G57" s="153">
        <v>0.018144</v>
      </c>
      <c r="H57" s="153">
        <v>0.024028</v>
      </c>
      <c r="I57" s="153">
        <v>0.031384</v>
      </c>
      <c r="J57" s="153">
        <v>0.038249</v>
      </c>
      <c r="K57" s="153">
        <v>0.04683</v>
      </c>
      <c r="L57" s="153">
        <v>0.055657</v>
      </c>
      <c r="M57" s="153">
        <v>0.063748</v>
      </c>
      <c r="N57" s="153">
        <v>0.072084</v>
      </c>
    </row>
    <row r="58" spans="2:14" ht="12.75">
      <c r="B58" s="154">
        <v>0.9</v>
      </c>
      <c r="C58" s="153">
        <v>0</v>
      </c>
      <c r="D58" s="153">
        <v>0.0012259</v>
      </c>
      <c r="E58" s="153">
        <v>0.0022067</v>
      </c>
      <c r="F58" s="153">
        <v>0.00662</v>
      </c>
      <c r="G58" s="153">
        <v>0.0095622</v>
      </c>
      <c r="H58" s="153">
        <v>0.01324</v>
      </c>
      <c r="I58" s="153">
        <v>0.016918</v>
      </c>
      <c r="J58" s="153">
        <v>0.021086</v>
      </c>
      <c r="K58" s="153">
        <v>0.025744</v>
      </c>
      <c r="L58" s="153">
        <v>0.030648</v>
      </c>
      <c r="M58" s="153">
        <v>0.035061</v>
      </c>
      <c r="N58" s="153">
        <v>0.039475</v>
      </c>
    </row>
    <row r="59" spans="2:14" ht="12.75">
      <c r="B59" s="154">
        <v>1</v>
      </c>
      <c r="C59" s="153">
        <v>0</v>
      </c>
      <c r="D59" s="153">
        <v>0</v>
      </c>
      <c r="E59" s="153">
        <v>0</v>
      </c>
      <c r="F59" s="153">
        <v>0</v>
      </c>
      <c r="G59" s="153">
        <v>0</v>
      </c>
      <c r="H59" s="153">
        <v>0</v>
      </c>
      <c r="I59" s="153">
        <v>0</v>
      </c>
      <c r="J59" s="153">
        <v>0</v>
      </c>
      <c r="K59" s="153">
        <v>0</v>
      </c>
      <c r="L59" s="153">
        <v>0</v>
      </c>
      <c r="M59" s="153">
        <v>0</v>
      </c>
      <c r="N59" s="153">
        <v>0</v>
      </c>
    </row>
    <row r="60" spans="2:14" ht="12.75"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</row>
    <row r="61" spans="2:14" ht="12.75"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</row>
    <row r="62" spans="2:14" ht="12.75">
      <c r="B62" s="154"/>
      <c r="C62" s="154">
        <v>-8</v>
      </c>
      <c r="D62" s="154">
        <v>-4</v>
      </c>
      <c r="E62" s="154">
        <v>0</v>
      </c>
      <c r="F62" s="154">
        <v>4</v>
      </c>
      <c r="G62" s="154"/>
      <c r="H62" s="154"/>
      <c r="I62" s="154"/>
      <c r="J62" s="154"/>
      <c r="K62" s="154"/>
      <c r="L62" s="154"/>
      <c r="M62" s="154"/>
      <c r="N62" s="154"/>
    </row>
    <row r="63" spans="2:14" ht="12.75">
      <c r="B63" s="154">
        <v>0</v>
      </c>
      <c r="C63" s="154">
        <v>0</v>
      </c>
      <c r="D63" s="154">
        <v>0</v>
      </c>
      <c r="E63" s="154">
        <v>0</v>
      </c>
      <c r="F63" s="154">
        <v>0</v>
      </c>
      <c r="G63" s="154"/>
      <c r="H63" s="154"/>
      <c r="I63" s="154"/>
      <c r="J63" s="154"/>
      <c r="K63" s="154"/>
      <c r="L63" s="154"/>
      <c r="M63" s="154"/>
      <c r="N63" s="154"/>
    </row>
    <row r="64" spans="2:14" ht="12.75">
      <c r="B64" s="154">
        <v>0.2</v>
      </c>
      <c r="C64" s="178">
        <v>0.23904</v>
      </c>
      <c r="D64" s="178">
        <v>0.25439</v>
      </c>
      <c r="E64" s="178">
        <v>0.28509</v>
      </c>
      <c r="F64" s="178">
        <v>0.33772</v>
      </c>
      <c r="G64" s="154"/>
      <c r="H64" s="154"/>
      <c r="I64" s="154"/>
      <c r="J64" s="154"/>
      <c r="K64" s="154"/>
      <c r="L64" s="154"/>
      <c r="M64" s="154"/>
      <c r="N64" s="154"/>
    </row>
    <row r="65" spans="2:14" ht="12.75">
      <c r="B65" s="154">
        <v>0.4</v>
      </c>
      <c r="C65" s="178">
        <v>0.46711</v>
      </c>
      <c r="D65" s="178">
        <v>0.49123</v>
      </c>
      <c r="E65" s="178">
        <v>0.54167</v>
      </c>
      <c r="F65" s="178">
        <v>0.60746</v>
      </c>
      <c r="G65" s="154"/>
      <c r="H65" s="154"/>
      <c r="I65" s="154"/>
      <c r="J65" s="154"/>
      <c r="K65" s="154"/>
      <c r="L65" s="154"/>
      <c r="M65" s="154"/>
      <c r="N65" s="154"/>
    </row>
    <row r="66" spans="2:14" ht="12.75">
      <c r="B66" s="154">
        <v>0.6</v>
      </c>
      <c r="C66" s="178">
        <v>0.68421</v>
      </c>
      <c r="D66" s="178">
        <v>0.70395</v>
      </c>
      <c r="E66" s="178">
        <v>0.75</v>
      </c>
      <c r="F66" s="178">
        <v>0.80921</v>
      </c>
      <c r="G66" s="154"/>
      <c r="H66" s="154"/>
      <c r="I66" s="154"/>
      <c r="J66" s="154"/>
      <c r="K66" s="154"/>
      <c r="L66" s="154"/>
      <c r="M66" s="154"/>
      <c r="N66" s="154"/>
    </row>
    <row r="67" spans="2:14" ht="12.75">
      <c r="B67" s="154">
        <v>0.8</v>
      </c>
      <c r="C67" s="178">
        <v>0.86842</v>
      </c>
      <c r="D67" s="178">
        <v>0.88377</v>
      </c>
      <c r="E67" s="178">
        <v>0.90789</v>
      </c>
      <c r="F67" s="178">
        <v>0.94518</v>
      </c>
      <c r="G67" s="154"/>
      <c r="H67" s="154"/>
      <c r="I67" s="154"/>
      <c r="J67" s="154"/>
      <c r="K67" s="154"/>
      <c r="L67" s="154"/>
      <c r="M67" s="154"/>
      <c r="N67" s="154"/>
    </row>
  </sheetData>
  <sheetProtection/>
  <mergeCells count="10">
    <mergeCell ref="A1:M1"/>
    <mergeCell ref="B3:J3"/>
    <mergeCell ref="A2:J2"/>
    <mergeCell ref="A13:A19"/>
    <mergeCell ref="A21:A27"/>
    <mergeCell ref="B13:G13"/>
    <mergeCell ref="B21:G21"/>
    <mergeCell ref="A20:G20"/>
    <mergeCell ref="A4:A11"/>
    <mergeCell ref="A12:G1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Plan9">
    <tabColor indexed="62"/>
  </sheetPr>
  <dimension ref="A1:M34"/>
  <sheetViews>
    <sheetView zoomScale="85" zoomScaleNormal="85" zoomScalePageLayoutView="0" workbookViewId="0" topLeftCell="A1">
      <selection activeCell="I23" sqref="I23:M34"/>
    </sheetView>
  </sheetViews>
  <sheetFormatPr defaultColWidth="9.140625" defaultRowHeight="12.75"/>
  <cols>
    <col min="1" max="16384" width="9.140625" style="18" customWidth="1"/>
  </cols>
  <sheetData>
    <row r="1" spans="1:13" ht="13.5" thickBot="1">
      <c r="A1" s="834" t="s">
        <v>244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</row>
    <row r="2" spans="1:13" ht="27.75" customHeight="1" thickBot="1">
      <c r="A2" s="841" t="s">
        <v>243</v>
      </c>
      <c r="B2" s="842"/>
      <c r="C2" s="842"/>
      <c r="D2" s="842"/>
      <c r="E2" s="56"/>
      <c r="F2" s="55"/>
      <c r="G2" s="64"/>
      <c r="H2" s="64"/>
      <c r="I2" s="64"/>
      <c r="J2" s="64"/>
      <c r="K2" s="64"/>
      <c r="L2" s="64"/>
      <c r="M2" s="65"/>
    </row>
    <row r="3" spans="1:13" ht="12.75" customHeight="1" thickBot="1">
      <c r="A3" s="68"/>
      <c r="B3" s="69"/>
      <c r="C3" s="840" t="s">
        <v>162</v>
      </c>
      <c r="D3" s="832"/>
      <c r="E3" s="66"/>
      <c r="F3" s="40"/>
      <c r="G3" s="40"/>
      <c r="H3" s="40"/>
      <c r="I3" s="40"/>
      <c r="J3" s="40"/>
      <c r="K3" s="40"/>
      <c r="L3" s="40"/>
      <c r="M3" s="47"/>
    </row>
    <row r="4" spans="1:13" ht="12.75">
      <c r="A4" s="828" t="s">
        <v>161</v>
      </c>
      <c r="B4" s="70">
        <v>0</v>
      </c>
      <c r="C4" s="843">
        <f>16.251*'Coeficientes Longitudinais'!G7^5-50.581*'Coeficientes Longitudinais'!G7^4+59.553*'Coeficientes Longitudinais'!G7^3-31.458*'Coeficientes Longitudinais'!G7^2+5.9385*'Coeficientes Longitudinais'!G7+1.4434</f>
        <v>1.379128661439216</v>
      </c>
      <c r="D4" s="844"/>
      <c r="E4" s="66"/>
      <c r="F4" s="40"/>
      <c r="G4" s="40"/>
      <c r="H4" s="40"/>
      <c r="I4" s="40"/>
      <c r="J4" s="40"/>
      <c r="K4" s="40"/>
      <c r="L4" s="40"/>
      <c r="M4" s="47"/>
    </row>
    <row r="5" spans="1:13" ht="12.75">
      <c r="A5" s="828"/>
      <c r="B5" s="70">
        <v>0.2</v>
      </c>
      <c r="C5" s="843">
        <f>10.404*'Coeficientes Longitudinais'!G7^5-29.045*'Coeficientes Longitudinais'!G7^4+28.136*'Coeficientes Longitudinais'!G7^3-8.635*'Coeficientes Longitudinais'!G7^2-2.468*'Coeficientes Longitudinais'!G7+2.7705</f>
        <v>1.4530882205528513</v>
      </c>
      <c r="D5" s="844"/>
      <c r="E5" s="66"/>
      <c r="F5" s="40"/>
      <c r="G5" s="40"/>
      <c r="H5" s="40"/>
      <c r="I5" s="40"/>
      <c r="J5" s="40"/>
      <c r="K5" s="40"/>
      <c r="L5" s="40"/>
      <c r="M5" s="47"/>
    </row>
    <row r="6" spans="1:13" ht="12.75">
      <c r="A6" s="828"/>
      <c r="B6" s="70">
        <v>0.4</v>
      </c>
      <c r="C6" s="836">
        <f>-2.1661*'Coeficientes Longitudinais'!G7^5+12.931*'Coeficientes Longitudinais'!G7^4-27.448*'Coeficientes Longitudinais'!G7^3+28.194*'Coeficientes Longitudinais'!G7^2-14.973*'Coeficientes Longitudinais'!G7+4.6165</f>
        <v>1.5482152448391746</v>
      </c>
      <c r="D6" s="837"/>
      <c r="E6" s="66"/>
      <c r="F6" s="40"/>
      <c r="G6" s="40"/>
      <c r="H6" s="40"/>
      <c r="I6" s="40"/>
      <c r="J6" s="40"/>
      <c r="K6" s="40"/>
      <c r="L6" s="40"/>
      <c r="M6" s="47"/>
    </row>
    <row r="7" spans="1:13" ht="12.75">
      <c r="A7" s="828"/>
      <c r="B7" s="70">
        <v>0.6</v>
      </c>
      <c r="C7" s="836">
        <f>5.1512*'Coeficientes Longitudinais'!G7^5-11.322*'Coeficientes Longitudinais'!G7^4+3.3409*'Coeficientes Longitudinais'!G7^3+9.9845*'Coeficientes Longitudinais'!G7^2-10.381*'Coeficientes Longitudinais'!G7+4.416</f>
        <v>1.6665194684043554</v>
      </c>
      <c r="D7" s="837"/>
      <c r="E7" s="66"/>
      <c r="F7" s="40"/>
      <c r="G7" s="40"/>
      <c r="H7" s="40"/>
      <c r="I7" s="40"/>
      <c r="J7" s="40"/>
      <c r="K7" s="40"/>
      <c r="L7" s="40"/>
      <c r="M7" s="47"/>
    </row>
    <row r="8" spans="1:13" ht="13.5" thickBot="1">
      <c r="A8" s="829"/>
      <c r="B8" s="71">
        <v>0.8</v>
      </c>
      <c r="C8" s="838">
        <f>-3.6702*'Coeficientes Longitudinais'!G7^5+20.237*'Coeficientes Longitudinais'!G7^4-41.363*'Coeficientes Longitudinais'!G7^3+41.659*'Coeficientes Longitudinais'!G7^2-21.926*'Coeficientes Longitudinais'!G7+6.2901</f>
        <v>1.810028353942701</v>
      </c>
      <c r="D8" s="839"/>
      <c r="E8" s="67"/>
      <c r="F8" s="43"/>
      <c r="G8" s="43"/>
      <c r="H8" s="43"/>
      <c r="I8" s="43"/>
      <c r="J8" s="43"/>
      <c r="K8" s="43"/>
      <c r="L8" s="43"/>
      <c r="M8" s="48"/>
    </row>
    <row r="9" spans="1:13" ht="12.7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13" ht="12.7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1:13" ht="12.7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</row>
    <row r="12" spans="1:13" ht="12.7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</row>
    <row r="13" spans="1:13" ht="12.7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spans="1:13" ht="12.7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</row>
    <row r="15" spans="1:13" ht="12.7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13" ht="12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1:13" ht="12.7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13" ht="12.7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</row>
    <row r="19" spans="1:13" ht="12.7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13" ht="12.7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</row>
    <row r="21" spans="1:13" ht="12.7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</row>
    <row r="22" spans="1:13" ht="12.7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</row>
    <row r="23" spans="1:13" ht="12.7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ht="12.7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12.7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2.7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</row>
    <row r="27" spans="1:13" ht="12.7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</row>
    <row r="28" spans="1:13" ht="12.7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12.7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</row>
    <row r="30" spans="1:13" ht="12.7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2.7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3" ht="12.7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3" ht="12.7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</row>
    <row r="34" spans="1:13" ht="12.7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</row>
  </sheetData>
  <sheetProtection/>
  <mergeCells count="9">
    <mergeCell ref="A1:M1"/>
    <mergeCell ref="C7:D7"/>
    <mergeCell ref="C8:D8"/>
    <mergeCell ref="C3:D3"/>
    <mergeCell ref="A4:A8"/>
    <mergeCell ref="A2:D2"/>
    <mergeCell ref="C4:D4"/>
    <mergeCell ref="C5:D5"/>
    <mergeCell ref="C6:D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Plan10">
    <tabColor indexed="62"/>
  </sheetPr>
  <dimension ref="A1:M279"/>
  <sheetViews>
    <sheetView zoomScale="85" zoomScaleNormal="85" zoomScalePageLayoutView="0" workbookViewId="0" topLeftCell="A228">
      <selection activeCell="B243" sqref="B243:C279"/>
    </sheetView>
  </sheetViews>
  <sheetFormatPr defaultColWidth="9.140625" defaultRowHeight="12.75"/>
  <cols>
    <col min="1" max="1" width="14.57421875" style="18" customWidth="1"/>
    <col min="2" max="2" width="11.421875" style="18" customWidth="1"/>
    <col min="3" max="16384" width="9.140625" style="18" customWidth="1"/>
  </cols>
  <sheetData>
    <row r="1" spans="1:13" ht="13.5" thickBot="1">
      <c r="A1" s="632" t="s">
        <v>245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4"/>
    </row>
    <row r="2" spans="1:13" ht="13.5" thickBot="1">
      <c r="A2" s="720" t="s">
        <v>246</v>
      </c>
      <c r="B2" s="721"/>
      <c r="C2" s="721"/>
      <c r="D2" s="721"/>
      <c r="E2" s="721"/>
      <c r="F2" s="721"/>
      <c r="G2" s="721"/>
      <c r="H2" s="722"/>
      <c r="I2" s="598"/>
      <c r="J2" s="599"/>
      <c r="K2" s="599"/>
      <c r="L2" s="599"/>
      <c r="M2" s="600"/>
    </row>
    <row r="3" spans="1:13" ht="13.5" customHeight="1" thickBot="1">
      <c r="A3" s="805" t="s">
        <v>109</v>
      </c>
      <c r="B3" s="846" t="s">
        <v>6</v>
      </c>
      <c r="C3" s="808"/>
      <c r="D3" s="808"/>
      <c r="E3" s="808"/>
      <c r="F3" s="808"/>
      <c r="G3" s="808"/>
      <c r="H3" s="809"/>
      <c r="I3" s="601"/>
      <c r="J3" s="602"/>
      <c r="K3" s="602"/>
      <c r="L3" s="602"/>
      <c r="M3" s="603"/>
    </row>
    <row r="4" spans="1:13" ht="12.75" customHeight="1">
      <c r="A4" s="806"/>
      <c r="B4" s="34"/>
      <c r="C4" s="30">
        <v>2</v>
      </c>
      <c r="D4" s="30">
        <v>4</v>
      </c>
      <c r="E4" s="30">
        <v>6</v>
      </c>
      <c r="F4" s="30">
        <v>8</v>
      </c>
      <c r="G4" s="30">
        <v>10</v>
      </c>
      <c r="H4" s="31">
        <v>12</v>
      </c>
      <c r="I4" s="601"/>
      <c r="J4" s="602"/>
      <c r="K4" s="602"/>
      <c r="L4" s="602"/>
      <c r="M4" s="603"/>
    </row>
    <row r="5" spans="1:13" ht="12.75">
      <c r="A5" s="806"/>
      <c r="B5" s="35">
        <v>-2</v>
      </c>
      <c r="C5" s="132">
        <v>1.2564</v>
      </c>
      <c r="D5" s="20">
        <v>1.46505</v>
      </c>
      <c r="E5" s="20">
        <v>1.6231</v>
      </c>
      <c r="F5" s="20">
        <v>1.7504</v>
      </c>
      <c r="G5" s="20">
        <v>1.8625</v>
      </c>
      <c r="H5" s="21">
        <v>1.97335</v>
      </c>
      <c r="I5" s="601"/>
      <c r="J5" s="602"/>
      <c r="K5" s="602"/>
      <c r="L5" s="602"/>
      <c r="M5" s="603"/>
    </row>
    <row r="6" spans="1:13" ht="12.75">
      <c r="A6" s="806"/>
      <c r="B6" s="35">
        <v>0</v>
      </c>
      <c r="C6" s="132">
        <v>1.2057</v>
      </c>
      <c r="D6" s="20">
        <v>1.3896</v>
      </c>
      <c r="E6" s="132">
        <v>1.5311</v>
      </c>
      <c r="F6" s="20">
        <v>1.6443</v>
      </c>
      <c r="G6" s="20">
        <v>1.7434</v>
      </c>
      <c r="H6" s="21">
        <v>1.8354</v>
      </c>
      <c r="I6" s="601"/>
      <c r="J6" s="602"/>
      <c r="K6" s="602"/>
      <c r="L6" s="602"/>
      <c r="M6" s="603"/>
    </row>
    <row r="7" spans="1:13" ht="12.75">
      <c r="A7" s="806"/>
      <c r="B7" s="35">
        <v>2</v>
      </c>
      <c r="C7" s="132">
        <v>1.1019</v>
      </c>
      <c r="D7" s="20">
        <v>1.2363</v>
      </c>
      <c r="E7" s="132">
        <v>1.359</v>
      </c>
      <c r="F7" s="20">
        <v>1.4745</v>
      </c>
      <c r="G7" s="20">
        <v>1.5783</v>
      </c>
      <c r="H7" s="21">
        <v>1.6915</v>
      </c>
      <c r="I7" s="601"/>
      <c r="J7" s="602"/>
      <c r="K7" s="602"/>
      <c r="L7" s="602"/>
      <c r="M7" s="603"/>
    </row>
    <row r="8" spans="1:13" ht="12.75">
      <c r="A8" s="806"/>
      <c r="B8" s="35">
        <v>4</v>
      </c>
      <c r="C8" s="132">
        <v>1.0217</v>
      </c>
      <c r="D8" s="20">
        <v>1.1302</v>
      </c>
      <c r="E8" s="20">
        <v>1.2387</v>
      </c>
      <c r="F8" s="20">
        <v>1.3495</v>
      </c>
      <c r="G8" s="20">
        <v>1.4533</v>
      </c>
      <c r="H8" s="21">
        <v>1.5524</v>
      </c>
      <c r="I8" s="601"/>
      <c r="J8" s="602"/>
      <c r="K8" s="602"/>
      <c r="L8" s="602"/>
      <c r="M8" s="603"/>
    </row>
    <row r="9" spans="1:13" ht="13.5" thickBot="1">
      <c r="A9" s="807"/>
      <c r="B9" s="36">
        <v>6</v>
      </c>
      <c r="C9" s="132">
        <v>1.0005</v>
      </c>
      <c r="D9" s="20">
        <v>1.0854</v>
      </c>
      <c r="E9" s="20">
        <v>1.175</v>
      </c>
      <c r="F9" s="20">
        <v>1.2623</v>
      </c>
      <c r="G9" s="20">
        <v>1.3401</v>
      </c>
      <c r="H9" s="21">
        <v>1.4156</v>
      </c>
      <c r="I9" s="601"/>
      <c r="J9" s="602"/>
      <c r="K9" s="602"/>
      <c r="L9" s="602"/>
      <c r="M9" s="603"/>
    </row>
    <row r="10" spans="1:13" ht="13.5" thickBot="1">
      <c r="A10" s="720" t="s">
        <v>247</v>
      </c>
      <c r="B10" s="721"/>
      <c r="C10" s="721"/>
      <c r="D10" s="721"/>
      <c r="E10" s="721"/>
      <c r="F10" s="721"/>
      <c r="G10" s="721"/>
      <c r="H10" s="722"/>
      <c r="I10" s="601"/>
      <c r="J10" s="602"/>
      <c r="K10" s="602"/>
      <c r="L10" s="602"/>
      <c r="M10" s="603"/>
    </row>
    <row r="11" spans="1:13" ht="13.5" customHeight="1" thickBot="1">
      <c r="A11" s="805" t="s">
        <v>109</v>
      </c>
      <c r="B11" s="846" t="s">
        <v>6</v>
      </c>
      <c r="C11" s="808"/>
      <c r="D11" s="808"/>
      <c r="E11" s="808"/>
      <c r="F11" s="808"/>
      <c r="G11" s="808"/>
      <c r="H11" s="809"/>
      <c r="I11" s="601"/>
      <c r="J11" s="602"/>
      <c r="K11" s="602"/>
      <c r="L11" s="602"/>
      <c r="M11" s="603"/>
    </row>
    <row r="12" spans="1:13" ht="12.75">
      <c r="A12" s="806"/>
      <c r="B12" s="34"/>
      <c r="C12" s="30">
        <v>2</v>
      </c>
      <c r="D12" s="30">
        <v>4</v>
      </c>
      <c r="E12" s="30">
        <v>6</v>
      </c>
      <c r="F12" s="30">
        <v>8</v>
      </c>
      <c r="G12" s="30">
        <v>10</v>
      </c>
      <c r="H12" s="31">
        <v>12</v>
      </c>
      <c r="I12" s="601"/>
      <c r="J12" s="602"/>
      <c r="K12" s="602"/>
      <c r="L12" s="602"/>
      <c r="M12" s="603"/>
    </row>
    <row r="13" spans="1:13" ht="12.75">
      <c r="A13" s="806"/>
      <c r="B13" s="35">
        <v>-2</v>
      </c>
      <c r="C13" s="132">
        <v>1.20579</v>
      </c>
      <c r="D13" s="132">
        <v>1.27929</v>
      </c>
      <c r="E13" s="132">
        <v>1.3506</v>
      </c>
      <c r="F13" s="132">
        <v>1.40922</v>
      </c>
      <c r="G13" s="132">
        <v>1.460885</v>
      </c>
      <c r="H13" s="273">
        <v>1.508045</v>
      </c>
      <c r="I13" s="601"/>
      <c r="J13" s="602"/>
      <c r="K13" s="602"/>
      <c r="L13" s="602"/>
      <c r="M13" s="603"/>
    </row>
    <row r="14" spans="1:13" ht="12.75">
      <c r="A14" s="806"/>
      <c r="B14" s="35">
        <v>0</v>
      </c>
      <c r="C14" s="132">
        <v>1.0874</v>
      </c>
      <c r="D14" s="20">
        <v>1.1655</v>
      </c>
      <c r="E14" s="20">
        <v>1.2345</v>
      </c>
      <c r="F14" s="20">
        <v>1.292</v>
      </c>
      <c r="G14" s="20">
        <v>1.3402</v>
      </c>
      <c r="H14" s="21">
        <v>1.3839</v>
      </c>
      <c r="I14" s="601"/>
      <c r="J14" s="602"/>
      <c r="K14" s="602"/>
      <c r="L14" s="602"/>
      <c r="M14" s="603"/>
    </row>
    <row r="15" spans="1:13" ht="12.75">
      <c r="A15" s="806"/>
      <c r="B15" s="35">
        <v>2</v>
      </c>
      <c r="C15" s="132">
        <v>0.91264</v>
      </c>
      <c r="D15" s="132">
        <v>0.97011</v>
      </c>
      <c r="E15" s="20">
        <v>1.0414</v>
      </c>
      <c r="F15" s="20">
        <v>1.1057</v>
      </c>
      <c r="G15" s="132">
        <v>1.1724</v>
      </c>
      <c r="H15" s="21">
        <v>1.2368</v>
      </c>
      <c r="I15" s="601"/>
      <c r="J15" s="602"/>
      <c r="K15" s="602"/>
      <c r="L15" s="602"/>
      <c r="M15" s="603"/>
    </row>
    <row r="16" spans="1:13" ht="12.75">
      <c r="A16" s="806"/>
      <c r="B16" s="35">
        <v>4</v>
      </c>
      <c r="C16" s="132">
        <v>0.74483</v>
      </c>
      <c r="D16" s="132">
        <v>0.82529</v>
      </c>
      <c r="E16" s="132">
        <v>0.90115</v>
      </c>
      <c r="F16" s="132">
        <v>0.97471</v>
      </c>
      <c r="G16" s="20">
        <v>1.0414</v>
      </c>
      <c r="H16" s="21">
        <v>1.108</v>
      </c>
      <c r="I16" s="601"/>
      <c r="J16" s="602"/>
      <c r="K16" s="602"/>
      <c r="L16" s="602"/>
      <c r="M16" s="603"/>
    </row>
    <row r="17" spans="1:13" ht="13.5" thickBot="1">
      <c r="A17" s="807"/>
      <c r="B17" s="36">
        <v>6</v>
      </c>
      <c r="C17" s="132">
        <v>0.67586</v>
      </c>
      <c r="D17" s="132">
        <v>0.74253</v>
      </c>
      <c r="E17" s="132">
        <v>0.8092</v>
      </c>
      <c r="F17" s="132">
        <v>0.87126</v>
      </c>
      <c r="G17" s="132">
        <v>0.93103</v>
      </c>
      <c r="H17" s="273">
        <v>0.98851</v>
      </c>
      <c r="I17" s="601"/>
      <c r="J17" s="602"/>
      <c r="K17" s="602"/>
      <c r="L17" s="602"/>
      <c r="M17" s="603"/>
    </row>
    <row r="18" spans="1:13" ht="13.5" thickBot="1">
      <c r="A18" s="720" t="s">
        <v>255</v>
      </c>
      <c r="B18" s="721"/>
      <c r="C18" s="721"/>
      <c r="D18" s="721"/>
      <c r="E18" s="721"/>
      <c r="F18" s="721"/>
      <c r="G18" s="721"/>
      <c r="H18" s="722"/>
      <c r="I18" s="601"/>
      <c r="J18" s="602"/>
      <c r="K18" s="602"/>
      <c r="L18" s="602"/>
      <c r="M18" s="603"/>
    </row>
    <row r="19" spans="1:13" ht="13.5" customHeight="1" thickBot="1">
      <c r="A19" s="805" t="s">
        <v>109</v>
      </c>
      <c r="B19" s="808" t="s">
        <v>6</v>
      </c>
      <c r="C19" s="808"/>
      <c r="D19" s="808"/>
      <c r="E19" s="808"/>
      <c r="F19" s="808"/>
      <c r="G19" s="808"/>
      <c r="H19" s="809"/>
      <c r="I19" s="601"/>
      <c r="J19" s="602"/>
      <c r="K19" s="602"/>
      <c r="L19" s="602"/>
      <c r="M19" s="603"/>
    </row>
    <row r="20" spans="1:13" ht="12.75">
      <c r="A20" s="806"/>
      <c r="B20" s="34"/>
      <c r="C20" s="30">
        <v>2</v>
      </c>
      <c r="D20" s="30">
        <v>4</v>
      </c>
      <c r="E20" s="30">
        <v>6</v>
      </c>
      <c r="F20" s="30">
        <v>8</v>
      </c>
      <c r="G20" s="30">
        <v>10</v>
      </c>
      <c r="H20" s="31">
        <v>12</v>
      </c>
      <c r="I20" s="601"/>
      <c r="J20" s="602"/>
      <c r="K20" s="602"/>
      <c r="L20" s="602"/>
      <c r="M20" s="603"/>
    </row>
    <row r="21" spans="1:13" ht="12.75">
      <c r="A21" s="806"/>
      <c r="B21" s="35">
        <v>-2</v>
      </c>
      <c r="C21" s="33">
        <v>1.21347</v>
      </c>
      <c r="D21" s="33">
        <v>1.211205</v>
      </c>
      <c r="E21" s="33">
        <v>1.204435</v>
      </c>
      <c r="F21" s="33">
        <v>1.196645</v>
      </c>
      <c r="G21" s="33">
        <v>1.201085</v>
      </c>
      <c r="H21" s="26">
        <v>1.214565</v>
      </c>
      <c r="I21" s="601"/>
      <c r="J21" s="602"/>
      <c r="K21" s="602"/>
      <c r="L21" s="602"/>
      <c r="M21" s="603"/>
    </row>
    <row r="22" spans="1:13" ht="12.75">
      <c r="A22" s="806"/>
      <c r="B22" s="35">
        <v>0</v>
      </c>
      <c r="C22" s="33">
        <v>1.0342</v>
      </c>
      <c r="D22" s="33">
        <v>1.0521</v>
      </c>
      <c r="E22" s="33">
        <v>1.0655</v>
      </c>
      <c r="F22" s="33">
        <v>1.079</v>
      </c>
      <c r="G22" s="33">
        <v>1.0924</v>
      </c>
      <c r="H22" s="26">
        <v>1.1014</v>
      </c>
      <c r="I22" s="601"/>
      <c r="J22" s="602"/>
      <c r="K22" s="602"/>
      <c r="L22" s="602"/>
      <c r="M22" s="603"/>
    </row>
    <row r="23" spans="1:13" ht="12.75">
      <c r="A23" s="806"/>
      <c r="B23" s="35">
        <v>2</v>
      </c>
      <c r="C23" s="33">
        <v>0.79888</v>
      </c>
      <c r="D23" s="33">
        <v>0.79888</v>
      </c>
      <c r="E23" s="33">
        <v>0.82129</v>
      </c>
      <c r="F23" s="33">
        <v>0.84818</v>
      </c>
      <c r="G23" s="33">
        <v>0.87059</v>
      </c>
      <c r="H23" s="26">
        <v>0.89076</v>
      </c>
      <c r="I23" s="601"/>
      <c r="J23" s="602"/>
      <c r="K23" s="602"/>
      <c r="L23" s="602"/>
      <c r="M23" s="603"/>
    </row>
    <row r="24" spans="1:13" ht="12.75">
      <c r="A24" s="806"/>
      <c r="B24" s="35">
        <v>4</v>
      </c>
      <c r="C24" s="33">
        <v>0.53445</v>
      </c>
      <c r="D24" s="33">
        <v>0.6084</v>
      </c>
      <c r="E24" s="33">
        <v>0.67339</v>
      </c>
      <c r="F24" s="33">
        <v>0.71373</v>
      </c>
      <c r="G24" s="33">
        <v>0.72941</v>
      </c>
      <c r="H24" s="26">
        <v>0.74062</v>
      </c>
      <c r="I24" s="601"/>
      <c r="J24" s="602"/>
      <c r="K24" s="602"/>
      <c r="L24" s="602"/>
      <c r="M24" s="603"/>
    </row>
    <row r="25" spans="1:13" ht="13.5" thickBot="1">
      <c r="A25" s="807"/>
      <c r="B25" s="36">
        <v>6</v>
      </c>
      <c r="C25" s="33">
        <v>0.44034</v>
      </c>
      <c r="D25" s="33">
        <v>0.48067</v>
      </c>
      <c r="E25" s="33">
        <v>0.54342</v>
      </c>
      <c r="F25" s="33">
        <v>0.61289</v>
      </c>
      <c r="G25" s="33">
        <v>0.65322</v>
      </c>
      <c r="H25" s="26">
        <v>0.66443</v>
      </c>
      <c r="I25" s="601"/>
      <c r="J25" s="602"/>
      <c r="K25" s="602"/>
      <c r="L25" s="602"/>
      <c r="M25" s="603"/>
    </row>
    <row r="26" spans="1:13" ht="13.5" thickBot="1">
      <c r="A26" s="720" t="s">
        <v>256</v>
      </c>
      <c r="B26" s="721"/>
      <c r="C26" s="721"/>
      <c r="D26" s="721"/>
      <c r="E26" s="721"/>
      <c r="F26" s="721"/>
      <c r="G26" s="721"/>
      <c r="H26" s="722"/>
      <c r="I26" s="601"/>
      <c r="J26" s="602"/>
      <c r="K26" s="602"/>
      <c r="L26" s="602"/>
      <c r="M26" s="603"/>
    </row>
    <row r="27" spans="1:13" ht="13.5" customHeight="1" thickBot="1">
      <c r="A27" s="805" t="s">
        <v>109</v>
      </c>
      <c r="B27" s="846" t="s">
        <v>6</v>
      </c>
      <c r="C27" s="808"/>
      <c r="D27" s="808"/>
      <c r="E27" s="808"/>
      <c r="F27" s="808"/>
      <c r="G27" s="808"/>
      <c r="H27" s="809"/>
      <c r="I27" s="601"/>
      <c r="J27" s="602"/>
      <c r="K27" s="602"/>
      <c r="L27" s="602"/>
      <c r="M27" s="603"/>
    </row>
    <row r="28" spans="1:13" ht="12.75">
      <c r="A28" s="854"/>
      <c r="B28" s="34"/>
      <c r="C28" s="30">
        <v>2</v>
      </c>
      <c r="D28" s="30">
        <v>4</v>
      </c>
      <c r="E28" s="30">
        <v>6</v>
      </c>
      <c r="F28" s="30">
        <v>8</v>
      </c>
      <c r="G28" s="30">
        <v>10</v>
      </c>
      <c r="H28" s="31">
        <v>12</v>
      </c>
      <c r="I28" s="602"/>
      <c r="J28" s="602"/>
      <c r="K28" s="602"/>
      <c r="L28" s="602"/>
      <c r="M28" s="603"/>
    </row>
    <row r="29" spans="1:13" ht="12.75">
      <c r="A29" s="854"/>
      <c r="B29" s="35">
        <v>-2</v>
      </c>
      <c r="C29" s="33">
        <v>1.403155</v>
      </c>
      <c r="D29" s="33">
        <v>1.060815</v>
      </c>
      <c r="E29" s="33">
        <v>0.96171</v>
      </c>
      <c r="F29" s="33">
        <v>0.90653</v>
      </c>
      <c r="G29" s="33">
        <v>0.88626</v>
      </c>
      <c r="H29" s="26">
        <v>0.893015</v>
      </c>
      <c r="I29" s="602"/>
      <c r="J29" s="602"/>
      <c r="K29" s="602"/>
      <c r="L29" s="602"/>
      <c r="M29" s="603"/>
    </row>
    <row r="30" spans="1:13" ht="12.75">
      <c r="A30" s="854"/>
      <c r="B30" s="35">
        <v>0</v>
      </c>
      <c r="C30" s="33">
        <v>1</v>
      </c>
      <c r="D30" s="33">
        <v>0.86937</v>
      </c>
      <c r="E30" s="33">
        <v>0.8018</v>
      </c>
      <c r="F30" s="33">
        <v>0.76351</v>
      </c>
      <c r="G30" s="33">
        <v>0.74099</v>
      </c>
      <c r="H30" s="26">
        <v>0.73198</v>
      </c>
      <c r="I30" s="602"/>
      <c r="J30" s="602"/>
      <c r="K30" s="602"/>
      <c r="L30" s="602"/>
      <c r="M30" s="603"/>
    </row>
    <row r="31" spans="1:13" ht="12.75">
      <c r="A31" s="854"/>
      <c r="B31" s="35">
        <v>2</v>
      </c>
      <c r="C31" s="33">
        <v>0.9482</v>
      </c>
      <c r="D31" s="33">
        <v>0.57658</v>
      </c>
      <c r="E31" s="33">
        <v>0.55405</v>
      </c>
      <c r="F31" s="33">
        <v>0.5473</v>
      </c>
      <c r="G31" s="33">
        <v>0.54054</v>
      </c>
      <c r="H31" s="26">
        <v>0.53829</v>
      </c>
      <c r="I31" s="602"/>
      <c r="J31" s="602"/>
      <c r="K31" s="602"/>
      <c r="L31" s="602"/>
      <c r="M31" s="603"/>
    </row>
    <row r="32" spans="1:13" ht="12.75">
      <c r="A32" s="854"/>
      <c r="B32" s="35">
        <v>4</v>
      </c>
      <c r="C32" s="33">
        <v>0.21396</v>
      </c>
      <c r="D32" s="33">
        <v>0.33333</v>
      </c>
      <c r="E32" s="33">
        <v>0.36261</v>
      </c>
      <c r="F32" s="33">
        <v>0.37613</v>
      </c>
      <c r="G32" s="33">
        <v>0.38288</v>
      </c>
      <c r="H32" s="26">
        <v>0.37387</v>
      </c>
      <c r="I32" s="602"/>
      <c r="J32" s="602"/>
      <c r="K32" s="602"/>
      <c r="L32" s="602"/>
      <c r="M32" s="603"/>
    </row>
    <row r="33" spans="1:13" ht="13.5" thickBot="1">
      <c r="A33" s="855"/>
      <c r="B33" s="36">
        <v>6</v>
      </c>
      <c r="C33" s="97">
        <v>0.14189</v>
      </c>
      <c r="D33" s="97">
        <v>0.19369</v>
      </c>
      <c r="E33" s="97">
        <v>0.23423</v>
      </c>
      <c r="F33" s="97">
        <v>0.26126</v>
      </c>
      <c r="G33" s="97">
        <v>0.25</v>
      </c>
      <c r="H33" s="28">
        <v>0.21622</v>
      </c>
      <c r="I33" s="41"/>
      <c r="J33" s="41"/>
      <c r="K33" s="41"/>
      <c r="L33" s="41"/>
      <c r="M33" s="42"/>
    </row>
    <row r="34" spans="1:13" ht="13.5" thickBot="1">
      <c r="A34" s="558" t="s">
        <v>248</v>
      </c>
      <c r="B34" s="559"/>
      <c r="C34" s="845"/>
      <c r="D34" s="601"/>
      <c r="E34" s="602"/>
      <c r="F34" s="602"/>
      <c r="G34" s="602"/>
      <c r="H34" s="602"/>
      <c r="I34" s="602"/>
      <c r="J34" s="602"/>
      <c r="K34" s="602"/>
      <c r="L34" s="602"/>
      <c r="M34" s="603"/>
    </row>
    <row r="35" spans="1:13" ht="13.5" thickBot="1">
      <c r="A35" s="53"/>
      <c r="B35" s="46"/>
      <c r="C35" s="75" t="s">
        <v>249</v>
      </c>
      <c r="D35" s="601"/>
      <c r="E35" s="602"/>
      <c r="F35" s="602"/>
      <c r="G35" s="602"/>
      <c r="H35" s="602"/>
      <c r="I35" s="602"/>
      <c r="J35" s="602"/>
      <c r="K35" s="602"/>
      <c r="L35" s="602"/>
      <c r="M35" s="603"/>
    </row>
    <row r="36" spans="1:13" ht="12.75">
      <c r="A36" s="806" t="s">
        <v>45</v>
      </c>
      <c r="B36" s="79">
        <v>0</v>
      </c>
      <c r="C36" s="11" t="e">
        <f>DITP('Coeficientes Longitudinais'!$C$5,'Coeficientes Longitudinais'!$C$10,'ESDU 80020'!$B$4:$H$9)</f>
        <v>#NAME?</v>
      </c>
      <c r="D36" s="601"/>
      <c r="E36" s="602"/>
      <c r="F36" s="602"/>
      <c r="G36" s="602"/>
      <c r="H36" s="602"/>
      <c r="I36" s="602"/>
      <c r="J36" s="602"/>
      <c r="K36" s="602"/>
      <c r="L36" s="602"/>
      <c r="M36" s="603"/>
    </row>
    <row r="37" spans="1:13" ht="12.75">
      <c r="A37" s="806"/>
      <c r="B37" s="61">
        <v>0.25</v>
      </c>
      <c r="C37" s="11" t="e">
        <f>DITP('Coeficientes Longitudinais'!$C$5,'Coeficientes Longitudinais'!$C$10,'ESDU 80020'!$B$12:$H$17)</f>
        <v>#NAME?</v>
      </c>
      <c r="D37" s="601"/>
      <c r="E37" s="602"/>
      <c r="F37" s="602"/>
      <c r="G37" s="602"/>
      <c r="H37" s="602"/>
      <c r="I37" s="602"/>
      <c r="J37" s="602"/>
      <c r="K37" s="602"/>
      <c r="L37" s="602"/>
      <c r="M37" s="603"/>
    </row>
    <row r="38" spans="1:13" ht="12.75">
      <c r="A38" s="806"/>
      <c r="B38" s="61">
        <v>0.5</v>
      </c>
      <c r="C38" s="11" t="e">
        <f>DITP('Coeficientes Longitudinais'!$C$5,'Coeficientes Longitudinais'!$C$10,'ESDU 80020'!$B$20:$H$25)</f>
        <v>#NAME?</v>
      </c>
      <c r="D38" s="601"/>
      <c r="E38" s="602"/>
      <c r="F38" s="602"/>
      <c r="G38" s="602"/>
      <c r="H38" s="602"/>
      <c r="I38" s="602"/>
      <c r="J38" s="602"/>
      <c r="K38" s="602"/>
      <c r="L38" s="602"/>
      <c r="M38" s="603"/>
    </row>
    <row r="39" spans="1:13" ht="13.5" thickBot="1">
      <c r="A39" s="806"/>
      <c r="B39" s="62">
        <v>1</v>
      </c>
      <c r="C39" s="11" t="e">
        <f>DITP('Coeficientes Longitudinais'!$C$5,'Coeficientes Longitudinais'!$C$10,'ESDU 80020'!$B$28:$H$33)</f>
        <v>#NAME?</v>
      </c>
      <c r="D39" s="601"/>
      <c r="E39" s="602"/>
      <c r="F39" s="602"/>
      <c r="G39" s="602"/>
      <c r="H39" s="602"/>
      <c r="I39" s="602"/>
      <c r="J39" s="602"/>
      <c r="K39" s="602"/>
      <c r="L39" s="602"/>
      <c r="M39" s="603"/>
    </row>
    <row r="40" spans="1:13" ht="13.5" thickBot="1">
      <c r="A40" s="731" t="s">
        <v>250</v>
      </c>
      <c r="B40" s="810"/>
      <c r="C40" s="810"/>
      <c r="D40" s="810"/>
      <c r="E40" s="810"/>
      <c r="F40" s="810"/>
      <c r="G40" s="810"/>
      <c r="H40" s="810"/>
      <c r="I40" s="810"/>
      <c r="J40" s="811"/>
      <c r="K40" s="601"/>
      <c r="L40" s="602"/>
      <c r="M40" s="603"/>
    </row>
    <row r="41" spans="1:13" ht="13.5" thickBot="1">
      <c r="A41" s="53" t="s">
        <v>251</v>
      </c>
      <c r="B41" s="808" t="s">
        <v>172</v>
      </c>
      <c r="C41" s="808"/>
      <c r="D41" s="808"/>
      <c r="E41" s="808"/>
      <c r="F41" s="808"/>
      <c r="G41" s="808"/>
      <c r="H41" s="808"/>
      <c r="I41" s="808"/>
      <c r="J41" s="809"/>
      <c r="K41" s="601"/>
      <c r="L41" s="602"/>
      <c r="M41" s="603"/>
    </row>
    <row r="42" spans="1:13" ht="12.75">
      <c r="A42" s="806" t="s">
        <v>174</v>
      </c>
      <c r="B42" s="60"/>
      <c r="C42" s="58">
        <v>0</v>
      </c>
      <c r="D42" s="58">
        <v>0.2</v>
      </c>
      <c r="E42" s="58">
        <v>0.4</v>
      </c>
      <c r="F42" s="58">
        <v>0.6</v>
      </c>
      <c r="G42" s="58">
        <v>0.8</v>
      </c>
      <c r="H42" s="58">
        <v>1</v>
      </c>
      <c r="I42" s="58">
        <v>1.2</v>
      </c>
      <c r="J42" s="59">
        <v>1.4</v>
      </c>
      <c r="K42" s="601"/>
      <c r="L42" s="602"/>
      <c r="M42" s="603"/>
    </row>
    <row r="43" spans="1:13" ht="12.75" customHeight="1">
      <c r="A43" s="806"/>
      <c r="B43" s="61">
        <v>0</v>
      </c>
      <c r="C43" s="10">
        <v>1</v>
      </c>
      <c r="D43" s="10">
        <v>1</v>
      </c>
      <c r="E43" s="10">
        <v>1</v>
      </c>
      <c r="F43" s="10">
        <v>1</v>
      </c>
      <c r="G43" s="10">
        <v>1</v>
      </c>
      <c r="H43" s="10">
        <v>1</v>
      </c>
      <c r="I43" s="10">
        <v>1</v>
      </c>
      <c r="J43" s="11">
        <v>1</v>
      </c>
      <c r="K43" s="601"/>
      <c r="L43" s="602"/>
      <c r="M43" s="603"/>
    </row>
    <row r="44" spans="1:13" ht="12.75">
      <c r="A44" s="806"/>
      <c r="B44" s="61">
        <v>0.4</v>
      </c>
      <c r="C44" s="10">
        <v>1.0179</v>
      </c>
      <c r="D44" s="10">
        <v>1.0154</v>
      </c>
      <c r="E44" s="10">
        <v>1.0179</v>
      </c>
      <c r="F44" s="10">
        <v>1.0205</v>
      </c>
      <c r="G44" s="10">
        <v>1.0282</v>
      </c>
      <c r="H44" s="10">
        <v>1.0308</v>
      </c>
      <c r="I44" s="10">
        <v>1.0359</v>
      </c>
      <c r="J44" s="11">
        <v>1.041</v>
      </c>
      <c r="K44" s="601"/>
      <c r="L44" s="602"/>
      <c r="M44" s="603"/>
    </row>
    <row r="45" spans="1:13" ht="12.75">
      <c r="A45" s="806"/>
      <c r="B45" s="61">
        <v>0.6</v>
      </c>
      <c r="C45" s="10">
        <v>1.041</v>
      </c>
      <c r="D45" s="10">
        <v>1.0436</v>
      </c>
      <c r="E45" s="10">
        <v>1.0487</v>
      </c>
      <c r="F45" s="10">
        <v>1.059</v>
      </c>
      <c r="G45" s="10">
        <v>1.0692</v>
      </c>
      <c r="H45" s="10">
        <v>1.0769</v>
      </c>
      <c r="I45" s="10">
        <v>1.0897</v>
      </c>
      <c r="J45" s="11">
        <v>1.1077</v>
      </c>
      <c r="K45" s="601"/>
      <c r="L45" s="602"/>
      <c r="M45" s="603"/>
    </row>
    <row r="46" spans="1:13" ht="12.75">
      <c r="A46" s="806"/>
      <c r="B46" s="61">
        <v>0.8</v>
      </c>
      <c r="C46" s="10">
        <v>1.0718</v>
      </c>
      <c r="D46" s="10">
        <v>1.0795</v>
      </c>
      <c r="E46" s="10">
        <v>1.0897</v>
      </c>
      <c r="F46" s="10">
        <v>1.1051</v>
      </c>
      <c r="G46" s="10">
        <v>1.1205</v>
      </c>
      <c r="H46" s="10">
        <v>1.1462</v>
      </c>
      <c r="I46" s="10">
        <v>1.1769</v>
      </c>
      <c r="J46" s="11">
        <v>1.2077</v>
      </c>
      <c r="K46" s="601"/>
      <c r="L46" s="602"/>
      <c r="M46" s="603"/>
    </row>
    <row r="47" spans="1:13" ht="12.75">
      <c r="A47" s="806"/>
      <c r="B47" s="61">
        <v>1</v>
      </c>
      <c r="C47" s="10">
        <v>1.1077</v>
      </c>
      <c r="D47" s="10">
        <v>1.1231</v>
      </c>
      <c r="E47" s="10">
        <v>1.1462</v>
      </c>
      <c r="F47" s="10">
        <v>1.1692</v>
      </c>
      <c r="G47" s="10">
        <v>1.2</v>
      </c>
      <c r="H47" s="10">
        <v>1.241</v>
      </c>
      <c r="I47" s="10">
        <v>1.2923</v>
      </c>
      <c r="J47" s="11">
        <v>1.3487</v>
      </c>
      <c r="K47" s="601"/>
      <c r="L47" s="602"/>
      <c r="M47" s="603"/>
    </row>
    <row r="48" spans="1:13" ht="12.75">
      <c r="A48" s="806"/>
      <c r="B48" s="61">
        <v>1.2</v>
      </c>
      <c r="C48" s="10">
        <v>1.1462</v>
      </c>
      <c r="D48" s="10">
        <v>1.1692</v>
      </c>
      <c r="E48" s="10">
        <v>1.2</v>
      </c>
      <c r="F48" s="10">
        <v>1.2385</v>
      </c>
      <c r="G48" s="10">
        <v>1.2897</v>
      </c>
      <c r="H48" s="10">
        <v>1.3487</v>
      </c>
      <c r="I48" s="10">
        <v>1.4231</v>
      </c>
      <c r="J48" s="11">
        <v>1.5077</v>
      </c>
      <c r="K48" s="601"/>
      <c r="L48" s="602"/>
      <c r="M48" s="603"/>
    </row>
    <row r="49" spans="1:13" ht="12.75">
      <c r="A49" s="806"/>
      <c r="B49" s="61">
        <v>1.4</v>
      </c>
      <c r="C49" s="10">
        <v>1.1923</v>
      </c>
      <c r="D49" s="10">
        <v>1.2256</v>
      </c>
      <c r="E49" s="10">
        <v>1.2667</v>
      </c>
      <c r="F49" s="10">
        <v>1.3179</v>
      </c>
      <c r="G49" s="10">
        <v>1.3846</v>
      </c>
      <c r="H49" s="10">
        <v>1.4692</v>
      </c>
      <c r="I49" s="10">
        <v>1.5692</v>
      </c>
      <c r="J49" s="11">
        <v>1.6769</v>
      </c>
      <c r="K49" s="601"/>
      <c r="L49" s="602"/>
      <c r="M49" s="603"/>
    </row>
    <row r="50" spans="1:13" ht="12.75">
      <c r="A50" s="806"/>
      <c r="B50" s="61">
        <v>1.6</v>
      </c>
      <c r="C50" s="10">
        <v>1.241</v>
      </c>
      <c r="D50" s="10">
        <v>1.2795</v>
      </c>
      <c r="E50" s="10">
        <v>1.3359</v>
      </c>
      <c r="F50" s="10">
        <v>1.4026</v>
      </c>
      <c r="G50" s="10">
        <v>1.4974</v>
      </c>
      <c r="H50" s="10">
        <v>1.6</v>
      </c>
      <c r="I50" s="10">
        <v>1.7179</v>
      </c>
      <c r="J50" s="11">
        <v>1.859</v>
      </c>
      <c r="K50" s="601"/>
      <c r="L50" s="602"/>
      <c r="M50" s="603"/>
    </row>
    <row r="51" spans="1:13" ht="12.75">
      <c r="A51" s="806"/>
      <c r="B51" s="61">
        <v>1.8</v>
      </c>
      <c r="C51" s="10">
        <v>1.2897</v>
      </c>
      <c r="D51" s="10">
        <v>1.3385</v>
      </c>
      <c r="E51" s="10">
        <v>1.4026</v>
      </c>
      <c r="F51" s="10">
        <v>1.4974</v>
      </c>
      <c r="G51" s="10">
        <v>1.6026</v>
      </c>
      <c r="H51" s="10">
        <v>1.7308</v>
      </c>
      <c r="I51" s="10">
        <v>1.8718</v>
      </c>
      <c r="J51" s="11">
        <v>2.0385</v>
      </c>
      <c r="K51" s="601"/>
      <c r="L51" s="602"/>
      <c r="M51" s="603"/>
    </row>
    <row r="52" spans="1:13" ht="13.5" thickBot="1">
      <c r="A52" s="807"/>
      <c r="B52" s="62">
        <v>2</v>
      </c>
      <c r="C52" s="8">
        <v>1.341</v>
      </c>
      <c r="D52" s="8">
        <v>1.3974</v>
      </c>
      <c r="E52" s="8">
        <v>1.4821</v>
      </c>
      <c r="F52" s="8">
        <v>1.5923</v>
      </c>
      <c r="G52" s="8">
        <v>1.7205</v>
      </c>
      <c r="H52" s="8">
        <v>1.8667</v>
      </c>
      <c r="I52" s="8">
        <v>2.0333</v>
      </c>
      <c r="J52" s="9">
        <v>2.2205</v>
      </c>
      <c r="K52" s="601"/>
      <c r="L52" s="602"/>
      <c r="M52" s="603"/>
    </row>
    <row r="53" spans="1:13" ht="13.5" thickBot="1">
      <c r="A53" s="731" t="s">
        <v>252</v>
      </c>
      <c r="B53" s="810"/>
      <c r="C53" s="810"/>
      <c r="D53" s="810"/>
      <c r="E53" s="810"/>
      <c r="F53" s="810"/>
      <c r="G53" s="810"/>
      <c r="H53" s="810"/>
      <c r="I53" s="811"/>
      <c r="J53" s="601"/>
      <c r="K53" s="602"/>
      <c r="L53" s="602"/>
      <c r="M53" s="603"/>
    </row>
    <row r="54" spans="1:13" ht="13.5" thickBot="1">
      <c r="A54" s="53" t="s">
        <v>253</v>
      </c>
      <c r="B54" s="808" t="s">
        <v>107</v>
      </c>
      <c r="C54" s="808"/>
      <c r="D54" s="808"/>
      <c r="E54" s="808"/>
      <c r="F54" s="808"/>
      <c r="G54" s="808"/>
      <c r="H54" s="808"/>
      <c r="I54" s="809"/>
      <c r="J54" s="601"/>
      <c r="K54" s="602"/>
      <c r="L54" s="602"/>
      <c r="M54" s="603"/>
    </row>
    <row r="55" spans="1:13" ht="12.75">
      <c r="A55" s="806" t="s">
        <v>173</v>
      </c>
      <c r="B55" s="57"/>
      <c r="C55" s="58">
        <v>2</v>
      </c>
      <c r="D55" s="58">
        <v>3</v>
      </c>
      <c r="E55" s="58">
        <v>4</v>
      </c>
      <c r="F55" s="58">
        <v>6</v>
      </c>
      <c r="G55" s="58">
        <v>8</v>
      </c>
      <c r="H55" s="58">
        <v>10</v>
      </c>
      <c r="I55" s="59">
        <v>12</v>
      </c>
      <c r="J55" s="601"/>
      <c r="K55" s="602"/>
      <c r="L55" s="602"/>
      <c r="M55" s="603"/>
    </row>
    <row r="56" spans="1:13" ht="12.75">
      <c r="A56" s="806"/>
      <c r="B56" s="10">
        <v>0.2</v>
      </c>
      <c r="C56" s="3">
        <v>0.45427</v>
      </c>
      <c r="D56" s="3">
        <v>0.36382</v>
      </c>
      <c r="E56" s="3">
        <v>0.3332</v>
      </c>
      <c r="F56" s="3">
        <v>0.30954</v>
      </c>
      <c r="G56" s="3">
        <v>0.29702</v>
      </c>
      <c r="H56" s="3">
        <v>0.29006</v>
      </c>
      <c r="I56" s="4">
        <v>0.28449</v>
      </c>
      <c r="J56" s="601"/>
      <c r="K56" s="602"/>
      <c r="L56" s="602"/>
      <c r="M56" s="603"/>
    </row>
    <row r="57" spans="1:13" ht="12.75">
      <c r="A57" s="806"/>
      <c r="B57" s="10">
        <v>0.4</v>
      </c>
      <c r="C57" s="3">
        <v>0.33459</v>
      </c>
      <c r="D57" s="3">
        <v>0.24553</v>
      </c>
      <c r="E57" s="3">
        <v>0.21491</v>
      </c>
      <c r="F57" s="3">
        <v>0.18847</v>
      </c>
      <c r="G57" s="3">
        <v>0.17734</v>
      </c>
      <c r="H57" s="3">
        <v>0.17177</v>
      </c>
      <c r="I57" s="4">
        <v>0.16759</v>
      </c>
      <c r="J57" s="601"/>
      <c r="K57" s="602"/>
      <c r="L57" s="602"/>
      <c r="M57" s="603"/>
    </row>
    <row r="58" spans="1:13" ht="12.75">
      <c r="A58" s="806"/>
      <c r="B58" s="10">
        <v>0.6</v>
      </c>
      <c r="C58" s="3">
        <v>0.23022</v>
      </c>
      <c r="D58" s="3">
        <v>0.14394</v>
      </c>
      <c r="E58" s="3">
        <v>0.10915</v>
      </c>
      <c r="F58" s="3">
        <v>0.084095</v>
      </c>
      <c r="G58" s="3">
        <v>0.072962</v>
      </c>
      <c r="H58" s="3">
        <v>0.063221</v>
      </c>
      <c r="I58" s="4">
        <v>0.057654</v>
      </c>
      <c r="J58" s="601"/>
      <c r="K58" s="602"/>
      <c r="L58" s="602"/>
      <c r="M58" s="603"/>
    </row>
    <row r="59" spans="1:13" ht="12.75">
      <c r="A59" s="806"/>
      <c r="B59" s="10">
        <v>0.8</v>
      </c>
      <c r="C59" s="3">
        <v>0.13419</v>
      </c>
      <c r="D59" s="3">
        <v>0.046521</v>
      </c>
      <c r="E59" s="3">
        <v>0.013121</v>
      </c>
      <c r="F59" s="3">
        <v>-0.010537</v>
      </c>
      <c r="G59" s="3">
        <v>-0.023062</v>
      </c>
      <c r="H59" s="3">
        <v>-0.031412</v>
      </c>
      <c r="I59" s="4">
        <v>-0.036978</v>
      </c>
      <c r="J59" s="601"/>
      <c r="K59" s="602"/>
      <c r="L59" s="602"/>
      <c r="M59" s="603"/>
    </row>
    <row r="60" spans="1:13" ht="12.75">
      <c r="A60" s="806"/>
      <c r="B60" s="10">
        <v>1</v>
      </c>
      <c r="C60" s="3">
        <v>0.043738</v>
      </c>
      <c r="D60" s="3">
        <v>0.00059642</v>
      </c>
      <c r="E60" s="3">
        <v>-0.075944</v>
      </c>
      <c r="F60" s="3">
        <v>-0.099602</v>
      </c>
      <c r="G60" s="3">
        <v>-0.11213</v>
      </c>
      <c r="H60" s="3">
        <v>-0.12187</v>
      </c>
      <c r="I60" s="4">
        <v>-0.12744</v>
      </c>
      <c r="J60" s="601"/>
      <c r="K60" s="602"/>
      <c r="L60" s="602"/>
      <c r="M60" s="603"/>
    </row>
    <row r="61" spans="1:13" ht="12.75">
      <c r="A61" s="806"/>
      <c r="B61" s="10">
        <v>1.2</v>
      </c>
      <c r="C61" s="3">
        <v>-0.039761</v>
      </c>
      <c r="D61" s="3">
        <v>-0.043936</v>
      </c>
      <c r="E61" s="3">
        <v>-0.15944</v>
      </c>
      <c r="F61" s="3">
        <v>-0.1831</v>
      </c>
      <c r="G61" s="3">
        <v>-0.19423</v>
      </c>
      <c r="H61" s="3">
        <v>-0.20398</v>
      </c>
      <c r="I61" s="4">
        <v>-0.21093</v>
      </c>
      <c r="J61" s="601"/>
      <c r="K61" s="602"/>
      <c r="L61" s="602"/>
      <c r="M61" s="603"/>
    </row>
    <row r="62" spans="1:13" ht="13.5" thickBot="1">
      <c r="A62" s="807"/>
      <c r="B62" s="8">
        <v>1.4</v>
      </c>
      <c r="C62" s="5">
        <v>-0.11213</v>
      </c>
      <c r="D62" s="5">
        <v>-0.20537</v>
      </c>
      <c r="E62" s="5">
        <v>-0.23877</v>
      </c>
      <c r="F62" s="5">
        <v>-0.26103</v>
      </c>
      <c r="G62" s="5">
        <v>-0.27217</v>
      </c>
      <c r="H62" s="5">
        <v>-0.27913</v>
      </c>
      <c r="I62" s="6">
        <v>-0.2833</v>
      </c>
      <c r="J62" s="601"/>
      <c r="K62" s="602"/>
      <c r="L62" s="602"/>
      <c r="M62" s="603"/>
    </row>
    <row r="63" spans="1:13" ht="13.5" thickBot="1">
      <c r="A63" s="566" t="s">
        <v>183</v>
      </c>
      <c r="B63" s="716"/>
      <c r="C63" s="716"/>
      <c r="D63" s="716"/>
      <c r="E63" s="716"/>
      <c r="F63" s="716"/>
      <c r="G63" s="716"/>
      <c r="H63" s="567"/>
      <c r="I63" s="601"/>
      <c r="J63" s="602"/>
      <c r="K63" s="602"/>
      <c r="L63" s="602"/>
      <c r="M63" s="603"/>
    </row>
    <row r="64" spans="1:13" ht="13.5" thickBot="1">
      <c r="A64" s="850" t="s">
        <v>138</v>
      </c>
      <c r="B64" s="851"/>
      <c r="C64" s="851"/>
      <c r="D64" s="851"/>
      <c r="E64" s="851"/>
      <c r="F64" s="851"/>
      <c r="G64" s="851"/>
      <c r="H64" s="852"/>
      <c r="I64" s="601"/>
      <c r="J64" s="602"/>
      <c r="K64" s="602"/>
      <c r="L64" s="602"/>
      <c r="M64" s="603"/>
    </row>
    <row r="65" spans="1:13" ht="13.5" thickBot="1">
      <c r="A65" s="52"/>
      <c r="B65" s="846" t="s">
        <v>6</v>
      </c>
      <c r="C65" s="808"/>
      <c r="D65" s="808"/>
      <c r="E65" s="808"/>
      <c r="F65" s="808"/>
      <c r="G65" s="808"/>
      <c r="H65" s="809"/>
      <c r="I65" s="601"/>
      <c r="J65" s="602"/>
      <c r="K65" s="602"/>
      <c r="L65" s="602"/>
      <c r="M65" s="603"/>
    </row>
    <row r="66" spans="1:13" ht="12.75">
      <c r="A66" s="806" t="s">
        <v>167</v>
      </c>
      <c r="B66" s="60"/>
      <c r="C66" s="58">
        <v>2</v>
      </c>
      <c r="D66" s="58">
        <v>4</v>
      </c>
      <c r="E66" s="58">
        <v>6</v>
      </c>
      <c r="F66" s="58">
        <v>8</v>
      </c>
      <c r="G66" s="58">
        <v>10</v>
      </c>
      <c r="H66" s="59">
        <v>12</v>
      </c>
      <c r="I66" s="601"/>
      <c r="J66" s="602"/>
      <c r="K66" s="602"/>
      <c r="L66" s="602"/>
      <c r="M66" s="603"/>
    </row>
    <row r="67" spans="1:13" ht="12.75">
      <c r="A67" s="806"/>
      <c r="B67" s="61">
        <v>0</v>
      </c>
      <c r="C67" s="10">
        <v>1</v>
      </c>
      <c r="D67" s="10">
        <v>1</v>
      </c>
      <c r="E67" s="10">
        <v>1</v>
      </c>
      <c r="F67" s="10">
        <v>1</v>
      </c>
      <c r="G67" s="10">
        <v>1</v>
      </c>
      <c r="H67" s="11">
        <v>1</v>
      </c>
      <c r="I67" s="601"/>
      <c r="J67" s="602"/>
      <c r="K67" s="602"/>
      <c r="L67" s="602"/>
      <c r="M67" s="603"/>
    </row>
    <row r="68" spans="1:13" ht="12.75">
      <c r="A68" s="806"/>
      <c r="B68" s="61">
        <v>0.2</v>
      </c>
      <c r="C68" s="12">
        <v>0.98369</v>
      </c>
      <c r="D68" s="12">
        <v>0.97986</v>
      </c>
      <c r="E68" s="12">
        <v>0.97506</v>
      </c>
      <c r="F68" s="12">
        <v>0.96835</v>
      </c>
      <c r="G68" s="12">
        <v>0.96451</v>
      </c>
      <c r="H68" s="13">
        <v>0.95971</v>
      </c>
      <c r="I68" s="601"/>
      <c r="J68" s="602"/>
      <c r="K68" s="602"/>
      <c r="L68" s="602"/>
      <c r="M68" s="603"/>
    </row>
    <row r="69" spans="1:13" ht="12.75">
      <c r="A69" s="806"/>
      <c r="B69" s="61">
        <v>0.4</v>
      </c>
      <c r="C69" s="12">
        <v>0.95395</v>
      </c>
      <c r="D69" s="12">
        <v>0.93573</v>
      </c>
      <c r="E69" s="12">
        <v>0.91558</v>
      </c>
      <c r="F69" s="12">
        <v>0.89832</v>
      </c>
      <c r="G69" s="12">
        <v>0.87913</v>
      </c>
      <c r="H69" s="13">
        <v>0.85995</v>
      </c>
      <c r="I69" s="601"/>
      <c r="J69" s="602"/>
      <c r="K69" s="602"/>
      <c r="L69" s="602"/>
      <c r="M69" s="603"/>
    </row>
    <row r="70" spans="1:13" ht="12.75">
      <c r="A70" s="806"/>
      <c r="B70" s="61">
        <v>0.6</v>
      </c>
      <c r="C70" s="12">
        <v>0.90982</v>
      </c>
      <c r="D70" s="12">
        <v>0.86858</v>
      </c>
      <c r="E70" s="12">
        <v>0.83117</v>
      </c>
      <c r="F70" s="12">
        <v>0.80047</v>
      </c>
      <c r="G70" s="12">
        <v>0.76882</v>
      </c>
      <c r="H70" s="13">
        <v>0.73908</v>
      </c>
      <c r="I70" s="601"/>
      <c r="J70" s="602"/>
      <c r="K70" s="602"/>
      <c r="L70" s="602"/>
      <c r="M70" s="603"/>
    </row>
    <row r="71" spans="1:13" ht="13.5" thickBot="1">
      <c r="A71" s="807"/>
      <c r="B71" s="62">
        <v>0.8</v>
      </c>
      <c r="C71" s="15">
        <v>0.85322</v>
      </c>
      <c r="D71" s="15">
        <v>0.78416</v>
      </c>
      <c r="E71" s="15">
        <v>0.72852</v>
      </c>
      <c r="F71" s="15">
        <v>0.68632</v>
      </c>
      <c r="G71" s="15">
        <v>0.64987</v>
      </c>
      <c r="H71" s="74">
        <v>0.61342</v>
      </c>
      <c r="I71" s="601"/>
      <c r="J71" s="602"/>
      <c r="K71" s="602"/>
      <c r="L71" s="602"/>
      <c r="M71" s="603"/>
    </row>
    <row r="72" spans="1:13" ht="13.5" thickBot="1">
      <c r="A72" s="847" t="s">
        <v>180</v>
      </c>
      <c r="B72" s="848"/>
      <c r="C72" s="848"/>
      <c r="D72" s="848"/>
      <c r="E72" s="848"/>
      <c r="F72" s="848"/>
      <c r="G72" s="848"/>
      <c r="H72" s="849"/>
      <c r="I72" s="601"/>
      <c r="J72" s="602"/>
      <c r="K72" s="602"/>
      <c r="L72" s="602"/>
      <c r="M72" s="603"/>
    </row>
    <row r="73" spans="1:13" ht="13.5" thickBot="1">
      <c r="A73" s="53"/>
      <c r="B73" s="808" t="s">
        <v>6</v>
      </c>
      <c r="C73" s="808"/>
      <c r="D73" s="808"/>
      <c r="E73" s="808"/>
      <c r="F73" s="808"/>
      <c r="G73" s="808"/>
      <c r="H73" s="809"/>
      <c r="I73" s="601"/>
      <c r="J73" s="602"/>
      <c r="K73" s="602"/>
      <c r="L73" s="602"/>
      <c r="M73" s="603"/>
    </row>
    <row r="74" spans="1:13" ht="12.75">
      <c r="A74" s="806" t="s">
        <v>167</v>
      </c>
      <c r="B74" s="60"/>
      <c r="C74" s="58">
        <v>2</v>
      </c>
      <c r="D74" s="58">
        <v>4</v>
      </c>
      <c r="E74" s="58">
        <v>6</v>
      </c>
      <c r="F74" s="58">
        <v>8</v>
      </c>
      <c r="G74" s="58">
        <v>10</v>
      </c>
      <c r="H74" s="59">
        <v>12</v>
      </c>
      <c r="I74" s="601"/>
      <c r="J74" s="602"/>
      <c r="K74" s="602"/>
      <c r="L74" s="602"/>
      <c r="M74" s="603"/>
    </row>
    <row r="75" spans="1:13" ht="12.75">
      <c r="A75" s="806"/>
      <c r="B75" s="61">
        <v>0</v>
      </c>
      <c r="C75" s="10">
        <v>1</v>
      </c>
      <c r="D75" s="10">
        <v>1</v>
      </c>
      <c r="E75" s="10">
        <v>1</v>
      </c>
      <c r="F75" s="10">
        <v>1</v>
      </c>
      <c r="G75" s="10">
        <v>1</v>
      </c>
      <c r="H75" s="11">
        <v>1</v>
      </c>
      <c r="I75" s="601"/>
      <c r="J75" s="602"/>
      <c r="K75" s="602"/>
      <c r="L75" s="602"/>
      <c r="M75" s="603"/>
    </row>
    <row r="76" spans="1:13" ht="12.75">
      <c r="A76" s="806"/>
      <c r="B76" s="61">
        <v>0.2</v>
      </c>
      <c r="C76" s="12">
        <v>0.99522</v>
      </c>
      <c r="D76" s="12">
        <v>0.98947</v>
      </c>
      <c r="E76" s="12">
        <v>0.98086</v>
      </c>
      <c r="F76" s="12">
        <v>0.97608</v>
      </c>
      <c r="G76" s="12">
        <v>0.96938</v>
      </c>
      <c r="H76" s="13">
        <v>0.96172</v>
      </c>
      <c r="I76" s="601"/>
      <c r="J76" s="602"/>
      <c r="K76" s="602"/>
      <c r="L76" s="602"/>
      <c r="M76" s="603"/>
    </row>
    <row r="77" spans="1:13" ht="12.75">
      <c r="A77" s="806"/>
      <c r="B77" s="61">
        <v>0.4</v>
      </c>
      <c r="C77" s="12">
        <v>0.97512</v>
      </c>
      <c r="D77" s="12">
        <v>0.95311</v>
      </c>
      <c r="E77" s="12">
        <v>0.93014</v>
      </c>
      <c r="F77" s="12">
        <v>0.91483</v>
      </c>
      <c r="G77" s="12">
        <v>0.89378</v>
      </c>
      <c r="H77" s="13">
        <v>0.87943</v>
      </c>
      <c r="I77" s="601"/>
      <c r="J77" s="602"/>
      <c r="K77" s="602"/>
      <c r="L77" s="602"/>
      <c r="M77" s="603"/>
    </row>
    <row r="78" spans="1:13" ht="12.75">
      <c r="A78" s="806"/>
      <c r="B78" s="61">
        <v>0.6</v>
      </c>
      <c r="C78" s="12">
        <v>0.9445</v>
      </c>
      <c r="D78" s="12">
        <v>0.90431</v>
      </c>
      <c r="E78" s="12">
        <v>0.86794</v>
      </c>
      <c r="F78" s="12">
        <v>0.84019</v>
      </c>
      <c r="G78" s="12">
        <v>0.81531</v>
      </c>
      <c r="H78" s="13">
        <v>0.79234</v>
      </c>
      <c r="I78" s="601"/>
      <c r="J78" s="602"/>
      <c r="K78" s="602"/>
      <c r="L78" s="602"/>
      <c r="M78" s="603"/>
    </row>
    <row r="79" spans="1:13" ht="13.5" thickBot="1">
      <c r="A79" s="807"/>
      <c r="B79" s="62">
        <v>0.8</v>
      </c>
      <c r="C79" s="15">
        <v>0.91483</v>
      </c>
      <c r="D79" s="15">
        <v>0.8622</v>
      </c>
      <c r="E79" s="15">
        <v>0.82105</v>
      </c>
      <c r="F79" s="15">
        <v>0.78565</v>
      </c>
      <c r="G79" s="15">
        <v>0.74928</v>
      </c>
      <c r="H79" s="74">
        <v>0.71962</v>
      </c>
      <c r="I79" s="601"/>
      <c r="J79" s="602"/>
      <c r="K79" s="602"/>
      <c r="L79" s="602"/>
      <c r="M79" s="603"/>
    </row>
    <row r="80" spans="1:13" ht="13.5" thickBot="1">
      <c r="A80" s="847" t="s">
        <v>181</v>
      </c>
      <c r="B80" s="848"/>
      <c r="C80" s="848"/>
      <c r="D80" s="848"/>
      <c r="E80" s="848"/>
      <c r="F80" s="848"/>
      <c r="G80" s="848"/>
      <c r="H80" s="849"/>
      <c r="I80" s="601"/>
      <c r="J80" s="602"/>
      <c r="K80" s="602"/>
      <c r="L80" s="602"/>
      <c r="M80" s="603"/>
    </row>
    <row r="81" spans="1:13" ht="13.5" thickBot="1">
      <c r="A81" s="53"/>
      <c r="B81" s="808" t="s">
        <v>6</v>
      </c>
      <c r="C81" s="808"/>
      <c r="D81" s="808"/>
      <c r="E81" s="808"/>
      <c r="F81" s="808"/>
      <c r="G81" s="808"/>
      <c r="H81" s="809"/>
      <c r="I81" s="601"/>
      <c r="J81" s="602"/>
      <c r="K81" s="602"/>
      <c r="L81" s="602"/>
      <c r="M81" s="603"/>
    </row>
    <row r="82" spans="1:13" ht="12.75">
      <c r="A82" s="806" t="s">
        <v>167</v>
      </c>
      <c r="B82" s="60"/>
      <c r="C82" s="58">
        <v>2</v>
      </c>
      <c r="D82" s="58">
        <v>4</v>
      </c>
      <c r="E82" s="58">
        <v>6</v>
      </c>
      <c r="F82" s="58">
        <v>8</v>
      </c>
      <c r="G82" s="58">
        <v>10</v>
      </c>
      <c r="H82" s="59">
        <v>12</v>
      </c>
      <c r="I82" s="601"/>
      <c r="J82" s="602"/>
      <c r="K82" s="602"/>
      <c r="L82" s="602"/>
      <c r="M82" s="603"/>
    </row>
    <row r="83" spans="1:13" ht="12.75">
      <c r="A83" s="806"/>
      <c r="B83" s="61">
        <v>0</v>
      </c>
      <c r="C83" s="10">
        <v>1</v>
      </c>
      <c r="D83" s="10">
        <v>1</v>
      </c>
      <c r="E83" s="10">
        <v>1</v>
      </c>
      <c r="F83" s="10">
        <v>1</v>
      </c>
      <c r="G83" s="10">
        <v>1</v>
      </c>
      <c r="H83" s="11">
        <v>1</v>
      </c>
      <c r="I83" s="601"/>
      <c r="J83" s="602"/>
      <c r="K83" s="602"/>
      <c r="L83" s="602"/>
      <c r="M83" s="603"/>
    </row>
    <row r="84" spans="1:13" ht="12.75">
      <c r="A84" s="806"/>
      <c r="B84" s="61">
        <v>0.2</v>
      </c>
      <c r="C84" s="12">
        <v>0.99429</v>
      </c>
      <c r="D84" s="12">
        <v>0.99143</v>
      </c>
      <c r="E84" s="12">
        <v>0.98571</v>
      </c>
      <c r="F84" s="12">
        <v>0.9819</v>
      </c>
      <c r="G84" s="12">
        <v>0.97714</v>
      </c>
      <c r="H84" s="13">
        <v>0.96857</v>
      </c>
      <c r="I84" s="601"/>
      <c r="J84" s="602"/>
      <c r="K84" s="602"/>
      <c r="L84" s="602"/>
      <c r="M84" s="603"/>
    </row>
    <row r="85" spans="1:13" ht="12.75">
      <c r="A85" s="806"/>
      <c r="B85" s="61">
        <v>0.4</v>
      </c>
      <c r="C85" s="12">
        <v>0.98191</v>
      </c>
      <c r="D85" s="12">
        <v>0.96953</v>
      </c>
      <c r="E85" s="12">
        <v>0.9562</v>
      </c>
      <c r="F85" s="12">
        <v>0.94382</v>
      </c>
      <c r="G85" s="12">
        <v>0.92477</v>
      </c>
      <c r="H85" s="13">
        <v>0.90477</v>
      </c>
      <c r="I85" s="601"/>
      <c r="J85" s="602"/>
      <c r="K85" s="602"/>
      <c r="L85" s="602"/>
      <c r="M85" s="603"/>
    </row>
    <row r="86" spans="1:13" ht="12.75">
      <c r="A86" s="806"/>
      <c r="B86" s="61">
        <v>0.6</v>
      </c>
      <c r="C86" s="12">
        <v>0.96478</v>
      </c>
      <c r="D86" s="12">
        <v>0.95049</v>
      </c>
      <c r="E86" s="12">
        <v>0.93049</v>
      </c>
      <c r="F86" s="12">
        <v>0.90763</v>
      </c>
      <c r="G86" s="12">
        <v>0.88097</v>
      </c>
      <c r="H86" s="13">
        <v>0.85811</v>
      </c>
      <c r="I86" s="601"/>
      <c r="J86" s="602"/>
      <c r="K86" s="602"/>
      <c r="L86" s="602"/>
      <c r="M86" s="603"/>
    </row>
    <row r="87" spans="1:13" ht="13.5" thickBot="1">
      <c r="A87" s="807"/>
      <c r="B87" s="62">
        <v>0.8</v>
      </c>
      <c r="C87" s="15">
        <v>0.95526</v>
      </c>
      <c r="D87" s="15">
        <v>0.93811</v>
      </c>
      <c r="E87" s="15">
        <v>0.92573</v>
      </c>
      <c r="F87" s="15">
        <v>0.90478</v>
      </c>
      <c r="G87" s="15">
        <v>0.88192</v>
      </c>
      <c r="H87" s="74">
        <v>0.84954</v>
      </c>
      <c r="I87" s="601"/>
      <c r="J87" s="602"/>
      <c r="K87" s="602"/>
      <c r="L87" s="602"/>
      <c r="M87" s="603"/>
    </row>
    <row r="88" spans="1:13" ht="13.5" thickBot="1">
      <c r="A88" s="847" t="s">
        <v>182</v>
      </c>
      <c r="B88" s="848"/>
      <c r="C88" s="848"/>
      <c r="D88" s="848"/>
      <c r="E88" s="848"/>
      <c r="F88" s="848"/>
      <c r="G88" s="848"/>
      <c r="H88" s="849"/>
      <c r="I88" s="601"/>
      <c r="J88" s="602"/>
      <c r="K88" s="602"/>
      <c r="L88" s="602"/>
      <c r="M88" s="603"/>
    </row>
    <row r="89" spans="1:13" ht="13.5" thickBot="1">
      <c r="A89" s="53"/>
      <c r="B89" s="808" t="s">
        <v>6</v>
      </c>
      <c r="C89" s="808"/>
      <c r="D89" s="808"/>
      <c r="E89" s="808"/>
      <c r="F89" s="808"/>
      <c r="G89" s="808"/>
      <c r="H89" s="809"/>
      <c r="I89" s="601"/>
      <c r="J89" s="602"/>
      <c r="K89" s="602"/>
      <c r="L89" s="602"/>
      <c r="M89" s="603"/>
    </row>
    <row r="90" spans="1:13" ht="12.75">
      <c r="A90" s="806" t="s">
        <v>167</v>
      </c>
      <c r="B90" s="60"/>
      <c r="C90" s="58">
        <v>2</v>
      </c>
      <c r="D90" s="58">
        <v>4</v>
      </c>
      <c r="E90" s="58">
        <v>6</v>
      </c>
      <c r="F90" s="58">
        <v>8</v>
      </c>
      <c r="G90" s="58">
        <v>10</v>
      </c>
      <c r="H90" s="59">
        <v>12</v>
      </c>
      <c r="I90" s="601"/>
      <c r="J90" s="602"/>
      <c r="K90" s="602"/>
      <c r="L90" s="602"/>
      <c r="M90" s="603"/>
    </row>
    <row r="91" spans="1:13" ht="12.75">
      <c r="A91" s="806"/>
      <c r="B91" s="61">
        <v>0</v>
      </c>
      <c r="C91" s="10">
        <v>1</v>
      </c>
      <c r="D91" s="10">
        <v>1</v>
      </c>
      <c r="E91" s="10">
        <v>1</v>
      </c>
      <c r="F91" s="10">
        <v>1</v>
      </c>
      <c r="G91" s="10">
        <v>1</v>
      </c>
      <c r="H91" s="11">
        <v>1</v>
      </c>
      <c r="I91" s="601"/>
      <c r="J91" s="602"/>
      <c r="K91" s="602"/>
      <c r="L91" s="602"/>
      <c r="M91" s="603"/>
    </row>
    <row r="92" spans="1:13" ht="12.75">
      <c r="A92" s="806"/>
      <c r="B92" s="61">
        <v>0.2</v>
      </c>
      <c r="C92" s="10">
        <v>1.0094</v>
      </c>
      <c r="D92" s="10">
        <v>1.0094</v>
      </c>
      <c r="E92" s="10">
        <v>1.0094</v>
      </c>
      <c r="F92" s="10">
        <v>1.0094</v>
      </c>
      <c r="G92" s="10">
        <v>1.0094</v>
      </c>
      <c r="H92" s="11">
        <v>1.0125</v>
      </c>
      <c r="I92" s="601"/>
      <c r="J92" s="602"/>
      <c r="K92" s="602"/>
      <c r="L92" s="602"/>
      <c r="M92" s="603"/>
    </row>
    <row r="93" spans="1:13" ht="12.75">
      <c r="A93" s="806"/>
      <c r="B93" s="61">
        <v>0.4</v>
      </c>
      <c r="C93" s="10">
        <v>1.0219</v>
      </c>
      <c r="D93" s="10">
        <v>1.0344</v>
      </c>
      <c r="E93" s="10">
        <v>1.0417</v>
      </c>
      <c r="F93" s="10">
        <v>1.0438</v>
      </c>
      <c r="G93" s="10">
        <v>1.0479</v>
      </c>
      <c r="H93" s="11">
        <v>1.051</v>
      </c>
      <c r="I93" s="601"/>
      <c r="J93" s="602"/>
      <c r="K93" s="602"/>
      <c r="L93" s="602"/>
      <c r="M93" s="603"/>
    </row>
    <row r="94" spans="1:13" ht="12.75">
      <c r="A94" s="806"/>
      <c r="B94" s="61">
        <v>0.6</v>
      </c>
      <c r="C94" s="10">
        <v>1.0344</v>
      </c>
      <c r="D94" s="10">
        <v>1.0781</v>
      </c>
      <c r="E94" s="10">
        <v>1.1052</v>
      </c>
      <c r="F94" s="10">
        <v>1.1146</v>
      </c>
      <c r="G94" s="10">
        <v>1.124</v>
      </c>
      <c r="H94" s="11">
        <v>1.1365</v>
      </c>
      <c r="I94" s="601"/>
      <c r="J94" s="602"/>
      <c r="K94" s="602"/>
      <c r="L94" s="602"/>
      <c r="M94" s="603"/>
    </row>
    <row r="95" spans="1:13" ht="13.5" thickBot="1">
      <c r="A95" s="807"/>
      <c r="B95" s="62">
        <v>0.8</v>
      </c>
      <c r="C95" s="8">
        <v>1.0406</v>
      </c>
      <c r="D95" s="8">
        <v>1.1187</v>
      </c>
      <c r="E95" s="8">
        <v>1.1875</v>
      </c>
      <c r="F95" s="8">
        <v>1.2271</v>
      </c>
      <c r="G95" s="8">
        <v>1.2552</v>
      </c>
      <c r="H95" s="9">
        <v>1.2875</v>
      </c>
      <c r="I95" s="601"/>
      <c r="J95" s="602"/>
      <c r="K95" s="602"/>
      <c r="L95" s="602"/>
      <c r="M95" s="603"/>
    </row>
    <row r="96" spans="1:13" ht="13.5" thickBot="1">
      <c r="A96" s="643" t="s">
        <v>184</v>
      </c>
      <c r="B96" s="688"/>
      <c r="C96" s="688"/>
      <c r="D96" s="688"/>
      <c r="E96" s="688"/>
      <c r="F96" s="688"/>
      <c r="G96" s="688"/>
      <c r="H96" s="644"/>
      <c r="I96" s="601"/>
      <c r="J96" s="602"/>
      <c r="K96" s="602"/>
      <c r="L96" s="602"/>
      <c r="M96" s="603"/>
    </row>
    <row r="97" spans="1:13" ht="13.5" thickBot="1">
      <c r="A97" s="850" t="s">
        <v>138</v>
      </c>
      <c r="B97" s="851"/>
      <c r="C97" s="851"/>
      <c r="D97" s="851"/>
      <c r="E97" s="851"/>
      <c r="F97" s="851"/>
      <c r="G97" s="851"/>
      <c r="H97" s="852"/>
      <c r="I97" s="601"/>
      <c r="J97" s="602"/>
      <c r="K97" s="602"/>
      <c r="L97" s="602"/>
      <c r="M97" s="603"/>
    </row>
    <row r="98" spans="1:13" ht="13.5" thickBot="1">
      <c r="A98" s="53"/>
      <c r="B98" s="808" t="s">
        <v>6</v>
      </c>
      <c r="C98" s="808"/>
      <c r="D98" s="808"/>
      <c r="E98" s="808"/>
      <c r="F98" s="808"/>
      <c r="G98" s="808"/>
      <c r="H98" s="809"/>
      <c r="I98" s="601"/>
      <c r="J98" s="602"/>
      <c r="K98" s="602"/>
      <c r="L98" s="602"/>
      <c r="M98" s="603"/>
    </row>
    <row r="99" spans="1:13" ht="12.75">
      <c r="A99" s="806" t="s">
        <v>167</v>
      </c>
      <c r="B99" s="79"/>
      <c r="C99" s="10">
        <v>2</v>
      </c>
      <c r="D99" s="10">
        <v>4</v>
      </c>
      <c r="E99" s="10">
        <v>6</v>
      </c>
      <c r="F99" s="10">
        <v>8</v>
      </c>
      <c r="G99" s="10">
        <v>10</v>
      </c>
      <c r="H99" s="11">
        <v>12</v>
      </c>
      <c r="I99" s="601"/>
      <c r="J99" s="602"/>
      <c r="K99" s="602"/>
      <c r="L99" s="602"/>
      <c r="M99" s="603"/>
    </row>
    <row r="100" spans="1:13" ht="12.75">
      <c r="A100" s="806"/>
      <c r="B100" s="61">
        <v>0</v>
      </c>
      <c r="C100" s="10">
        <v>1</v>
      </c>
      <c r="D100" s="10">
        <v>1</v>
      </c>
      <c r="E100" s="10">
        <v>1</v>
      </c>
      <c r="F100" s="10">
        <v>1</v>
      </c>
      <c r="G100" s="10">
        <v>1</v>
      </c>
      <c r="H100" s="11">
        <v>1</v>
      </c>
      <c r="I100" s="601"/>
      <c r="J100" s="602"/>
      <c r="K100" s="602"/>
      <c r="L100" s="602"/>
      <c r="M100" s="603"/>
    </row>
    <row r="101" spans="1:13" ht="12.75">
      <c r="A101" s="806"/>
      <c r="B101" s="61">
        <v>0.2</v>
      </c>
      <c r="C101" s="12">
        <v>0.96465</v>
      </c>
      <c r="D101" s="12">
        <v>0.99091</v>
      </c>
      <c r="E101" s="12">
        <v>0.99091</v>
      </c>
      <c r="F101" s="12">
        <v>0.98485</v>
      </c>
      <c r="G101" s="12">
        <v>0.97273</v>
      </c>
      <c r="H101" s="13">
        <v>0.96768</v>
      </c>
      <c r="I101" s="601"/>
      <c r="J101" s="602"/>
      <c r="K101" s="602"/>
      <c r="L101" s="602"/>
      <c r="M101" s="603"/>
    </row>
    <row r="102" spans="1:13" ht="12.75">
      <c r="A102" s="806"/>
      <c r="B102" s="61">
        <v>0.4</v>
      </c>
      <c r="C102" s="12">
        <v>0.91616</v>
      </c>
      <c r="D102" s="12">
        <v>0.96263</v>
      </c>
      <c r="E102" s="12">
        <v>0.95859</v>
      </c>
      <c r="F102" s="12">
        <v>0.94141</v>
      </c>
      <c r="G102" s="12">
        <v>0.91717</v>
      </c>
      <c r="H102" s="13">
        <v>0.90404</v>
      </c>
      <c r="I102" s="601"/>
      <c r="J102" s="602"/>
      <c r="K102" s="602"/>
      <c r="L102" s="602"/>
      <c r="M102" s="603"/>
    </row>
    <row r="103" spans="1:13" ht="12.75">
      <c r="A103" s="806"/>
      <c r="B103" s="61">
        <v>0.6</v>
      </c>
      <c r="C103" s="12">
        <v>0.86566</v>
      </c>
      <c r="D103" s="12">
        <v>0.91515</v>
      </c>
      <c r="E103" s="12">
        <v>0.89394</v>
      </c>
      <c r="F103" s="12">
        <v>0.86263</v>
      </c>
      <c r="G103" s="12">
        <v>0.83232</v>
      </c>
      <c r="H103" s="13">
        <v>0.80101</v>
      </c>
      <c r="I103" s="601"/>
      <c r="J103" s="602"/>
      <c r="K103" s="602"/>
      <c r="L103" s="602"/>
      <c r="M103" s="603"/>
    </row>
    <row r="104" spans="1:13" ht="13.5" thickBot="1">
      <c r="A104" s="807"/>
      <c r="B104" s="62">
        <v>0.8</v>
      </c>
      <c r="C104" s="12">
        <v>0.81111</v>
      </c>
      <c r="D104" s="12">
        <v>0.84747</v>
      </c>
      <c r="E104" s="12">
        <v>0.79697</v>
      </c>
      <c r="F104" s="12">
        <v>0.75253</v>
      </c>
      <c r="G104" s="12">
        <v>0.70808</v>
      </c>
      <c r="H104" s="13">
        <v>0.67071</v>
      </c>
      <c r="I104" s="601"/>
      <c r="J104" s="602"/>
      <c r="K104" s="602"/>
      <c r="L104" s="602"/>
      <c r="M104" s="603"/>
    </row>
    <row r="105" spans="1:13" ht="13.5" thickBot="1">
      <c r="A105" s="850" t="s">
        <v>180</v>
      </c>
      <c r="B105" s="851"/>
      <c r="C105" s="851"/>
      <c r="D105" s="851"/>
      <c r="E105" s="851"/>
      <c r="F105" s="851"/>
      <c r="G105" s="851"/>
      <c r="H105" s="852"/>
      <c r="I105" s="601"/>
      <c r="J105" s="602"/>
      <c r="K105" s="602"/>
      <c r="L105" s="602"/>
      <c r="M105" s="603"/>
    </row>
    <row r="106" spans="1:13" ht="13.5" thickBot="1">
      <c r="A106" s="53"/>
      <c r="B106" s="808" t="s">
        <v>6</v>
      </c>
      <c r="C106" s="808"/>
      <c r="D106" s="808"/>
      <c r="E106" s="808"/>
      <c r="F106" s="808"/>
      <c r="G106" s="808"/>
      <c r="H106" s="809"/>
      <c r="I106" s="601"/>
      <c r="J106" s="602"/>
      <c r="K106" s="602"/>
      <c r="L106" s="602"/>
      <c r="M106" s="603"/>
    </row>
    <row r="107" spans="1:13" ht="12.75">
      <c r="A107" s="806" t="s">
        <v>167</v>
      </c>
      <c r="B107" s="79"/>
      <c r="C107" s="10">
        <v>2</v>
      </c>
      <c r="D107" s="10">
        <v>4</v>
      </c>
      <c r="E107" s="10">
        <v>6</v>
      </c>
      <c r="F107" s="10">
        <v>8</v>
      </c>
      <c r="G107" s="10">
        <v>10</v>
      </c>
      <c r="H107" s="11">
        <v>12</v>
      </c>
      <c r="I107" s="601"/>
      <c r="J107" s="602"/>
      <c r="K107" s="602"/>
      <c r="L107" s="602"/>
      <c r="M107" s="603"/>
    </row>
    <row r="108" spans="1:13" ht="12.75">
      <c r="A108" s="806"/>
      <c r="B108" s="61">
        <v>0</v>
      </c>
      <c r="C108" s="10">
        <v>1</v>
      </c>
      <c r="D108" s="10">
        <v>1</v>
      </c>
      <c r="E108" s="10">
        <v>1</v>
      </c>
      <c r="F108" s="10">
        <v>1</v>
      </c>
      <c r="G108" s="10">
        <v>1</v>
      </c>
      <c r="H108" s="11">
        <v>1</v>
      </c>
      <c r="I108" s="601"/>
      <c r="J108" s="602"/>
      <c r="K108" s="602"/>
      <c r="L108" s="602"/>
      <c r="M108" s="603"/>
    </row>
    <row r="109" spans="1:13" ht="12.75">
      <c r="A109" s="806"/>
      <c r="B109" s="61">
        <v>0.2</v>
      </c>
      <c r="C109" s="12">
        <v>0.99095</v>
      </c>
      <c r="D109" s="10">
        <v>1</v>
      </c>
      <c r="E109" s="10">
        <v>1</v>
      </c>
      <c r="F109" s="10">
        <v>1</v>
      </c>
      <c r="G109" s="12">
        <v>0.99698</v>
      </c>
      <c r="H109" s="13">
        <v>0.99095</v>
      </c>
      <c r="I109" s="601"/>
      <c r="J109" s="602"/>
      <c r="K109" s="602"/>
      <c r="L109" s="602"/>
      <c r="M109" s="603"/>
    </row>
    <row r="110" spans="1:13" ht="12.75">
      <c r="A110" s="806"/>
      <c r="B110" s="61">
        <v>0.4</v>
      </c>
      <c r="C110" s="12">
        <v>0.96583</v>
      </c>
      <c r="D110" s="12">
        <v>0.99698</v>
      </c>
      <c r="E110" s="12">
        <v>0.98492</v>
      </c>
      <c r="F110" s="12">
        <v>0.97487</v>
      </c>
      <c r="G110" s="12">
        <v>0.96382</v>
      </c>
      <c r="H110" s="13">
        <v>0.95678</v>
      </c>
      <c r="I110" s="601"/>
      <c r="J110" s="602"/>
      <c r="K110" s="602"/>
      <c r="L110" s="602"/>
      <c r="M110" s="603"/>
    </row>
    <row r="111" spans="1:13" ht="12.75">
      <c r="A111" s="806"/>
      <c r="B111" s="61">
        <v>0.6</v>
      </c>
      <c r="C111" s="12">
        <v>0.94472</v>
      </c>
      <c r="D111" s="12">
        <v>0.98693</v>
      </c>
      <c r="E111" s="12">
        <v>0.95276</v>
      </c>
      <c r="F111" s="12">
        <v>0.92462</v>
      </c>
      <c r="G111" s="12">
        <v>0.8995</v>
      </c>
      <c r="H111" s="13">
        <v>0.88342</v>
      </c>
      <c r="I111" s="601"/>
      <c r="J111" s="602"/>
      <c r="K111" s="602"/>
      <c r="L111" s="602"/>
      <c r="M111" s="603"/>
    </row>
    <row r="112" spans="1:13" ht="13.5" thickBot="1">
      <c r="A112" s="807"/>
      <c r="B112" s="62">
        <v>0.8</v>
      </c>
      <c r="C112" s="15">
        <v>0.9397</v>
      </c>
      <c r="D112" s="15">
        <v>0.97387</v>
      </c>
      <c r="E112" s="15">
        <v>0.92462</v>
      </c>
      <c r="F112" s="15">
        <v>0.87538</v>
      </c>
      <c r="G112" s="15">
        <v>0.82513</v>
      </c>
      <c r="H112" s="74">
        <v>0.79497</v>
      </c>
      <c r="I112" s="601"/>
      <c r="J112" s="602"/>
      <c r="K112" s="602"/>
      <c r="L112" s="602"/>
      <c r="M112" s="603"/>
    </row>
    <row r="113" spans="1:13" ht="13.5" thickBot="1">
      <c r="A113" s="850" t="s">
        <v>181</v>
      </c>
      <c r="B113" s="851"/>
      <c r="C113" s="851"/>
      <c r="D113" s="851"/>
      <c r="E113" s="851"/>
      <c r="F113" s="851"/>
      <c r="G113" s="851"/>
      <c r="H113" s="852"/>
      <c r="I113" s="601"/>
      <c r="J113" s="602"/>
      <c r="K113" s="602"/>
      <c r="L113" s="602"/>
      <c r="M113" s="603"/>
    </row>
    <row r="114" spans="1:13" ht="13.5" thickBot="1">
      <c r="A114" s="53"/>
      <c r="B114" s="808" t="s">
        <v>6</v>
      </c>
      <c r="C114" s="808"/>
      <c r="D114" s="808"/>
      <c r="E114" s="808"/>
      <c r="F114" s="808"/>
      <c r="G114" s="808"/>
      <c r="H114" s="809"/>
      <c r="I114" s="601"/>
      <c r="J114" s="602"/>
      <c r="K114" s="602"/>
      <c r="L114" s="602"/>
      <c r="M114" s="603"/>
    </row>
    <row r="115" spans="1:13" ht="12.75">
      <c r="A115" s="806" t="s">
        <v>167</v>
      </c>
      <c r="B115" s="79"/>
      <c r="C115" s="10">
        <v>2</v>
      </c>
      <c r="D115" s="10">
        <v>4</v>
      </c>
      <c r="E115" s="10">
        <v>6</v>
      </c>
      <c r="F115" s="10">
        <v>8</v>
      </c>
      <c r="G115" s="10">
        <v>12</v>
      </c>
      <c r="H115" s="11"/>
      <c r="I115" s="601"/>
      <c r="J115" s="602"/>
      <c r="K115" s="602"/>
      <c r="L115" s="602"/>
      <c r="M115" s="603"/>
    </row>
    <row r="116" spans="1:13" ht="12.75">
      <c r="A116" s="806"/>
      <c r="B116" s="61">
        <v>0</v>
      </c>
      <c r="C116" s="10">
        <v>1</v>
      </c>
      <c r="D116" s="10">
        <v>1</v>
      </c>
      <c r="E116" s="10">
        <v>1</v>
      </c>
      <c r="F116" s="10">
        <v>1</v>
      </c>
      <c r="G116" s="10">
        <v>1</v>
      </c>
      <c r="H116" s="11"/>
      <c r="I116" s="601"/>
      <c r="J116" s="602"/>
      <c r="K116" s="602"/>
      <c r="L116" s="602"/>
      <c r="M116" s="603"/>
    </row>
    <row r="117" spans="1:13" ht="12.75">
      <c r="A117" s="806"/>
      <c r="B117" s="61">
        <v>0.2</v>
      </c>
      <c r="C117" s="10">
        <v>1.0081</v>
      </c>
      <c r="D117" s="10">
        <v>1.0242</v>
      </c>
      <c r="E117" s="10">
        <v>1.0152</v>
      </c>
      <c r="F117" s="10">
        <v>1.0081</v>
      </c>
      <c r="G117" s="10">
        <v>1.0061</v>
      </c>
      <c r="H117" s="13"/>
      <c r="I117" s="601"/>
      <c r="J117" s="602"/>
      <c r="K117" s="602"/>
      <c r="L117" s="602"/>
      <c r="M117" s="603"/>
    </row>
    <row r="118" spans="1:13" ht="12.75">
      <c r="A118" s="806"/>
      <c r="B118" s="61">
        <v>0.4</v>
      </c>
      <c r="C118" s="10">
        <v>1.0212</v>
      </c>
      <c r="D118" s="10">
        <v>1.0596</v>
      </c>
      <c r="E118" s="10">
        <v>1.0394</v>
      </c>
      <c r="F118" s="10">
        <v>1.0212</v>
      </c>
      <c r="G118" s="10">
        <v>1.0131</v>
      </c>
      <c r="H118" s="13"/>
      <c r="I118" s="601"/>
      <c r="J118" s="602"/>
      <c r="K118" s="602"/>
      <c r="L118" s="602"/>
      <c r="M118" s="603"/>
    </row>
    <row r="119" spans="1:13" ht="12.75">
      <c r="A119" s="806"/>
      <c r="B119" s="61">
        <v>0.6</v>
      </c>
      <c r="C119" s="10">
        <v>1.0394</v>
      </c>
      <c r="D119" s="10">
        <v>1.097</v>
      </c>
      <c r="E119" s="10">
        <v>1.0667</v>
      </c>
      <c r="F119" s="10">
        <v>1.0394</v>
      </c>
      <c r="G119" s="10">
        <v>1.0354</v>
      </c>
      <c r="H119" s="13"/>
      <c r="I119" s="601"/>
      <c r="J119" s="602"/>
      <c r="K119" s="602"/>
      <c r="L119" s="602"/>
      <c r="M119" s="603"/>
    </row>
    <row r="120" spans="1:13" ht="13.5" thickBot="1">
      <c r="A120" s="807"/>
      <c r="B120" s="62">
        <v>0.8</v>
      </c>
      <c r="C120" s="8">
        <v>1.0667</v>
      </c>
      <c r="D120" s="8">
        <v>1.1303</v>
      </c>
      <c r="E120" s="8">
        <v>1.0939</v>
      </c>
      <c r="F120" s="8">
        <v>1.0667</v>
      </c>
      <c r="G120" s="8">
        <v>1.0222</v>
      </c>
      <c r="H120" s="74"/>
      <c r="I120" s="601"/>
      <c r="J120" s="602"/>
      <c r="K120" s="602"/>
      <c r="L120" s="602"/>
      <c r="M120" s="603"/>
    </row>
    <row r="121" spans="1:13" ht="13.5" thickBot="1">
      <c r="A121" s="850" t="s">
        <v>182</v>
      </c>
      <c r="B121" s="851"/>
      <c r="C121" s="851"/>
      <c r="D121" s="851"/>
      <c r="E121" s="851"/>
      <c r="F121" s="851"/>
      <c r="G121" s="851"/>
      <c r="H121" s="852"/>
      <c r="I121" s="601"/>
      <c r="J121" s="602"/>
      <c r="K121" s="602"/>
      <c r="L121" s="602"/>
      <c r="M121" s="603"/>
    </row>
    <row r="122" spans="1:13" ht="13.5" thickBot="1">
      <c r="A122" s="53"/>
      <c r="B122" s="808" t="s">
        <v>6</v>
      </c>
      <c r="C122" s="808"/>
      <c r="D122" s="808"/>
      <c r="E122" s="808"/>
      <c r="F122" s="808"/>
      <c r="G122" s="808"/>
      <c r="H122" s="809"/>
      <c r="I122" s="601"/>
      <c r="J122" s="602"/>
      <c r="K122" s="602"/>
      <c r="L122" s="602"/>
      <c r="M122" s="603"/>
    </row>
    <row r="123" spans="1:13" ht="12.75">
      <c r="A123" s="806" t="s">
        <v>167</v>
      </c>
      <c r="B123" s="60"/>
      <c r="C123" s="58">
        <v>2</v>
      </c>
      <c r="D123" s="58">
        <v>3</v>
      </c>
      <c r="E123" s="58">
        <v>4</v>
      </c>
      <c r="F123" s="58">
        <v>6</v>
      </c>
      <c r="G123" s="58">
        <v>8</v>
      </c>
      <c r="H123" s="59">
        <v>12</v>
      </c>
      <c r="I123" s="601"/>
      <c r="J123" s="602"/>
      <c r="K123" s="602"/>
      <c r="L123" s="602"/>
      <c r="M123" s="603"/>
    </row>
    <row r="124" spans="1:13" ht="12.75">
      <c r="A124" s="806"/>
      <c r="B124" s="61">
        <v>0</v>
      </c>
      <c r="C124" s="10">
        <v>1</v>
      </c>
      <c r="D124" s="10">
        <v>1</v>
      </c>
      <c r="E124" s="10">
        <v>1</v>
      </c>
      <c r="F124" s="10">
        <v>1</v>
      </c>
      <c r="G124" s="10">
        <v>1</v>
      </c>
      <c r="H124" s="11">
        <v>1</v>
      </c>
      <c r="I124" s="601"/>
      <c r="J124" s="602"/>
      <c r="K124" s="602"/>
      <c r="L124" s="602"/>
      <c r="M124" s="603"/>
    </row>
    <row r="125" spans="1:13" ht="12.75">
      <c r="A125" s="806"/>
      <c r="B125" s="61">
        <v>0.2</v>
      </c>
      <c r="C125" s="12">
        <v>1.0573</v>
      </c>
      <c r="D125" s="12">
        <v>1.0834</v>
      </c>
      <c r="E125" s="12">
        <v>1.0834</v>
      </c>
      <c r="F125" s="12">
        <v>1.0834</v>
      </c>
      <c r="G125" s="10">
        <v>1.0834</v>
      </c>
      <c r="H125" s="11">
        <v>1.0834</v>
      </c>
      <c r="I125" s="601"/>
      <c r="J125" s="602"/>
      <c r="K125" s="602"/>
      <c r="L125" s="602"/>
      <c r="M125" s="603"/>
    </row>
    <row r="126" spans="1:13" ht="12.75">
      <c r="A126" s="806"/>
      <c r="B126" s="61">
        <v>0.4</v>
      </c>
      <c r="C126" s="12">
        <v>1.1643</v>
      </c>
      <c r="D126" s="12">
        <v>1.2166</v>
      </c>
      <c r="E126" s="12">
        <v>1.2203</v>
      </c>
      <c r="F126" s="12">
        <v>1.2216</v>
      </c>
      <c r="G126" s="10">
        <v>1.2216</v>
      </c>
      <c r="H126" s="11">
        <v>1.2303</v>
      </c>
      <c r="I126" s="601"/>
      <c r="J126" s="602"/>
      <c r="K126" s="602"/>
      <c r="L126" s="602"/>
      <c r="M126" s="603"/>
    </row>
    <row r="127" spans="1:13" ht="12.75">
      <c r="A127" s="806"/>
      <c r="B127" s="61">
        <v>0.6</v>
      </c>
      <c r="C127" s="12">
        <v>1.2602</v>
      </c>
      <c r="D127" s="12">
        <v>1.3448</v>
      </c>
      <c r="E127" s="12">
        <v>1.3672</v>
      </c>
      <c r="F127" s="12">
        <v>1.3797</v>
      </c>
      <c r="G127" s="10">
        <v>1.3909</v>
      </c>
      <c r="H127" s="11">
        <v>1.4058</v>
      </c>
      <c r="I127" s="601"/>
      <c r="J127" s="602"/>
      <c r="K127" s="602"/>
      <c r="L127" s="602"/>
      <c r="M127" s="603"/>
    </row>
    <row r="128" spans="1:13" ht="13.5" thickBot="1">
      <c r="A128" s="806"/>
      <c r="B128" s="62">
        <v>0.8</v>
      </c>
      <c r="C128" s="12">
        <v>1.3</v>
      </c>
      <c r="D128" s="12">
        <v>1.4407</v>
      </c>
      <c r="E128" s="12">
        <v>1.4979</v>
      </c>
      <c r="F128" s="12">
        <v>1.5527</v>
      </c>
      <c r="G128" s="10">
        <v>1.5739</v>
      </c>
      <c r="H128" s="11">
        <v>1.5988</v>
      </c>
      <c r="I128" s="601"/>
      <c r="J128" s="602"/>
      <c r="K128" s="602"/>
      <c r="L128" s="602"/>
      <c r="M128" s="603"/>
    </row>
    <row r="129" spans="1:13" ht="13.5" thickBot="1">
      <c r="A129" s="731" t="s">
        <v>185</v>
      </c>
      <c r="B129" s="810"/>
      <c r="C129" s="810"/>
      <c r="D129" s="810"/>
      <c r="E129" s="810"/>
      <c r="F129" s="810"/>
      <c r="G129" s="810"/>
      <c r="H129" s="810"/>
      <c r="I129" s="811"/>
      <c r="J129" s="601"/>
      <c r="K129" s="602"/>
      <c r="L129" s="602"/>
      <c r="M129" s="603"/>
    </row>
    <row r="130" spans="1:13" ht="13.5" thickBot="1">
      <c r="A130" s="846" t="s">
        <v>138</v>
      </c>
      <c r="B130" s="808"/>
      <c r="C130" s="808"/>
      <c r="D130" s="808"/>
      <c r="E130" s="808"/>
      <c r="F130" s="808"/>
      <c r="G130" s="808"/>
      <c r="H130" s="808"/>
      <c r="I130" s="809"/>
      <c r="J130" s="601"/>
      <c r="K130" s="602"/>
      <c r="L130" s="602"/>
      <c r="M130" s="603"/>
    </row>
    <row r="131" spans="1:13" ht="13.5" thickBot="1">
      <c r="A131" s="53"/>
      <c r="B131" s="846" t="s">
        <v>6</v>
      </c>
      <c r="C131" s="808"/>
      <c r="D131" s="808"/>
      <c r="E131" s="808"/>
      <c r="F131" s="808"/>
      <c r="G131" s="808"/>
      <c r="H131" s="808"/>
      <c r="I131" s="809"/>
      <c r="J131" s="601"/>
      <c r="K131" s="602"/>
      <c r="L131" s="602"/>
      <c r="M131" s="603"/>
    </row>
    <row r="132" spans="1:13" ht="12.75">
      <c r="A132" s="806" t="s">
        <v>167</v>
      </c>
      <c r="B132" s="60"/>
      <c r="C132" s="58">
        <v>2</v>
      </c>
      <c r="D132" s="58">
        <v>4</v>
      </c>
      <c r="E132" s="58">
        <v>6</v>
      </c>
      <c r="F132" s="58">
        <v>8</v>
      </c>
      <c r="G132" s="58">
        <v>12</v>
      </c>
      <c r="H132" s="58"/>
      <c r="I132" s="59"/>
      <c r="J132" s="601"/>
      <c r="K132" s="602"/>
      <c r="L132" s="602"/>
      <c r="M132" s="603"/>
    </row>
    <row r="133" spans="1:13" ht="12.75">
      <c r="A133" s="806"/>
      <c r="B133" s="61">
        <v>0</v>
      </c>
      <c r="C133" s="12">
        <v>1</v>
      </c>
      <c r="D133" s="10">
        <v>1</v>
      </c>
      <c r="E133" s="10">
        <v>1</v>
      </c>
      <c r="F133" s="10">
        <v>1</v>
      </c>
      <c r="G133" s="10">
        <v>1</v>
      </c>
      <c r="H133" s="10"/>
      <c r="I133" s="11"/>
      <c r="J133" s="601"/>
      <c r="K133" s="602"/>
      <c r="L133" s="602"/>
      <c r="M133" s="603"/>
    </row>
    <row r="134" spans="1:13" ht="12.75">
      <c r="A134" s="806"/>
      <c r="B134" s="61">
        <v>0.2</v>
      </c>
      <c r="C134" s="12">
        <v>0.96568</v>
      </c>
      <c r="D134" s="12">
        <v>0.99527</v>
      </c>
      <c r="E134" s="10">
        <v>1</v>
      </c>
      <c r="F134" s="12">
        <v>0.99527</v>
      </c>
      <c r="G134" s="12">
        <v>0.9858</v>
      </c>
      <c r="H134" s="10"/>
      <c r="I134" s="11"/>
      <c r="J134" s="601"/>
      <c r="K134" s="602"/>
      <c r="L134" s="602"/>
      <c r="M134" s="603"/>
    </row>
    <row r="135" spans="1:13" ht="12.75">
      <c r="A135" s="806"/>
      <c r="B135" s="61">
        <v>0.4</v>
      </c>
      <c r="C135" s="12">
        <v>0.89467</v>
      </c>
      <c r="D135" s="12">
        <v>0.9716</v>
      </c>
      <c r="E135" s="12">
        <v>0.9858</v>
      </c>
      <c r="F135" s="12">
        <v>0.96805</v>
      </c>
      <c r="G135" s="12">
        <v>0.94083</v>
      </c>
      <c r="H135" s="10"/>
      <c r="I135" s="11"/>
      <c r="J135" s="601"/>
      <c r="K135" s="602"/>
      <c r="L135" s="602"/>
      <c r="M135" s="603"/>
    </row>
    <row r="136" spans="1:13" ht="12.75">
      <c r="A136" s="806"/>
      <c r="B136" s="61">
        <v>0.6</v>
      </c>
      <c r="C136" s="12">
        <v>0.82722</v>
      </c>
      <c r="D136" s="12">
        <v>0.93018</v>
      </c>
      <c r="E136" s="12">
        <v>0.93373</v>
      </c>
      <c r="F136" s="12">
        <v>0.90769</v>
      </c>
      <c r="G136" s="12">
        <v>0.86391</v>
      </c>
      <c r="H136" s="10"/>
      <c r="I136" s="11"/>
      <c r="J136" s="601"/>
      <c r="K136" s="602"/>
      <c r="L136" s="602"/>
      <c r="M136" s="603"/>
    </row>
    <row r="137" spans="1:13" ht="13.5" thickBot="1">
      <c r="A137" s="806"/>
      <c r="B137" s="61">
        <v>0.8</v>
      </c>
      <c r="C137" s="12">
        <v>0.76095</v>
      </c>
      <c r="D137" s="12">
        <v>0.85562</v>
      </c>
      <c r="E137" s="12">
        <v>0.84024</v>
      </c>
      <c r="F137" s="12">
        <v>0.80947</v>
      </c>
      <c r="G137" s="12">
        <v>0.76095</v>
      </c>
      <c r="H137" s="10"/>
      <c r="I137" s="11"/>
      <c r="J137" s="601"/>
      <c r="K137" s="602"/>
      <c r="L137" s="602"/>
      <c r="M137" s="603"/>
    </row>
    <row r="138" spans="1:13" ht="13.5" thickBot="1">
      <c r="A138" s="850" t="s">
        <v>180</v>
      </c>
      <c r="B138" s="851"/>
      <c r="C138" s="851"/>
      <c r="D138" s="851"/>
      <c r="E138" s="851"/>
      <c r="F138" s="851"/>
      <c r="G138" s="851"/>
      <c r="H138" s="851"/>
      <c r="I138" s="852"/>
      <c r="J138" s="601"/>
      <c r="K138" s="602"/>
      <c r="L138" s="602"/>
      <c r="M138" s="603"/>
    </row>
    <row r="139" spans="1:13" ht="13.5" thickBot="1">
      <c r="A139" s="52"/>
      <c r="B139" s="808" t="s">
        <v>6</v>
      </c>
      <c r="C139" s="808"/>
      <c r="D139" s="808"/>
      <c r="E139" s="808"/>
      <c r="F139" s="808"/>
      <c r="G139" s="808"/>
      <c r="H139" s="808"/>
      <c r="I139" s="809"/>
      <c r="J139" s="601"/>
      <c r="K139" s="602"/>
      <c r="L139" s="602"/>
      <c r="M139" s="603"/>
    </row>
    <row r="140" spans="1:13" ht="12.75">
      <c r="A140" s="805" t="s">
        <v>167</v>
      </c>
      <c r="B140" s="60"/>
      <c r="C140" s="58">
        <v>2</v>
      </c>
      <c r="D140" s="58">
        <v>3</v>
      </c>
      <c r="E140" s="58">
        <v>4</v>
      </c>
      <c r="F140" s="58">
        <v>6</v>
      </c>
      <c r="G140" s="58">
        <v>8</v>
      </c>
      <c r="H140" s="58">
        <v>10</v>
      </c>
      <c r="I140" s="59">
        <v>12</v>
      </c>
      <c r="J140" s="601"/>
      <c r="K140" s="602"/>
      <c r="L140" s="602"/>
      <c r="M140" s="603"/>
    </row>
    <row r="141" spans="1:13" ht="12.75">
      <c r="A141" s="806"/>
      <c r="B141" s="61">
        <v>0</v>
      </c>
      <c r="C141" s="12">
        <v>1</v>
      </c>
      <c r="D141" s="12">
        <v>1</v>
      </c>
      <c r="E141" s="12">
        <v>1</v>
      </c>
      <c r="F141" s="12">
        <v>1</v>
      </c>
      <c r="G141" s="12">
        <v>1</v>
      </c>
      <c r="H141" s="12">
        <v>1</v>
      </c>
      <c r="I141" s="13">
        <v>1</v>
      </c>
      <c r="J141" s="601"/>
      <c r="K141" s="602"/>
      <c r="L141" s="602"/>
      <c r="M141" s="603"/>
    </row>
    <row r="142" spans="1:13" ht="12.75">
      <c r="A142" s="806"/>
      <c r="B142" s="61">
        <v>0.2</v>
      </c>
      <c r="C142" s="12">
        <v>0.97041</v>
      </c>
      <c r="D142" s="12">
        <v>0.99645</v>
      </c>
      <c r="E142" s="10">
        <v>1.0083</v>
      </c>
      <c r="F142" s="10">
        <v>1.0083</v>
      </c>
      <c r="G142" s="10">
        <v>1.0071</v>
      </c>
      <c r="H142" s="12">
        <v>0.99527</v>
      </c>
      <c r="I142" s="13">
        <v>0.98462</v>
      </c>
      <c r="J142" s="601"/>
      <c r="K142" s="602"/>
      <c r="L142" s="602"/>
      <c r="M142" s="603"/>
    </row>
    <row r="143" spans="1:13" ht="12.75">
      <c r="A143" s="806"/>
      <c r="B143" s="61">
        <v>0.4</v>
      </c>
      <c r="C143" s="12">
        <v>0.92071</v>
      </c>
      <c r="D143" s="12">
        <v>0.99053</v>
      </c>
      <c r="E143" s="10">
        <v>1.026</v>
      </c>
      <c r="F143" s="10">
        <v>1.026</v>
      </c>
      <c r="G143" s="10">
        <v>1.0107</v>
      </c>
      <c r="H143" s="12">
        <v>0.9787</v>
      </c>
      <c r="I143" s="13">
        <v>0.95503</v>
      </c>
      <c r="J143" s="601"/>
      <c r="K143" s="602"/>
      <c r="L143" s="602"/>
      <c r="M143" s="603"/>
    </row>
    <row r="144" spans="1:13" ht="12.75">
      <c r="A144" s="806"/>
      <c r="B144" s="61">
        <v>0.6</v>
      </c>
      <c r="C144" s="12">
        <v>0.89231</v>
      </c>
      <c r="D144" s="12">
        <v>0.97751</v>
      </c>
      <c r="E144" s="10">
        <v>1.0308</v>
      </c>
      <c r="F144" s="10">
        <v>1.0272</v>
      </c>
      <c r="G144" s="12">
        <v>0.99053</v>
      </c>
      <c r="H144" s="12">
        <v>0.95148</v>
      </c>
      <c r="I144" s="13">
        <v>0.92544</v>
      </c>
      <c r="J144" s="601"/>
      <c r="K144" s="602"/>
      <c r="L144" s="602"/>
      <c r="M144" s="603"/>
    </row>
    <row r="145" spans="1:13" ht="13.5" thickBot="1">
      <c r="A145" s="806"/>
      <c r="B145" s="61">
        <v>0.8</v>
      </c>
      <c r="C145" s="12">
        <v>0.87574</v>
      </c>
      <c r="D145" s="12">
        <v>0.97396</v>
      </c>
      <c r="E145" s="10">
        <v>1.0284</v>
      </c>
      <c r="F145" s="10">
        <v>1.0142</v>
      </c>
      <c r="G145" s="12">
        <v>0.95266</v>
      </c>
      <c r="H145" s="12">
        <v>0.91834</v>
      </c>
      <c r="I145" s="13">
        <v>0.89941</v>
      </c>
      <c r="J145" s="601"/>
      <c r="K145" s="602"/>
      <c r="L145" s="602"/>
      <c r="M145" s="603"/>
    </row>
    <row r="146" spans="1:13" ht="13.5" thickBot="1">
      <c r="A146" s="850" t="s">
        <v>181</v>
      </c>
      <c r="B146" s="851"/>
      <c r="C146" s="851"/>
      <c r="D146" s="851"/>
      <c r="E146" s="851"/>
      <c r="F146" s="851"/>
      <c r="G146" s="851"/>
      <c r="H146" s="851"/>
      <c r="I146" s="852"/>
      <c r="J146" s="601"/>
      <c r="K146" s="602"/>
      <c r="L146" s="602"/>
      <c r="M146" s="603"/>
    </row>
    <row r="147" spans="1:13" ht="13.5" thickBot="1">
      <c r="A147" s="53"/>
      <c r="B147" s="846" t="s">
        <v>6</v>
      </c>
      <c r="C147" s="808"/>
      <c r="D147" s="808"/>
      <c r="E147" s="808"/>
      <c r="F147" s="808"/>
      <c r="G147" s="808"/>
      <c r="H147" s="808"/>
      <c r="I147" s="809"/>
      <c r="J147" s="601"/>
      <c r="K147" s="602"/>
      <c r="L147" s="602"/>
      <c r="M147" s="603"/>
    </row>
    <row r="148" spans="1:13" ht="12.75">
      <c r="A148" s="806" t="s">
        <v>167</v>
      </c>
      <c r="B148" s="60"/>
      <c r="C148" s="58">
        <v>2</v>
      </c>
      <c r="D148" s="58">
        <v>3</v>
      </c>
      <c r="E148" s="58">
        <v>4</v>
      </c>
      <c r="F148" s="58">
        <v>6</v>
      </c>
      <c r="G148" s="58">
        <v>8</v>
      </c>
      <c r="H148" s="58">
        <v>10</v>
      </c>
      <c r="I148" s="59">
        <v>12</v>
      </c>
      <c r="J148" s="601"/>
      <c r="K148" s="602"/>
      <c r="L148" s="602"/>
      <c r="M148" s="603"/>
    </row>
    <row r="149" spans="1:13" ht="12.75">
      <c r="A149" s="806"/>
      <c r="B149" s="61">
        <v>0</v>
      </c>
      <c r="C149" s="12">
        <v>1</v>
      </c>
      <c r="D149" s="10">
        <v>1</v>
      </c>
      <c r="E149" s="10">
        <v>1</v>
      </c>
      <c r="F149" s="10">
        <v>1</v>
      </c>
      <c r="G149" s="10">
        <v>1</v>
      </c>
      <c r="H149" s="10">
        <v>1</v>
      </c>
      <c r="I149" s="11">
        <v>1</v>
      </c>
      <c r="J149" s="601"/>
      <c r="K149" s="602"/>
      <c r="L149" s="602"/>
      <c r="M149" s="603"/>
    </row>
    <row r="150" spans="1:13" ht="12.75">
      <c r="A150" s="806"/>
      <c r="B150" s="61">
        <v>0.2</v>
      </c>
      <c r="C150" s="12">
        <v>0.9929</v>
      </c>
      <c r="D150" s="10">
        <v>1.0225</v>
      </c>
      <c r="E150" s="10">
        <v>1.0426</v>
      </c>
      <c r="F150" s="10">
        <v>1.0426</v>
      </c>
      <c r="G150" s="10">
        <v>1.0414</v>
      </c>
      <c r="H150" s="10">
        <v>1.0402</v>
      </c>
      <c r="I150" s="11">
        <v>1.0391</v>
      </c>
      <c r="J150" s="601"/>
      <c r="K150" s="602"/>
      <c r="L150" s="602"/>
      <c r="M150" s="603"/>
    </row>
    <row r="151" spans="1:13" ht="12.75">
      <c r="A151" s="806"/>
      <c r="B151" s="61">
        <v>0.4</v>
      </c>
      <c r="C151" s="12">
        <v>0.99053</v>
      </c>
      <c r="D151" s="10">
        <v>1.0746</v>
      </c>
      <c r="E151" s="10">
        <v>1.1089</v>
      </c>
      <c r="F151" s="10">
        <v>1.1089</v>
      </c>
      <c r="G151" s="10">
        <v>1.0994</v>
      </c>
      <c r="H151" s="10">
        <v>1.0923</v>
      </c>
      <c r="I151" s="11">
        <v>1.0852</v>
      </c>
      <c r="J151" s="601"/>
      <c r="K151" s="602"/>
      <c r="L151" s="602"/>
      <c r="M151" s="603"/>
    </row>
    <row r="152" spans="1:13" ht="12.75">
      <c r="A152" s="806"/>
      <c r="B152" s="61">
        <v>0.6</v>
      </c>
      <c r="C152" s="10">
        <v>1.0284</v>
      </c>
      <c r="D152" s="10">
        <v>1.1396</v>
      </c>
      <c r="E152" s="10">
        <v>1.1822</v>
      </c>
      <c r="F152" s="10">
        <v>1.1822</v>
      </c>
      <c r="G152" s="10">
        <v>1.155</v>
      </c>
      <c r="H152" s="10">
        <v>1.1373</v>
      </c>
      <c r="I152" s="11">
        <v>1.1219</v>
      </c>
      <c r="J152" s="601"/>
      <c r="K152" s="602"/>
      <c r="L152" s="602"/>
      <c r="M152" s="603"/>
    </row>
    <row r="153" spans="1:13" ht="13.5" thickBot="1">
      <c r="A153" s="806"/>
      <c r="B153" s="61">
        <v>0.8</v>
      </c>
      <c r="C153" s="10">
        <v>1.071</v>
      </c>
      <c r="D153" s="10">
        <v>1.2107</v>
      </c>
      <c r="E153" s="10">
        <v>1.2604</v>
      </c>
      <c r="F153" s="10">
        <v>1.2604</v>
      </c>
      <c r="G153" s="10">
        <v>1.2012</v>
      </c>
      <c r="H153" s="10">
        <v>1.1669</v>
      </c>
      <c r="I153" s="11">
        <v>1.1479</v>
      </c>
      <c r="J153" s="601"/>
      <c r="K153" s="602"/>
      <c r="L153" s="602"/>
      <c r="M153" s="603"/>
    </row>
    <row r="154" spans="1:13" ht="13.5" thickBot="1">
      <c r="A154" s="846" t="s">
        <v>182</v>
      </c>
      <c r="B154" s="808"/>
      <c r="C154" s="808"/>
      <c r="D154" s="808"/>
      <c r="E154" s="808"/>
      <c r="F154" s="808"/>
      <c r="G154" s="808"/>
      <c r="H154" s="808"/>
      <c r="I154" s="809"/>
      <c r="J154" s="601"/>
      <c r="K154" s="602"/>
      <c r="L154" s="602"/>
      <c r="M154" s="603"/>
    </row>
    <row r="155" spans="1:13" ht="13.5" thickBot="1">
      <c r="A155" s="53"/>
      <c r="B155" s="846" t="s">
        <v>6</v>
      </c>
      <c r="C155" s="808"/>
      <c r="D155" s="808"/>
      <c r="E155" s="808"/>
      <c r="F155" s="808"/>
      <c r="G155" s="808"/>
      <c r="H155" s="808"/>
      <c r="I155" s="809"/>
      <c r="J155" s="601"/>
      <c r="K155" s="602"/>
      <c r="L155" s="602"/>
      <c r="M155" s="603"/>
    </row>
    <row r="156" spans="1:13" ht="12.75" customHeight="1">
      <c r="A156" s="806" t="s">
        <v>167</v>
      </c>
      <c r="B156" s="60"/>
      <c r="C156" s="58">
        <v>2</v>
      </c>
      <c r="D156" s="58">
        <v>3</v>
      </c>
      <c r="E156" s="58">
        <v>4</v>
      </c>
      <c r="F156" s="58">
        <v>6</v>
      </c>
      <c r="G156" s="58">
        <v>8</v>
      </c>
      <c r="H156" s="58">
        <v>12</v>
      </c>
      <c r="I156" s="59"/>
      <c r="J156" s="601"/>
      <c r="K156" s="602"/>
      <c r="L156" s="602"/>
      <c r="M156" s="603"/>
    </row>
    <row r="157" spans="1:13" ht="12.75">
      <c r="A157" s="806"/>
      <c r="B157" s="61">
        <v>0</v>
      </c>
      <c r="C157" s="10">
        <v>1</v>
      </c>
      <c r="D157" s="10">
        <v>1</v>
      </c>
      <c r="E157" s="10">
        <v>1</v>
      </c>
      <c r="F157" s="10">
        <v>1</v>
      </c>
      <c r="G157" s="10">
        <v>1</v>
      </c>
      <c r="H157" s="10">
        <v>1</v>
      </c>
      <c r="I157" s="11"/>
      <c r="J157" s="601"/>
      <c r="K157" s="602"/>
      <c r="L157" s="602"/>
      <c r="M157" s="603"/>
    </row>
    <row r="158" spans="1:13" ht="12.75">
      <c r="A158" s="806"/>
      <c r="B158" s="61">
        <v>0.2</v>
      </c>
      <c r="C158" s="10">
        <v>1.0352</v>
      </c>
      <c r="D158" s="10">
        <v>1.0802</v>
      </c>
      <c r="E158" s="10">
        <v>1.0998</v>
      </c>
      <c r="F158" s="10">
        <v>1.1115</v>
      </c>
      <c r="G158" s="10">
        <v>1.0959</v>
      </c>
      <c r="H158" s="10">
        <v>1.0724</v>
      </c>
      <c r="I158" s="11"/>
      <c r="J158" s="601"/>
      <c r="K158" s="602"/>
      <c r="L158" s="602"/>
      <c r="M158" s="603"/>
    </row>
    <row r="159" spans="1:13" ht="12.75">
      <c r="A159" s="806"/>
      <c r="B159" s="61">
        <v>0.4</v>
      </c>
      <c r="C159" s="10">
        <v>1.1409</v>
      </c>
      <c r="D159" s="10">
        <v>1.2798</v>
      </c>
      <c r="E159" s="10">
        <v>1.3425</v>
      </c>
      <c r="F159" s="10">
        <v>1.3796</v>
      </c>
      <c r="G159" s="10">
        <v>1.364</v>
      </c>
      <c r="H159" s="10">
        <v>1.3151</v>
      </c>
      <c r="I159" s="11"/>
      <c r="J159" s="601"/>
      <c r="K159" s="602"/>
      <c r="L159" s="602"/>
      <c r="M159" s="603"/>
    </row>
    <row r="160" spans="1:13" ht="12.75">
      <c r="A160" s="806"/>
      <c r="B160" s="61">
        <v>0.6</v>
      </c>
      <c r="C160" s="10">
        <v>1.2916</v>
      </c>
      <c r="D160" s="10">
        <v>1.5225</v>
      </c>
      <c r="E160" s="10">
        <v>1.6262</v>
      </c>
      <c r="F160" s="10">
        <v>1.681</v>
      </c>
      <c r="G160" s="10">
        <v>1.6673</v>
      </c>
      <c r="H160" s="10">
        <v>1.6262</v>
      </c>
      <c r="I160" s="11"/>
      <c r="J160" s="601"/>
      <c r="K160" s="602"/>
      <c r="L160" s="602"/>
      <c r="M160" s="603"/>
    </row>
    <row r="161" spans="1:13" ht="13.5" thickBot="1">
      <c r="A161" s="806"/>
      <c r="B161" s="61">
        <v>0.8</v>
      </c>
      <c r="C161" s="10">
        <v>1.4403</v>
      </c>
      <c r="D161" s="10">
        <v>1.7534</v>
      </c>
      <c r="E161" s="10">
        <v>1.8865</v>
      </c>
      <c r="F161" s="10">
        <v>1.9667</v>
      </c>
      <c r="G161" s="10">
        <v>1.9765</v>
      </c>
      <c r="H161" s="10">
        <v>1.9354</v>
      </c>
      <c r="I161" s="11"/>
      <c r="J161" s="601"/>
      <c r="K161" s="602"/>
      <c r="L161" s="602"/>
      <c r="M161" s="603"/>
    </row>
    <row r="162" spans="1:13" ht="13.5" thickBot="1">
      <c r="A162" s="720" t="s">
        <v>186</v>
      </c>
      <c r="B162" s="721"/>
      <c r="C162" s="721"/>
      <c r="D162" s="721"/>
      <c r="E162" s="721"/>
      <c r="F162" s="721"/>
      <c r="G162" s="721"/>
      <c r="H162" s="721"/>
      <c r="I162" s="721"/>
      <c r="J162" s="722"/>
      <c r="K162" s="601"/>
      <c r="L162" s="602"/>
      <c r="M162" s="603"/>
    </row>
    <row r="163" spans="1:13" ht="13.5" thickBot="1">
      <c r="A163" s="850" t="s">
        <v>138</v>
      </c>
      <c r="B163" s="851"/>
      <c r="C163" s="851"/>
      <c r="D163" s="851"/>
      <c r="E163" s="851"/>
      <c r="F163" s="851"/>
      <c r="G163" s="851"/>
      <c r="H163" s="851"/>
      <c r="I163" s="851"/>
      <c r="J163" s="852"/>
      <c r="K163" s="601"/>
      <c r="L163" s="602"/>
      <c r="M163" s="603"/>
    </row>
    <row r="164" spans="1:13" ht="13.5" thickBot="1">
      <c r="A164" s="53"/>
      <c r="B164" s="846" t="s">
        <v>6</v>
      </c>
      <c r="C164" s="808"/>
      <c r="D164" s="808"/>
      <c r="E164" s="808"/>
      <c r="F164" s="808"/>
      <c r="G164" s="808"/>
      <c r="H164" s="808"/>
      <c r="I164" s="808"/>
      <c r="J164" s="809"/>
      <c r="K164" s="601"/>
      <c r="L164" s="602"/>
      <c r="M164" s="603"/>
    </row>
    <row r="165" spans="1:13" ht="12.75">
      <c r="A165" s="806" t="s">
        <v>167</v>
      </c>
      <c r="B165" s="60"/>
      <c r="C165" s="58">
        <v>2</v>
      </c>
      <c r="D165" s="58">
        <v>3</v>
      </c>
      <c r="E165" s="58">
        <v>4</v>
      </c>
      <c r="F165" s="58">
        <v>6</v>
      </c>
      <c r="G165" s="58">
        <v>8</v>
      </c>
      <c r="H165" s="58">
        <v>12</v>
      </c>
      <c r="I165" s="58"/>
      <c r="J165" s="59"/>
      <c r="K165" s="601"/>
      <c r="L165" s="602"/>
      <c r="M165" s="603"/>
    </row>
    <row r="166" spans="1:13" ht="12.75">
      <c r="A166" s="806"/>
      <c r="B166" s="61">
        <v>0</v>
      </c>
      <c r="C166" s="12">
        <v>1</v>
      </c>
      <c r="D166" s="10">
        <v>1</v>
      </c>
      <c r="E166" s="10">
        <v>1</v>
      </c>
      <c r="F166" s="10">
        <v>1</v>
      </c>
      <c r="G166" s="10">
        <v>1</v>
      </c>
      <c r="H166" s="10">
        <v>1</v>
      </c>
      <c r="I166" s="10"/>
      <c r="J166" s="11"/>
      <c r="K166" s="601"/>
      <c r="L166" s="602"/>
      <c r="M166" s="603"/>
    </row>
    <row r="167" spans="1:13" ht="12.75">
      <c r="A167" s="806"/>
      <c r="B167" s="61">
        <v>0.2</v>
      </c>
      <c r="C167" s="12">
        <v>0.96988</v>
      </c>
      <c r="D167" s="12">
        <v>0.97647</v>
      </c>
      <c r="E167" s="12">
        <v>0.99624</v>
      </c>
      <c r="F167" s="10">
        <v>1</v>
      </c>
      <c r="G167" s="10">
        <v>1</v>
      </c>
      <c r="H167" s="12">
        <v>0.99718</v>
      </c>
      <c r="I167" s="10"/>
      <c r="J167" s="11"/>
      <c r="K167" s="601"/>
      <c r="L167" s="602"/>
      <c r="M167" s="603"/>
    </row>
    <row r="168" spans="1:13" ht="12.75">
      <c r="A168" s="806"/>
      <c r="B168" s="61">
        <v>0.4</v>
      </c>
      <c r="C168" s="12">
        <v>0.86447</v>
      </c>
      <c r="D168" s="12">
        <v>0.92282</v>
      </c>
      <c r="E168" s="12">
        <v>0.96518</v>
      </c>
      <c r="F168" s="12">
        <v>0.98965</v>
      </c>
      <c r="G168" s="12">
        <v>0.98588</v>
      </c>
      <c r="H168" s="12">
        <v>0.96988</v>
      </c>
      <c r="I168" s="10"/>
      <c r="J168" s="11"/>
      <c r="K168" s="601"/>
      <c r="L168" s="602"/>
      <c r="M168" s="603"/>
    </row>
    <row r="169" spans="1:13" ht="12.75">
      <c r="A169" s="806"/>
      <c r="B169" s="61">
        <v>0.6</v>
      </c>
      <c r="C169" s="12">
        <v>0.75906</v>
      </c>
      <c r="D169" s="12">
        <v>0.85318</v>
      </c>
      <c r="E169" s="12">
        <v>0.90588</v>
      </c>
      <c r="F169" s="12">
        <v>0.95765</v>
      </c>
      <c r="G169" s="12">
        <v>0.94165</v>
      </c>
      <c r="H169" s="12">
        <v>0.90588</v>
      </c>
      <c r="I169" s="10"/>
      <c r="J169" s="11"/>
      <c r="K169" s="601"/>
      <c r="L169" s="602"/>
      <c r="M169" s="603"/>
    </row>
    <row r="170" spans="1:13" ht="13.5" thickBot="1">
      <c r="A170" s="806"/>
      <c r="B170" s="61">
        <v>0.8</v>
      </c>
      <c r="C170" s="12">
        <v>0.68</v>
      </c>
      <c r="D170" s="12">
        <v>0.77129</v>
      </c>
      <c r="E170" s="12">
        <v>0.82306</v>
      </c>
      <c r="F170" s="12">
        <v>0.86259</v>
      </c>
      <c r="G170" s="12">
        <v>0.84282</v>
      </c>
      <c r="H170" s="12">
        <v>0.78353</v>
      </c>
      <c r="I170" s="10"/>
      <c r="J170" s="11"/>
      <c r="K170" s="601"/>
      <c r="L170" s="602"/>
      <c r="M170" s="603"/>
    </row>
    <row r="171" spans="1:13" ht="13.5" thickBot="1">
      <c r="A171" s="847" t="s">
        <v>180</v>
      </c>
      <c r="B171" s="848"/>
      <c r="C171" s="848"/>
      <c r="D171" s="848"/>
      <c r="E171" s="848"/>
      <c r="F171" s="848"/>
      <c r="G171" s="848"/>
      <c r="H171" s="848"/>
      <c r="I171" s="848"/>
      <c r="J171" s="849"/>
      <c r="K171" s="601"/>
      <c r="L171" s="602"/>
      <c r="M171" s="603"/>
    </row>
    <row r="172" spans="1:13" ht="13.5" thickBot="1">
      <c r="A172" s="53"/>
      <c r="B172" s="846" t="s">
        <v>6</v>
      </c>
      <c r="C172" s="808"/>
      <c r="D172" s="808"/>
      <c r="E172" s="808"/>
      <c r="F172" s="808"/>
      <c r="G172" s="808"/>
      <c r="H172" s="808"/>
      <c r="I172" s="808"/>
      <c r="J172" s="809"/>
      <c r="K172" s="601"/>
      <c r="L172" s="602"/>
      <c r="M172" s="603"/>
    </row>
    <row r="173" spans="1:13" ht="12.75">
      <c r="A173" s="805" t="s">
        <v>167</v>
      </c>
      <c r="B173" s="60"/>
      <c r="C173" s="58">
        <v>2</v>
      </c>
      <c r="D173" s="58">
        <v>3</v>
      </c>
      <c r="E173" s="58">
        <v>4</v>
      </c>
      <c r="F173" s="58">
        <v>6</v>
      </c>
      <c r="G173" s="58">
        <v>8</v>
      </c>
      <c r="H173" s="58">
        <v>12</v>
      </c>
      <c r="I173" s="58"/>
      <c r="J173" s="59"/>
      <c r="K173" s="601"/>
      <c r="L173" s="602"/>
      <c r="M173" s="603"/>
    </row>
    <row r="174" spans="1:13" ht="12.75">
      <c r="A174" s="806"/>
      <c r="B174" s="61">
        <v>0</v>
      </c>
      <c r="C174" s="12">
        <v>0.99921</v>
      </c>
      <c r="D174" s="12">
        <v>0.99921</v>
      </c>
      <c r="E174" s="12">
        <v>0.99921</v>
      </c>
      <c r="F174" s="12">
        <v>0.99921</v>
      </c>
      <c r="G174" s="12">
        <v>0.99921</v>
      </c>
      <c r="H174" s="12">
        <v>0.99921</v>
      </c>
      <c r="I174" s="12"/>
      <c r="J174" s="11"/>
      <c r="K174" s="601"/>
      <c r="L174" s="602"/>
      <c r="M174" s="603"/>
    </row>
    <row r="175" spans="1:13" ht="12.75">
      <c r="A175" s="806"/>
      <c r="B175" s="61">
        <v>0.2</v>
      </c>
      <c r="C175" s="12">
        <v>0.96356</v>
      </c>
      <c r="D175" s="12">
        <v>0.98376</v>
      </c>
      <c r="E175" s="12">
        <v>0.99921</v>
      </c>
      <c r="F175" s="10">
        <v>1.0182</v>
      </c>
      <c r="G175" s="10">
        <v>1.0242</v>
      </c>
      <c r="H175" s="10">
        <v>1.0242</v>
      </c>
      <c r="I175" s="12"/>
      <c r="J175" s="11"/>
      <c r="K175" s="601"/>
      <c r="L175" s="602"/>
      <c r="M175" s="603"/>
    </row>
    <row r="176" spans="1:13" ht="12.75">
      <c r="A176" s="806"/>
      <c r="B176" s="61">
        <v>0.4</v>
      </c>
      <c r="C176" s="12">
        <v>0.88752</v>
      </c>
      <c r="D176" s="12">
        <v>0.95525</v>
      </c>
      <c r="E176" s="12">
        <v>0.99683</v>
      </c>
      <c r="F176" s="10">
        <v>1.0408</v>
      </c>
      <c r="G176" s="10">
        <v>1.0562</v>
      </c>
      <c r="H176" s="10">
        <v>1.0491</v>
      </c>
      <c r="I176" s="12"/>
      <c r="J176" s="11"/>
      <c r="K176" s="601"/>
      <c r="L176" s="602"/>
      <c r="M176" s="603"/>
    </row>
    <row r="177" spans="1:13" ht="12.75">
      <c r="A177" s="806"/>
      <c r="B177" s="61">
        <v>0.6</v>
      </c>
      <c r="C177" s="12">
        <v>0.80792</v>
      </c>
      <c r="D177" s="12">
        <v>0.92079</v>
      </c>
      <c r="E177" s="12">
        <v>0.98495</v>
      </c>
      <c r="F177" s="10">
        <v>1.0444</v>
      </c>
      <c r="G177" s="10">
        <v>1.0574</v>
      </c>
      <c r="H177" s="10">
        <v>1.0301</v>
      </c>
      <c r="I177" s="12"/>
      <c r="J177" s="11"/>
      <c r="K177" s="601"/>
      <c r="L177" s="602"/>
      <c r="M177" s="603"/>
    </row>
    <row r="178" spans="1:13" ht="13.5" thickBot="1">
      <c r="A178" s="806"/>
      <c r="B178" s="61">
        <v>0.8</v>
      </c>
      <c r="C178" s="12">
        <v>0.76396</v>
      </c>
      <c r="D178" s="12">
        <v>0.89703</v>
      </c>
      <c r="E178" s="12">
        <v>0.97188</v>
      </c>
      <c r="F178" s="10">
        <v>1.0313</v>
      </c>
      <c r="G178" s="10">
        <v>1.0253</v>
      </c>
      <c r="H178" s="10">
        <v>1.0004</v>
      </c>
      <c r="I178" s="12"/>
      <c r="J178" s="11"/>
      <c r="K178" s="601"/>
      <c r="L178" s="602"/>
      <c r="M178" s="603"/>
    </row>
    <row r="179" spans="1:13" ht="13.5" thickBot="1">
      <c r="A179" s="846" t="s">
        <v>181</v>
      </c>
      <c r="B179" s="808"/>
      <c r="C179" s="808"/>
      <c r="D179" s="808"/>
      <c r="E179" s="808"/>
      <c r="F179" s="808"/>
      <c r="G179" s="808"/>
      <c r="H179" s="808"/>
      <c r="I179" s="808"/>
      <c r="J179" s="809"/>
      <c r="K179" s="601"/>
      <c r="L179" s="602"/>
      <c r="M179" s="603"/>
    </row>
    <row r="180" spans="1:13" ht="13.5" thickBot="1">
      <c r="A180" s="53"/>
      <c r="B180" s="846" t="s">
        <v>6</v>
      </c>
      <c r="C180" s="808"/>
      <c r="D180" s="808"/>
      <c r="E180" s="808"/>
      <c r="F180" s="808"/>
      <c r="G180" s="808"/>
      <c r="H180" s="808"/>
      <c r="I180" s="808"/>
      <c r="J180" s="809"/>
      <c r="K180" s="601"/>
      <c r="L180" s="602"/>
      <c r="M180" s="603"/>
    </row>
    <row r="181" spans="1:13" ht="12.75">
      <c r="A181" s="805" t="s">
        <v>167</v>
      </c>
      <c r="B181" s="60"/>
      <c r="C181" s="58">
        <v>2</v>
      </c>
      <c r="D181" s="58">
        <v>3</v>
      </c>
      <c r="E181" s="58">
        <v>4</v>
      </c>
      <c r="F181" s="58">
        <v>6</v>
      </c>
      <c r="G181" s="58">
        <v>8</v>
      </c>
      <c r="H181" s="58">
        <v>12</v>
      </c>
      <c r="I181" s="58"/>
      <c r="J181" s="59"/>
      <c r="K181" s="601"/>
      <c r="L181" s="602"/>
      <c r="M181" s="603"/>
    </row>
    <row r="182" spans="1:13" ht="12.75">
      <c r="A182" s="806"/>
      <c r="B182" s="61">
        <v>0</v>
      </c>
      <c r="C182" s="10">
        <v>1</v>
      </c>
      <c r="D182" s="10">
        <v>1</v>
      </c>
      <c r="E182" s="10">
        <v>1</v>
      </c>
      <c r="F182" s="10">
        <v>1</v>
      </c>
      <c r="G182" s="10">
        <v>1</v>
      </c>
      <c r="H182" s="10">
        <v>1</v>
      </c>
      <c r="I182" s="10"/>
      <c r="J182" s="11"/>
      <c r="K182" s="601"/>
      <c r="L182" s="602"/>
      <c r="M182" s="603"/>
    </row>
    <row r="183" spans="1:13" ht="12.75">
      <c r="A183" s="806"/>
      <c r="B183" s="61">
        <v>0.2</v>
      </c>
      <c r="C183" s="12">
        <v>0.96836</v>
      </c>
      <c r="D183" s="10">
        <v>1.0011</v>
      </c>
      <c r="E183" s="10">
        <v>1.0339</v>
      </c>
      <c r="F183" s="10">
        <v>1.0588</v>
      </c>
      <c r="G183" s="10">
        <v>1.052</v>
      </c>
      <c r="H183" s="10">
        <v>1.0486</v>
      </c>
      <c r="I183" s="10"/>
      <c r="J183" s="11"/>
      <c r="K183" s="601"/>
      <c r="L183" s="602"/>
      <c r="M183" s="603"/>
    </row>
    <row r="184" spans="1:13" ht="12.75">
      <c r="A184" s="806"/>
      <c r="B184" s="61">
        <v>0.4</v>
      </c>
      <c r="C184" s="12">
        <v>0.90395</v>
      </c>
      <c r="D184" s="10">
        <v>1.0079</v>
      </c>
      <c r="E184" s="10">
        <v>1.096</v>
      </c>
      <c r="F184" s="10">
        <v>1.1537</v>
      </c>
      <c r="G184" s="10">
        <v>1.1401</v>
      </c>
      <c r="H184" s="10">
        <v>1.1254</v>
      </c>
      <c r="I184" s="10"/>
      <c r="J184" s="11"/>
      <c r="K184" s="601"/>
      <c r="L184" s="602"/>
      <c r="M184" s="603"/>
    </row>
    <row r="185" spans="1:13" ht="12.75">
      <c r="A185" s="806"/>
      <c r="B185" s="61">
        <v>0.6</v>
      </c>
      <c r="C185" s="12">
        <v>0.87797</v>
      </c>
      <c r="D185" s="10">
        <v>1.0305</v>
      </c>
      <c r="E185" s="10">
        <v>1.1492</v>
      </c>
      <c r="F185" s="10">
        <v>1.2282</v>
      </c>
      <c r="G185" s="10">
        <v>1.1977</v>
      </c>
      <c r="H185" s="10">
        <v>1.1831</v>
      </c>
      <c r="I185" s="10"/>
      <c r="J185" s="11"/>
      <c r="K185" s="601"/>
      <c r="L185" s="602"/>
      <c r="M185" s="603"/>
    </row>
    <row r="186" spans="1:13" ht="13.5" thickBot="1">
      <c r="A186" s="807"/>
      <c r="B186" s="62">
        <v>0.8</v>
      </c>
      <c r="C186" s="12">
        <v>0.88475</v>
      </c>
      <c r="D186" s="10">
        <v>1.0859</v>
      </c>
      <c r="E186" s="10">
        <v>1.2181</v>
      </c>
      <c r="F186" s="10">
        <v>1.3175</v>
      </c>
      <c r="G186" s="10">
        <v>1.2667</v>
      </c>
      <c r="H186" s="10">
        <v>1.2384</v>
      </c>
      <c r="I186" s="10"/>
      <c r="J186" s="11"/>
      <c r="K186" s="601"/>
      <c r="L186" s="602"/>
      <c r="M186" s="603"/>
    </row>
    <row r="187" spans="1:13" ht="13.5" thickBot="1">
      <c r="A187" s="853" t="s">
        <v>182</v>
      </c>
      <c r="B187" s="848"/>
      <c r="C187" s="848"/>
      <c r="D187" s="848"/>
      <c r="E187" s="848"/>
      <c r="F187" s="848"/>
      <c r="G187" s="848"/>
      <c r="H187" s="848"/>
      <c r="I187" s="848"/>
      <c r="J187" s="849"/>
      <c r="K187" s="601"/>
      <c r="L187" s="602"/>
      <c r="M187" s="603"/>
    </row>
    <row r="188" spans="1:13" ht="13.5" thickBot="1">
      <c r="A188" s="53"/>
      <c r="B188" s="846" t="s">
        <v>6</v>
      </c>
      <c r="C188" s="808"/>
      <c r="D188" s="808"/>
      <c r="E188" s="808"/>
      <c r="F188" s="808"/>
      <c r="G188" s="808"/>
      <c r="H188" s="808"/>
      <c r="I188" s="808"/>
      <c r="J188" s="809"/>
      <c r="K188" s="601"/>
      <c r="L188" s="602"/>
      <c r="M188" s="603"/>
    </row>
    <row r="189" spans="1:13" ht="12.75">
      <c r="A189" s="805" t="s">
        <v>167</v>
      </c>
      <c r="B189" s="60"/>
      <c r="C189" s="58">
        <v>2</v>
      </c>
      <c r="D189" s="58">
        <v>3</v>
      </c>
      <c r="E189" s="58">
        <v>4</v>
      </c>
      <c r="F189" s="58">
        <v>5</v>
      </c>
      <c r="G189" s="58">
        <v>6</v>
      </c>
      <c r="H189" s="58">
        <v>8</v>
      </c>
      <c r="I189" s="58">
        <v>10</v>
      </c>
      <c r="J189" s="59">
        <v>12</v>
      </c>
      <c r="K189" s="601"/>
      <c r="L189" s="602"/>
      <c r="M189" s="603"/>
    </row>
    <row r="190" spans="1:13" ht="12.75">
      <c r="A190" s="806"/>
      <c r="B190" s="61">
        <v>0</v>
      </c>
      <c r="C190" s="12">
        <v>1</v>
      </c>
      <c r="D190" s="12">
        <v>1</v>
      </c>
      <c r="E190" s="12">
        <v>1</v>
      </c>
      <c r="F190" s="12">
        <v>1</v>
      </c>
      <c r="G190" s="12">
        <v>1</v>
      </c>
      <c r="H190" s="10">
        <v>1</v>
      </c>
      <c r="I190" s="10">
        <v>1</v>
      </c>
      <c r="J190" s="11">
        <v>1</v>
      </c>
      <c r="K190" s="601"/>
      <c r="L190" s="602"/>
      <c r="M190" s="603"/>
    </row>
    <row r="191" spans="1:13" ht="12.75">
      <c r="A191" s="806"/>
      <c r="B191" s="61">
        <v>0.2</v>
      </c>
      <c r="C191" s="12">
        <v>0.98699</v>
      </c>
      <c r="D191" s="12">
        <v>1.0312</v>
      </c>
      <c r="E191" s="12">
        <v>1.1015</v>
      </c>
      <c r="F191" s="12">
        <v>1.1457</v>
      </c>
      <c r="G191" s="12">
        <v>1.177</v>
      </c>
      <c r="H191" s="10">
        <v>1.1822</v>
      </c>
      <c r="I191" s="10">
        <v>1.1561</v>
      </c>
      <c r="J191" s="11">
        <v>1.1301</v>
      </c>
      <c r="K191" s="601"/>
      <c r="L191" s="602"/>
      <c r="M191" s="603"/>
    </row>
    <row r="192" spans="1:13" ht="12.75">
      <c r="A192" s="806"/>
      <c r="B192" s="61">
        <v>0.4</v>
      </c>
      <c r="C192" s="12">
        <v>0.98699</v>
      </c>
      <c r="D192" s="12">
        <v>1.1483</v>
      </c>
      <c r="E192" s="12">
        <v>1.3071</v>
      </c>
      <c r="F192" s="12">
        <v>1.4424</v>
      </c>
      <c r="G192" s="12">
        <v>1.5022</v>
      </c>
      <c r="H192" s="10">
        <v>1.5283</v>
      </c>
      <c r="I192" s="10">
        <v>1.4736</v>
      </c>
      <c r="J192" s="11">
        <v>1.4007</v>
      </c>
      <c r="K192" s="601"/>
      <c r="L192" s="602"/>
      <c r="M192" s="603"/>
    </row>
    <row r="193" spans="1:13" ht="12.75">
      <c r="A193" s="806"/>
      <c r="B193" s="61">
        <v>0.6</v>
      </c>
      <c r="C193" s="12">
        <v>1.0312</v>
      </c>
      <c r="D193" s="12">
        <v>1.3227</v>
      </c>
      <c r="E193" s="12">
        <v>1.5933</v>
      </c>
      <c r="F193" s="12">
        <v>1.7963</v>
      </c>
      <c r="G193" s="12">
        <v>1.8796</v>
      </c>
      <c r="H193" s="10">
        <v>1.916</v>
      </c>
      <c r="I193" s="10">
        <v>1.8743</v>
      </c>
      <c r="J193" s="11">
        <v>1.8301</v>
      </c>
      <c r="K193" s="601"/>
      <c r="L193" s="602"/>
      <c r="M193" s="603"/>
    </row>
    <row r="194" spans="1:13" ht="13.5" thickBot="1">
      <c r="A194" s="807"/>
      <c r="B194" s="62">
        <v>0.8</v>
      </c>
      <c r="C194" s="15">
        <v>1.1015</v>
      </c>
      <c r="D194" s="15">
        <v>1.5517</v>
      </c>
      <c r="E194" s="15">
        <v>1.9108</v>
      </c>
      <c r="F194" s="15">
        <v>2.1528</v>
      </c>
      <c r="G194" s="15">
        <v>2.2517</v>
      </c>
      <c r="H194" s="8">
        <v>2.3011</v>
      </c>
      <c r="I194" s="8">
        <v>2.2725</v>
      </c>
      <c r="J194" s="9">
        <v>2.2517</v>
      </c>
      <c r="K194" s="601"/>
      <c r="L194" s="602"/>
      <c r="M194" s="603"/>
    </row>
    <row r="195" spans="1:13" ht="13.5" thickBot="1">
      <c r="A195" s="643" t="s">
        <v>254</v>
      </c>
      <c r="B195" s="688"/>
      <c r="C195" s="688"/>
      <c r="D195" s="688"/>
      <c r="E195" s="688"/>
      <c r="F195" s="644"/>
      <c r="G195" s="601"/>
      <c r="H195" s="602"/>
      <c r="I195" s="602"/>
      <c r="J195" s="602"/>
      <c r="K195" s="602"/>
      <c r="L195" s="602"/>
      <c r="M195" s="603"/>
    </row>
    <row r="196" spans="1:13" ht="13.5" thickBot="1">
      <c r="A196" s="53"/>
      <c r="B196" s="808" t="s">
        <v>172</v>
      </c>
      <c r="C196" s="808"/>
      <c r="D196" s="808"/>
      <c r="E196" s="808"/>
      <c r="F196" s="809"/>
      <c r="G196" s="601"/>
      <c r="H196" s="602"/>
      <c r="I196" s="602"/>
      <c r="J196" s="602"/>
      <c r="K196" s="602"/>
      <c r="L196" s="602"/>
      <c r="M196" s="603"/>
    </row>
    <row r="197" spans="1:13" ht="12.75">
      <c r="A197" s="806" t="s">
        <v>45</v>
      </c>
      <c r="B197" s="60"/>
      <c r="C197" s="58">
        <v>0</v>
      </c>
      <c r="D197" s="58">
        <v>2</v>
      </c>
      <c r="E197" s="58">
        <v>4</v>
      </c>
      <c r="F197" s="59">
        <v>6</v>
      </c>
      <c r="G197" s="601"/>
      <c r="H197" s="602"/>
      <c r="I197" s="602"/>
      <c r="J197" s="602"/>
      <c r="K197" s="602"/>
      <c r="L197" s="602"/>
      <c r="M197" s="603"/>
    </row>
    <row r="198" spans="1:13" ht="12.75">
      <c r="A198" s="806"/>
      <c r="B198" s="61">
        <v>0</v>
      </c>
      <c r="C198" s="14" t="e">
        <f>DITP('Coeficientes Longitudinais'!$C$5,'Coeficientes Longitudinais'!$I$10,'ESDU 80020'!$B$66:$H$71)</f>
        <v>#NAME?</v>
      </c>
      <c r="D198" s="14" t="e">
        <f>DITP('Coeficientes Longitudinais'!$C$5,'Coeficientes Longitudinais'!$I$10,'ESDU 80020'!$B$99:$H$104)</f>
        <v>#NAME?</v>
      </c>
      <c r="E198" s="14" t="e">
        <f>DITP('Coeficientes Longitudinais'!$C$5,'Coeficientes Longitudinais'!$I$10,'ESDU 80020'!$B$132:$G$137)</f>
        <v>#NAME?</v>
      </c>
      <c r="F198" s="76" t="e">
        <f>DITP('Coeficientes Longitudinais'!$C$5,'Coeficientes Longitudinais'!$I$10,'ESDU 80020'!$B$165:$H$170)</f>
        <v>#NAME?</v>
      </c>
      <c r="G198" s="601"/>
      <c r="H198" s="602"/>
      <c r="I198" s="602"/>
      <c r="J198" s="602"/>
      <c r="K198" s="602"/>
      <c r="L198" s="602"/>
      <c r="M198" s="603"/>
    </row>
    <row r="199" spans="1:13" ht="12.75">
      <c r="A199" s="806"/>
      <c r="B199" s="61">
        <v>0.25</v>
      </c>
      <c r="C199" s="14" t="e">
        <f>DITP('Coeficientes Longitudinais'!$C$5,'Coeficientes Longitudinais'!$I$10,'ESDU 80020'!$B$74:$H$79)</f>
        <v>#NAME?</v>
      </c>
      <c r="D199" s="14" t="e">
        <f>DITP('Coeficientes Longitudinais'!$C$5,'Coeficientes Longitudinais'!$I$10,'ESDU 80020'!$B$107:$H$112)</f>
        <v>#NAME?</v>
      </c>
      <c r="E199" s="14" t="e">
        <f>DITP('Coeficientes Longitudinais'!$C$5,'Coeficientes Longitudinais'!$I$10,'ESDU 80020'!$B$140:$I$145)</f>
        <v>#NAME?</v>
      </c>
      <c r="F199" s="76" t="e">
        <f>DITP('Coeficientes Longitudinais'!$C$5,'Coeficientes Longitudinais'!$I$10,'ESDU 80020'!$B$173:$H$178)</f>
        <v>#NAME?</v>
      </c>
      <c r="G199" s="601"/>
      <c r="H199" s="602"/>
      <c r="I199" s="602"/>
      <c r="J199" s="602"/>
      <c r="K199" s="602"/>
      <c r="L199" s="602"/>
      <c r="M199" s="603"/>
    </row>
    <row r="200" spans="1:13" ht="12.75">
      <c r="A200" s="806"/>
      <c r="B200" s="61">
        <v>0.5</v>
      </c>
      <c r="C200" s="14" t="e">
        <f>DITP('Coeficientes Longitudinais'!$C$5,'Coeficientes Longitudinais'!$I$10,'ESDU 80020'!$B$82:$H$87)</f>
        <v>#NAME?</v>
      </c>
      <c r="D200" s="14" t="e">
        <f>DITP('Coeficientes Longitudinais'!$C$5,'Coeficientes Longitudinais'!$I$10,'ESDU 80020'!$B$115:$G$120)</f>
        <v>#NAME?</v>
      </c>
      <c r="E200" s="14" t="e">
        <f>DITP('Coeficientes Longitudinais'!$C$5,'Coeficientes Longitudinais'!$I$10,'ESDU 80020'!$B$148:$I$153)</f>
        <v>#NAME?</v>
      </c>
      <c r="F200" s="76" t="e">
        <f>DITP('Coeficientes Longitudinais'!$C$5,'Coeficientes Longitudinais'!$I$10,'ESDU 80020'!$B$181:$H$186)</f>
        <v>#NAME?</v>
      </c>
      <c r="G200" s="601"/>
      <c r="H200" s="602"/>
      <c r="I200" s="602"/>
      <c r="J200" s="602"/>
      <c r="K200" s="602"/>
      <c r="L200" s="602"/>
      <c r="M200" s="603"/>
    </row>
    <row r="201" spans="1:13" ht="13.5" thickBot="1">
      <c r="A201" s="807"/>
      <c r="B201" s="62">
        <v>1</v>
      </c>
      <c r="C201" s="77" t="e">
        <f>DITP('Coeficientes Longitudinais'!$C$5,'Coeficientes Longitudinais'!$I$10,'ESDU 80020'!$B$90:$H$95)</f>
        <v>#NAME?</v>
      </c>
      <c r="D201" s="77" t="e">
        <f>DITP('Coeficientes Longitudinais'!$C$5,'Coeficientes Longitudinais'!$I$10,'ESDU 80020'!$B$123:$H$128)</f>
        <v>#NAME?</v>
      </c>
      <c r="E201" s="77" t="e">
        <f>DITP('Coeficientes Longitudinais'!$C$5,'Coeficientes Longitudinais'!$I$10,'ESDU 80020'!$B$156:$H$161)</f>
        <v>#NAME?</v>
      </c>
      <c r="F201" s="78" t="e">
        <f>DITP('Coeficientes Longitudinais'!$C$5,'Coeficientes Longitudinais'!$I$10,'ESDU 80020'!$B$189:$J$194)</f>
        <v>#NAME?</v>
      </c>
      <c r="G201" s="601"/>
      <c r="H201" s="602"/>
      <c r="I201" s="602"/>
      <c r="J201" s="602"/>
      <c r="K201" s="602"/>
      <c r="L201" s="602"/>
      <c r="M201" s="603"/>
    </row>
    <row r="202" spans="1:13" ht="13.5" thickBot="1">
      <c r="A202" s="731" t="s">
        <v>190</v>
      </c>
      <c r="B202" s="810"/>
      <c r="C202" s="811"/>
      <c r="D202" s="601"/>
      <c r="E202" s="602"/>
      <c r="F202" s="602"/>
      <c r="G202" s="602"/>
      <c r="H202" s="602"/>
      <c r="I202" s="602"/>
      <c r="J202" s="602"/>
      <c r="K202" s="602"/>
      <c r="L202" s="602"/>
      <c r="M202" s="603"/>
    </row>
    <row r="203" spans="1:13" ht="13.5" thickBot="1">
      <c r="A203" s="53"/>
      <c r="B203" s="1"/>
      <c r="C203" s="2" t="s">
        <v>68</v>
      </c>
      <c r="D203" s="601"/>
      <c r="E203" s="602"/>
      <c r="F203" s="602"/>
      <c r="G203" s="602"/>
      <c r="H203" s="602"/>
      <c r="I203" s="602"/>
      <c r="J203" s="602"/>
      <c r="K203" s="602"/>
      <c r="L203" s="602"/>
      <c r="M203" s="603"/>
    </row>
    <row r="204" spans="1:13" ht="12.75">
      <c r="A204" s="806" t="s">
        <v>6</v>
      </c>
      <c r="B204" s="80">
        <v>2</v>
      </c>
      <c r="C204" s="11">
        <v>1</v>
      </c>
      <c r="D204" s="601"/>
      <c r="E204" s="602"/>
      <c r="F204" s="602"/>
      <c r="G204" s="602"/>
      <c r="H204" s="602"/>
      <c r="I204" s="602"/>
      <c r="J204" s="602"/>
      <c r="K204" s="602"/>
      <c r="L204" s="602"/>
      <c r="M204" s="603"/>
    </row>
    <row r="205" spans="1:13" ht="12.75">
      <c r="A205" s="806"/>
      <c r="B205" s="81">
        <v>3</v>
      </c>
      <c r="C205" s="11">
        <v>1.0628</v>
      </c>
      <c r="D205" s="601"/>
      <c r="E205" s="602"/>
      <c r="F205" s="602"/>
      <c r="G205" s="602"/>
      <c r="H205" s="602"/>
      <c r="I205" s="602"/>
      <c r="J205" s="602"/>
      <c r="K205" s="602"/>
      <c r="L205" s="602"/>
      <c r="M205" s="603"/>
    </row>
    <row r="206" spans="1:13" ht="12.75">
      <c r="A206" s="806"/>
      <c r="B206" s="81">
        <v>4</v>
      </c>
      <c r="C206" s="11">
        <v>1.1229</v>
      </c>
      <c r="D206" s="601"/>
      <c r="E206" s="602"/>
      <c r="F206" s="602"/>
      <c r="G206" s="602"/>
      <c r="H206" s="602"/>
      <c r="I206" s="602"/>
      <c r="J206" s="602"/>
      <c r="K206" s="602"/>
      <c r="L206" s="602"/>
      <c r="M206" s="603"/>
    </row>
    <row r="207" spans="1:13" ht="12.75">
      <c r="A207" s="806"/>
      <c r="B207" s="81">
        <v>5</v>
      </c>
      <c r="C207" s="11">
        <v>1.1857</v>
      </c>
      <c r="D207" s="601"/>
      <c r="E207" s="602"/>
      <c r="F207" s="602"/>
      <c r="G207" s="602"/>
      <c r="H207" s="602"/>
      <c r="I207" s="602"/>
      <c r="J207" s="602"/>
      <c r="K207" s="602"/>
      <c r="L207" s="602"/>
      <c r="M207" s="603"/>
    </row>
    <row r="208" spans="1:13" ht="12.75">
      <c r="A208" s="806"/>
      <c r="B208" s="81">
        <v>6</v>
      </c>
      <c r="C208" s="11">
        <v>1.2457</v>
      </c>
      <c r="D208" s="601"/>
      <c r="E208" s="602"/>
      <c r="F208" s="602"/>
      <c r="G208" s="602"/>
      <c r="H208" s="602"/>
      <c r="I208" s="602"/>
      <c r="J208" s="602"/>
      <c r="K208" s="602"/>
      <c r="L208" s="602"/>
      <c r="M208" s="603"/>
    </row>
    <row r="209" spans="1:13" ht="12.75">
      <c r="A209" s="806"/>
      <c r="B209" s="81">
        <v>6.9863</v>
      </c>
      <c r="C209" s="11">
        <v>1.3058</v>
      </c>
      <c r="D209" s="601"/>
      <c r="E209" s="602"/>
      <c r="F209" s="602"/>
      <c r="G209" s="602"/>
      <c r="H209" s="602"/>
      <c r="I209" s="602"/>
      <c r="J209" s="602"/>
      <c r="K209" s="602"/>
      <c r="L209" s="602"/>
      <c r="M209" s="603"/>
    </row>
    <row r="210" spans="1:13" ht="12.75">
      <c r="A210" s="806"/>
      <c r="B210" s="81">
        <v>8</v>
      </c>
      <c r="C210" s="11">
        <v>1.3686</v>
      </c>
      <c r="D210" s="601"/>
      <c r="E210" s="602"/>
      <c r="F210" s="602"/>
      <c r="G210" s="602"/>
      <c r="H210" s="602"/>
      <c r="I210" s="602"/>
      <c r="J210" s="602"/>
      <c r="K210" s="602"/>
      <c r="L210" s="602"/>
      <c r="M210" s="603"/>
    </row>
    <row r="211" spans="1:13" ht="12.75">
      <c r="A211" s="806"/>
      <c r="B211" s="81">
        <v>8.9863</v>
      </c>
      <c r="C211" s="11">
        <v>1.4314</v>
      </c>
      <c r="D211" s="601"/>
      <c r="E211" s="602"/>
      <c r="F211" s="602"/>
      <c r="G211" s="602"/>
      <c r="H211" s="602"/>
      <c r="I211" s="602"/>
      <c r="J211" s="602"/>
      <c r="K211" s="602"/>
      <c r="L211" s="602"/>
      <c r="M211" s="603"/>
    </row>
    <row r="212" spans="1:13" ht="12.75">
      <c r="A212" s="806"/>
      <c r="B212" s="81">
        <v>9.9863</v>
      </c>
      <c r="C212" s="11">
        <v>1.4915</v>
      </c>
      <c r="D212" s="601"/>
      <c r="E212" s="602"/>
      <c r="F212" s="602"/>
      <c r="G212" s="602"/>
      <c r="H212" s="602"/>
      <c r="I212" s="602"/>
      <c r="J212" s="602"/>
      <c r="K212" s="602"/>
      <c r="L212" s="602"/>
      <c r="M212" s="603"/>
    </row>
    <row r="213" spans="1:13" ht="12.75">
      <c r="A213" s="806"/>
      <c r="B213" s="81">
        <v>10.986</v>
      </c>
      <c r="C213" s="11">
        <v>1.5543</v>
      </c>
      <c r="D213" s="601"/>
      <c r="E213" s="602"/>
      <c r="F213" s="602"/>
      <c r="G213" s="602"/>
      <c r="H213" s="602"/>
      <c r="I213" s="602"/>
      <c r="J213" s="602"/>
      <c r="K213" s="602"/>
      <c r="L213" s="602"/>
      <c r="M213" s="603"/>
    </row>
    <row r="214" spans="1:13" ht="13.5" thickBot="1">
      <c r="A214" s="807"/>
      <c r="B214" s="82">
        <v>11.986</v>
      </c>
      <c r="C214" s="11">
        <v>1.6143</v>
      </c>
      <c r="D214" s="601"/>
      <c r="E214" s="602"/>
      <c r="F214" s="602"/>
      <c r="G214" s="602"/>
      <c r="H214" s="602"/>
      <c r="I214" s="602"/>
      <c r="J214" s="602"/>
      <c r="K214" s="602"/>
      <c r="L214" s="602"/>
      <c r="M214" s="603"/>
    </row>
    <row r="215" spans="1:13" ht="13.5" thickBot="1">
      <c r="A215" s="720" t="s">
        <v>189</v>
      </c>
      <c r="B215" s="721"/>
      <c r="C215" s="722"/>
      <c r="D215" s="601"/>
      <c r="E215" s="602"/>
      <c r="F215" s="602"/>
      <c r="G215" s="602"/>
      <c r="H215" s="602"/>
      <c r="I215" s="602"/>
      <c r="J215" s="602"/>
      <c r="K215" s="602"/>
      <c r="L215" s="602"/>
      <c r="M215" s="603"/>
    </row>
    <row r="216" spans="1:13" ht="13.5" thickBot="1">
      <c r="A216" s="53"/>
      <c r="B216" s="808" t="s">
        <v>188</v>
      </c>
      <c r="C216" s="809"/>
      <c r="D216" s="601"/>
      <c r="E216" s="602"/>
      <c r="F216" s="602"/>
      <c r="G216" s="602"/>
      <c r="H216" s="602"/>
      <c r="I216" s="602"/>
      <c r="J216" s="602"/>
      <c r="K216" s="602"/>
      <c r="L216" s="602"/>
      <c r="M216" s="603"/>
    </row>
    <row r="217" spans="1:13" ht="12.75">
      <c r="A217" s="729" t="s">
        <v>192</v>
      </c>
      <c r="B217" s="79">
        <v>0</v>
      </c>
      <c r="C217" s="11">
        <v>0</v>
      </c>
      <c r="D217" s="601"/>
      <c r="E217" s="602"/>
      <c r="F217" s="602"/>
      <c r="G217" s="602"/>
      <c r="H217" s="602"/>
      <c r="I217" s="602"/>
      <c r="J217" s="602"/>
      <c r="K217" s="602"/>
      <c r="L217" s="602"/>
      <c r="M217" s="603"/>
    </row>
    <row r="218" spans="1:13" ht="12.75">
      <c r="A218" s="729"/>
      <c r="B218" s="83">
        <v>0.1</v>
      </c>
      <c r="C218" s="13">
        <v>0.035208</v>
      </c>
      <c r="D218" s="601"/>
      <c r="E218" s="602"/>
      <c r="F218" s="602"/>
      <c r="G218" s="602"/>
      <c r="H218" s="602"/>
      <c r="I218" s="602"/>
      <c r="J218" s="602"/>
      <c r="K218" s="602"/>
      <c r="L218" s="602"/>
      <c r="M218" s="603"/>
    </row>
    <row r="219" spans="1:13" ht="12.75">
      <c r="A219" s="729"/>
      <c r="B219" s="83">
        <v>0.2</v>
      </c>
      <c r="C219" s="13">
        <v>0.079218</v>
      </c>
      <c r="D219" s="601"/>
      <c r="E219" s="602"/>
      <c r="F219" s="602"/>
      <c r="G219" s="602"/>
      <c r="H219" s="602"/>
      <c r="I219" s="602"/>
      <c r="J219" s="602"/>
      <c r="K219" s="602"/>
      <c r="L219" s="602"/>
      <c r="M219" s="603"/>
    </row>
    <row r="220" spans="1:13" ht="12.75">
      <c r="A220" s="729"/>
      <c r="B220" s="83">
        <v>0.3</v>
      </c>
      <c r="C220" s="13">
        <v>0.1379</v>
      </c>
      <c r="D220" s="601"/>
      <c r="E220" s="602"/>
      <c r="F220" s="602"/>
      <c r="G220" s="602"/>
      <c r="H220" s="602"/>
      <c r="I220" s="602"/>
      <c r="J220" s="602"/>
      <c r="K220" s="602"/>
      <c r="L220" s="602"/>
      <c r="M220" s="603"/>
    </row>
    <row r="221" spans="1:13" ht="12.75">
      <c r="A221" s="729"/>
      <c r="B221" s="83">
        <v>0.4</v>
      </c>
      <c r="C221" s="13">
        <v>0.21418</v>
      </c>
      <c r="D221" s="601"/>
      <c r="E221" s="602"/>
      <c r="F221" s="602"/>
      <c r="G221" s="602"/>
      <c r="H221" s="602"/>
      <c r="I221" s="602"/>
      <c r="J221" s="602"/>
      <c r="K221" s="602"/>
      <c r="L221" s="602"/>
      <c r="M221" s="603"/>
    </row>
    <row r="222" spans="1:13" ht="12.75">
      <c r="A222" s="729"/>
      <c r="B222" s="83">
        <v>0.5</v>
      </c>
      <c r="C222" s="13">
        <v>0.311</v>
      </c>
      <c r="D222" s="601"/>
      <c r="E222" s="602"/>
      <c r="F222" s="602"/>
      <c r="G222" s="602"/>
      <c r="H222" s="602"/>
      <c r="I222" s="602"/>
      <c r="J222" s="602"/>
      <c r="K222" s="602"/>
      <c r="L222" s="602"/>
      <c r="M222" s="603"/>
    </row>
    <row r="223" spans="1:13" ht="12.75">
      <c r="A223" s="729"/>
      <c r="B223" s="83">
        <v>0.6</v>
      </c>
      <c r="C223" s="13">
        <v>0.44303</v>
      </c>
      <c r="D223" s="601"/>
      <c r="E223" s="602"/>
      <c r="F223" s="602"/>
      <c r="G223" s="602"/>
      <c r="H223" s="602"/>
      <c r="I223" s="602"/>
      <c r="J223" s="602"/>
      <c r="K223" s="602"/>
      <c r="L223" s="602"/>
      <c r="M223" s="603"/>
    </row>
    <row r="224" spans="1:13" ht="12.75">
      <c r="A224" s="729"/>
      <c r="B224" s="83">
        <v>0.7</v>
      </c>
      <c r="C224" s="13">
        <v>0.6044</v>
      </c>
      <c r="D224" s="601"/>
      <c r="E224" s="602"/>
      <c r="F224" s="602"/>
      <c r="G224" s="602"/>
      <c r="H224" s="602"/>
      <c r="I224" s="602"/>
      <c r="J224" s="602"/>
      <c r="K224" s="602"/>
      <c r="L224" s="602"/>
      <c r="M224" s="603"/>
    </row>
    <row r="225" spans="1:13" ht="12.75">
      <c r="A225" s="729"/>
      <c r="B225" s="83">
        <v>0.8</v>
      </c>
      <c r="C225" s="13">
        <v>0.79218</v>
      </c>
      <c r="D225" s="601"/>
      <c r="E225" s="602"/>
      <c r="F225" s="602"/>
      <c r="G225" s="602"/>
      <c r="H225" s="602"/>
      <c r="I225" s="602"/>
      <c r="J225" s="602"/>
      <c r="K225" s="602"/>
      <c r="L225" s="602"/>
      <c r="M225" s="603"/>
    </row>
    <row r="226" spans="1:13" ht="12.75">
      <c r="A226" s="729"/>
      <c r="B226" s="83">
        <v>0.9</v>
      </c>
      <c r="C226" s="11">
        <v>1.0093</v>
      </c>
      <c r="D226" s="601"/>
      <c r="E226" s="602"/>
      <c r="F226" s="602"/>
      <c r="G226" s="602"/>
      <c r="H226" s="602"/>
      <c r="I226" s="602"/>
      <c r="J226" s="602"/>
      <c r="K226" s="602"/>
      <c r="L226" s="602"/>
      <c r="M226" s="603"/>
    </row>
    <row r="227" spans="1:13" ht="13.5" thickBot="1">
      <c r="A227" s="730"/>
      <c r="B227" s="84">
        <v>0.97206</v>
      </c>
      <c r="C227" s="11">
        <v>1.1736</v>
      </c>
      <c r="D227" s="601"/>
      <c r="E227" s="602"/>
      <c r="F227" s="602"/>
      <c r="G227" s="602"/>
      <c r="H227" s="602"/>
      <c r="I227" s="602"/>
      <c r="J227" s="602"/>
      <c r="K227" s="602"/>
      <c r="L227" s="602"/>
      <c r="M227" s="603"/>
    </row>
    <row r="228" spans="1:13" ht="13.5" thickBot="1">
      <c r="A228" s="720" t="s">
        <v>197</v>
      </c>
      <c r="B228" s="721"/>
      <c r="C228" s="722"/>
      <c r="D228" s="601"/>
      <c r="E228" s="602"/>
      <c r="F228" s="602"/>
      <c r="G228" s="602"/>
      <c r="H228" s="602"/>
      <c r="I228" s="602"/>
      <c r="J228" s="602"/>
      <c r="K228" s="602"/>
      <c r="L228" s="602"/>
      <c r="M228" s="603"/>
    </row>
    <row r="229" spans="1:13" ht="13.5" thickBot="1">
      <c r="A229" s="19"/>
      <c r="B229" s="32"/>
      <c r="C229" s="2" t="s">
        <v>194</v>
      </c>
      <c r="D229" s="601"/>
      <c r="E229" s="602"/>
      <c r="F229" s="602"/>
      <c r="G229" s="602"/>
      <c r="H229" s="602"/>
      <c r="I229" s="602"/>
      <c r="J229" s="602"/>
      <c r="K229" s="602"/>
      <c r="L229" s="602"/>
      <c r="M229" s="603"/>
    </row>
    <row r="230" spans="1:13" ht="12.75">
      <c r="A230" s="805" t="s">
        <v>199</v>
      </c>
      <c r="B230" s="10">
        <v>0</v>
      </c>
      <c r="C230" s="11">
        <v>1</v>
      </c>
      <c r="D230" s="601"/>
      <c r="E230" s="602"/>
      <c r="F230" s="602"/>
      <c r="G230" s="602"/>
      <c r="H230" s="602"/>
      <c r="I230" s="602"/>
      <c r="J230" s="602"/>
      <c r="K230" s="602"/>
      <c r="L230" s="602"/>
      <c r="M230" s="603"/>
    </row>
    <row r="231" spans="1:13" ht="12.75">
      <c r="A231" s="806"/>
      <c r="B231" s="12">
        <v>0.1</v>
      </c>
      <c r="C231" s="11">
        <v>1</v>
      </c>
      <c r="D231" s="601"/>
      <c r="E231" s="602"/>
      <c r="F231" s="602"/>
      <c r="G231" s="602"/>
      <c r="H231" s="602"/>
      <c r="I231" s="602"/>
      <c r="J231" s="602"/>
      <c r="K231" s="602"/>
      <c r="L231" s="602"/>
      <c r="M231" s="603"/>
    </row>
    <row r="232" spans="1:13" ht="12.75">
      <c r="A232" s="806"/>
      <c r="B232" s="12">
        <v>0.2</v>
      </c>
      <c r="C232" s="11">
        <v>1</v>
      </c>
      <c r="D232" s="601"/>
      <c r="E232" s="602"/>
      <c r="F232" s="602"/>
      <c r="G232" s="602"/>
      <c r="H232" s="602"/>
      <c r="I232" s="602"/>
      <c r="J232" s="602"/>
      <c r="K232" s="602"/>
      <c r="L232" s="602"/>
      <c r="M232" s="603"/>
    </row>
    <row r="233" spans="1:13" ht="12.75">
      <c r="A233" s="806"/>
      <c r="B233" s="12">
        <v>0.3</v>
      </c>
      <c r="C233" s="11">
        <v>1</v>
      </c>
      <c r="D233" s="601"/>
      <c r="E233" s="602"/>
      <c r="F233" s="602"/>
      <c r="G233" s="602"/>
      <c r="H233" s="602"/>
      <c r="I233" s="602"/>
      <c r="J233" s="602"/>
      <c r="K233" s="602"/>
      <c r="L233" s="602"/>
      <c r="M233" s="603"/>
    </row>
    <row r="234" spans="1:13" ht="12.75">
      <c r="A234" s="806"/>
      <c r="B234" s="12">
        <v>0.40137</v>
      </c>
      <c r="C234" s="11">
        <v>1.0055</v>
      </c>
      <c r="D234" s="601"/>
      <c r="E234" s="602"/>
      <c r="F234" s="602"/>
      <c r="G234" s="602"/>
      <c r="H234" s="602"/>
      <c r="I234" s="602"/>
      <c r="J234" s="602"/>
      <c r="K234" s="602"/>
      <c r="L234" s="602"/>
      <c r="M234" s="603"/>
    </row>
    <row r="235" spans="1:13" ht="12.75">
      <c r="A235" s="806"/>
      <c r="B235" s="12">
        <v>0.50274</v>
      </c>
      <c r="C235" s="11">
        <v>1.0219</v>
      </c>
      <c r="D235" s="601"/>
      <c r="E235" s="602"/>
      <c r="F235" s="602"/>
      <c r="G235" s="602"/>
      <c r="H235" s="602"/>
      <c r="I235" s="602"/>
      <c r="J235" s="602"/>
      <c r="K235" s="602"/>
      <c r="L235" s="602"/>
      <c r="M235" s="603"/>
    </row>
    <row r="236" spans="1:13" ht="12.75">
      <c r="A236" s="806"/>
      <c r="B236" s="12">
        <v>0.60274</v>
      </c>
      <c r="C236" s="11">
        <v>1.0521</v>
      </c>
      <c r="D236" s="601"/>
      <c r="E236" s="602"/>
      <c r="F236" s="602"/>
      <c r="G236" s="602"/>
      <c r="H236" s="602"/>
      <c r="I236" s="602"/>
      <c r="J236" s="602"/>
      <c r="K236" s="602"/>
      <c r="L236" s="602"/>
      <c r="M236" s="603"/>
    </row>
    <row r="237" spans="1:13" ht="12.75">
      <c r="A237" s="806"/>
      <c r="B237" s="12">
        <v>0.70274</v>
      </c>
      <c r="C237" s="11">
        <v>1.1055</v>
      </c>
      <c r="D237" s="601"/>
      <c r="E237" s="602"/>
      <c r="F237" s="602"/>
      <c r="G237" s="602"/>
      <c r="H237" s="602"/>
      <c r="I237" s="602"/>
      <c r="J237" s="602"/>
      <c r="K237" s="602"/>
      <c r="L237" s="602"/>
      <c r="M237" s="603"/>
    </row>
    <row r="238" spans="1:13" ht="12.75">
      <c r="A238" s="806"/>
      <c r="B238" s="12">
        <v>0.80274</v>
      </c>
      <c r="C238" s="11">
        <v>1.1918</v>
      </c>
      <c r="D238" s="601"/>
      <c r="E238" s="602"/>
      <c r="F238" s="602"/>
      <c r="G238" s="602"/>
      <c r="H238" s="602"/>
      <c r="I238" s="602"/>
      <c r="J238" s="602"/>
      <c r="K238" s="602"/>
      <c r="L238" s="602"/>
      <c r="M238" s="603"/>
    </row>
    <row r="239" spans="1:13" ht="12.75">
      <c r="A239" s="806"/>
      <c r="B239" s="12">
        <v>0.90411</v>
      </c>
      <c r="C239" s="11">
        <v>1.326</v>
      </c>
      <c r="D239" s="601"/>
      <c r="E239" s="602"/>
      <c r="F239" s="602"/>
      <c r="G239" s="602"/>
      <c r="H239" s="602"/>
      <c r="I239" s="602"/>
      <c r="J239" s="602"/>
      <c r="K239" s="602"/>
      <c r="L239" s="602"/>
      <c r="M239" s="603"/>
    </row>
    <row r="240" spans="1:13" ht="13.5" thickBot="1">
      <c r="A240" s="806"/>
      <c r="B240" s="12">
        <v>0.9589</v>
      </c>
      <c r="C240" s="11">
        <v>1.4301</v>
      </c>
      <c r="D240" s="601"/>
      <c r="E240" s="602"/>
      <c r="F240" s="602"/>
      <c r="G240" s="602"/>
      <c r="H240" s="602"/>
      <c r="I240" s="602"/>
      <c r="J240" s="602"/>
      <c r="K240" s="602"/>
      <c r="L240" s="602"/>
      <c r="M240" s="603"/>
    </row>
    <row r="241" spans="1:13" ht="13.5" thickBot="1">
      <c r="A241" s="720" t="s">
        <v>196</v>
      </c>
      <c r="B241" s="721"/>
      <c r="C241" s="722"/>
      <c r="D241" s="601"/>
      <c r="E241" s="602"/>
      <c r="F241" s="602"/>
      <c r="G241" s="602"/>
      <c r="H241" s="602"/>
      <c r="I241" s="602"/>
      <c r="J241" s="602"/>
      <c r="K241" s="602"/>
      <c r="L241" s="602"/>
      <c r="M241" s="603"/>
    </row>
    <row r="242" spans="1:13" ht="13.5" thickBot="1">
      <c r="A242" s="19"/>
      <c r="B242" s="85"/>
      <c r="C242" s="2" t="s">
        <v>195</v>
      </c>
      <c r="D242" s="601"/>
      <c r="E242" s="602"/>
      <c r="F242" s="602"/>
      <c r="G242" s="602"/>
      <c r="H242" s="602"/>
      <c r="I242" s="602"/>
      <c r="J242" s="602"/>
      <c r="K242" s="602"/>
      <c r="L242" s="602"/>
      <c r="M242" s="603"/>
    </row>
    <row r="243" spans="1:13" ht="12.75">
      <c r="A243" s="806" t="s">
        <v>198</v>
      </c>
      <c r="B243" s="86">
        <v>-0.32794</v>
      </c>
      <c r="C243" s="4">
        <v>-1.6618</v>
      </c>
      <c r="D243" s="601"/>
      <c r="E243" s="602"/>
      <c r="F243" s="602"/>
      <c r="G243" s="602"/>
      <c r="H243" s="602"/>
      <c r="I243" s="602"/>
      <c r="J243" s="602"/>
      <c r="K243" s="602"/>
      <c r="L243" s="602"/>
      <c r="M243" s="603"/>
    </row>
    <row r="244" spans="1:13" ht="12.75">
      <c r="A244" s="806"/>
      <c r="B244" s="86">
        <v>-0.29118</v>
      </c>
      <c r="C244" s="4">
        <v>-1.7206</v>
      </c>
      <c r="D244" s="601"/>
      <c r="E244" s="602"/>
      <c r="F244" s="602"/>
      <c r="G244" s="602"/>
      <c r="H244" s="602"/>
      <c r="I244" s="602"/>
      <c r="J244" s="602"/>
      <c r="K244" s="602"/>
      <c r="L244" s="602"/>
      <c r="M244" s="603"/>
    </row>
    <row r="245" spans="1:13" ht="12.75">
      <c r="A245" s="806"/>
      <c r="B245" s="86">
        <v>-0.26324</v>
      </c>
      <c r="C245" s="4">
        <v>-1.8235</v>
      </c>
      <c r="D245" s="601"/>
      <c r="E245" s="602"/>
      <c r="F245" s="602"/>
      <c r="G245" s="602"/>
      <c r="H245" s="602"/>
      <c r="I245" s="602"/>
      <c r="J245" s="602"/>
      <c r="K245" s="602"/>
      <c r="L245" s="602"/>
      <c r="M245" s="603"/>
    </row>
    <row r="246" spans="1:13" ht="12.75">
      <c r="A246" s="806"/>
      <c r="B246" s="86">
        <v>-0.23529</v>
      </c>
      <c r="C246" s="4">
        <v>-1.9706</v>
      </c>
      <c r="D246" s="601"/>
      <c r="E246" s="602"/>
      <c r="F246" s="602"/>
      <c r="G246" s="602"/>
      <c r="H246" s="602"/>
      <c r="I246" s="602"/>
      <c r="J246" s="602"/>
      <c r="K246" s="602"/>
      <c r="L246" s="602"/>
      <c r="M246" s="603"/>
    </row>
    <row r="247" spans="1:13" ht="12.75">
      <c r="A247" s="806"/>
      <c r="B247" s="86">
        <v>-0.20588</v>
      </c>
      <c r="C247" s="4">
        <v>-2.1324</v>
      </c>
      <c r="D247" s="601"/>
      <c r="E247" s="602"/>
      <c r="F247" s="602"/>
      <c r="G247" s="602"/>
      <c r="H247" s="602"/>
      <c r="I247" s="602"/>
      <c r="J247" s="602"/>
      <c r="K247" s="602"/>
      <c r="L247" s="602"/>
      <c r="M247" s="603"/>
    </row>
    <row r="248" spans="1:13" ht="12.75">
      <c r="A248" s="806"/>
      <c r="B248" s="86">
        <v>-0.18824</v>
      </c>
      <c r="C248" s="4">
        <v>-2.2353</v>
      </c>
      <c r="D248" s="601"/>
      <c r="E248" s="602"/>
      <c r="F248" s="602"/>
      <c r="G248" s="602"/>
      <c r="H248" s="602"/>
      <c r="I248" s="602"/>
      <c r="J248" s="602"/>
      <c r="K248" s="602"/>
      <c r="L248" s="602"/>
      <c r="M248" s="603"/>
    </row>
    <row r="249" spans="1:13" ht="12.75">
      <c r="A249" s="806"/>
      <c r="B249" s="86">
        <v>-0.17206</v>
      </c>
      <c r="C249" s="4">
        <v>-2.2941</v>
      </c>
      <c r="D249" s="601"/>
      <c r="E249" s="602"/>
      <c r="F249" s="602"/>
      <c r="G249" s="602"/>
      <c r="H249" s="602"/>
      <c r="I249" s="602"/>
      <c r="J249" s="602"/>
      <c r="K249" s="602"/>
      <c r="L249" s="602"/>
      <c r="M249" s="603"/>
    </row>
    <row r="250" spans="1:13" ht="12.75">
      <c r="A250" s="806"/>
      <c r="B250" s="86">
        <v>-0.14853</v>
      </c>
      <c r="C250" s="4">
        <v>-2.2206</v>
      </c>
      <c r="D250" s="601"/>
      <c r="E250" s="602"/>
      <c r="F250" s="602"/>
      <c r="G250" s="602"/>
      <c r="H250" s="602"/>
      <c r="I250" s="602"/>
      <c r="J250" s="602"/>
      <c r="K250" s="602"/>
      <c r="L250" s="602"/>
      <c r="M250" s="603"/>
    </row>
    <row r="251" spans="1:13" ht="12.75">
      <c r="A251" s="806"/>
      <c r="B251" s="86">
        <v>-0.13382</v>
      </c>
      <c r="C251" s="4">
        <v>-2.1029</v>
      </c>
      <c r="D251" s="601"/>
      <c r="E251" s="602"/>
      <c r="F251" s="602"/>
      <c r="G251" s="602"/>
      <c r="H251" s="602"/>
      <c r="I251" s="602"/>
      <c r="J251" s="602"/>
      <c r="K251" s="602"/>
      <c r="L251" s="602"/>
      <c r="M251" s="603"/>
    </row>
    <row r="252" spans="1:13" ht="12.75">
      <c r="A252" s="806"/>
      <c r="B252" s="86">
        <v>-0.11618</v>
      </c>
      <c r="C252" s="4">
        <v>-1.8971</v>
      </c>
      <c r="D252" s="601"/>
      <c r="E252" s="602"/>
      <c r="F252" s="602"/>
      <c r="G252" s="602"/>
      <c r="H252" s="602"/>
      <c r="I252" s="602"/>
      <c r="J252" s="602"/>
      <c r="K252" s="602"/>
      <c r="L252" s="602"/>
      <c r="M252" s="603"/>
    </row>
    <row r="253" spans="1:13" ht="12.75">
      <c r="A253" s="806"/>
      <c r="B253" s="86">
        <v>-0.10441</v>
      </c>
      <c r="C253" s="4">
        <v>-1.75</v>
      </c>
      <c r="D253" s="601"/>
      <c r="E253" s="602"/>
      <c r="F253" s="602"/>
      <c r="G253" s="602"/>
      <c r="H253" s="602"/>
      <c r="I253" s="602"/>
      <c r="J253" s="602"/>
      <c r="K253" s="602"/>
      <c r="L253" s="602"/>
      <c r="M253" s="603"/>
    </row>
    <row r="254" spans="1:13" ht="12.75">
      <c r="A254" s="806"/>
      <c r="B254" s="86">
        <v>-0.086765</v>
      </c>
      <c r="C254" s="4">
        <v>-1.5147</v>
      </c>
      <c r="D254" s="601"/>
      <c r="E254" s="602"/>
      <c r="F254" s="602"/>
      <c r="G254" s="602"/>
      <c r="H254" s="602"/>
      <c r="I254" s="602"/>
      <c r="J254" s="602"/>
      <c r="K254" s="602"/>
      <c r="L254" s="602"/>
      <c r="M254" s="603"/>
    </row>
    <row r="255" spans="1:13" ht="12.75">
      <c r="A255" s="806"/>
      <c r="B255" s="86">
        <v>-0.067647</v>
      </c>
      <c r="C255" s="4">
        <v>-1.2206</v>
      </c>
      <c r="D255" s="601"/>
      <c r="E255" s="602"/>
      <c r="F255" s="602"/>
      <c r="G255" s="602"/>
      <c r="H255" s="602"/>
      <c r="I255" s="602"/>
      <c r="J255" s="602"/>
      <c r="K255" s="602"/>
      <c r="L255" s="602"/>
      <c r="M255" s="603"/>
    </row>
    <row r="256" spans="1:13" ht="12.75">
      <c r="A256" s="806"/>
      <c r="B256" s="86">
        <v>-0.047059</v>
      </c>
      <c r="C256" s="4">
        <v>-0.92647</v>
      </c>
      <c r="D256" s="601"/>
      <c r="E256" s="602"/>
      <c r="F256" s="602"/>
      <c r="G256" s="602"/>
      <c r="H256" s="602"/>
      <c r="I256" s="602"/>
      <c r="J256" s="602"/>
      <c r="K256" s="602"/>
      <c r="L256" s="602"/>
      <c r="M256" s="603"/>
    </row>
    <row r="257" spans="1:13" ht="12.75">
      <c r="A257" s="806"/>
      <c r="B257" s="86">
        <v>-0.025</v>
      </c>
      <c r="C257" s="4">
        <v>-0.60294</v>
      </c>
      <c r="D257" s="601"/>
      <c r="E257" s="602"/>
      <c r="F257" s="602"/>
      <c r="G257" s="602"/>
      <c r="H257" s="602"/>
      <c r="I257" s="602"/>
      <c r="J257" s="602"/>
      <c r="K257" s="602"/>
      <c r="L257" s="602"/>
      <c r="M257" s="603"/>
    </row>
    <row r="258" spans="1:13" ht="12.75">
      <c r="A258" s="806"/>
      <c r="B258" s="86">
        <v>-0.0058824</v>
      </c>
      <c r="C258" s="4">
        <v>-0.29412</v>
      </c>
      <c r="D258" s="601"/>
      <c r="E258" s="602"/>
      <c r="F258" s="602"/>
      <c r="G258" s="602"/>
      <c r="H258" s="602"/>
      <c r="I258" s="602"/>
      <c r="J258" s="602"/>
      <c r="K258" s="602"/>
      <c r="L258" s="602"/>
      <c r="M258" s="603"/>
    </row>
    <row r="259" spans="1:13" ht="12.75">
      <c r="A259" s="806"/>
      <c r="B259" s="86">
        <v>0.0088235</v>
      </c>
      <c r="C259" s="4">
        <v>-0.073529</v>
      </c>
      <c r="D259" s="601"/>
      <c r="E259" s="602"/>
      <c r="F259" s="602"/>
      <c r="G259" s="602"/>
      <c r="H259" s="602"/>
      <c r="I259" s="602"/>
      <c r="J259" s="602"/>
      <c r="K259" s="602"/>
      <c r="L259" s="602"/>
      <c r="M259" s="603"/>
    </row>
    <row r="260" spans="1:13" ht="12.75">
      <c r="A260" s="806"/>
      <c r="B260" s="86">
        <v>0.029412</v>
      </c>
      <c r="C260" s="4">
        <v>0.27941</v>
      </c>
      <c r="D260" s="601"/>
      <c r="E260" s="602"/>
      <c r="F260" s="602"/>
      <c r="G260" s="602"/>
      <c r="H260" s="602"/>
      <c r="I260" s="602"/>
      <c r="J260" s="602"/>
      <c r="K260" s="602"/>
      <c r="L260" s="602"/>
      <c r="M260" s="603"/>
    </row>
    <row r="261" spans="1:13" ht="12.75">
      <c r="A261" s="806"/>
      <c r="B261" s="86">
        <v>0.048529</v>
      </c>
      <c r="C261" s="4">
        <v>0.54412</v>
      </c>
      <c r="D261" s="601"/>
      <c r="E261" s="602"/>
      <c r="F261" s="602"/>
      <c r="G261" s="602"/>
      <c r="H261" s="602"/>
      <c r="I261" s="602"/>
      <c r="J261" s="602"/>
      <c r="K261" s="602"/>
      <c r="L261" s="602"/>
      <c r="M261" s="603"/>
    </row>
    <row r="262" spans="1:13" ht="12.75">
      <c r="A262" s="806"/>
      <c r="B262" s="86">
        <v>0.063235</v>
      </c>
      <c r="C262" s="4">
        <v>0.79412</v>
      </c>
      <c r="D262" s="601"/>
      <c r="E262" s="602"/>
      <c r="F262" s="602"/>
      <c r="G262" s="602"/>
      <c r="H262" s="602"/>
      <c r="I262" s="602"/>
      <c r="J262" s="602"/>
      <c r="K262" s="602"/>
      <c r="L262" s="602"/>
      <c r="M262" s="603"/>
    </row>
    <row r="263" spans="1:13" ht="12.75">
      <c r="A263" s="806"/>
      <c r="B263" s="86">
        <v>0.085294</v>
      </c>
      <c r="C263" s="4">
        <v>1.0882</v>
      </c>
      <c r="D263" s="601"/>
      <c r="E263" s="602"/>
      <c r="F263" s="602"/>
      <c r="G263" s="602"/>
      <c r="H263" s="602"/>
      <c r="I263" s="602"/>
      <c r="J263" s="602"/>
      <c r="K263" s="602"/>
      <c r="L263" s="602"/>
      <c r="M263" s="603"/>
    </row>
    <row r="264" spans="1:13" ht="12.75">
      <c r="A264" s="806"/>
      <c r="B264" s="86">
        <v>0.10441</v>
      </c>
      <c r="C264" s="4">
        <v>1.3971</v>
      </c>
      <c r="D264" s="601"/>
      <c r="E264" s="602"/>
      <c r="F264" s="602"/>
      <c r="G264" s="602"/>
      <c r="H264" s="602"/>
      <c r="I264" s="602"/>
      <c r="J264" s="602"/>
      <c r="K264" s="602"/>
      <c r="L264" s="602"/>
      <c r="M264" s="603"/>
    </row>
    <row r="265" spans="1:13" ht="12.75">
      <c r="A265" s="806"/>
      <c r="B265" s="86">
        <v>0.12647</v>
      </c>
      <c r="C265" s="4">
        <v>1.6912</v>
      </c>
      <c r="D265" s="601"/>
      <c r="E265" s="602"/>
      <c r="F265" s="602"/>
      <c r="G265" s="602"/>
      <c r="H265" s="602"/>
      <c r="I265" s="602"/>
      <c r="J265" s="602"/>
      <c r="K265" s="602"/>
      <c r="L265" s="602"/>
      <c r="M265" s="603"/>
    </row>
    <row r="266" spans="1:13" ht="12.75">
      <c r="A266" s="806"/>
      <c r="B266" s="86">
        <v>0.14706</v>
      </c>
      <c r="C266" s="4">
        <v>1.8971</v>
      </c>
      <c r="D266" s="601"/>
      <c r="E266" s="602"/>
      <c r="F266" s="602"/>
      <c r="G266" s="602"/>
      <c r="H266" s="602"/>
      <c r="I266" s="602"/>
      <c r="J266" s="602"/>
      <c r="K266" s="602"/>
      <c r="L266" s="602"/>
      <c r="M266" s="603"/>
    </row>
    <row r="267" spans="1:13" ht="12.75">
      <c r="A267" s="806"/>
      <c r="B267" s="86">
        <v>0.16176</v>
      </c>
      <c r="C267" s="4">
        <v>1.9706</v>
      </c>
      <c r="D267" s="601"/>
      <c r="E267" s="602"/>
      <c r="F267" s="602"/>
      <c r="G267" s="602"/>
      <c r="H267" s="602"/>
      <c r="I267" s="602"/>
      <c r="J267" s="602"/>
      <c r="K267" s="602"/>
      <c r="L267" s="602"/>
      <c r="M267" s="603"/>
    </row>
    <row r="268" spans="1:13" ht="12.75">
      <c r="A268" s="806"/>
      <c r="B268" s="86">
        <v>0.17941</v>
      </c>
      <c r="C268" s="4">
        <v>2</v>
      </c>
      <c r="D268" s="601"/>
      <c r="E268" s="602"/>
      <c r="F268" s="602"/>
      <c r="G268" s="602"/>
      <c r="H268" s="602"/>
      <c r="I268" s="602"/>
      <c r="J268" s="602"/>
      <c r="K268" s="602"/>
      <c r="L268" s="602"/>
      <c r="M268" s="603"/>
    </row>
    <row r="269" spans="1:13" ht="12.75">
      <c r="A269" s="806"/>
      <c r="B269" s="86">
        <v>0.20147</v>
      </c>
      <c r="C269" s="4">
        <v>1.9559</v>
      </c>
      <c r="D269" s="601"/>
      <c r="E269" s="602"/>
      <c r="F269" s="602"/>
      <c r="G269" s="602"/>
      <c r="H269" s="602"/>
      <c r="I269" s="602"/>
      <c r="J269" s="602"/>
      <c r="K269" s="602"/>
      <c r="L269" s="602"/>
      <c r="M269" s="603"/>
    </row>
    <row r="270" spans="1:13" ht="12.75">
      <c r="A270" s="806"/>
      <c r="B270" s="86">
        <v>0.23088</v>
      </c>
      <c r="C270" s="4">
        <v>1.8382</v>
      </c>
      <c r="D270" s="601"/>
      <c r="E270" s="602"/>
      <c r="F270" s="602"/>
      <c r="G270" s="602"/>
      <c r="H270" s="602"/>
      <c r="I270" s="602"/>
      <c r="J270" s="602"/>
      <c r="K270" s="602"/>
      <c r="L270" s="602"/>
      <c r="M270" s="603"/>
    </row>
    <row r="271" spans="1:13" ht="12.75">
      <c r="A271" s="806"/>
      <c r="B271" s="86">
        <v>0.25588</v>
      </c>
      <c r="C271" s="4">
        <v>1.7206</v>
      </c>
      <c r="D271" s="601"/>
      <c r="E271" s="602"/>
      <c r="F271" s="602"/>
      <c r="G271" s="602"/>
      <c r="H271" s="602"/>
      <c r="I271" s="602"/>
      <c r="J271" s="602"/>
      <c r="K271" s="602"/>
      <c r="L271" s="602"/>
      <c r="M271" s="603"/>
    </row>
    <row r="272" spans="1:13" ht="12.75">
      <c r="A272" s="806"/>
      <c r="B272" s="86">
        <v>0.28529</v>
      </c>
      <c r="C272" s="4">
        <v>1.6471</v>
      </c>
      <c r="D272" s="601"/>
      <c r="E272" s="602"/>
      <c r="F272" s="602"/>
      <c r="G272" s="602"/>
      <c r="H272" s="602"/>
      <c r="I272" s="602"/>
      <c r="J272" s="602"/>
      <c r="K272" s="602"/>
      <c r="L272" s="602"/>
      <c r="M272" s="603"/>
    </row>
    <row r="273" spans="1:13" ht="12.75">
      <c r="A273" s="806"/>
      <c r="B273" s="86">
        <v>0.31912</v>
      </c>
      <c r="C273" s="4">
        <v>1.5735</v>
      </c>
      <c r="D273" s="601"/>
      <c r="E273" s="602"/>
      <c r="F273" s="602"/>
      <c r="G273" s="602"/>
      <c r="H273" s="602"/>
      <c r="I273" s="602"/>
      <c r="J273" s="602"/>
      <c r="K273" s="602"/>
      <c r="L273" s="602"/>
      <c r="M273" s="603"/>
    </row>
    <row r="274" spans="1:13" ht="12.75">
      <c r="A274" s="806"/>
      <c r="B274" s="86">
        <v>0.35882</v>
      </c>
      <c r="C274" s="4">
        <v>1.5294</v>
      </c>
      <c r="D274" s="601"/>
      <c r="E274" s="602"/>
      <c r="F274" s="602"/>
      <c r="G274" s="602"/>
      <c r="H274" s="602"/>
      <c r="I274" s="602"/>
      <c r="J274" s="602"/>
      <c r="K274" s="602"/>
      <c r="L274" s="602"/>
      <c r="M274" s="603"/>
    </row>
    <row r="275" spans="1:13" ht="12.75">
      <c r="A275" s="806"/>
      <c r="B275" s="86">
        <v>0.38676</v>
      </c>
      <c r="C275" s="4">
        <v>1.5</v>
      </c>
      <c r="D275" s="601"/>
      <c r="E275" s="602"/>
      <c r="F275" s="602"/>
      <c r="G275" s="602"/>
      <c r="H275" s="602"/>
      <c r="I275" s="602"/>
      <c r="J275" s="602"/>
      <c r="K275" s="602"/>
      <c r="L275" s="602"/>
      <c r="M275" s="603"/>
    </row>
    <row r="276" spans="1:13" ht="12.75">
      <c r="A276" s="806"/>
      <c r="B276" s="86">
        <v>0.43824</v>
      </c>
      <c r="C276" s="4">
        <v>1.4706</v>
      </c>
      <c r="D276" s="601"/>
      <c r="E276" s="602"/>
      <c r="F276" s="602"/>
      <c r="G276" s="602"/>
      <c r="H276" s="602"/>
      <c r="I276" s="602"/>
      <c r="J276" s="602"/>
      <c r="K276" s="602"/>
      <c r="L276" s="602"/>
      <c r="M276" s="603"/>
    </row>
    <row r="277" spans="1:13" ht="12.75">
      <c r="A277" s="806"/>
      <c r="B277" s="86">
        <v>0.49118</v>
      </c>
      <c r="C277" s="4">
        <v>1.4412</v>
      </c>
      <c r="D277" s="601"/>
      <c r="E277" s="602"/>
      <c r="F277" s="602"/>
      <c r="G277" s="602"/>
      <c r="H277" s="602"/>
      <c r="I277" s="602"/>
      <c r="J277" s="602"/>
      <c r="K277" s="602"/>
      <c r="L277" s="602"/>
      <c r="M277" s="603"/>
    </row>
    <row r="278" spans="1:13" ht="12.75">
      <c r="A278" s="806"/>
      <c r="B278" s="86">
        <v>0.54265</v>
      </c>
      <c r="C278" s="4">
        <v>1.4412</v>
      </c>
      <c r="D278" s="601"/>
      <c r="E278" s="602"/>
      <c r="F278" s="602"/>
      <c r="G278" s="602"/>
      <c r="H278" s="602"/>
      <c r="I278" s="602"/>
      <c r="J278" s="602"/>
      <c r="K278" s="602"/>
      <c r="L278" s="602"/>
      <c r="M278" s="603"/>
    </row>
    <row r="279" spans="1:13" ht="13.5" thickBot="1">
      <c r="A279" s="807"/>
      <c r="B279" s="87">
        <v>0.6</v>
      </c>
      <c r="C279" s="6">
        <v>1.4412</v>
      </c>
      <c r="D279" s="604"/>
      <c r="E279" s="605"/>
      <c r="F279" s="605"/>
      <c r="G279" s="605"/>
      <c r="H279" s="605"/>
      <c r="I279" s="605"/>
      <c r="J279" s="605"/>
      <c r="K279" s="605"/>
      <c r="L279" s="605"/>
      <c r="M279" s="606"/>
    </row>
  </sheetData>
  <sheetProtection/>
  <mergeCells count="94">
    <mergeCell ref="A3:A9"/>
    <mergeCell ref="A10:H10"/>
    <mergeCell ref="A27:A33"/>
    <mergeCell ref="A19:A25"/>
    <mergeCell ref="A11:A17"/>
    <mergeCell ref="A241:C241"/>
    <mergeCell ref="D202:M279"/>
    <mergeCell ref="B216:C216"/>
    <mergeCell ref="A243:A279"/>
    <mergeCell ref="A230:A240"/>
    <mergeCell ref="A217:A227"/>
    <mergeCell ref="A204:A214"/>
    <mergeCell ref="A107:A112"/>
    <mergeCell ref="A115:A120"/>
    <mergeCell ref="A123:A128"/>
    <mergeCell ref="I63:M128"/>
    <mergeCell ref="A63:H63"/>
    <mergeCell ref="A228:C228"/>
    <mergeCell ref="A202:C202"/>
    <mergeCell ref="A215:C215"/>
    <mergeCell ref="B131:I131"/>
    <mergeCell ref="B147:I147"/>
    <mergeCell ref="A154:I154"/>
    <mergeCell ref="B155:I155"/>
    <mergeCell ref="A132:A137"/>
    <mergeCell ref="A195:F195"/>
    <mergeCell ref="G195:M201"/>
    <mergeCell ref="K162:M194"/>
    <mergeCell ref="A173:A178"/>
    <mergeCell ref="A181:A186"/>
    <mergeCell ref="B180:J180"/>
    <mergeCell ref="A179:J179"/>
    <mergeCell ref="B196:F196"/>
    <mergeCell ref="A197:A201"/>
    <mergeCell ref="A165:A170"/>
    <mergeCell ref="B164:J164"/>
    <mergeCell ref="A171:J171"/>
    <mergeCell ref="B172:J172"/>
    <mergeCell ref="A187:J187"/>
    <mergeCell ref="A189:A194"/>
    <mergeCell ref="B188:J188"/>
    <mergeCell ref="A163:J163"/>
    <mergeCell ref="A162:J162"/>
    <mergeCell ref="J129:M161"/>
    <mergeCell ref="A140:A145"/>
    <mergeCell ref="A146:I146"/>
    <mergeCell ref="A148:A153"/>
    <mergeCell ref="B139:I139"/>
    <mergeCell ref="A129:I129"/>
    <mergeCell ref="A138:I138"/>
    <mergeCell ref="A130:I130"/>
    <mergeCell ref="A113:H113"/>
    <mergeCell ref="A90:A95"/>
    <mergeCell ref="A96:H96"/>
    <mergeCell ref="A97:H97"/>
    <mergeCell ref="B98:H98"/>
    <mergeCell ref="A156:A161"/>
    <mergeCell ref="B122:H122"/>
    <mergeCell ref="B106:H106"/>
    <mergeCell ref="B114:H114"/>
    <mergeCell ref="A121:H121"/>
    <mergeCell ref="B89:H89"/>
    <mergeCell ref="A82:A87"/>
    <mergeCell ref="A99:A104"/>
    <mergeCell ref="B81:H81"/>
    <mergeCell ref="A88:H88"/>
    <mergeCell ref="A105:H105"/>
    <mergeCell ref="A80:H80"/>
    <mergeCell ref="A55:A62"/>
    <mergeCell ref="B65:H65"/>
    <mergeCell ref="A66:A71"/>
    <mergeCell ref="A74:A79"/>
    <mergeCell ref="B73:H73"/>
    <mergeCell ref="A72:H72"/>
    <mergeCell ref="A64:H64"/>
    <mergeCell ref="A1:M1"/>
    <mergeCell ref="B3:H3"/>
    <mergeCell ref="A2:H2"/>
    <mergeCell ref="A42:A52"/>
    <mergeCell ref="D34:M39"/>
    <mergeCell ref="I2:M32"/>
    <mergeCell ref="A26:H26"/>
    <mergeCell ref="B27:H27"/>
    <mergeCell ref="B11:H11"/>
    <mergeCell ref="A18:H18"/>
    <mergeCell ref="A53:I53"/>
    <mergeCell ref="B19:H19"/>
    <mergeCell ref="A34:C34"/>
    <mergeCell ref="A36:A39"/>
    <mergeCell ref="A40:J40"/>
    <mergeCell ref="B41:J41"/>
    <mergeCell ref="J53:M62"/>
    <mergeCell ref="K40:M52"/>
    <mergeCell ref="B54:I5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Plan11">
    <tabColor indexed="62"/>
  </sheetPr>
  <dimension ref="A1:I36"/>
  <sheetViews>
    <sheetView zoomScale="85" zoomScaleNormal="85" zoomScalePageLayoutView="0" workbookViewId="0" topLeftCell="A1">
      <selection activeCell="K40" sqref="K40"/>
    </sheetView>
  </sheetViews>
  <sheetFormatPr defaultColWidth="9.140625" defaultRowHeight="12.75"/>
  <cols>
    <col min="1" max="1" width="10.00390625" style="18" customWidth="1"/>
    <col min="2" max="2" width="9.421875" style="18" customWidth="1"/>
    <col min="3" max="3" width="10.00390625" style="18" customWidth="1"/>
    <col min="4" max="16384" width="9.140625" style="18" customWidth="1"/>
  </cols>
  <sheetData>
    <row r="1" spans="1:9" ht="13.5" thickBot="1">
      <c r="A1" s="632" t="s">
        <v>257</v>
      </c>
      <c r="B1" s="633"/>
      <c r="C1" s="633"/>
      <c r="D1" s="633"/>
      <c r="E1" s="633"/>
      <c r="F1" s="633"/>
      <c r="G1" s="633"/>
      <c r="H1" s="633"/>
      <c r="I1" s="634"/>
    </row>
    <row r="2" spans="1:9" ht="13.5" thickBot="1">
      <c r="A2" s="720" t="s">
        <v>258</v>
      </c>
      <c r="B2" s="721"/>
      <c r="C2" s="721"/>
      <c r="D2" s="721"/>
      <c r="E2" s="721"/>
      <c r="F2" s="721"/>
      <c r="G2" s="722"/>
      <c r="H2" s="598"/>
      <c r="I2" s="600"/>
    </row>
    <row r="3" spans="1:9" ht="13.5" thickBot="1">
      <c r="A3" s="805" t="s">
        <v>137</v>
      </c>
      <c r="B3" s="808" t="s">
        <v>6</v>
      </c>
      <c r="C3" s="808"/>
      <c r="D3" s="808"/>
      <c r="E3" s="808"/>
      <c r="F3" s="808"/>
      <c r="G3" s="809"/>
      <c r="H3" s="601"/>
      <c r="I3" s="603"/>
    </row>
    <row r="4" spans="1:9" ht="12.75" customHeight="1">
      <c r="A4" s="806"/>
      <c r="B4" s="60"/>
      <c r="C4" s="58">
        <v>2</v>
      </c>
      <c r="D4" s="58">
        <v>4</v>
      </c>
      <c r="E4" s="58">
        <v>6</v>
      </c>
      <c r="F4" s="58">
        <v>8</v>
      </c>
      <c r="G4" s="59">
        <v>10</v>
      </c>
      <c r="H4" s="601"/>
      <c r="I4" s="603"/>
    </row>
    <row r="5" spans="1:9" ht="12.75">
      <c r="A5" s="806"/>
      <c r="B5" s="61">
        <v>0</v>
      </c>
      <c r="C5" s="3">
        <v>-0.39498</v>
      </c>
      <c r="D5" s="3">
        <v>-0.37801</v>
      </c>
      <c r="E5" s="3">
        <v>-0.36675</v>
      </c>
      <c r="F5" s="3">
        <v>-0.36</v>
      </c>
      <c r="G5" s="4">
        <v>-0.35481</v>
      </c>
      <c r="H5" s="601"/>
      <c r="I5" s="603"/>
    </row>
    <row r="6" spans="1:9" ht="12.75">
      <c r="A6" s="806"/>
      <c r="B6" s="61">
        <v>2</v>
      </c>
      <c r="C6" s="3">
        <v>-0.37714</v>
      </c>
      <c r="D6" s="3">
        <v>-0.36381</v>
      </c>
      <c r="E6" s="3">
        <v>-0.35498</v>
      </c>
      <c r="F6" s="3">
        <v>-0.34978</v>
      </c>
      <c r="G6" s="4">
        <v>-0.34649</v>
      </c>
      <c r="H6" s="601"/>
      <c r="I6" s="603"/>
    </row>
    <row r="7" spans="1:9" ht="12.75">
      <c r="A7" s="806"/>
      <c r="B7" s="61">
        <v>4</v>
      </c>
      <c r="C7" s="3">
        <v>-0.35844</v>
      </c>
      <c r="D7" s="3">
        <v>-0.35013</v>
      </c>
      <c r="E7" s="3">
        <v>-0.34459</v>
      </c>
      <c r="F7" s="3">
        <v>-0.34147</v>
      </c>
      <c r="G7" s="4">
        <v>-0.34009</v>
      </c>
      <c r="H7" s="601"/>
      <c r="I7" s="603"/>
    </row>
    <row r="8" spans="1:9" ht="13.5" thickBot="1">
      <c r="A8" s="807"/>
      <c r="B8" s="62">
        <v>6</v>
      </c>
      <c r="C8" s="3">
        <v>-0.33593</v>
      </c>
      <c r="D8" s="3">
        <v>-0.33593</v>
      </c>
      <c r="E8" s="3">
        <v>-0.33593</v>
      </c>
      <c r="F8" s="3">
        <v>-0.33593</v>
      </c>
      <c r="G8" s="4">
        <v>-0.33593</v>
      </c>
      <c r="H8" s="601"/>
      <c r="I8" s="603"/>
    </row>
    <row r="9" spans="1:9" ht="13.5" thickBot="1">
      <c r="A9" s="731" t="s">
        <v>261</v>
      </c>
      <c r="B9" s="721"/>
      <c r="C9" s="721"/>
      <c r="D9" s="721"/>
      <c r="E9" s="721"/>
      <c r="F9" s="721"/>
      <c r="G9" s="722"/>
      <c r="H9" s="601"/>
      <c r="I9" s="603"/>
    </row>
    <row r="10" spans="1:9" ht="13.5" thickBot="1">
      <c r="A10" s="805" t="s">
        <v>137</v>
      </c>
      <c r="B10" s="846" t="s">
        <v>6</v>
      </c>
      <c r="C10" s="808"/>
      <c r="D10" s="808"/>
      <c r="E10" s="808"/>
      <c r="F10" s="808"/>
      <c r="G10" s="809"/>
      <c r="H10" s="601"/>
      <c r="I10" s="603"/>
    </row>
    <row r="11" spans="1:9" ht="12.75">
      <c r="A11" s="806"/>
      <c r="B11" s="88"/>
      <c r="C11" s="17">
        <v>2</v>
      </c>
      <c r="D11" s="17">
        <v>4</v>
      </c>
      <c r="E11" s="17">
        <v>6</v>
      </c>
      <c r="F11" s="17">
        <v>8</v>
      </c>
      <c r="G11" s="89">
        <v>10</v>
      </c>
      <c r="H11" s="601"/>
      <c r="I11" s="603"/>
    </row>
    <row r="12" spans="1:9" ht="12.75">
      <c r="A12" s="806"/>
      <c r="B12" s="61">
        <v>0</v>
      </c>
      <c r="C12" s="3">
        <v>-0.40354</v>
      </c>
      <c r="D12" s="3">
        <v>-0.39781</v>
      </c>
      <c r="E12" s="3">
        <v>-0.39545</v>
      </c>
      <c r="F12" s="3">
        <v>-0.39478</v>
      </c>
      <c r="G12" s="4">
        <v>-0.39461</v>
      </c>
      <c r="H12" s="601"/>
      <c r="I12" s="603"/>
    </row>
    <row r="13" spans="1:9" ht="12.75">
      <c r="A13" s="806"/>
      <c r="B13" s="61">
        <v>2</v>
      </c>
      <c r="C13" s="3">
        <v>-0.38635</v>
      </c>
      <c r="D13" s="3">
        <v>-0.385</v>
      </c>
      <c r="E13" s="3">
        <v>-0.38466</v>
      </c>
      <c r="F13" s="3">
        <v>-0.38449</v>
      </c>
      <c r="G13" s="4">
        <v>-0.38449</v>
      </c>
      <c r="H13" s="601"/>
      <c r="I13" s="603"/>
    </row>
    <row r="14" spans="1:9" ht="12.75">
      <c r="A14" s="806"/>
      <c r="B14" s="61">
        <v>4</v>
      </c>
      <c r="C14" s="3">
        <v>-0.36596</v>
      </c>
      <c r="D14" s="3">
        <v>-0.37101</v>
      </c>
      <c r="E14" s="3">
        <v>-0.37725</v>
      </c>
      <c r="F14" s="3">
        <v>-0.37843</v>
      </c>
      <c r="G14" s="4">
        <v>-0.37843</v>
      </c>
      <c r="H14" s="601"/>
      <c r="I14" s="603"/>
    </row>
    <row r="15" spans="1:9" ht="13.5" thickBot="1">
      <c r="A15" s="807"/>
      <c r="B15" s="62">
        <v>6</v>
      </c>
      <c r="C15" s="3">
        <v>-0.34573</v>
      </c>
      <c r="D15" s="3">
        <v>-0.36006</v>
      </c>
      <c r="E15" s="3">
        <v>-0.36966</v>
      </c>
      <c r="F15" s="3">
        <v>-0.3732</v>
      </c>
      <c r="G15" s="4">
        <v>-0.37388</v>
      </c>
      <c r="H15" s="601"/>
      <c r="I15" s="603"/>
    </row>
    <row r="16" spans="1:9" ht="13.5" thickBot="1">
      <c r="A16" s="856" t="s">
        <v>260</v>
      </c>
      <c r="B16" s="721"/>
      <c r="C16" s="721"/>
      <c r="D16" s="721"/>
      <c r="E16" s="721"/>
      <c r="F16" s="721"/>
      <c r="G16" s="722"/>
      <c r="H16" s="601"/>
      <c r="I16" s="603"/>
    </row>
    <row r="17" spans="1:9" ht="13.5" thickBot="1">
      <c r="A17" s="805" t="s">
        <v>137</v>
      </c>
      <c r="B17" s="808" t="s">
        <v>6</v>
      </c>
      <c r="C17" s="808"/>
      <c r="D17" s="808"/>
      <c r="E17" s="808"/>
      <c r="F17" s="808"/>
      <c r="G17" s="809"/>
      <c r="H17" s="601"/>
      <c r="I17" s="603"/>
    </row>
    <row r="18" spans="1:9" ht="12.75">
      <c r="A18" s="806"/>
      <c r="B18" s="60"/>
      <c r="C18" s="58">
        <v>2</v>
      </c>
      <c r="D18" s="58">
        <v>4</v>
      </c>
      <c r="E18" s="58">
        <v>6</v>
      </c>
      <c r="F18" s="58">
        <v>8</v>
      </c>
      <c r="G18" s="59">
        <v>10</v>
      </c>
      <c r="H18" s="601"/>
      <c r="I18" s="603"/>
    </row>
    <row r="19" spans="1:9" ht="12.75">
      <c r="A19" s="806"/>
      <c r="B19" s="61">
        <v>0</v>
      </c>
      <c r="C19" s="12">
        <v>-0.4079</v>
      </c>
      <c r="D19" s="12">
        <v>-0.40958</v>
      </c>
      <c r="E19" s="12">
        <v>-0.41193</v>
      </c>
      <c r="F19" s="12">
        <v>-0.41395</v>
      </c>
      <c r="G19" s="13">
        <v>-0.41462</v>
      </c>
      <c r="H19" s="601"/>
      <c r="I19" s="603"/>
    </row>
    <row r="20" spans="1:9" ht="12.75">
      <c r="A20" s="806"/>
      <c r="B20" s="61">
        <v>2</v>
      </c>
      <c r="C20" s="12">
        <v>-0.39412</v>
      </c>
      <c r="D20" s="12">
        <v>-0.39782</v>
      </c>
      <c r="E20" s="12">
        <v>-0.40437</v>
      </c>
      <c r="F20" s="12">
        <v>-0.40706</v>
      </c>
      <c r="G20" s="13">
        <v>-0.40773</v>
      </c>
      <c r="H20" s="601"/>
      <c r="I20" s="603"/>
    </row>
    <row r="21" spans="1:9" ht="12.75">
      <c r="A21" s="806"/>
      <c r="B21" s="61">
        <v>4</v>
      </c>
      <c r="C21" s="12">
        <v>-0.37395</v>
      </c>
      <c r="D21" s="12">
        <v>-0.3884</v>
      </c>
      <c r="E21" s="12">
        <v>-0.39765</v>
      </c>
      <c r="F21" s="12">
        <v>-0.40134</v>
      </c>
      <c r="G21" s="13">
        <v>-0.40235</v>
      </c>
      <c r="H21" s="601"/>
      <c r="I21" s="603"/>
    </row>
    <row r="22" spans="1:9" ht="13.5" thickBot="1">
      <c r="A22" s="807"/>
      <c r="B22" s="62">
        <v>6</v>
      </c>
      <c r="C22" s="12">
        <v>-0.37395</v>
      </c>
      <c r="D22" s="12">
        <v>-0.38017</v>
      </c>
      <c r="E22" s="12">
        <v>-0.39193</v>
      </c>
      <c r="F22" s="12">
        <v>-0.39681</v>
      </c>
      <c r="G22" s="13">
        <v>-0.39782</v>
      </c>
      <c r="H22" s="601"/>
      <c r="I22" s="603"/>
    </row>
    <row r="23" spans="1:9" ht="13.5" thickBot="1">
      <c r="A23" s="856" t="s">
        <v>259</v>
      </c>
      <c r="B23" s="721"/>
      <c r="C23" s="721"/>
      <c r="D23" s="721"/>
      <c r="E23" s="721"/>
      <c r="F23" s="721"/>
      <c r="G23" s="722"/>
      <c r="H23" s="601"/>
      <c r="I23" s="603"/>
    </row>
    <row r="24" spans="1:9" ht="13.5" thickBot="1">
      <c r="A24" s="805" t="s">
        <v>137</v>
      </c>
      <c r="B24" s="808" t="s">
        <v>6</v>
      </c>
      <c r="C24" s="808"/>
      <c r="D24" s="808"/>
      <c r="E24" s="808"/>
      <c r="F24" s="808"/>
      <c r="G24" s="809"/>
      <c r="H24" s="601"/>
      <c r="I24" s="603"/>
    </row>
    <row r="25" spans="1:9" ht="12.75">
      <c r="A25" s="806"/>
      <c r="B25" s="60"/>
      <c r="C25" s="58">
        <v>2</v>
      </c>
      <c r="D25" s="58">
        <v>4</v>
      </c>
      <c r="E25" s="58">
        <v>6</v>
      </c>
      <c r="F25" s="58">
        <v>8</v>
      </c>
      <c r="G25" s="59">
        <v>10</v>
      </c>
      <c r="H25" s="601"/>
      <c r="I25" s="603"/>
    </row>
    <row r="26" spans="1:9" ht="12.75">
      <c r="A26" s="806"/>
      <c r="B26" s="61">
        <v>0</v>
      </c>
      <c r="C26" s="3">
        <v>-0.41008</v>
      </c>
      <c r="D26" s="3">
        <v>-0.4196</v>
      </c>
      <c r="E26" s="3">
        <v>-0.42623</v>
      </c>
      <c r="F26" s="3">
        <v>-0.43184</v>
      </c>
      <c r="G26" s="4">
        <v>-0.43677</v>
      </c>
      <c r="H26" s="601"/>
      <c r="I26" s="603"/>
    </row>
    <row r="27" spans="1:9" ht="12.75">
      <c r="A27" s="806"/>
      <c r="B27" s="61">
        <v>2</v>
      </c>
      <c r="C27" s="3">
        <v>-0.39972</v>
      </c>
      <c r="D27" s="3">
        <v>-0.41331</v>
      </c>
      <c r="E27" s="3">
        <v>-0.42181</v>
      </c>
      <c r="F27" s="3">
        <v>-0.42742</v>
      </c>
      <c r="G27" s="4">
        <v>-0.43201</v>
      </c>
      <c r="H27" s="601"/>
      <c r="I27" s="603"/>
    </row>
    <row r="28" spans="1:9" ht="12.75">
      <c r="A28" s="806"/>
      <c r="B28" s="61">
        <v>4</v>
      </c>
      <c r="C28" s="3">
        <v>-0.38782</v>
      </c>
      <c r="D28" s="3">
        <v>-0.40924</v>
      </c>
      <c r="E28" s="3">
        <v>-0.41892</v>
      </c>
      <c r="F28" s="3">
        <v>-0.42453</v>
      </c>
      <c r="G28" s="4">
        <v>-0.42861</v>
      </c>
      <c r="H28" s="601"/>
      <c r="I28" s="603"/>
    </row>
    <row r="29" spans="1:9" ht="13.5" thickBot="1">
      <c r="A29" s="807"/>
      <c r="B29" s="62">
        <v>6</v>
      </c>
      <c r="C29" s="3">
        <v>-0.38782</v>
      </c>
      <c r="D29" s="5">
        <v>-0.40754</v>
      </c>
      <c r="E29" s="5">
        <v>-0.41637</v>
      </c>
      <c r="F29" s="5">
        <v>-0.42181</v>
      </c>
      <c r="G29" s="6">
        <v>-0.42572</v>
      </c>
      <c r="H29" s="601"/>
      <c r="I29" s="603"/>
    </row>
    <row r="30" spans="1:9" ht="13.5" thickBot="1">
      <c r="A30" s="643" t="s">
        <v>248</v>
      </c>
      <c r="B30" s="688"/>
      <c r="C30" s="644"/>
      <c r="D30" s="601"/>
      <c r="E30" s="602"/>
      <c r="F30" s="602"/>
      <c r="G30" s="602"/>
      <c r="H30" s="602"/>
      <c r="I30" s="603"/>
    </row>
    <row r="31" spans="1:9" ht="13.5" thickBot="1">
      <c r="A31" s="805" t="s">
        <v>45</v>
      </c>
      <c r="B31" s="85"/>
      <c r="C31" s="2" t="s">
        <v>139</v>
      </c>
      <c r="D31" s="601"/>
      <c r="E31" s="602"/>
      <c r="F31" s="602"/>
      <c r="G31" s="602"/>
      <c r="H31" s="602"/>
      <c r="I31" s="603"/>
    </row>
    <row r="32" spans="1:9" ht="12.75" customHeight="1">
      <c r="A32" s="806"/>
      <c r="B32" s="61">
        <v>0</v>
      </c>
      <c r="C32" s="4" t="e">
        <f>DITP('Coeficientes Longitudinais'!$C$5,'Coeficientes Longitudinais'!$K$7,'ESDU 87031'!$B$4:$G$8)</f>
        <v>#NAME?</v>
      </c>
      <c r="D32" s="601"/>
      <c r="E32" s="602"/>
      <c r="F32" s="602"/>
      <c r="G32" s="602"/>
      <c r="H32" s="602"/>
      <c r="I32" s="603"/>
    </row>
    <row r="33" spans="1:9" ht="12.75">
      <c r="A33" s="806"/>
      <c r="B33" s="61">
        <v>0.25</v>
      </c>
      <c r="C33" s="4" t="e">
        <f>DITP('Coeficientes Longitudinais'!$C$5,'Coeficientes Longitudinais'!$K$7,'ESDU 87031'!$B$11:$G$15)</f>
        <v>#NAME?</v>
      </c>
      <c r="D33" s="601"/>
      <c r="E33" s="602"/>
      <c r="F33" s="602"/>
      <c r="G33" s="602"/>
      <c r="H33" s="602"/>
      <c r="I33" s="603"/>
    </row>
    <row r="34" spans="1:9" ht="12.75">
      <c r="A34" s="806"/>
      <c r="B34" s="61">
        <v>0.5</v>
      </c>
      <c r="C34" s="4" t="e">
        <f>DITP('Coeficientes Longitudinais'!$C$5,'Coeficientes Longitudinais'!$K$7,'ESDU 87031'!$B$18:$G$22)</f>
        <v>#NAME?</v>
      </c>
      <c r="D34" s="601"/>
      <c r="E34" s="602"/>
      <c r="F34" s="602"/>
      <c r="G34" s="602"/>
      <c r="H34" s="602"/>
      <c r="I34" s="603"/>
    </row>
    <row r="35" spans="1:9" ht="13.5" thickBot="1">
      <c r="A35" s="807"/>
      <c r="B35" s="62">
        <v>1</v>
      </c>
      <c r="C35" s="6" t="e">
        <f>DITP('Coeficientes Longitudinais'!$C$5,'Coeficientes Longitudinais'!$K$7,'ESDU 87031'!$B$25:$G$29)</f>
        <v>#NAME?</v>
      </c>
      <c r="D35" s="604"/>
      <c r="E35" s="605"/>
      <c r="F35" s="605"/>
      <c r="G35" s="605"/>
      <c r="H35" s="605"/>
      <c r="I35" s="606"/>
    </row>
    <row r="36" spans="1:7" ht="12.75">
      <c r="A36" s="10"/>
      <c r="B36" s="10"/>
      <c r="C36" s="10"/>
      <c r="D36" s="10"/>
      <c r="E36" s="10"/>
      <c r="F36" s="10"/>
      <c r="G36" s="10"/>
    </row>
  </sheetData>
  <sheetProtection/>
  <mergeCells count="17">
    <mergeCell ref="B3:G3"/>
    <mergeCell ref="B10:G10"/>
    <mergeCell ref="B17:G17"/>
    <mergeCell ref="A1:I1"/>
    <mergeCell ref="A2:G2"/>
    <mergeCell ref="A9:G9"/>
    <mergeCell ref="A16:G16"/>
    <mergeCell ref="A31:A35"/>
    <mergeCell ref="A30:C30"/>
    <mergeCell ref="H2:I29"/>
    <mergeCell ref="D30:I35"/>
    <mergeCell ref="B24:G24"/>
    <mergeCell ref="A3:A8"/>
    <mergeCell ref="A10:A15"/>
    <mergeCell ref="A17:A22"/>
    <mergeCell ref="A24:A29"/>
    <mergeCell ref="A23:G2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Plan12">
    <tabColor indexed="17"/>
  </sheetPr>
  <dimension ref="A1:O90"/>
  <sheetViews>
    <sheetView zoomScale="85" zoomScaleNormal="85" zoomScalePageLayoutView="0" workbookViewId="0" topLeftCell="A1">
      <selection activeCell="I23" sqref="I23:M34"/>
    </sheetView>
  </sheetViews>
  <sheetFormatPr defaultColWidth="9.140625" defaultRowHeight="12.75"/>
  <cols>
    <col min="1" max="1" width="11.7109375" style="7" customWidth="1"/>
    <col min="2" max="2" width="10.00390625" style="7" customWidth="1"/>
    <col min="3" max="3" width="10.28125" style="7" customWidth="1"/>
    <col min="4" max="16384" width="9.140625" style="18" customWidth="1"/>
  </cols>
  <sheetData>
    <row r="1" spans="1:12" ht="13.5" thickBot="1">
      <c r="A1" s="632" t="s">
        <v>262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4"/>
    </row>
    <row r="2" spans="1:12" ht="13.5" thickBot="1">
      <c r="A2" s="857" t="s">
        <v>264</v>
      </c>
      <c r="B2" s="858"/>
      <c r="C2" s="858"/>
      <c r="D2" s="858"/>
      <c r="E2" s="858"/>
      <c r="F2" s="859"/>
      <c r="G2" s="860"/>
      <c r="H2" s="861"/>
      <c r="I2" s="861"/>
      <c r="J2" s="861"/>
      <c r="K2" s="861"/>
      <c r="L2" s="862"/>
    </row>
    <row r="3" spans="1:12" ht="13.5" thickBot="1">
      <c r="A3" s="90"/>
      <c r="B3" s="866" t="s">
        <v>263</v>
      </c>
      <c r="C3" s="866"/>
      <c r="D3" s="866"/>
      <c r="E3" s="866"/>
      <c r="F3" s="867"/>
      <c r="G3" s="863"/>
      <c r="H3" s="864"/>
      <c r="I3" s="864"/>
      <c r="J3" s="864"/>
      <c r="K3" s="864"/>
      <c r="L3" s="865"/>
    </row>
    <row r="4" spans="1:12" ht="12.75">
      <c r="A4" s="718" t="s">
        <v>6</v>
      </c>
      <c r="B4" s="34"/>
      <c r="C4" s="30">
        <v>0</v>
      </c>
      <c r="D4" s="30">
        <v>20</v>
      </c>
      <c r="E4" s="30">
        <v>40</v>
      </c>
      <c r="F4" s="31">
        <v>50</v>
      </c>
      <c r="G4" s="863"/>
      <c r="H4" s="864"/>
      <c r="I4" s="864"/>
      <c r="J4" s="864"/>
      <c r="K4" s="864"/>
      <c r="L4" s="865"/>
    </row>
    <row r="5" spans="1:12" ht="12.75">
      <c r="A5" s="718"/>
      <c r="B5" s="35">
        <v>1</v>
      </c>
      <c r="C5" s="20">
        <v>-0.3169</v>
      </c>
      <c r="D5" s="20">
        <v>-0.292</v>
      </c>
      <c r="E5" s="20">
        <v>-0.3178</v>
      </c>
      <c r="F5" s="21">
        <v>-0.3666</v>
      </c>
      <c r="G5" s="863"/>
      <c r="H5" s="864"/>
      <c r="I5" s="864"/>
      <c r="J5" s="864"/>
      <c r="K5" s="864"/>
      <c r="L5" s="865"/>
    </row>
    <row r="6" spans="1:12" ht="12.75">
      <c r="A6" s="718"/>
      <c r="B6" s="35">
        <v>2</v>
      </c>
      <c r="C6" s="20">
        <v>-0.2118</v>
      </c>
      <c r="D6" s="20">
        <v>-0.2204</v>
      </c>
      <c r="E6" s="20">
        <v>-0.2634</v>
      </c>
      <c r="F6" s="21">
        <v>-0.3283</v>
      </c>
      <c r="G6" s="863"/>
      <c r="H6" s="864"/>
      <c r="I6" s="864"/>
      <c r="J6" s="864"/>
      <c r="K6" s="864"/>
      <c r="L6" s="865"/>
    </row>
    <row r="7" spans="1:12" ht="12.75">
      <c r="A7" s="718"/>
      <c r="B7" s="35">
        <v>4</v>
      </c>
      <c r="C7" s="20">
        <v>-0.1764</v>
      </c>
      <c r="D7" s="20">
        <v>-0.1869</v>
      </c>
      <c r="E7" s="20">
        <v>-0.2366</v>
      </c>
      <c r="F7" s="21">
        <v>-0.3226</v>
      </c>
      <c r="G7" s="863"/>
      <c r="H7" s="864"/>
      <c r="I7" s="864"/>
      <c r="J7" s="864"/>
      <c r="K7" s="864"/>
      <c r="L7" s="865"/>
    </row>
    <row r="8" spans="1:12" ht="12.75">
      <c r="A8" s="718"/>
      <c r="B8" s="35">
        <v>6</v>
      </c>
      <c r="C8" s="20">
        <v>-0.1688</v>
      </c>
      <c r="D8" s="20">
        <v>-0.1822</v>
      </c>
      <c r="E8" s="20">
        <v>-0.2357</v>
      </c>
      <c r="F8" s="21">
        <v>-0.3293</v>
      </c>
      <c r="G8" s="863"/>
      <c r="H8" s="864"/>
      <c r="I8" s="864"/>
      <c r="J8" s="864"/>
      <c r="K8" s="864"/>
      <c r="L8" s="865"/>
    </row>
    <row r="9" spans="1:12" ht="12.75">
      <c r="A9" s="718"/>
      <c r="B9" s="35">
        <v>8</v>
      </c>
      <c r="C9" s="20">
        <v>-0.1659</v>
      </c>
      <c r="D9" s="20">
        <v>-0.1812</v>
      </c>
      <c r="E9" s="20">
        <v>-0.2366</v>
      </c>
      <c r="F9" s="21">
        <v>-0.3379</v>
      </c>
      <c r="G9" s="863"/>
      <c r="H9" s="864"/>
      <c r="I9" s="864"/>
      <c r="J9" s="864"/>
      <c r="K9" s="864"/>
      <c r="L9" s="865"/>
    </row>
    <row r="10" spans="1:12" ht="12.75">
      <c r="A10" s="718"/>
      <c r="B10" s="35">
        <v>10</v>
      </c>
      <c r="C10" s="20">
        <v>-0.1659</v>
      </c>
      <c r="D10" s="20">
        <v>-0.1841</v>
      </c>
      <c r="E10" s="20">
        <v>-0.2424</v>
      </c>
      <c r="F10" s="21">
        <v>-0.3465</v>
      </c>
      <c r="G10" s="863"/>
      <c r="H10" s="864"/>
      <c r="I10" s="864"/>
      <c r="J10" s="864"/>
      <c r="K10" s="864"/>
      <c r="L10" s="865"/>
    </row>
    <row r="11" spans="1:12" ht="13.5" thickBot="1">
      <c r="A11" s="719"/>
      <c r="B11" s="36">
        <v>12</v>
      </c>
      <c r="C11" s="22">
        <v>-0.165</v>
      </c>
      <c r="D11" s="22">
        <v>-0.186</v>
      </c>
      <c r="E11" s="22">
        <v>-0.2481</v>
      </c>
      <c r="F11" s="23">
        <v>-0.357</v>
      </c>
      <c r="G11" s="863"/>
      <c r="H11" s="864"/>
      <c r="I11" s="864"/>
      <c r="J11" s="864"/>
      <c r="K11" s="864"/>
      <c r="L11" s="865"/>
    </row>
    <row r="12" spans="1:12" ht="13.5" thickBot="1">
      <c r="A12" s="566" t="s">
        <v>266</v>
      </c>
      <c r="B12" s="716"/>
      <c r="C12" s="567"/>
      <c r="D12" s="601"/>
      <c r="E12" s="602"/>
      <c r="F12" s="602"/>
      <c r="G12" s="602"/>
      <c r="H12" s="602"/>
      <c r="I12" s="602"/>
      <c r="J12" s="602"/>
      <c r="K12" s="602"/>
      <c r="L12" s="603"/>
    </row>
    <row r="13" spans="1:12" ht="13.5" thickBot="1">
      <c r="A13" s="19"/>
      <c r="B13" s="85"/>
      <c r="C13" s="16" t="s">
        <v>265</v>
      </c>
      <c r="D13" s="601"/>
      <c r="E13" s="602"/>
      <c r="F13" s="602"/>
      <c r="G13" s="602"/>
      <c r="H13" s="602"/>
      <c r="I13" s="602"/>
      <c r="J13" s="602"/>
      <c r="K13" s="602"/>
      <c r="L13" s="603"/>
    </row>
    <row r="14" spans="1:12" ht="12.75">
      <c r="A14" s="718" t="s">
        <v>45</v>
      </c>
      <c r="B14" s="35">
        <v>0</v>
      </c>
      <c r="C14" s="21">
        <v>0.5</v>
      </c>
      <c r="D14" s="601"/>
      <c r="E14" s="602"/>
      <c r="F14" s="602"/>
      <c r="G14" s="602"/>
      <c r="H14" s="602"/>
      <c r="I14" s="602"/>
      <c r="J14" s="602"/>
      <c r="K14" s="602"/>
      <c r="L14" s="603"/>
    </row>
    <row r="15" spans="1:12" ht="12.75">
      <c r="A15" s="718"/>
      <c r="B15" s="35">
        <v>0.1015</v>
      </c>
      <c r="C15" s="21">
        <v>0.5927</v>
      </c>
      <c r="D15" s="601"/>
      <c r="E15" s="602"/>
      <c r="F15" s="602"/>
      <c r="G15" s="602"/>
      <c r="H15" s="602"/>
      <c r="I15" s="602"/>
      <c r="J15" s="602"/>
      <c r="K15" s="602"/>
      <c r="L15" s="603"/>
    </row>
    <row r="16" spans="1:12" ht="12.75">
      <c r="A16" s="718"/>
      <c r="B16" s="35">
        <v>0.2011</v>
      </c>
      <c r="C16" s="21">
        <v>0.668</v>
      </c>
      <c r="D16" s="601"/>
      <c r="E16" s="602"/>
      <c r="F16" s="602"/>
      <c r="G16" s="602"/>
      <c r="H16" s="602"/>
      <c r="I16" s="602"/>
      <c r="J16" s="602"/>
      <c r="K16" s="602"/>
      <c r="L16" s="603"/>
    </row>
    <row r="17" spans="1:12" ht="12.75">
      <c r="A17" s="718"/>
      <c r="B17" s="35">
        <v>0.3008</v>
      </c>
      <c r="C17" s="21">
        <v>0.7317</v>
      </c>
      <c r="D17" s="601"/>
      <c r="E17" s="602"/>
      <c r="F17" s="602"/>
      <c r="G17" s="602"/>
      <c r="H17" s="602"/>
      <c r="I17" s="602"/>
      <c r="J17" s="602"/>
      <c r="K17" s="602"/>
      <c r="L17" s="603"/>
    </row>
    <row r="18" spans="1:12" ht="12.75">
      <c r="A18" s="718"/>
      <c r="B18" s="35">
        <v>0.4004</v>
      </c>
      <c r="C18" s="21">
        <v>0.7838</v>
      </c>
      <c r="D18" s="601"/>
      <c r="E18" s="602"/>
      <c r="F18" s="602"/>
      <c r="G18" s="602"/>
      <c r="H18" s="602"/>
      <c r="I18" s="602"/>
      <c r="J18" s="602"/>
      <c r="K18" s="602"/>
      <c r="L18" s="603"/>
    </row>
    <row r="19" spans="1:12" ht="12.75">
      <c r="A19" s="718"/>
      <c r="B19" s="35">
        <v>0.5019</v>
      </c>
      <c r="C19" s="21">
        <v>0.834</v>
      </c>
      <c r="D19" s="601"/>
      <c r="E19" s="602"/>
      <c r="F19" s="602"/>
      <c r="G19" s="602"/>
      <c r="H19" s="602"/>
      <c r="I19" s="602"/>
      <c r="J19" s="602"/>
      <c r="K19" s="602"/>
      <c r="L19" s="603"/>
    </row>
    <row r="20" spans="1:12" ht="12.75">
      <c r="A20" s="718"/>
      <c r="B20" s="35">
        <v>0.5996</v>
      </c>
      <c r="C20" s="21">
        <v>0.8745</v>
      </c>
      <c r="D20" s="601"/>
      <c r="E20" s="602"/>
      <c r="F20" s="602"/>
      <c r="G20" s="602"/>
      <c r="H20" s="602"/>
      <c r="I20" s="602"/>
      <c r="J20" s="602"/>
      <c r="K20" s="602"/>
      <c r="L20" s="603"/>
    </row>
    <row r="21" spans="1:12" ht="12.75">
      <c r="A21" s="718"/>
      <c r="B21" s="35">
        <v>0.6992</v>
      </c>
      <c r="C21" s="21">
        <v>0.9112</v>
      </c>
      <c r="D21" s="601"/>
      <c r="E21" s="602"/>
      <c r="F21" s="602"/>
      <c r="G21" s="602"/>
      <c r="H21" s="602"/>
      <c r="I21" s="602"/>
      <c r="J21" s="602"/>
      <c r="K21" s="602"/>
      <c r="L21" s="603"/>
    </row>
    <row r="22" spans="1:12" ht="12.75">
      <c r="A22" s="718"/>
      <c r="B22" s="35">
        <v>0.7989</v>
      </c>
      <c r="C22" s="21">
        <v>0.9459</v>
      </c>
      <c r="D22" s="601"/>
      <c r="E22" s="602"/>
      <c r="F22" s="602"/>
      <c r="G22" s="602"/>
      <c r="H22" s="602"/>
      <c r="I22" s="602"/>
      <c r="J22" s="602"/>
      <c r="K22" s="602"/>
      <c r="L22" s="603"/>
    </row>
    <row r="23" spans="1:12" ht="12.75">
      <c r="A23" s="718"/>
      <c r="B23" s="35">
        <v>0.8985</v>
      </c>
      <c r="C23" s="21">
        <v>0.9749</v>
      </c>
      <c r="D23" s="601"/>
      <c r="E23" s="602"/>
      <c r="F23" s="602"/>
      <c r="G23" s="602"/>
      <c r="H23" s="602"/>
      <c r="I23" s="602"/>
      <c r="J23" s="602"/>
      <c r="K23" s="602"/>
      <c r="L23" s="603"/>
    </row>
    <row r="24" spans="1:12" ht="13.5" thickBot="1">
      <c r="A24" s="719"/>
      <c r="B24" s="36">
        <v>1</v>
      </c>
      <c r="C24" s="21">
        <v>0.9981</v>
      </c>
      <c r="D24" s="601"/>
      <c r="E24" s="602"/>
      <c r="F24" s="602"/>
      <c r="G24" s="602"/>
      <c r="H24" s="602"/>
      <c r="I24" s="602"/>
      <c r="J24" s="602"/>
      <c r="K24" s="602"/>
      <c r="L24" s="603"/>
    </row>
    <row r="25" spans="1:12" ht="13.5" thickBot="1">
      <c r="A25" s="731" t="s">
        <v>267</v>
      </c>
      <c r="B25" s="810"/>
      <c r="C25" s="810"/>
      <c r="D25" s="810"/>
      <c r="E25" s="810"/>
      <c r="F25" s="811"/>
      <c r="G25" s="601"/>
      <c r="H25" s="602"/>
      <c r="I25" s="602"/>
      <c r="J25" s="602"/>
      <c r="K25" s="602"/>
      <c r="L25" s="603"/>
    </row>
    <row r="26" spans="1:14" ht="13.5" thickBot="1">
      <c r="A26" s="19"/>
      <c r="B26" s="629" t="s">
        <v>263</v>
      </c>
      <c r="C26" s="629"/>
      <c r="D26" s="629"/>
      <c r="E26" s="629"/>
      <c r="F26" s="715"/>
      <c r="G26" s="601"/>
      <c r="H26" s="602"/>
      <c r="I26" s="602"/>
      <c r="J26" s="602"/>
      <c r="K26" s="602"/>
      <c r="L26" s="603"/>
      <c r="M26" s="73"/>
      <c r="N26" s="73"/>
    </row>
    <row r="27" spans="1:12" ht="12.75">
      <c r="A27" s="718" t="s">
        <v>6</v>
      </c>
      <c r="B27" s="34"/>
      <c r="C27" s="30">
        <v>0</v>
      </c>
      <c r="D27" s="30">
        <v>20</v>
      </c>
      <c r="E27" s="30">
        <v>40</v>
      </c>
      <c r="F27" s="31">
        <v>50</v>
      </c>
      <c r="G27" s="601"/>
      <c r="H27" s="602"/>
      <c r="I27" s="602"/>
      <c r="J27" s="602"/>
      <c r="K27" s="602"/>
      <c r="L27" s="603"/>
    </row>
    <row r="28" spans="1:12" ht="12.75">
      <c r="A28" s="718"/>
      <c r="B28" s="35">
        <v>1</v>
      </c>
      <c r="C28" s="20">
        <v>-0.0444</v>
      </c>
      <c r="D28" s="20">
        <v>-0.0432</v>
      </c>
      <c r="E28" s="20">
        <v>-0.0359</v>
      </c>
      <c r="F28" s="21">
        <v>-0.0206</v>
      </c>
      <c r="G28" s="601"/>
      <c r="H28" s="602"/>
      <c r="I28" s="602"/>
      <c r="J28" s="602"/>
      <c r="K28" s="602"/>
      <c r="L28" s="603"/>
    </row>
    <row r="29" spans="1:12" ht="12.75">
      <c r="A29" s="718"/>
      <c r="B29" s="35">
        <v>1.5</v>
      </c>
      <c r="C29" s="20">
        <v>-0.0293</v>
      </c>
      <c r="D29" s="20">
        <v>-0.0287</v>
      </c>
      <c r="E29" s="20">
        <v>-0.0231</v>
      </c>
      <c r="F29" s="21">
        <v>-0.0125</v>
      </c>
      <c r="G29" s="601"/>
      <c r="H29" s="602"/>
      <c r="I29" s="602"/>
      <c r="J29" s="602"/>
      <c r="K29" s="602"/>
      <c r="L29" s="603"/>
    </row>
    <row r="30" spans="1:12" ht="12.75">
      <c r="A30" s="718"/>
      <c r="B30" s="35">
        <v>2</v>
      </c>
      <c r="C30" s="20">
        <v>-0.0214</v>
      </c>
      <c r="D30" s="20">
        <v>-0.0208</v>
      </c>
      <c r="E30" s="20">
        <v>-0.0167</v>
      </c>
      <c r="F30" s="21">
        <v>-0.0086</v>
      </c>
      <c r="G30" s="601"/>
      <c r="H30" s="602"/>
      <c r="I30" s="602"/>
      <c r="J30" s="602"/>
      <c r="K30" s="602"/>
      <c r="L30" s="603"/>
    </row>
    <row r="31" spans="1:12" ht="12.75">
      <c r="A31" s="718"/>
      <c r="B31" s="35">
        <v>3</v>
      </c>
      <c r="C31" s="20">
        <v>-0.0138</v>
      </c>
      <c r="D31" s="20">
        <v>-0.0134</v>
      </c>
      <c r="E31" s="20">
        <v>-0.0103</v>
      </c>
      <c r="F31" s="21">
        <v>-0.0045</v>
      </c>
      <c r="G31" s="601"/>
      <c r="H31" s="602"/>
      <c r="I31" s="602"/>
      <c r="J31" s="602"/>
      <c r="K31" s="602"/>
      <c r="L31" s="603"/>
    </row>
    <row r="32" spans="1:12" ht="12.75">
      <c r="A32" s="718"/>
      <c r="B32" s="35">
        <v>4</v>
      </c>
      <c r="C32" s="20">
        <v>-0.0099</v>
      </c>
      <c r="D32" s="20">
        <v>-0.0097</v>
      </c>
      <c r="E32" s="20">
        <v>-0.0068</v>
      </c>
      <c r="F32" s="21">
        <v>-0.0022</v>
      </c>
      <c r="G32" s="601"/>
      <c r="H32" s="602"/>
      <c r="I32" s="602"/>
      <c r="J32" s="602"/>
      <c r="K32" s="602"/>
      <c r="L32" s="603"/>
    </row>
    <row r="33" spans="1:12" ht="12.75">
      <c r="A33" s="718"/>
      <c r="B33" s="35">
        <v>6</v>
      </c>
      <c r="C33" s="20">
        <v>-0.0063</v>
      </c>
      <c r="D33" s="20">
        <v>-0.0059</v>
      </c>
      <c r="E33" s="20">
        <v>-0.0037</v>
      </c>
      <c r="F33" s="21">
        <v>-0.0001</v>
      </c>
      <c r="G33" s="601"/>
      <c r="H33" s="602"/>
      <c r="I33" s="602"/>
      <c r="J33" s="602"/>
      <c r="K33" s="602"/>
      <c r="L33" s="603"/>
    </row>
    <row r="34" spans="1:12" ht="12.75">
      <c r="A34" s="718"/>
      <c r="B34" s="35">
        <v>8</v>
      </c>
      <c r="C34" s="20">
        <v>-0.0047</v>
      </c>
      <c r="D34" s="20">
        <v>-0.0043</v>
      </c>
      <c r="E34" s="20">
        <v>-0.0022</v>
      </c>
      <c r="F34" s="21">
        <v>0.0011</v>
      </c>
      <c r="G34" s="601"/>
      <c r="H34" s="602"/>
      <c r="I34" s="602"/>
      <c r="J34" s="602"/>
      <c r="K34" s="602"/>
      <c r="L34" s="603"/>
    </row>
    <row r="35" spans="1:12" ht="12.75">
      <c r="A35" s="718"/>
      <c r="B35" s="35">
        <v>10</v>
      </c>
      <c r="C35" s="20">
        <v>-0.0035</v>
      </c>
      <c r="D35" s="20">
        <v>-0.003</v>
      </c>
      <c r="E35" s="20">
        <v>-0.0012</v>
      </c>
      <c r="F35" s="21">
        <v>0.0021</v>
      </c>
      <c r="G35" s="601"/>
      <c r="H35" s="602"/>
      <c r="I35" s="602"/>
      <c r="J35" s="602"/>
      <c r="K35" s="602"/>
      <c r="L35" s="603"/>
    </row>
    <row r="36" spans="1:12" ht="13.5" thickBot="1">
      <c r="A36" s="719"/>
      <c r="B36" s="36">
        <v>12</v>
      </c>
      <c r="C36" s="22">
        <v>-0.0026</v>
      </c>
      <c r="D36" s="22">
        <v>-0.0024</v>
      </c>
      <c r="E36" s="22">
        <v>-0.0006</v>
      </c>
      <c r="F36" s="23">
        <v>0.0023</v>
      </c>
      <c r="G36" s="601"/>
      <c r="H36" s="602"/>
      <c r="I36" s="602"/>
      <c r="J36" s="602"/>
      <c r="K36" s="602"/>
      <c r="L36" s="603"/>
    </row>
    <row r="37" spans="1:12" ht="13.5" thickBot="1">
      <c r="A37" s="731" t="s">
        <v>268</v>
      </c>
      <c r="B37" s="810"/>
      <c r="C37" s="810"/>
      <c r="D37" s="810"/>
      <c r="E37" s="810"/>
      <c r="F37" s="811"/>
      <c r="G37" s="601"/>
      <c r="H37" s="602"/>
      <c r="I37" s="602"/>
      <c r="J37" s="602"/>
      <c r="K37" s="602"/>
      <c r="L37" s="603"/>
    </row>
    <row r="38" spans="1:12" ht="13.5" thickBot="1">
      <c r="A38" s="19"/>
      <c r="B38" s="629" t="s">
        <v>263</v>
      </c>
      <c r="C38" s="629"/>
      <c r="D38" s="629"/>
      <c r="E38" s="629"/>
      <c r="F38" s="715"/>
      <c r="G38" s="601"/>
      <c r="H38" s="602"/>
      <c r="I38" s="602"/>
      <c r="J38" s="602"/>
      <c r="K38" s="602"/>
      <c r="L38" s="603"/>
    </row>
    <row r="39" spans="1:12" ht="12.75">
      <c r="A39" s="718" t="s">
        <v>6</v>
      </c>
      <c r="B39" s="34"/>
      <c r="C39" s="30">
        <v>0</v>
      </c>
      <c r="D39" s="30">
        <v>20</v>
      </c>
      <c r="E39" s="30">
        <v>40</v>
      </c>
      <c r="F39" s="31">
        <v>50</v>
      </c>
      <c r="G39" s="601"/>
      <c r="H39" s="602"/>
      <c r="I39" s="602"/>
      <c r="J39" s="602"/>
      <c r="K39" s="602"/>
      <c r="L39" s="603"/>
    </row>
    <row r="40" spans="1:12" ht="12.75">
      <c r="A40" s="718"/>
      <c r="B40" s="35">
        <v>1</v>
      </c>
      <c r="C40" s="20">
        <v>-0.0483</v>
      </c>
      <c r="D40" s="20">
        <v>-0.0471</v>
      </c>
      <c r="E40" s="20">
        <v>-0.0394</v>
      </c>
      <c r="F40" s="21">
        <v>-0.0224</v>
      </c>
      <c r="G40" s="601"/>
      <c r="H40" s="602"/>
      <c r="I40" s="602"/>
      <c r="J40" s="602"/>
      <c r="K40" s="602"/>
      <c r="L40" s="603"/>
    </row>
    <row r="41" spans="1:12" ht="12.75">
      <c r="A41" s="718"/>
      <c r="B41" s="35">
        <v>1.5</v>
      </c>
      <c r="C41" s="20">
        <v>-0.0321</v>
      </c>
      <c r="D41" s="20">
        <v>-0.0313</v>
      </c>
      <c r="E41" s="20">
        <v>-0.0253</v>
      </c>
      <c r="F41" s="21">
        <v>-0.0149</v>
      </c>
      <c r="G41" s="601"/>
      <c r="H41" s="602"/>
      <c r="I41" s="602"/>
      <c r="J41" s="602"/>
      <c r="K41" s="602"/>
      <c r="L41" s="603"/>
    </row>
    <row r="42" spans="1:12" ht="12.75">
      <c r="A42" s="718"/>
      <c r="B42" s="35">
        <v>2</v>
      </c>
      <c r="C42" s="20">
        <v>-0.0241</v>
      </c>
      <c r="D42" s="20">
        <v>-0.0236</v>
      </c>
      <c r="E42" s="20">
        <v>-0.0186</v>
      </c>
      <c r="F42" s="21">
        <v>-0.0103</v>
      </c>
      <c r="G42" s="601"/>
      <c r="H42" s="602"/>
      <c r="I42" s="602"/>
      <c r="J42" s="602"/>
      <c r="K42" s="602"/>
      <c r="L42" s="603"/>
    </row>
    <row r="43" spans="1:14" ht="12.75">
      <c r="A43" s="718"/>
      <c r="B43" s="35">
        <v>3</v>
      </c>
      <c r="C43" s="20">
        <v>-0.0162</v>
      </c>
      <c r="D43" s="20">
        <v>-0.0157</v>
      </c>
      <c r="E43" s="20">
        <v>-0.0114</v>
      </c>
      <c r="F43" s="21">
        <v>-0.0052</v>
      </c>
      <c r="G43" s="601"/>
      <c r="H43" s="602"/>
      <c r="I43" s="602"/>
      <c r="J43" s="602"/>
      <c r="K43" s="602"/>
      <c r="L43" s="603"/>
      <c r="M43" s="73"/>
      <c r="N43" s="73"/>
    </row>
    <row r="44" spans="1:12" ht="12.75">
      <c r="A44" s="718"/>
      <c r="B44" s="35">
        <v>4</v>
      </c>
      <c r="C44" s="20">
        <v>-0.012</v>
      </c>
      <c r="D44" s="20">
        <v>-0.0116</v>
      </c>
      <c r="E44" s="20">
        <v>-0.0083</v>
      </c>
      <c r="F44" s="21">
        <v>-0.0029</v>
      </c>
      <c r="G44" s="601"/>
      <c r="H44" s="602"/>
      <c r="I44" s="602"/>
      <c r="J44" s="602"/>
      <c r="K44" s="602"/>
      <c r="L44" s="603"/>
    </row>
    <row r="45" spans="1:12" ht="12.75">
      <c r="A45" s="718"/>
      <c r="B45" s="35">
        <v>6</v>
      </c>
      <c r="C45" s="20">
        <v>-0.0081</v>
      </c>
      <c r="D45" s="20">
        <v>-0.0076</v>
      </c>
      <c r="E45" s="20">
        <v>-0.0047</v>
      </c>
      <c r="F45" s="21">
        <v>0</v>
      </c>
      <c r="G45" s="601"/>
      <c r="H45" s="602"/>
      <c r="I45" s="602"/>
      <c r="J45" s="602"/>
      <c r="K45" s="602"/>
      <c r="L45" s="603"/>
    </row>
    <row r="46" spans="1:12" ht="12.75">
      <c r="A46" s="718"/>
      <c r="B46" s="35">
        <v>8</v>
      </c>
      <c r="C46" s="20">
        <v>-0.0062</v>
      </c>
      <c r="D46" s="20">
        <v>-0.0054</v>
      </c>
      <c r="E46" s="20">
        <v>-0.0029</v>
      </c>
      <c r="F46" s="21">
        <v>0.0015</v>
      </c>
      <c r="G46" s="601"/>
      <c r="H46" s="602"/>
      <c r="I46" s="602"/>
      <c r="J46" s="602"/>
      <c r="K46" s="602"/>
      <c r="L46" s="603"/>
    </row>
    <row r="47" spans="1:12" ht="12.75">
      <c r="A47" s="718"/>
      <c r="B47" s="35">
        <v>10</v>
      </c>
      <c r="C47" s="20">
        <v>-0.005</v>
      </c>
      <c r="D47" s="20">
        <v>-0.0045</v>
      </c>
      <c r="E47" s="20">
        <v>-0.0018</v>
      </c>
      <c r="F47" s="21">
        <v>0.0021</v>
      </c>
      <c r="G47" s="601"/>
      <c r="H47" s="602"/>
      <c r="I47" s="602"/>
      <c r="J47" s="602"/>
      <c r="K47" s="602"/>
      <c r="L47" s="603"/>
    </row>
    <row r="48" spans="1:12" ht="13.5" thickBot="1">
      <c r="A48" s="719"/>
      <c r="B48" s="36">
        <v>12</v>
      </c>
      <c r="C48" s="22">
        <v>-0.0041</v>
      </c>
      <c r="D48" s="22">
        <v>-0.0035</v>
      </c>
      <c r="E48" s="22">
        <v>-0.001</v>
      </c>
      <c r="F48" s="23">
        <v>0.0031</v>
      </c>
      <c r="G48" s="601"/>
      <c r="H48" s="602"/>
      <c r="I48" s="602"/>
      <c r="J48" s="602"/>
      <c r="K48" s="602"/>
      <c r="L48" s="603"/>
    </row>
    <row r="49" spans="1:12" ht="13.5" thickBot="1">
      <c r="A49" s="731" t="s">
        <v>269</v>
      </c>
      <c r="B49" s="810"/>
      <c r="C49" s="810"/>
      <c r="D49" s="810"/>
      <c r="E49" s="810"/>
      <c r="F49" s="811"/>
      <c r="G49" s="601"/>
      <c r="H49" s="602"/>
      <c r="I49" s="602"/>
      <c r="J49" s="602"/>
      <c r="K49" s="602"/>
      <c r="L49" s="603"/>
    </row>
    <row r="50" spans="1:15" ht="13.5" thickBot="1">
      <c r="A50" s="19"/>
      <c r="B50" s="629" t="s">
        <v>263</v>
      </c>
      <c r="C50" s="629"/>
      <c r="D50" s="629"/>
      <c r="E50" s="629"/>
      <c r="F50" s="715"/>
      <c r="G50" s="601"/>
      <c r="H50" s="602"/>
      <c r="I50" s="602"/>
      <c r="J50" s="602"/>
      <c r="K50" s="602"/>
      <c r="L50" s="603"/>
      <c r="M50" s="73"/>
      <c r="N50" s="73"/>
      <c r="O50" s="73"/>
    </row>
    <row r="51" spans="1:12" ht="12.75">
      <c r="A51" s="718" t="s">
        <v>6</v>
      </c>
      <c r="B51" s="34"/>
      <c r="C51" s="30">
        <v>0</v>
      </c>
      <c r="D51" s="30">
        <v>20</v>
      </c>
      <c r="E51" s="30">
        <v>40</v>
      </c>
      <c r="F51" s="31">
        <v>50</v>
      </c>
      <c r="G51" s="601"/>
      <c r="H51" s="602"/>
      <c r="I51" s="602"/>
      <c r="J51" s="602"/>
      <c r="K51" s="602"/>
      <c r="L51" s="603"/>
    </row>
    <row r="52" spans="1:12" ht="12.75">
      <c r="A52" s="718"/>
      <c r="B52" s="35">
        <v>1</v>
      </c>
      <c r="C52" s="20">
        <v>-0.0515</v>
      </c>
      <c r="D52" s="20">
        <v>-0.0504</v>
      </c>
      <c r="E52" s="20">
        <v>-0.0415</v>
      </c>
      <c r="F52" s="21">
        <v>-0.0242</v>
      </c>
      <c r="G52" s="601"/>
      <c r="H52" s="602"/>
      <c r="I52" s="602"/>
      <c r="J52" s="602"/>
      <c r="K52" s="602"/>
      <c r="L52" s="603"/>
    </row>
    <row r="53" spans="1:12" ht="12.75">
      <c r="A53" s="718"/>
      <c r="B53" s="35">
        <v>1.5</v>
      </c>
      <c r="C53" s="20">
        <v>-0.0344</v>
      </c>
      <c r="D53" s="20">
        <v>-0.0335</v>
      </c>
      <c r="E53" s="20">
        <v>-0.0278</v>
      </c>
      <c r="F53" s="21">
        <v>-0.0152</v>
      </c>
      <c r="G53" s="601"/>
      <c r="H53" s="602"/>
      <c r="I53" s="602"/>
      <c r="J53" s="602"/>
      <c r="K53" s="602"/>
      <c r="L53" s="603"/>
    </row>
    <row r="54" spans="1:12" ht="12.75">
      <c r="A54" s="718"/>
      <c r="B54" s="35">
        <v>2</v>
      </c>
      <c r="C54" s="20">
        <v>-0.0262</v>
      </c>
      <c r="D54" s="20">
        <v>-0.0254</v>
      </c>
      <c r="E54" s="20">
        <v>-0.0205</v>
      </c>
      <c r="F54" s="21">
        <v>-0.0108</v>
      </c>
      <c r="G54" s="601"/>
      <c r="H54" s="602"/>
      <c r="I54" s="602"/>
      <c r="J54" s="602"/>
      <c r="K54" s="602"/>
      <c r="L54" s="603"/>
    </row>
    <row r="55" spans="1:12" ht="12.75">
      <c r="A55" s="718"/>
      <c r="B55" s="35">
        <v>3</v>
      </c>
      <c r="C55" s="20">
        <v>-0.0179</v>
      </c>
      <c r="D55" s="20">
        <v>-0.0173</v>
      </c>
      <c r="E55" s="20">
        <v>-0.0134</v>
      </c>
      <c r="F55" s="21">
        <v>-0.0059</v>
      </c>
      <c r="G55" s="601"/>
      <c r="H55" s="602"/>
      <c r="I55" s="602"/>
      <c r="J55" s="602"/>
      <c r="K55" s="602"/>
      <c r="L55" s="603"/>
    </row>
    <row r="56" spans="1:12" ht="12.75">
      <c r="A56" s="718"/>
      <c r="B56" s="35">
        <v>4</v>
      </c>
      <c r="C56" s="20">
        <v>-0.0136</v>
      </c>
      <c r="D56" s="20">
        <v>-0.013</v>
      </c>
      <c r="E56" s="20">
        <v>-0.0095</v>
      </c>
      <c r="F56" s="21">
        <v>-0.0034</v>
      </c>
      <c r="G56" s="601"/>
      <c r="H56" s="602"/>
      <c r="I56" s="602"/>
      <c r="J56" s="602"/>
      <c r="K56" s="602"/>
      <c r="L56" s="603"/>
    </row>
    <row r="57" spans="1:12" ht="12.75">
      <c r="A57" s="718"/>
      <c r="B57" s="35">
        <v>6</v>
      </c>
      <c r="C57" s="20">
        <v>-0.0097</v>
      </c>
      <c r="D57" s="20">
        <v>-0.0087</v>
      </c>
      <c r="E57" s="20">
        <v>-0.0055</v>
      </c>
      <c r="F57" s="21">
        <v>-0.0002</v>
      </c>
      <c r="G57" s="601"/>
      <c r="H57" s="602"/>
      <c r="I57" s="602"/>
      <c r="J57" s="602"/>
      <c r="K57" s="602"/>
      <c r="L57" s="603"/>
    </row>
    <row r="58" spans="1:12" ht="12.75">
      <c r="A58" s="718"/>
      <c r="B58" s="35">
        <v>8</v>
      </c>
      <c r="C58" s="20">
        <v>-0.0075</v>
      </c>
      <c r="D58" s="20">
        <v>-0.0067</v>
      </c>
      <c r="E58" s="20">
        <v>-0.0036</v>
      </c>
      <c r="F58" s="21">
        <v>0.0017</v>
      </c>
      <c r="G58" s="601"/>
      <c r="H58" s="602"/>
      <c r="I58" s="602"/>
      <c r="J58" s="602"/>
      <c r="K58" s="602"/>
      <c r="L58" s="603"/>
    </row>
    <row r="59" spans="1:12" ht="12.75">
      <c r="A59" s="718"/>
      <c r="B59" s="35">
        <v>10</v>
      </c>
      <c r="C59" s="20">
        <v>-0.0063</v>
      </c>
      <c r="D59" s="20">
        <v>-0.0055</v>
      </c>
      <c r="E59" s="20">
        <v>-0.0026</v>
      </c>
      <c r="F59" s="21">
        <v>0.0029</v>
      </c>
      <c r="G59" s="601"/>
      <c r="H59" s="602"/>
      <c r="I59" s="602"/>
      <c r="J59" s="602"/>
      <c r="K59" s="602"/>
      <c r="L59" s="603"/>
    </row>
    <row r="60" spans="1:12" ht="13.5" thickBot="1">
      <c r="A60" s="719"/>
      <c r="B60" s="36">
        <v>12</v>
      </c>
      <c r="C60" s="22">
        <v>-0.0053</v>
      </c>
      <c r="D60" s="22">
        <v>-0.0047</v>
      </c>
      <c r="E60" s="22">
        <v>-0.0016</v>
      </c>
      <c r="F60" s="23">
        <v>0.0039</v>
      </c>
      <c r="G60" s="601"/>
      <c r="H60" s="602"/>
      <c r="I60" s="602"/>
      <c r="J60" s="602"/>
      <c r="K60" s="602"/>
      <c r="L60" s="603"/>
    </row>
    <row r="61" spans="1:12" ht="13.5" thickBot="1">
      <c r="A61" s="720" t="s">
        <v>270</v>
      </c>
      <c r="B61" s="721"/>
      <c r="C61" s="721"/>
      <c r="D61" s="721"/>
      <c r="E61" s="721"/>
      <c r="F61" s="722"/>
      <c r="G61" s="601"/>
      <c r="H61" s="602"/>
      <c r="I61" s="602"/>
      <c r="J61" s="602"/>
      <c r="K61" s="602"/>
      <c r="L61" s="603"/>
    </row>
    <row r="62" spans="1:12" ht="13.5" thickBot="1">
      <c r="A62" s="19"/>
      <c r="B62" s="629" t="s">
        <v>263</v>
      </c>
      <c r="C62" s="629"/>
      <c r="D62" s="629"/>
      <c r="E62" s="629"/>
      <c r="F62" s="715"/>
      <c r="G62" s="601"/>
      <c r="H62" s="602"/>
      <c r="I62" s="602"/>
      <c r="J62" s="602"/>
      <c r="K62" s="602"/>
      <c r="L62" s="603"/>
    </row>
    <row r="63" spans="1:12" ht="12.75">
      <c r="A63" s="718" t="s">
        <v>6</v>
      </c>
      <c r="B63" s="34"/>
      <c r="C63" s="30">
        <v>0</v>
      </c>
      <c r="D63" s="30">
        <v>20</v>
      </c>
      <c r="E63" s="30">
        <v>40</v>
      </c>
      <c r="F63" s="31">
        <v>50</v>
      </c>
      <c r="G63" s="601"/>
      <c r="H63" s="602"/>
      <c r="I63" s="602"/>
      <c r="J63" s="602"/>
      <c r="K63" s="602"/>
      <c r="L63" s="603"/>
    </row>
    <row r="64" spans="1:12" ht="12.75">
      <c r="A64" s="718"/>
      <c r="B64" s="35">
        <v>1</v>
      </c>
      <c r="C64" s="20">
        <v>-0.0584</v>
      </c>
      <c r="D64" s="20">
        <v>-0.0574</v>
      </c>
      <c r="E64" s="20">
        <v>-0.0478</v>
      </c>
      <c r="F64" s="21">
        <v>-0.0275</v>
      </c>
      <c r="G64" s="601"/>
      <c r="H64" s="602"/>
      <c r="I64" s="602"/>
      <c r="J64" s="602"/>
      <c r="K64" s="602"/>
      <c r="L64" s="603"/>
    </row>
    <row r="65" spans="1:12" ht="12.75">
      <c r="A65" s="718"/>
      <c r="B65" s="35">
        <v>1.5</v>
      </c>
      <c r="C65" s="20">
        <v>-0.0397</v>
      </c>
      <c r="D65" s="20">
        <v>-0.0383</v>
      </c>
      <c r="E65" s="20">
        <v>-0.0316</v>
      </c>
      <c r="F65" s="21">
        <v>-0.018</v>
      </c>
      <c r="G65" s="601"/>
      <c r="H65" s="602"/>
      <c r="I65" s="602"/>
      <c r="J65" s="602"/>
      <c r="K65" s="602"/>
      <c r="L65" s="603"/>
    </row>
    <row r="66" spans="1:12" ht="12.75">
      <c r="A66" s="718"/>
      <c r="B66" s="35">
        <v>2</v>
      </c>
      <c r="C66" s="20">
        <v>-0.0304</v>
      </c>
      <c r="D66" s="20">
        <v>-0.0294</v>
      </c>
      <c r="E66" s="20">
        <v>-0.0237</v>
      </c>
      <c r="F66" s="21">
        <v>-0.0129</v>
      </c>
      <c r="G66" s="601"/>
      <c r="H66" s="602"/>
      <c r="I66" s="602"/>
      <c r="J66" s="602"/>
      <c r="K66" s="602"/>
      <c r="L66" s="603"/>
    </row>
    <row r="67" spans="1:12" ht="12.75">
      <c r="A67" s="718"/>
      <c r="B67" s="35">
        <v>3</v>
      </c>
      <c r="C67" s="20">
        <v>-0.0212</v>
      </c>
      <c r="D67" s="20">
        <v>-0.0202</v>
      </c>
      <c r="E67" s="20">
        <v>-0.0156</v>
      </c>
      <c r="F67" s="21">
        <v>-0.007</v>
      </c>
      <c r="G67" s="601"/>
      <c r="H67" s="602"/>
      <c r="I67" s="602"/>
      <c r="J67" s="602"/>
      <c r="K67" s="602"/>
      <c r="L67" s="603"/>
    </row>
    <row r="68" spans="1:12" ht="12.75">
      <c r="A68" s="718"/>
      <c r="B68" s="35">
        <v>4</v>
      </c>
      <c r="C68" s="20">
        <v>-0.0162</v>
      </c>
      <c r="D68" s="20">
        <v>-0.0158</v>
      </c>
      <c r="E68" s="20">
        <v>-0.0113</v>
      </c>
      <c r="F68" s="21">
        <v>-0.0038</v>
      </c>
      <c r="G68" s="601"/>
      <c r="H68" s="602"/>
      <c r="I68" s="602"/>
      <c r="J68" s="602"/>
      <c r="K68" s="602"/>
      <c r="L68" s="603"/>
    </row>
    <row r="69" spans="1:12" ht="12.75">
      <c r="A69" s="718"/>
      <c r="B69" s="35">
        <v>6</v>
      </c>
      <c r="C69" s="20">
        <v>-0.0117</v>
      </c>
      <c r="D69" s="20">
        <v>-0.0109</v>
      </c>
      <c r="E69" s="20">
        <v>-0.007</v>
      </c>
      <c r="F69" s="21">
        <v>-0.0003</v>
      </c>
      <c r="G69" s="601"/>
      <c r="H69" s="602"/>
      <c r="I69" s="602"/>
      <c r="J69" s="602"/>
      <c r="K69" s="602"/>
      <c r="L69" s="603"/>
    </row>
    <row r="70" spans="1:12" ht="12.75">
      <c r="A70" s="718"/>
      <c r="B70" s="35">
        <v>8</v>
      </c>
      <c r="C70" s="20">
        <v>-0.0095</v>
      </c>
      <c r="D70" s="20">
        <v>-0.0085</v>
      </c>
      <c r="E70" s="20">
        <v>-0.0048</v>
      </c>
      <c r="F70" s="21">
        <v>0.0021</v>
      </c>
      <c r="G70" s="601"/>
      <c r="H70" s="602"/>
      <c r="I70" s="602"/>
      <c r="J70" s="602"/>
      <c r="K70" s="602"/>
      <c r="L70" s="603"/>
    </row>
    <row r="71" spans="1:12" ht="12.75">
      <c r="A71" s="718"/>
      <c r="B71" s="35">
        <v>10</v>
      </c>
      <c r="C71" s="20">
        <v>-0.0083</v>
      </c>
      <c r="D71" s="20">
        <v>-0.0072</v>
      </c>
      <c r="E71" s="20">
        <v>-0.0032</v>
      </c>
      <c r="F71" s="21">
        <v>0.0039</v>
      </c>
      <c r="G71" s="601"/>
      <c r="H71" s="602"/>
      <c r="I71" s="602"/>
      <c r="J71" s="602"/>
      <c r="K71" s="602"/>
      <c r="L71" s="603"/>
    </row>
    <row r="72" spans="1:12" ht="13.5" thickBot="1">
      <c r="A72" s="719"/>
      <c r="B72" s="36">
        <v>12</v>
      </c>
      <c r="C72" s="22">
        <v>-0.007</v>
      </c>
      <c r="D72" s="22">
        <v>-0.0064</v>
      </c>
      <c r="E72" s="22">
        <v>-0.002</v>
      </c>
      <c r="F72" s="23">
        <v>0.0049</v>
      </c>
      <c r="G72" s="601"/>
      <c r="H72" s="602"/>
      <c r="I72" s="602"/>
      <c r="J72" s="602"/>
      <c r="K72" s="602"/>
      <c r="L72" s="603"/>
    </row>
    <row r="73" spans="1:12" ht="13.5" thickBot="1">
      <c r="A73" s="566" t="s">
        <v>273</v>
      </c>
      <c r="B73" s="716"/>
      <c r="C73" s="567"/>
      <c r="D73" s="601"/>
      <c r="E73" s="602"/>
      <c r="F73" s="602"/>
      <c r="G73" s="602"/>
      <c r="H73" s="602"/>
      <c r="I73" s="602"/>
      <c r="J73" s="602"/>
      <c r="K73" s="602"/>
      <c r="L73" s="603"/>
    </row>
    <row r="74" spans="1:12" ht="13.5" thickBot="1">
      <c r="A74" s="737" t="s">
        <v>45</v>
      </c>
      <c r="B74" s="32"/>
      <c r="C74" s="16" t="s">
        <v>274</v>
      </c>
      <c r="D74" s="601"/>
      <c r="E74" s="602"/>
      <c r="F74" s="602"/>
      <c r="G74" s="602"/>
      <c r="H74" s="602"/>
      <c r="I74" s="602"/>
      <c r="J74" s="602"/>
      <c r="K74" s="602"/>
      <c r="L74" s="603"/>
    </row>
    <row r="75" spans="1:12" ht="12.75" customHeight="1">
      <c r="A75" s="718"/>
      <c r="B75" s="91">
        <v>-1E-05</v>
      </c>
      <c r="C75" s="21" t="e">
        <f>DITP('Coeficientes Latero-Direcionais'!$C$6,'Coeficientes Latero-Direcionais'!$C$5,'ESDU 71017'!B27:F36)</f>
        <v>#NAME?</v>
      </c>
      <c r="D75" s="601"/>
      <c r="E75" s="602"/>
      <c r="F75" s="602"/>
      <c r="G75" s="602"/>
      <c r="H75" s="602"/>
      <c r="I75" s="602"/>
      <c r="J75" s="602"/>
      <c r="K75" s="602"/>
      <c r="L75" s="603"/>
    </row>
    <row r="76" spans="1:12" ht="12.75">
      <c r="A76" s="718"/>
      <c r="B76" s="92">
        <v>0.25</v>
      </c>
      <c r="C76" s="21" t="e">
        <f>DITP('Coeficientes Latero-Direcionais'!$C$6,'Coeficientes Latero-Direcionais'!$C$5,'ESDU 71017'!B39:F48)</f>
        <v>#NAME?</v>
      </c>
      <c r="D76" s="601"/>
      <c r="E76" s="602"/>
      <c r="F76" s="602"/>
      <c r="G76" s="602"/>
      <c r="H76" s="602"/>
      <c r="I76" s="602"/>
      <c r="J76" s="602"/>
      <c r="K76" s="602"/>
      <c r="L76" s="603"/>
    </row>
    <row r="77" spans="1:12" ht="12.75">
      <c r="A77" s="718"/>
      <c r="B77" s="92">
        <v>0.5</v>
      </c>
      <c r="C77" s="21" t="e">
        <f>DITP('Coeficientes Latero-Direcionais'!$C$6,'Coeficientes Latero-Direcionais'!$C$5,'ESDU 71017'!B51:F60)</f>
        <v>#NAME?</v>
      </c>
      <c r="D77" s="601"/>
      <c r="E77" s="602"/>
      <c r="F77" s="602"/>
      <c r="G77" s="602"/>
      <c r="H77" s="602"/>
      <c r="I77" s="602"/>
      <c r="J77" s="602"/>
      <c r="K77" s="602"/>
      <c r="L77" s="603"/>
    </row>
    <row r="78" spans="1:12" ht="13.5" thickBot="1">
      <c r="A78" s="719"/>
      <c r="B78" s="93">
        <v>1.000001</v>
      </c>
      <c r="C78" s="21" t="e">
        <f>DITP('Coeficientes Latero-Direcionais'!$C$6,'Coeficientes Latero-Direcionais'!$C$5,'ESDU 71017'!B63:F72)</f>
        <v>#NAME?</v>
      </c>
      <c r="D78" s="601"/>
      <c r="E78" s="602"/>
      <c r="F78" s="602"/>
      <c r="G78" s="602"/>
      <c r="H78" s="602"/>
      <c r="I78" s="602"/>
      <c r="J78" s="602"/>
      <c r="K78" s="602"/>
      <c r="L78" s="603"/>
    </row>
    <row r="79" spans="1:12" ht="13.5" thickBot="1">
      <c r="A79" s="720" t="s">
        <v>271</v>
      </c>
      <c r="B79" s="721"/>
      <c r="C79" s="721"/>
      <c r="D79" s="721"/>
      <c r="E79" s="721"/>
      <c r="F79" s="721"/>
      <c r="G79" s="722"/>
      <c r="H79" s="601"/>
      <c r="I79" s="602"/>
      <c r="J79" s="602"/>
      <c r="K79" s="602"/>
      <c r="L79" s="603"/>
    </row>
    <row r="80" spans="1:12" ht="13.5" thickBot="1">
      <c r="A80" s="19"/>
      <c r="B80" s="629" t="s">
        <v>45</v>
      </c>
      <c r="C80" s="629"/>
      <c r="D80" s="629"/>
      <c r="E80" s="629"/>
      <c r="F80" s="629"/>
      <c r="G80" s="715"/>
      <c r="H80" s="601"/>
      <c r="I80" s="602"/>
      <c r="J80" s="602"/>
      <c r="K80" s="602"/>
      <c r="L80" s="603"/>
    </row>
    <row r="81" spans="1:12" ht="12.75">
      <c r="A81" s="718" t="s">
        <v>272</v>
      </c>
      <c r="B81" s="34"/>
      <c r="C81" s="30">
        <v>0</v>
      </c>
      <c r="D81" s="30">
        <v>0.25</v>
      </c>
      <c r="E81" s="30">
        <v>0.5</v>
      </c>
      <c r="F81" s="30">
        <v>0.75</v>
      </c>
      <c r="G81" s="31">
        <v>1</v>
      </c>
      <c r="H81" s="601"/>
      <c r="I81" s="602"/>
      <c r="J81" s="602"/>
      <c r="K81" s="602"/>
      <c r="L81" s="603"/>
    </row>
    <row r="82" spans="1:12" ht="12.75">
      <c r="A82" s="718"/>
      <c r="B82" s="35">
        <v>0</v>
      </c>
      <c r="C82" s="20">
        <v>0.0027</v>
      </c>
      <c r="D82" s="20">
        <v>0.0027</v>
      </c>
      <c r="E82" s="20">
        <v>0.0027</v>
      </c>
      <c r="F82" s="20">
        <v>0.0027</v>
      </c>
      <c r="G82" s="21">
        <v>0.0027</v>
      </c>
      <c r="H82" s="601"/>
      <c r="I82" s="602"/>
      <c r="J82" s="602"/>
      <c r="K82" s="602"/>
      <c r="L82" s="603"/>
    </row>
    <row r="83" spans="1:12" ht="12.75">
      <c r="A83" s="718"/>
      <c r="B83" s="35">
        <v>0.2</v>
      </c>
      <c r="C83" s="20">
        <v>0.0325</v>
      </c>
      <c r="D83" s="20">
        <v>0.019</v>
      </c>
      <c r="E83" s="20">
        <v>0.0135</v>
      </c>
      <c r="F83" s="20">
        <v>0.0108</v>
      </c>
      <c r="G83" s="21">
        <v>0.0081</v>
      </c>
      <c r="H83" s="601"/>
      <c r="I83" s="602"/>
      <c r="J83" s="602"/>
      <c r="K83" s="602"/>
      <c r="L83" s="603"/>
    </row>
    <row r="84" spans="1:12" ht="12.75">
      <c r="A84" s="718"/>
      <c r="B84" s="35">
        <v>0.4</v>
      </c>
      <c r="C84" s="20">
        <v>0.1815</v>
      </c>
      <c r="D84" s="20">
        <v>0.1165</v>
      </c>
      <c r="E84" s="20">
        <v>0.0867</v>
      </c>
      <c r="F84" s="20">
        <v>0.0786</v>
      </c>
      <c r="G84" s="21">
        <v>0.0677</v>
      </c>
      <c r="H84" s="601"/>
      <c r="I84" s="602"/>
      <c r="J84" s="602"/>
      <c r="K84" s="602"/>
      <c r="L84" s="603"/>
    </row>
    <row r="85" spans="1:12" ht="12.75">
      <c r="A85" s="718"/>
      <c r="B85" s="35">
        <v>0.5</v>
      </c>
      <c r="C85" s="20">
        <v>0.3224</v>
      </c>
      <c r="D85" s="20">
        <v>0.2059</v>
      </c>
      <c r="E85" s="20">
        <v>0.1653</v>
      </c>
      <c r="F85" s="20">
        <v>0.1436</v>
      </c>
      <c r="G85" s="21">
        <v>0.13</v>
      </c>
      <c r="H85" s="601"/>
      <c r="I85" s="602"/>
      <c r="J85" s="602"/>
      <c r="K85" s="602"/>
      <c r="L85" s="603"/>
    </row>
    <row r="86" spans="1:12" ht="12.75">
      <c r="A86" s="718"/>
      <c r="B86" s="35">
        <v>0.6</v>
      </c>
      <c r="C86" s="20">
        <v>0.4823</v>
      </c>
      <c r="D86" s="20">
        <v>0.3305</v>
      </c>
      <c r="E86" s="20">
        <v>0.2709</v>
      </c>
      <c r="F86" s="20">
        <v>0.2384</v>
      </c>
      <c r="G86" s="21">
        <v>0.2195</v>
      </c>
      <c r="H86" s="601"/>
      <c r="I86" s="602"/>
      <c r="J86" s="602"/>
      <c r="K86" s="602"/>
      <c r="L86" s="603"/>
    </row>
    <row r="87" spans="1:12" ht="12.75">
      <c r="A87" s="718"/>
      <c r="B87" s="35">
        <v>0.7</v>
      </c>
      <c r="C87" s="20">
        <v>0.6475</v>
      </c>
      <c r="D87" s="20">
        <v>0.4768</v>
      </c>
      <c r="E87" s="20">
        <v>0.4064</v>
      </c>
      <c r="F87" s="20">
        <v>0.3685</v>
      </c>
      <c r="G87" s="21">
        <v>0.3441</v>
      </c>
      <c r="H87" s="601"/>
      <c r="I87" s="602"/>
      <c r="J87" s="602"/>
      <c r="K87" s="602"/>
      <c r="L87" s="603"/>
    </row>
    <row r="88" spans="1:12" ht="12.75">
      <c r="A88" s="718"/>
      <c r="B88" s="35">
        <v>0.8</v>
      </c>
      <c r="C88" s="20">
        <v>0.8209</v>
      </c>
      <c r="D88" s="20">
        <v>0.6475</v>
      </c>
      <c r="E88" s="20">
        <v>0.5771</v>
      </c>
      <c r="F88" s="20">
        <v>0.5365</v>
      </c>
      <c r="G88" s="21">
        <v>0.5175</v>
      </c>
      <c r="H88" s="601"/>
      <c r="I88" s="602"/>
      <c r="J88" s="602"/>
      <c r="K88" s="602"/>
      <c r="L88" s="603"/>
    </row>
    <row r="89" spans="1:12" ht="12.75">
      <c r="A89" s="718"/>
      <c r="B89" s="35">
        <v>0.9</v>
      </c>
      <c r="C89" s="20">
        <v>0.9483</v>
      </c>
      <c r="D89" s="20">
        <v>0.8236</v>
      </c>
      <c r="E89" s="20">
        <v>0.7722</v>
      </c>
      <c r="F89" s="20">
        <v>0.7478</v>
      </c>
      <c r="G89" s="21">
        <v>0.7315</v>
      </c>
      <c r="H89" s="601"/>
      <c r="I89" s="602"/>
      <c r="J89" s="602"/>
      <c r="K89" s="602"/>
      <c r="L89" s="603"/>
    </row>
    <row r="90" spans="1:12" ht="13.5" thickBot="1">
      <c r="A90" s="719"/>
      <c r="B90" s="36">
        <v>1</v>
      </c>
      <c r="C90" s="22">
        <v>1</v>
      </c>
      <c r="D90" s="22">
        <v>1</v>
      </c>
      <c r="E90" s="22">
        <v>1</v>
      </c>
      <c r="F90" s="22">
        <v>1</v>
      </c>
      <c r="G90" s="23">
        <v>1</v>
      </c>
      <c r="H90" s="604"/>
      <c r="I90" s="605"/>
      <c r="J90" s="605"/>
      <c r="K90" s="605"/>
      <c r="L90" s="606"/>
    </row>
  </sheetData>
  <sheetProtection/>
  <mergeCells count="28">
    <mergeCell ref="A51:A60"/>
    <mergeCell ref="A49:F49"/>
    <mergeCell ref="A63:A72"/>
    <mergeCell ref="A81:A90"/>
    <mergeCell ref="A79:G79"/>
    <mergeCell ref="A73:C73"/>
    <mergeCell ref="A74:A78"/>
    <mergeCell ref="G25:L72"/>
    <mergeCell ref="D73:L78"/>
    <mergeCell ref="H79:L90"/>
    <mergeCell ref="B50:F50"/>
    <mergeCell ref="B80:G80"/>
    <mergeCell ref="G2:L11"/>
    <mergeCell ref="D12:L24"/>
    <mergeCell ref="B3:F3"/>
    <mergeCell ref="B26:F26"/>
    <mergeCell ref="A61:F61"/>
    <mergeCell ref="B62:F62"/>
    <mergeCell ref="A37:F37"/>
    <mergeCell ref="B38:F38"/>
    <mergeCell ref="A39:A48"/>
    <mergeCell ref="A27:A36"/>
    <mergeCell ref="A25:F25"/>
    <mergeCell ref="A4:A11"/>
    <mergeCell ref="A2:F2"/>
    <mergeCell ref="A1:L1"/>
    <mergeCell ref="A14:A24"/>
    <mergeCell ref="A12:C1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B2:Q65"/>
  <sheetViews>
    <sheetView tabSelected="1" zoomScale="85" zoomScaleNormal="85" zoomScalePageLayoutView="0" workbookViewId="0" topLeftCell="E1">
      <selection activeCell="M20" sqref="M20"/>
    </sheetView>
  </sheetViews>
  <sheetFormatPr defaultColWidth="9.140625" defaultRowHeight="12.75"/>
  <cols>
    <col min="1" max="1" width="2.00390625" style="18" bestFit="1" customWidth="1"/>
    <col min="2" max="2" width="15.57421875" style="18" bestFit="1" customWidth="1"/>
    <col min="3" max="3" width="10.28125" style="18" customWidth="1"/>
    <col min="4" max="4" width="15.28125" style="18" customWidth="1"/>
    <col min="5" max="5" width="9.140625" style="18" customWidth="1"/>
    <col min="6" max="6" width="15.00390625" style="18" customWidth="1"/>
    <col min="7" max="7" width="10.421875" style="20" customWidth="1"/>
    <col min="8" max="8" width="15.421875" style="18" customWidth="1"/>
    <col min="9" max="9" width="9.57421875" style="18" customWidth="1"/>
    <col min="10" max="10" width="15.421875" style="18" customWidth="1"/>
    <col min="11" max="11" width="8.140625" style="18" customWidth="1"/>
    <col min="12" max="12" width="12.7109375" style="18" bestFit="1" customWidth="1"/>
    <col min="13" max="13" width="11.00390625" style="33" customWidth="1"/>
    <col min="14" max="14" width="11.8515625" style="18" customWidth="1"/>
    <col min="15" max="15" width="10.140625" style="18" customWidth="1"/>
    <col min="16" max="16" width="15.140625" style="20" customWidth="1"/>
    <col min="17" max="17" width="15.140625" style="18" customWidth="1"/>
    <col min="18" max="16384" width="9.140625" style="18" customWidth="1"/>
  </cols>
  <sheetData>
    <row r="1" ht="13.5" thickBot="1"/>
    <row r="2" spans="2:17" ht="13.5" thickBot="1">
      <c r="B2" s="632" t="s">
        <v>450</v>
      </c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4"/>
    </row>
    <row r="3" spans="2:17" ht="13.5" thickBot="1">
      <c r="B3" s="630" t="s">
        <v>150</v>
      </c>
      <c r="C3" s="631"/>
      <c r="D3" s="640" t="s">
        <v>111</v>
      </c>
      <c r="E3" s="641"/>
      <c r="F3" s="638" t="s">
        <v>654</v>
      </c>
      <c r="G3" s="639"/>
      <c r="H3" s="637" t="s">
        <v>171</v>
      </c>
      <c r="I3" s="636"/>
      <c r="J3" s="630" t="s">
        <v>135</v>
      </c>
      <c r="K3" s="631"/>
      <c r="L3" s="635" t="s">
        <v>149</v>
      </c>
      <c r="M3" s="636"/>
      <c r="N3" s="642" t="s">
        <v>460</v>
      </c>
      <c r="O3" s="631"/>
      <c r="P3" s="630" t="s">
        <v>974</v>
      </c>
      <c r="Q3" s="631"/>
    </row>
    <row r="4" spans="2:17" ht="12.75">
      <c r="B4" s="647" t="s">
        <v>152</v>
      </c>
      <c r="C4" s="648"/>
      <c r="D4" s="155"/>
      <c r="E4" s="324"/>
      <c r="F4" s="38" t="s">
        <v>664</v>
      </c>
      <c r="G4" s="149">
        <v>2</v>
      </c>
      <c r="H4" s="157"/>
      <c r="I4" s="141"/>
      <c r="J4" s="155"/>
      <c r="K4" s="149"/>
      <c r="L4" s="38"/>
      <c r="M4" s="149"/>
      <c r="N4" s="20"/>
      <c r="O4" s="149"/>
      <c r="P4" s="25"/>
      <c r="Q4" s="150"/>
    </row>
    <row r="5" spans="2:17" ht="12.75">
      <c r="B5" s="25" t="s">
        <v>107</v>
      </c>
      <c r="C5" s="169">
        <f>'Dados Geométricos'!E13^2/'Dados Geométricos'!E12</f>
        <v>8.107388362652232</v>
      </c>
      <c r="D5" s="25" t="s">
        <v>112</v>
      </c>
      <c r="E5" s="135">
        <f>Principal!$V$12/'Dados Geométricos'!$E$18</f>
        <v>2.204724409448819</v>
      </c>
      <c r="F5" s="25" t="s">
        <v>727</v>
      </c>
      <c r="G5" s="165">
        <f>'Dados Geométricos'!L65-'Coeficientes Longitudinais'!C11</f>
        <v>2.991872091187325</v>
      </c>
      <c r="H5" s="20" t="s">
        <v>164</v>
      </c>
      <c r="I5" s="140" t="e">
        <f>'Coeficientes Longitudinais'!C36/COS(-'Coeficientes Longitudinais'!M29*PI()/180)</f>
        <v>#NAME?</v>
      </c>
      <c r="J5" s="25" t="s">
        <v>140</v>
      </c>
      <c r="K5" s="165">
        <f>'Dados Geométricos'!$E$21+'Dados Geométricos'!$E$34-'Dados Geométricos'!$E$35</f>
        <v>-0.8900000000000001</v>
      </c>
      <c r="L5" s="25" t="s">
        <v>40</v>
      </c>
      <c r="M5" s="165" t="e">
        <f>(1+2.15*'Dados Geométricos'!E59/'Dados Geométricos'!E13)*C17/'Dados Geométricos'!E12+PI()*'Dados Geométricos'!E59^2/(2*'Coeficientes Longitudinais'!C23*'Dados Geométricos'!E12)</f>
        <v>#NAME?</v>
      </c>
      <c r="N5" s="20" t="s">
        <v>452</v>
      </c>
      <c r="O5" s="165">
        <f>('Dados Geométricos'!E32*'Dados Geométricos'!E17+'Dados Geométricos'!E33*'Dados Geométricos'!E16*'Dados Geométricos'!E17)/('Dados Geométricos'!E17*(1+'Dados Geométricos'!E16))</f>
        <v>-0.07117349768875192</v>
      </c>
      <c r="P5" s="25" t="s">
        <v>68</v>
      </c>
      <c r="Q5" s="165">
        <f>(1-(Principal!$D$5*COS('Dados Geométricos'!$E$15/57.3))^2)^0.5</f>
        <v>0.9629604681442371</v>
      </c>
    </row>
    <row r="6" spans="2:17" ht="12.75">
      <c r="B6" s="25" t="s">
        <v>444</v>
      </c>
      <c r="C6" s="165">
        <f>'Dados Geométricos'!E16*'Dados Geométricos'!E17</f>
        <v>1.074886</v>
      </c>
      <c r="D6" s="159" t="s">
        <v>113</v>
      </c>
      <c r="E6" s="135">
        <f>(Principal!$V$10-Principal!$V$12-'Dados Geométricos'!$E$18)/'Dados Geométricos'!$E$18</f>
        <v>2.1559660811629313</v>
      </c>
      <c r="F6" s="25" t="s">
        <v>163</v>
      </c>
      <c r="G6" s="140">
        <f>('Dados Geométricos'!L60-(Principal!V9+'Dados Geométricos'!E17/4))</f>
        <v>4.40725</v>
      </c>
      <c r="H6" s="524" t="s">
        <v>165</v>
      </c>
      <c r="I6" s="523" t="e">
        <f>(I5*SIN(-M29*PI()/180)+Principal!V17+'Dados Geométricos'!L86-'Dados Geométricos'!E24)/COS(-'Coeficientes Longitudinais'!M29*PI()/180)</f>
        <v>#NAME?</v>
      </c>
      <c r="J6" s="159" t="s">
        <v>136</v>
      </c>
      <c r="K6" s="165">
        <f>'Dados Geométricos'!E34</f>
        <v>-2.89</v>
      </c>
      <c r="L6" s="269" t="s">
        <v>123</v>
      </c>
      <c r="M6" s="260" t="e">
        <f>M5*C23</f>
        <v>#NAME?</v>
      </c>
      <c r="N6" s="20" t="s">
        <v>86</v>
      </c>
      <c r="O6" s="165" t="e">
        <f>Interp1D(-'Coeficientes Longitudinais'!O5,'ESDU 87001'!B4:B16,'ESDU 87001'!C4:C16)</f>
        <v>#NAME?</v>
      </c>
      <c r="P6" s="25" t="s">
        <v>765</v>
      </c>
      <c r="Q6" s="165">
        <f>(0.25-Principal!$D$7)</f>
        <v>0</v>
      </c>
    </row>
    <row r="7" spans="2:17" ht="12.75">
      <c r="B7" s="159" t="s">
        <v>108</v>
      </c>
      <c r="C7" s="165">
        <f>C5*(1-Principal!D5^2)^0.5</f>
        <v>7.733955580245508</v>
      </c>
      <c r="D7" s="25" t="s">
        <v>86</v>
      </c>
      <c r="E7" s="135" t="e">
        <f>DITP(E5,'Coeficientes Longitudinais'!E6,'ESDU 76015'!B4:K9)</f>
        <v>#NAME?</v>
      </c>
      <c r="F7" s="25" t="s">
        <v>160</v>
      </c>
      <c r="G7" s="140">
        <f>'Coeficientes Longitudinais'!G6/'Dados Geométricos'!E13*2</f>
        <v>0.4648997890295359</v>
      </c>
      <c r="H7" s="20" t="s">
        <v>168</v>
      </c>
      <c r="I7" s="140" t="e">
        <f>(I5*SIN(-M29*PI()/180)+'Dados Geométricos'!E71)/COS(-'Coeficientes Longitudinais'!M29*PI()/180)</f>
        <v>#NAME?</v>
      </c>
      <c r="J7" s="25" t="s">
        <v>137</v>
      </c>
      <c r="K7" s="165">
        <f>$C$5*TAN('Dados Geométricos'!$E$15*PI()/180)</f>
        <v>3.954237512625114</v>
      </c>
      <c r="L7" s="159"/>
      <c r="M7" s="165"/>
      <c r="N7" s="20" t="s">
        <v>455</v>
      </c>
      <c r="O7" s="165" t="e">
        <f>2*'Coeficientes Longitudinais'!C5/(2*'Coeficientes Longitudinais'!C5+1)*COS('Coeficientes Longitudinais'!C8*PI()/180)*O6*'Coeficientes Longitudinais'!O5</f>
        <v>#NAME?</v>
      </c>
      <c r="P7" s="25" t="s">
        <v>972</v>
      </c>
      <c r="Q7" s="165" t="e">
        <f>(0.5-2*$Q$6)*$C$13</f>
        <v>#NAME?</v>
      </c>
    </row>
    <row r="8" spans="2:17" ht="12.75">
      <c r="B8" s="25" t="s">
        <v>110</v>
      </c>
      <c r="C8" s="165">
        <f>180/PI()*ATAN(TAN('Dados Geométricos'!$E$15*PI()/180)-(1-'Dados Geométricos'!E16)/(1+'Dados Geométricos'!E16)/('Dados Geométricos'!E13^2/'Dados Geométricos'!E12))</f>
        <v>22.832263043376795</v>
      </c>
      <c r="D8" s="159"/>
      <c r="E8" s="135"/>
      <c r="F8" s="268" t="s">
        <v>193</v>
      </c>
      <c r="G8" s="260" t="e">
        <f>2*Interp1D(TAN('Dados Geométricos'!E15*PI()/180),'ESDU 78013'!B4:B8,'ESDU 78013'!C4:C8)*C13/PI()/C5</f>
        <v>#NAME?</v>
      </c>
      <c r="H8" s="20"/>
      <c r="I8" s="140"/>
      <c r="J8" s="159"/>
      <c r="K8" s="163"/>
      <c r="L8" s="25" t="s">
        <v>41</v>
      </c>
      <c r="M8" s="165">
        <f>(1+0.7*'Dados Geométricos'!$E$59/'Dados Geométricos'!$E$13)*'Coeficientes Longitudinais'!$C$17/'Dados Geométricos'!$E$12</f>
        <v>0.8925568205426422</v>
      </c>
      <c r="N8" s="20" t="s">
        <v>456</v>
      </c>
      <c r="O8" s="165" t="e">
        <f>(2*'Coeficientes Longitudinais'!C5+1)/(2*(1-Principal!D5^2)^0.5*'Coeficientes Longitudinais'!C5+1)*O7</f>
        <v>#NAME?</v>
      </c>
      <c r="P8" s="25"/>
      <c r="Q8" s="150"/>
    </row>
    <row r="9" spans="2:17" ht="12.75">
      <c r="B9" s="25" t="s">
        <v>122</v>
      </c>
      <c r="C9" s="165">
        <f>TAN(C8*PI()/180)</f>
        <v>0.4210240475271662</v>
      </c>
      <c r="D9" s="25" t="s">
        <v>114</v>
      </c>
      <c r="E9" s="135">
        <f>(1-Principal!$D$5^2)^0.5*'Dados Geométricos'!$E$59/'Dados Geométricos'!$E$18</f>
        <v>0.6586860627591266</v>
      </c>
      <c r="F9" s="25" t="s">
        <v>534</v>
      </c>
      <c r="G9" s="165" t="e">
        <f>2+'Coeficientes de Flapes e Slats'!$G$22</f>
        <v>#NAME?</v>
      </c>
      <c r="H9" s="20" t="s">
        <v>166</v>
      </c>
      <c r="I9" s="140" t="e">
        <f>2*I5/'Dados Geométricos'!E13</f>
        <v>#NAME?</v>
      </c>
      <c r="J9" s="147"/>
      <c r="K9" s="163"/>
      <c r="L9" s="25" t="s">
        <v>147</v>
      </c>
      <c r="M9" s="165" t="e">
        <f>M8/M5</f>
        <v>#NAME?</v>
      </c>
      <c r="O9" s="364"/>
      <c r="P9" s="268" t="s">
        <v>973</v>
      </c>
      <c r="Q9" s="260" t="e">
        <f>('Coeficientes Longitudinais'!$C$5+2*COS('Dados Geométricos'!$E$15/57.3))/('Coeficientes Longitudinais'!$C$5*$Q$5+2*COS('Dados Geométricos'!$E$15/57.3))*Q7</f>
        <v>#NAME?</v>
      </c>
    </row>
    <row r="10" spans="2:17" ht="12.75">
      <c r="B10" s="159" t="s">
        <v>109</v>
      </c>
      <c r="C10" s="165">
        <f>C5*C9</f>
        <v>3.4134054633184876</v>
      </c>
      <c r="D10" s="159" t="s">
        <v>115</v>
      </c>
      <c r="E10" s="135" t="e">
        <f>Interp1D($E$9,'ESDU 76015'!$B$12:$B$19,'ESDU 76015'!$C$12:$C$19)</f>
        <v>#NAME?</v>
      </c>
      <c r="F10" s="147"/>
      <c r="G10" s="150"/>
      <c r="H10" s="20" t="s">
        <v>167</v>
      </c>
      <c r="I10" s="140">
        <f>Principal!V6/'Dados Geométricos'!E13</f>
        <v>0.3671940928270042</v>
      </c>
      <c r="J10" s="25" t="s">
        <v>141</v>
      </c>
      <c r="K10" s="140" t="e">
        <f>Interp1D('Dados Geométricos'!$E$16,'ESDU 87031'!$B$32:$B$35,'ESDU 87031'!$C$32:$C$35)</f>
        <v>#NAME?</v>
      </c>
      <c r="L10" s="25" t="s">
        <v>148</v>
      </c>
      <c r="M10" s="165" t="e">
        <f>(1-M9)*('Dados Geométricos'!E20-'Coeficientes Longitudinais'!K6)</f>
        <v>#NAME?</v>
      </c>
      <c r="N10" s="20" t="s">
        <v>457</v>
      </c>
      <c r="O10" s="165">
        <f>-0.019/8*(1+'Dados Geométricos'!E16)*(1+2*'Dados Geométricos'!E16)/(1+'Dados Geométricos'!E16+'Dados Geométricos'!E16^2)*'Coeficientes Longitudinais'!C5^2/('Coeficientes Longitudinais'!C5+10)*'Coeficientes Longitudinais'!K5*TAN('Dados Geométricos'!E15*PI()/180)</f>
        <v>0.0055902860015318665</v>
      </c>
      <c r="P10" s="25"/>
      <c r="Q10" s="150"/>
    </row>
    <row r="11" spans="2:17" ht="12.75">
      <c r="B11" s="25" t="s">
        <v>348</v>
      </c>
      <c r="C11" s="165">
        <f>Principal!V9+'Dados Geométricos'!$E$17/4+'Dados Geométricos'!$E$23*TAN('Dados Geométricos'!$E$15*PI()/180)</f>
        <v>9.441127908812675</v>
      </c>
      <c r="D11" s="159"/>
      <c r="E11" s="135"/>
      <c r="F11" s="25" t="s">
        <v>659</v>
      </c>
      <c r="G11" s="163">
        <f>(1+0.5*'Dados Geométricos'!E63/('Dados Geométricos'!L66))^2</f>
        <v>2.4691621423701418</v>
      </c>
      <c r="H11" s="20" t="s">
        <v>175</v>
      </c>
      <c r="I11" s="140" t="e">
        <f>2*I6/'Dados Geométricos'!E13</f>
        <v>#NAME?</v>
      </c>
      <c r="J11" s="159" t="s">
        <v>142</v>
      </c>
      <c r="K11" s="140" t="e">
        <f>K10*K5</f>
        <v>#NAME?</v>
      </c>
      <c r="L11" s="25"/>
      <c r="M11" s="165"/>
      <c r="N11" s="20" t="s">
        <v>458</v>
      </c>
      <c r="O11" s="165">
        <f>('Coeficientes Longitudinais'!C5+10)/((1-Principal!D5^2)^0.5*'Coeficientes Longitudinais'!C5+10)*'Coeficientes Longitudinais'!O10</f>
        <v>0.005708003453036417</v>
      </c>
      <c r="P11" s="25" t="s">
        <v>977</v>
      </c>
      <c r="Q11" s="165" t="e">
        <f>Interp1D($C$5,'Roskam Derivadas Dinâmicas'!$B$5:$B$16,'Roskam Derivadas Dinâmicas'!$C$5:$C$16)</f>
        <v>#NAME?</v>
      </c>
    </row>
    <row r="12" spans="2:17" ht="12.75">
      <c r="B12" s="147"/>
      <c r="C12" s="364"/>
      <c r="D12" s="25" t="s">
        <v>116</v>
      </c>
      <c r="E12" s="135">
        <f>'Dados Geométricos'!$E$59/'Dados Geométricos'!$E$13</f>
        <v>0.12025316455696201</v>
      </c>
      <c r="F12" s="25" t="s">
        <v>661</v>
      </c>
      <c r="G12" s="165">
        <f>'Dados Geométricos'!$L$64/'Dados Geométricos'!$L$63</f>
        <v>0.3683229813664596</v>
      </c>
      <c r="H12" s="20" t="s">
        <v>179</v>
      </c>
      <c r="I12" s="140" t="e">
        <f>I7*2/'Dados Geométricos'!E13</f>
        <v>#NAME?</v>
      </c>
      <c r="J12" s="147"/>
      <c r="K12" s="424"/>
      <c r="L12" s="25" t="s">
        <v>467</v>
      </c>
      <c r="M12" s="165">
        <f>('Dados Geométricos'!E75+('Coeficientes Longitudinais'!C11-'Dados Geométricos'!E57)*'Dados Geométricos'!E58)*C11/('Dados Geométricos'!E74*'Dados Geométricos'!E56)</f>
        <v>0.31232730674830206</v>
      </c>
      <c r="N12" s="20"/>
      <c r="O12" s="165"/>
      <c r="P12" s="494" t="s">
        <v>978</v>
      </c>
      <c r="Q12" s="165" t="e">
        <f>-$Q$11*$C$13*COS('Dados Geométricos'!$E$15/57.3)*($C$5*($Q$6^2+0.5*$Q$6)/($C$5+2*COS('Dados Geométricos'!$E$15/57.3))+($C$5^3*TAN('Dados Geométricos'!$E$15/57.3))/(24*($C$5+6*COS('Dados Geométricos'!$E$15/57.3)))+1/8)</f>
        <v>#NAME?</v>
      </c>
    </row>
    <row r="13" spans="2:17" ht="12.75">
      <c r="B13" s="269" t="s">
        <v>104</v>
      </c>
      <c r="C13" s="256" t="e">
        <f>C5*Interp1D('Dados Geométricos'!E16,'ESDU 70011'!A69:A73,'ESDU 70011'!B69:B73)</f>
        <v>#NAME?</v>
      </c>
      <c r="D13" s="25" t="s">
        <v>40</v>
      </c>
      <c r="E13" s="135" t="e">
        <f>Interp1D($E$12,'ESDU 76015'!$B$46:$B$48,'ESDU 76015'!$C$46:$C$48)</f>
        <v>#NAME?</v>
      </c>
      <c r="F13" s="25" t="s">
        <v>662</v>
      </c>
      <c r="G13" s="165">
        <f>'Dados Geométricos'!$L$64*'Dados Geométricos'!$L$63</f>
        <v>3.81892</v>
      </c>
      <c r="H13" s="20"/>
      <c r="I13" s="140"/>
      <c r="J13" s="645" t="s">
        <v>154</v>
      </c>
      <c r="K13" s="646"/>
      <c r="L13" s="25" t="s">
        <v>466</v>
      </c>
      <c r="M13" s="165">
        <f>'Dados Geométricos'!E58^2/'Dados Geométricos'!E74</f>
        <v>0.15931351517008885</v>
      </c>
      <c r="N13" s="219" t="s">
        <v>476</v>
      </c>
      <c r="O13" s="260" t="e">
        <f>O8+O11-0.04</f>
        <v>#NAME?</v>
      </c>
      <c r="P13" s="25"/>
      <c r="Q13" s="150"/>
    </row>
    <row r="14" spans="2:17" ht="13.5" thickBot="1">
      <c r="B14" s="159" t="s">
        <v>106</v>
      </c>
      <c r="C14" s="165" t="e">
        <f>Interp1D(C10,'ESDU 70011'!A132:A138,'ESDU 70011'!B132:B138)</f>
        <v>#NAME?</v>
      </c>
      <c r="D14" s="25" t="s">
        <v>41</v>
      </c>
      <c r="E14" s="135" t="e">
        <f>DITP('Coeficientes Longitudinais'!$C$10,'Coeficientes Longitudinais'!$C$7,'ESDU 76015'!$B$51:$J$58)</f>
        <v>#NAME?</v>
      </c>
      <c r="F14" s="25" t="s">
        <v>663</v>
      </c>
      <c r="G14" s="163">
        <f>(-0.04*($G$12)^3-0.305714*($G$12)^2+3.171429*$G$12-0.000857)</f>
        <v>1.123780772640337</v>
      </c>
      <c r="H14" s="20" t="s">
        <v>173</v>
      </c>
      <c r="I14" s="140" t="e">
        <f>Interp1D('Dados Geométricos'!E16,'ESDU 80020'!B36:B39,'ESDU 80020'!C36:C39)</f>
        <v>#NAME?</v>
      </c>
      <c r="J14" s="25" t="s">
        <v>143</v>
      </c>
      <c r="K14" s="162" t="e">
        <f>(K6+K11)-0.8</f>
        <v>#NAME?</v>
      </c>
      <c r="L14" s="25" t="s">
        <v>86</v>
      </c>
      <c r="M14" s="165" t="e">
        <f>-DITP(M12,M13,'ESDU 89042'!B4:M12)</f>
        <v>#NAME?</v>
      </c>
      <c r="N14" s="173"/>
      <c r="O14" s="167"/>
      <c r="P14" s="270" t="s">
        <v>979</v>
      </c>
      <c r="Q14" s="261" t="e">
        <f>$Q$12*($C$5^3*TAN('Dados Geométricos'!$E$15/57.3)^2/($C$5*$Q$5+6*COS('Dados Geométricos'!$E$15/57.3))+3/$Q$5)/($C$5^3*TAN('Dados Geométricos'!$E$15/57.3)^2/($C$5+6*COS('Dados Geométricos'!$E$15/57.3))+3)</f>
        <v>#NAME?</v>
      </c>
    </row>
    <row r="15" spans="2:17" ht="12.75">
      <c r="B15" s="649" t="s">
        <v>151</v>
      </c>
      <c r="C15" s="650"/>
      <c r="D15" s="147"/>
      <c r="E15" s="192"/>
      <c r="F15" s="25" t="s">
        <v>665</v>
      </c>
      <c r="G15" s="163" t="e">
        <f>'Coeficientes Longitudinais'!$G$11*$G$13*$G$4*$G$14/'Dados Geométricos'!$E$12*(1-$G$8)</f>
        <v>#NAME?</v>
      </c>
      <c r="H15" s="20" t="s">
        <v>176</v>
      </c>
      <c r="I15" s="140" t="e">
        <f>DITP(TAN('Dados Geométricos'!$E$15*PI()/180),1/'Coeficientes Longitudinais'!$I$9,'ESDU 80020'!$B$42:$J$52)</f>
        <v>#NAME?</v>
      </c>
      <c r="J15" s="268" t="s">
        <v>145</v>
      </c>
      <c r="K15" s="256" t="e">
        <f>-C13*(K14)*PI()/180</f>
        <v>#NAME?</v>
      </c>
      <c r="L15" s="25"/>
      <c r="M15" s="165"/>
      <c r="N15" s="599"/>
      <c r="O15" s="599"/>
      <c r="P15" s="602"/>
      <c r="Q15" s="603"/>
    </row>
    <row r="16" spans="2:17" ht="12.75">
      <c r="B16" s="25" t="s">
        <v>127</v>
      </c>
      <c r="C16" s="166">
        <f>'Dados Geométricos'!E13-'Dados Geométricos'!E59</f>
        <v>16.68</v>
      </c>
      <c r="D16" s="25" t="s">
        <v>121</v>
      </c>
      <c r="E16" s="135" t="e">
        <f>-('Dados Geométricos'!E18*('Dados Geométricos'!E59^2)*'Coeficientes Longitudinais'!E7*'Coeficientes Longitudinais'!E10*(1+0.15*('Dados Geométricos'!E67/'Dados Geométricos'!E59-1))/('Dados Geométricos'!E14*C13*'Dados Geométricos'!E12)-('Coeficientes Longitudinais'!E13+'Dados Geométricos'!E16*'Coeficientes Longitudinais'!E14))</f>
        <v>#NAME?</v>
      </c>
      <c r="F16" s="25" t="s">
        <v>667</v>
      </c>
      <c r="G16" s="163" t="e">
        <f>-$G$15*$G$5/'Dados Geométricos'!$E$14</f>
        <v>#NAME?</v>
      </c>
      <c r="H16" s="20" t="s">
        <v>177</v>
      </c>
      <c r="I16" s="140" t="e">
        <f>I15-(1-I14)</f>
        <v>#NAME?</v>
      </c>
      <c r="J16" s="147"/>
      <c r="K16" s="424"/>
      <c r="L16" s="25" t="s">
        <v>470</v>
      </c>
      <c r="M16" s="165">
        <f>'Dados Geométricos'!E20-'Dados Geométricos'!E34+'Dados Geométricos'!E73-0.6*'Dados Geométricos'!E72</f>
        <v>0.8900000000000001</v>
      </c>
      <c r="N16" s="602"/>
      <c r="O16" s="602"/>
      <c r="P16" s="602"/>
      <c r="Q16" s="603"/>
    </row>
    <row r="17" spans="2:17" ht="13.5" thickBot="1">
      <c r="B17" s="25" t="s">
        <v>126</v>
      </c>
      <c r="C17" s="163">
        <f>0.5*$C$16*('Dados Geométricos'!$E$18+'Dados Geométricos'!$E$17*'Dados Geométricos'!$E$16)</f>
        <v>36.503229239999996</v>
      </c>
      <c r="D17" s="270" t="s">
        <v>209</v>
      </c>
      <c r="E17" s="258" t="e">
        <f>C14+E16</f>
        <v>#NAME?</v>
      </c>
      <c r="F17" s="147"/>
      <c r="G17" s="150"/>
      <c r="H17" s="20" t="s">
        <v>178</v>
      </c>
      <c r="I17" s="140" t="e">
        <f>DITP(C5,I14,'ESDU 80020'!B55:I62)</f>
        <v>#NAME?</v>
      </c>
      <c r="J17" s="645" t="s">
        <v>170</v>
      </c>
      <c r="K17" s="646"/>
      <c r="L17" s="25" t="s">
        <v>471</v>
      </c>
      <c r="M17" s="165" t="e">
        <f>M14/1000*'Dados Geométricos'!E74*'Dados Geométricos'!E56*'Coeficientes Longitudinais'!M16/('Dados Geométricos'!E12*'Dados Geométricos'!E14)</f>
        <v>#NAME?</v>
      </c>
      <c r="N17" s="602"/>
      <c r="O17" s="602"/>
      <c r="P17" s="602"/>
      <c r="Q17" s="603"/>
    </row>
    <row r="18" spans="2:17" ht="13.5" thickBot="1">
      <c r="B18" s="25" t="s">
        <v>124</v>
      </c>
      <c r="C18" s="165">
        <f>C16^2/C17</f>
        <v>7.62185718339477</v>
      </c>
      <c r="D18" s="598"/>
      <c r="E18" s="599"/>
      <c r="F18" s="25" t="s">
        <v>660</v>
      </c>
      <c r="G18" s="165">
        <f>'Dados Geométricos'!$L$60+0.25*('Dados Geométricos'!$L$56+'Dados Geométricos'!$L$57)/2-'Coeficientes Longitudinais'!$C$11</f>
        <v>3.293372091187326</v>
      </c>
      <c r="H18" s="20"/>
      <c r="I18" s="140"/>
      <c r="J18" s="270" t="s">
        <v>155</v>
      </c>
      <c r="K18" s="425" t="e">
        <f>K6+K11-'Dados Geométricos'!E20</f>
        <v>#NAME?</v>
      </c>
      <c r="L18" s="25"/>
      <c r="M18" s="165"/>
      <c r="N18" s="602"/>
      <c r="O18" s="602"/>
      <c r="P18" s="602"/>
      <c r="Q18" s="603"/>
    </row>
    <row r="19" spans="2:17" ht="12.75">
      <c r="B19" s="25" t="s">
        <v>130</v>
      </c>
      <c r="C19" s="165">
        <f>'Dados Geométricos'!$E$17*'Dados Geométricos'!$E$16/'Dados Geométricos'!$E$18</f>
        <v>0.32552574197456086</v>
      </c>
      <c r="D19" s="601"/>
      <c r="E19" s="602"/>
      <c r="F19" s="25" t="s">
        <v>658</v>
      </c>
      <c r="G19" s="163">
        <f>(1+'Dados Geométricos'!$E$64/'Dados Geométricos'!$L$58)^2</f>
        <v>2.674109742531154</v>
      </c>
      <c r="H19" s="20" t="s">
        <v>86</v>
      </c>
      <c r="I19" s="140" t="e">
        <f>DITP(IF(C10&lt;0,0,C10),'Dados Geométricos'!E16,'ESDU 80020'!B197:F201)</f>
        <v>#NAME?</v>
      </c>
      <c r="J19" s="602"/>
      <c r="K19" s="602"/>
      <c r="L19" s="25" t="s">
        <v>472</v>
      </c>
      <c r="M19" s="165">
        <f>0.01*('Dados Geométricos'!E24/'Dados Geométricos'!E58)</f>
        <v>-0.00537719298245614</v>
      </c>
      <c r="N19" s="602"/>
      <c r="O19" s="602"/>
      <c r="P19" s="602"/>
      <c r="Q19" s="603"/>
    </row>
    <row r="20" spans="2:17" ht="12.75">
      <c r="B20" s="25" t="s">
        <v>125</v>
      </c>
      <c r="C20" s="165">
        <f>C18*(1-Principal!D5^2)^0.5</f>
        <v>7.270788354841618</v>
      </c>
      <c r="D20" s="601"/>
      <c r="E20" s="602"/>
      <c r="F20" s="25" t="s">
        <v>657</v>
      </c>
      <c r="G20" s="163" t="e">
        <f>'Coeficientes Longitudinais'!$G$19*'Coeficientes Longitudinais'!$C$64</f>
        <v>#NAME?</v>
      </c>
      <c r="H20" s="20"/>
      <c r="I20" s="140"/>
      <c r="J20" s="602"/>
      <c r="K20" s="602"/>
      <c r="L20" s="25" t="s">
        <v>473</v>
      </c>
      <c r="M20" s="165" t="e">
        <f>-0.053*(M17*'Dados Geométricos'!E21*('Dados Geométricos'!E58/'Dados Geométricos'!E13)*'Coeficientes Longitudinais'!C5*TAN('Dados Geométricos'!E15*PI()/180))^0.3</f>
        <v>#NAME?</v>
      </c>
      <c r="N20" s="602"/>
      <c r="O20" s="602"/>
      <c r="P20" s="602"/>
      <c r="Q20" s="603"/>
    </row>
    <row r="21" spans="2:17" ht="12.75">
      <c r="B21" s="25" t="s">
        <v>128</v>
      </c>
      <c r="C21" s="165">
        <f>C9*C18</f>
        <v>3.208985161026873</v>
      </c>
      <c r="D21" s="601"/>
      <c r="E21" s="602"/>
      <c r="F21" s="25" t="s">
        <v>652</v>
      </c>
      <c r="G21" s="163" t="e">
        <f>'Coeficientes Longitudinais'!G19*C64*C44/'Dados Geométricos'!E12*(1-$G$8)</f>
        <v>#NAME?</v>
      </c>
      <c r="H21" s="20" t="s">
        <v>187</v>
      </c>
      <c r="I21" s="140" t="e">
        <f>2*C13/(PI()*C5)*(I16+I17)*I19</f>
        <v>#NAME?</v>
      </c>
      <c r="J21" s="602"/>
      <c r="K21" s="602"/>
      <c r="L21" s="25"/>
      <c r="M21" s="165"/>
      <c r="N21" s="602"/>
      <c r="O21" s="602"/>
      <c r="P21" s="602"/>
      <c r="Q21" s="603"/>
    </row>
    <row r="22" spans="2:17" ht="12.75">
      <c r="B22" s="25"/>
      <c r="C22" s="150"/>
      <c r="D22" s="601"/>
      <c r="E22" s="602"/>
      <c r="F22" s="25" t="s">
        <v>656</v>
      </c>
      <c r="G22" s="163" t="e">
        <f>-'Coeficientes Longitudinais'!$G$21*$G$18/'Dados Geométricos'!E14</f>
        <v>#NAME?</v>
      </c>
      <c r="H22" s="20" t="s">
        <v>68</v>
      </c>
      <c r="I22" s="140" t="e">
        <f>Interp1D(C5,'ESDU 80020'!B204:B214,'ESDU 80020'!C204:C214)</f>
        <v>#NAME?</v>
      </c>
      <c r="J22" s="602"/>
      <c r="K22" s="602"/>
      <c r="L22" s="25" t="s">
        <v>474</v>
      </c>
      <c r="M22" s="165" t="e">
        <f>M17+M19+M20</f>
        <v>#NAME?</v>
      </c>
      <c r="N22" s="602"/>
      <c r="O22" s="602"/>
      <c r="P22" s="602"/>
      <c r="Q22" s="603"/>
    </row>
    <row r="23" spans="2:17" ht="12.75">
      <c r="B23" s="269" t="s">
        <v>129</v>
      </c>
      <c r="C23" s="256" t="e">
        <f>C18*Interp1D(C19,'ESDU 70011'!D69:D73,'ESDU 70011'!E69:E73)</f>
        <v>#NAME?</v>
      </c>
      <c r="D23" s="601"/>
      <c r="E23" s="602"/>
      <c r="F23" s="25" t="s">
        <v>670</v>
      </c>
      <c r="G23" s="163" t="e">
        <f>G25/(1-G8)</f>
        <v>#NAME?</v>
      </c>
      <c r="H23" s="20" t="s">
        <v>191</v>
      </c>
      <c r="I23" s="140" t="e">
        <f>I21*I22</f>
        <v>#NAME?</v>
      </c>
      <c r="J23" s="602"/>
      <c r="K23" s="602"/>
      <c r="L23" s="25"/>
      <c r="M23" s="249"/>
      <c r="N23" s="602"/>
      <c r="O23" s="602"/>
      <c r="P23" s="602"/>
      <c r="Q23" s="603"/>
    </row>
    <row r="24" spans="2:17" ht="12.75">
      <c r="B24" s="147"/>
      <c r="C24" s="164"/>
      <c r="D24" s="601"/>
      <c r="E24" s="602"/>
      <c r="F24" s="25" t="s">
        <v>671</v>
      </c>
      <c r="G24" s="163" t="e">
        <f>-G26/G25</f>
        <v>#NAME?</v>
      </c>
      <c r="H24" s="20"/>
      <c r="I24" s="140"/>
      <c r="J24" s="602"/>
      <c r="K24" s="602"/>
      <c r="L24" s="358" t="s">
        <v>154</v>
      </c>
      <c r="M24" s="357"/>
      <c r="N24" s="602"/>
      <c r="O24" s="602"/>
      <c r="P24" s="602"/>
      <c r="Q24" s="603"/>
    </row>
    <row r="25" spans="2:17" ht="12.75">
      <c r="B25" s="645" t="s">
        <v>349</v>
      </c>
      <c r="C25" s="646"/>
      <c r="D25" s="601"/>
      <c r="E25" s="602"/>
      <c r="F25" s="268" t="s">
        <v>668</v>
      </c>
      <c r="G25" s="366" t="e">
        <f>G15+G21</f>
        <v>#NAME?</v>
      </c>
      <c r="H25" s="20" t="s">
        <v>188</v>
      </c>
      <c r="I25" s="140" t="e">
        <f>$I$23/($C$13*$I$19/$C$5)</f>
        <v>#NAME?</v>
      </c>
      <c r="J25" s="602"/>
      <c r="K25" s="602"/>
      <c r="L25" s="159" t="s">
        <v>153</v>
      </c>
      <c r="M25" s="169" t="e">
        <f>K14+M10</f>
        <v>#NAME?</v>
      </c>
      <c r="N25" s="602"/>
      <c r="O25" s="602"/>
      <c r="P25" s="602"/>
      <c r="Q25" s="603"/>
    </row>
    <row r="26" spans="2:17" ht="12.75">
      <c r="B26" s="25" t="s">
        <v>340</v>
      </c>
      <c r="C26" s="169">
        <f>Principal!V6*(Principal!V5+Principal!V4)/2</f>
        <v>11.010403</v>
      </c>
      <c r="D26" s="601"/>
      <c r="E26" s="602"/>
      <c r="F26" s="268" t="s">
        <v>669</v>
      </c>
      <c r="G26" s="366" t="e">
        <f>G16+G22</f>
        <v>#NAME?</v>
      </c>
      <c r="H26" s="20" t="s">
        <v>192</v>
      </c>
      <c r="I26" s="140" t="e">
        <f>Interp1D('Coeficientes Longitudinais'!$I$25,'ESDU 80020'!$B$217:$B$227,'ESDU 80020'!$C$217:$C$227)</f>
        <v>#NAME?</v>
      </c>
      <c r="J26" s="602"/>
      <c r="K26" s="602"/>
      <c r="L26" s="159" t="s">
        <v>144</v>
      </c>
      <c r="M26" s="165" t="e">
        <f>-M6*PI()/180*(M25)</f>
        <v>#NAME?</v>
      </c>
      <c r="N26" s="602"/>
      <c r="O26" s="602"/>
      <c r="P26" s="602"/>
      <c r="Q26" s="603"/>
    </row>
    <row r="27" spans="2:17" ht="12.75">
      <c r="B27" s="25" t="s">
        <v>6</v>
      </c>
      <c r="C27" s="165">
        <f>Principal!V6^2/'Coeficientes Longitudinais'!C26</f>
        <v>4.402149857730003</v>
      </c>
      <c r="D27" s="601"/>
      <c r="E27" s="602"/>
      <c r="F27" s="323"/>
      <c r="G27" s="406"/>
      <c r="H27" s="20"/>
      <c r="I27" s="140"/>
      <c r="J27" s="602"/>
      <c r="K27" s="602"/>
      <c r="L27" s="25"/>
      <c r="M27" s="248"/>
      <c r="N27" s="602"/>
      <c r="O27" s="602"/>
      <c r="P27" s="602"/>
      <c r="Q27" s="603"/>
    </row>
    <row r="28" spans="2:17" ht="12.75">
      <c r="B28" s="25" t="s">
        <v>45</v>
      </c>
      <c r="C28" s="163">
        <f>Principal!V4/Principal!V5</f>
        <v>0.5119502868068834</v>
      </c>
      <c r="D28" s="601"/>
      <c r="E28" s="602"/>
      <c r="F28" s="25" t="s">
        <v>702</v>
      </c>
      <c r="G28" s="165" t="e">
        <f>($G$21+$G$15)/(1-$G$8)*('Dados Geométricos'!$L$61-'Coeficientes Longitudinais'!$G$9)/57.3</f>
        <v>#NAME?</v>
      </c>
      <c r="H28" s="20" t="s">
        <v>212</v>
      </c>
      <c r="I28" s="140">
        <v>0.06</v>
      </c>
      <c r="J28" s="602"/>
      <c r="K28" s="602"/>
      <c r="L28" s="235" t="s">
        <v>170</v>
      </c>
      <c r="M28" s="236"/>
      <c r="N28" s="602"/>
      <c r="O28" s="602"/>
      <c r="P28" s="602"/>
      <c r="Q28" s="603"/>
    </row>
    <row r="29" spans="2:17" ht="13.5" thickBot="1">
      <c r="B29" s="25" t="s">
        <v>108</v>
      </c>
      <c r="C29" s="140">
        <f>(1-Principal!D5^2)^0.5*'Coeficientes Longitudinais'!C27</f>
        <v>4.19938331980068</v>
      </c>
      <c r="D29" s="601"/>
      <c r="E29" s="602"/>
      <c r="F29" s="27" t="s">
        <v>697</v>
      </c>
      <c r="G29" s="293" t="e">
        <f>-$G$28*$G$24</f>
        <v>#NAME?</v>
      </c>
      <c r="H29" s="20" t="s">
        <v>193</v>
      </c>
      <c r="I29" s="140" t="e">
        <f>I23-I11*I26*C13*I19/C5+I28</f>
        <v>#NAME?</v>
      </c>
      <c r="J29" s="602"/>
      <c r="K29" s="602"/>
      <c r="L29" s="269" t="s">
        <v>153</v>
      </c>
      <c r="M29" s="260" t="e">
        <f>M25-'Dados Geométricos'!E20</f>
        <v>#NAME?</v>
      </c>
      <c r="N29" s="602"/>
      <c r="O29" s="602"/>
      <c r="P29" s="602"/>
      <c r="Q29" s="603"/>
    </row>
    <row r="30" spans="2:17" ht="13.5" thickBot="1">
      <c r="B30" s="25" t="s">
        <v>110</v>
      </c>
      <c r="C30" s="165">
        <f>180/PI()*ATAN(TAN('Dados Geométricos'!$E$84*PI()/180)-(1-Principal!$V$4/Principal!$V$5)/(1+Principal!$V$4/Principal!$V$5)/(Principal!$V$6^2/'Coeficientes Longitudinais'!$C$26))</f>
        <v>23.566772908427506</v>
      </c>
      <c r="D30" s="601"/>
      <c r="E30" s="602"/>
      <c r="F30" s="274"/>
      <c r="G30" s="274"/>
      <c r="H30" s="25" t="s">
        <v>194</v>
      </c>
      <c r="I30" s="140" t="e">
        <f>Interp1D(Principal!$D$5,'ESDU 80020'!$B$230:$B$240,'ESDU 80020'!$C$230:$C$240)</f>
        <v>#NAME?</v>
      </c>
      <c r="J30" s="602"/>
      <c r="K30" s="602"/>
      <c r="L30" s="270" t="s">
        <v>475</v>
      </c>
      <c r="M30" s="261" t="e">
        <f>'Coeficientes Longitudinais'!O13+M22</f>
        <v>#NAME?</v>
      </c>
      <c r="N30" s="602"/>
      <c r="O30" s="602"/>
      <c r="P30" s="602"/>
      <c r="Q30" s="603"/>
    </row>
    <row r="31" spans="2:17" ht="12.75">
      <c r="B31" s="25" t="s">
        <v>122</v>
      </c>
      <c r="C31" s="140">
        <f>TAN(C30*PI()/180)</f>
        <v>0.4361988192157732</v>
      </c>
      <c r="D31" s="601"/>
      <c r="E31" s="602"/>
      <c r="F31" s="274"/>
      <c r="G31" s="274"/>
      <c r="H31" s="268" t="s">
        <v>200</v>
      </c>
      <c r="I31" s="256" t="e">
        <f>I29*I30</f>
        <v>#NAME?</v>
      </c>
      <c r="J31" s="602"/>
      <c r="K31" s="602"/>
      <c r="L31" s="599"/>
      <c r="M31" s="599"/>
      <c r="N31" s="602"/>
      <c r="O31" s="602"/>
      <c r="P31" s="602"/>
      <c r="Q31" s="603"/>
    </row>
    <row r="32" spans="2:17" ht="12.75">
      <c r="B32" s="159" t="s">
        <v>109</v>
      </c>
      <c r="C32" s="140">
        <f>C27*C31</f>
        <v>1.9202125699527113</v>
      </c>
      <c r="D32" s="601"/>
      <c r="E32" s="602"/>
      <c r="F32" s="274"/>
      <c r="G32" s="274"/>
      <c r="H32" s="25"/>
      <c r="I32" s="140"/>
      <c r="J32" s="602"/>
      <c r="K32" s="602"/>
      <c r="L32" s="602"/>
      <c r="M32" s="602"/>
      <c r="N32" s="602"/>
      <c r="O32" s="602"/>
      <c r="P32" s="602"/>
      <c r="Q32" s="603"/>
    </row>
    <row r="33" spans="2:17" ht="13.5" thickBot="1">
      <c r="B33" s="25" t="s">
        <v>344</v>
      </c>
      <c r="C33" s="163">
        <f>2/3*(1+'Coeficientes Longitudinais'!C28+'Coeficientes Longitudinais'!C28^2)/(1+'Coeficientes Longitudinais'!C28)*Principal!V5</f>
        <v>1.6364289176941724</v>
      </c>
      <c r="D33" s="601"/>
      <c r="E33" s="602"/>
      <c r="F33" s="274"/>
      <c r="G33" s="274"/>
      <c r="H33" s="270" t="s">
        <v>195</v>
      </c>
      <c r="I33" s="257" t="e">
        <f>Interp1D(I11-I12,'ESDU 80020'!B243:B279,'ESDU 80020'!C243:C279)-I31*M29-0.5</f>
        <v>#NAME?</v>
      </c>
      <c r="J33" s="602"/>
      <c r="K33" s="602"/>
      <c r="L33" s="602"/>
      <c r="M33" s="602"/>
      <c r="N33" s="602"/>
      <c r="O33" s="602"/>
      <c r="P33" s="602"/>
      <c r="Q33" s="603"/>
    </row>
    <row r="34" spans="2:17" ht="12.75">
      <c r="B34" s="147"/>
      <c r="C34" s="164"/>
      <c r="D34" s="601"/>
      <c r="E34" s="602"/>
      <c r="F34" s="274"/>
      <c r="G34" s="274"/>
      <c r="H34" s="599"/>
      <c r="I34" s="599"/>
      <c r="J34" s="602"/>
      <c r="K34" s="602"/>
      <c r="L34" s="602"/>
      <c r="M34" s="602"/>
      <c r="N34" s="602"/>
      <c r="O34" s="602"/>
      <c r="P34" s="602"/>
      <c r="Q34" s="603"/>
    </row>
    <row r="35" spans="2:17" ht="12.75">
      <c r="B35" s="269" t="s">
        <v>159</v>
      </c>
      <c r="C35" s="256" t="e">
        <f>'Dados Geométricos'!$E$88*$C$27*Interp1D(Principal!$V$4/Principal!$V$5,'ESDU 70011'!$G$69:$G$73,'ESDU 70011'!$H$69:$H$73)</f>
        <v>#NAME?</v>
      </c>
      <c r="D35" s="601"/>
      <c r="E35" s="602"/>
      <c r="F35" s="274"/>
      <c r="G35" s="274"/>
      <c r="H35" s="602"/>
      <c r="I35" s="602"/>
      <c r="J35" s="602"/>
      <c r="K35" s="602"/>
      <c r="L35" s="602"/>
      <c r="M35" s="602"/>
      <c r="N35" s="602"/>
      <c r="O35" s="602"/>
      <c r="P35" s="602"/>
      <c r="Q35" s="603"/>
    </row>
    <row r="36" spans="2:17" ht="12.75">
      <c r="B36" s="25" t="s">
        <v>345</v>
      </c>
      <c r="C36" s="165">
        <f>Principal!V7-'Coeficientes Longitudinais'!C11+'Coeficientes Longitudinais'!C33*(0.25+(1+2*'Coeficientes Longitudinais'!C28)*(1+'Coeficientes Longitudinais'!C28)*('Coeficientes Longitudinais'!C32+2*(1-'Coeficientes Longitudinais'!C28)/(1+'Coeficientes Longitudinais'!C28))/(8*(1+'Coeficientes Longitudinais'!C28+'Coeficientes Longitudinais'!C28^2)))</f>
        <v>8.386279863528765</v>
      </c>
      <c r="D36" s="601"/>
      <c r="E36" s="602"/>
      <c r="F36" s="274"/>
      <c r="G36" s="274"/>
      <c r="H36" s="602"/>
      <c r="I36" s="602"/>
      <c r="J36" s="602"/>
      <c r="K36" s="602"/>
      <c r="L36" s="602"/>
      <c r="M36" s="602"/>
      <c r="N36" s="602"/>
      <c r="O36" s="602"/>
      <c r="P36" s="602"/>
      <c r="Q36" s="603"/>
    </row>
    <row r="37" spans="2:17" ht="12.75">
      <c r="B37" s="147"/>
      <c r="C37" s="164"/>
      <c r="D37" s="601"/>
      <c r="E37" s="602"/>
      <c r="F37" s="274"/>
      <c r="G37" s="274"/>
      <c r="H37" s="602"/>
      <c r="I37" s="602"/>
      <c r="J37" s="602"/>
      <c r="K37" s="602"/>
      <c r="L37" s="602"/>
      <c r="M37" s="602"/>
      <c r="N37" s="602"/>
      <c r="O37" s="602"/>
      <c r="P37" s="602"/>
      <c r="Q37" s="603"/>
    </row>
    <row r="38" spans="2:17" ht="12.75">
      <c r="B38" s="25" t="s">
        <v>207</v>
      </c>
      <c r="C38" s="140" t="e">
        <f>'Coeficientes Longitudinais'!C26/'Dados Geométricos'!E12*C35/M6*(1-I31)</f>
        <v>#NAME?</v>
      </c>
      <c r="D38" s="601"/>
      <c r="E38" s="602"/>
      <c r="F38" s="274"/>
      <c r="G38" s="274"/>
      <c r="H38" s="602"/>
      <c r="I38" s="602"/>
      <c r="J38" s="602"/>
      <c r="K38" s="602"/>
      <c r="L38" s="602"/>
      <c r="M38" s="602"/>
      <c r="N38" s="602"/>
      <c r="O38" s="602"/>
      <c r="P38" s="602"/>
      <c r="Q38" s="603"/>
    </row>
    <row r="39" spans="2:17" ht="12.75">
      <c r="B39" s="268" t="s">
        <v>206</v>
      </c>
      <c r="C39" s="256" t="e">
        <f>('Coeficientes Longitudinais'!$C$36+(0.25-$E$17)*'Dados Geométricos'!$E$14)*'Coeficientes Longitudinais'!$C$26/('Dados Geométricos'!$E$12*'Dados Geométricos'!$E$14)</f>
        <v>#NAME?</v>
      </c>
      <c r="D39" s="601"/>
      <c r="E39" s="602"/>
      <c r="F39" s="274"/>
      <c r="G39" s="274"/>
      <c r="H39" s="602"/>
      <c r="I39" s="602"/>
      <c r="J39" s="602"/>
      <c r="K39" s="602"/>
      <c r="L39" s="602"/>
      <c r="M39" s="602"/>
      <c r="N39" s="602"/>
      <c r="O39" s="602"/>
      <c r="P39" s="602"/>
      <c r="Q39" s="603"/>
    </row>
    <row r="40" spans="2:17" ht="12.75">
      <c r="B40" s="147"/>
      <c r="C40" s="164"/>
      <c r="D40" s="601"/>
      <c r="E40" s="602"/>
      <c r="F40" s="274"/>
      <c r="G40" s="274"/>
      <c r="H40" s="602"/>
      <c r="I40" s="602"/>
      <c r="J40" s="602"/>
      <c r="K40" s="602"/>
      <c r="L40" s="602"/>
      <c r="M40" s="602"/>
      <c r="N40" s="602"/>
      <c r="O40" s="602"/>
      <c r="P40" s="602"/>
      <c r="Q40" s="603"/>
    </row>
    <row r="41" spans="2:17" ht="12.75">
      <c r="B41" s="25" t="s">
        <v>208</v>
      </c>
      <c r="C41" s="140" t="e">
        <f>C38*M6</f>
        <v>#NAME?</v>
      </c>
      <c r="D41" s="601"/>
      <c r="E41" s="602"/>
      <c r="F41" s="274"/>
      <c r="G41" s="274"/>
      <c r="H41" s="602"/>
      <c r="I41" s="602"/>
      <c r="J41" s="602"/>
      <c r="K41" s="602"/>
      <c r="L41" s="602"/>
      <c r="M41" s="602"/>
      <c r="N41" s="602"/>
      <c r="O41" s="602"/>
      <c r="P41" s="602"/>
      <c r="Q41" s="603"/>
    </row>
    <row r="42" spans="2:17" ht="13.5" thickBot="1">
      <c r="B42" s="27"/>
      <c r="C42" s="167"/>
      <c r="D42" s="601"/>
      <c r="E42" s="602"/>
      <c r="F42" s="274"/>
      <c r="G42" s="274"/>
      <c r="H42" s="602"/>
      <c r="I42" s="602"/>
      <c r="J42" s="602"/>
      <c r="K42" s="602"/>
      <c r="L42" s="602"/>
      <c r="M42" s="602"/>
      <c r="N42" s="602"/>
      <c r="O42" s="602"/>
      <c r="P42" s="602"/>
      <c r="Q42" s="603"/>
    </row>
    <row r="43" spans="2:17" ht="13.5" thickBot="1">
      <c r="B43" s="643" t="s">
        <v>655</v>
      </c>
      <c r="C43" s="644"/>
      <c r="D43" s="601"/>
      <c r="E43" s="602"/>
      <c r="F43" s="274"/>
      <c r="G43" s="274"/>
      <c r="H43" s="602"/>
      <c r="I43" s="602"/>
      <c r="J43" s="602"/>
      <c r="K43" s="602"/>
      <c r="L43" s="602"/>
      <c r="M43" s="602"/>
      <c r="N43" s="602"/>
      <c r="O43" s="602"/>
      <c r="P43" s="602"/>
      <c r="Q43" s="603"/>
    </row>
    <row r="44" spans="2:17" ht="12.75">
      <c r="B44" s="25" t="s">
        <v>340</v>
      </c>
      <c r="C44" s="163">
        <f>('Dados Geométricos'!L57+'Dados Geométricos'!L56)*'Dados Geométricos'!L58/2</f>
        <v>9.335292</v>
      </c>
      <c r="D44" s="601"/>
      <c r="E44" s="602"/>
      <c r="F44" s="274"/>
      <c r="G44" s="274"/>
      <c r="H44" s="602"/>
      <c r="I44" s="602"/>
      <c r="J44" s="602"/>
      <c r="K44" s="602"/>
      <c r="L44" s="602"/>
      <c r="M44" s="602"/>
      <c r="N44" s="602"/>
      <c r="O44" s="602"/>
      <c r="P44" s="602"/>
      <c r="Q44" s="603"/>
    </row>
    <row r="45" spans="2:17" ht="12.75">
      <c r="B45" s="25" t="s">
        <v>107</v>
      </c>
      <c r="C45" s="163">
        <f>('Dados Geométricos'!L58)^2/'Coeficientes Longitudinais'!C44</f>
        <v>0.9602309172546505</v>
      </c>
      <c r="D45" s="601"/>
      <c r="E45" s="602"/>
      <c r="F45" s="274"/>
      <c r="G45" s="274"/>
      <c r="H45" s="602"/>
      <c r="I45" s="602"/>
      <c r="J45" s="602"/>
      <c r="K45" s="602"/>
      <c r="L45" s="602"/>
      <c r="M45" s="602"/>
      <c r="N45" s="602"/>
      <c r="O45" s="602"/>
      <c r="P45" s="602"/>
      <c r="Q45" s="603"/>
    </row>
    <row r="46" spans="2:17" ht="12.75">
      <c r="B46" s="25" t="s">
        <v>45</v>
      </c>
      <c r="C46" s="163">
        <f>'Dados Geométricos'!L57/'Dados Geométricos'!L56</f>
        <v>0.8244587478057344</v>
      </c>
      <c r="D46" s="601"/>
      <c r="E46" s="602"/>
      <c r="F46" s="274"/>
      <c r="G46" s="274"/>
      <c r="H46" s="602"/>
      <c r="I46" s="602"/>
      <c r="J46" s="602"/>
      <c r="K46" s="602"/>
      <c r="L46" s="602"/>
      <c r="M46" s="602"/>
      <c r="N46" s="602"/>
      <c r="O46" s="602"/>
      <c r="P46" s="602"/>
      <c r="Q46" s="603"/>
    </row>
    <row r="47" spans="2:17" ht="12.75">
      <c r="B47" s="147"/>
      <c r="C47" s="164"/>
      <c r="D47" s="601"/>
      <c r="E47" s="602"/>
      <c r="F47" s="274"/>
      <c r="G47" s="274"/>
      <c r="H47" s="602"/>
      <c r="I47" s="602"/>
      <c r="J47" s="602"/>
      <c r="K47" s="602"/>
      <c r="L47" s="602"/>
      <c r="M47" s="602"/>
      <c r="N47" s="602"/>
      <c r="O47" s="602"/>
      <c r="P47" s="602"/>
      <c r="Q47" s="603"/>
    </row>
    <row r="48" spans="2:17" ht="12.75">
      <c r="B48" s="25" t="s">
        <v>110</v>
      </c>
      <c r="C48" s="317">
        <f>180/PI()*ATAN(TAN('Dados Geométricos'!$L$59*PI()/180)-(1-'Coeficientes Longitudinais'!C46)/(1+'Coeficientes Longitudinais'!C46)/('Dados Geométricos'!L58^2/'Coeficientes Longitudinais'!C44))</f>
        <v>-10.630119606489247</v>
      </c>
      <c r="D48" s="601"/>
      <c r="E48" s="602"/>
      <c r="F48" s="274"/>
      <c r="G48" s="274"/>
      <c r="H48" s="602"/>
      <c r="I48" s="602"/>
      <c r="J48" s="602"/>
      <c r="K48" s="602"/>
      <c r="L48" s="602"/>
      <c r="M48" s="602"/>
      <c r="N48" s="602"/>
      <c r="O48" s="602"/>
      <c r="P48" s="602"/>
      <c r="Q48" s="603"/>
    </row>
    <row r="49" spans="2:17" ht="12.75">
      <c r="B49" s="159" t="s">
        <v>109</v>
      </c>
      <c r="C49" s="165">
        <f>'Coeficientes Longitudinais'!C45*TAN(C48/57.3)</f>
        <v>-0.18021125820954575</v>
      </c>
      <c r="D49" s="601"/>
      <c r="E49" s="602"/>
      <c r="F49" s="274"/>
      <c r="G49" s="274"/>
      <c r="H49" s="602"/>
      <c r="I49" s="602"/>
      <c r="J49" s="602"/>
      <c r="K49" s="602"/>
      <c r="L49" s="602"/>
      <c r="M49" s="602"/>
      <c r="N49" s="602"/>
      <c r="O49" s="602"/>
      <c r="P49" s="602"/>
      <c r="Q49" s="603"/>
    </row>
    <row r="50" spans="2:17" ht="12.75">
      <c r="B50" s="25" t="s">
        <v>108</v>
      </c>
      <c r="C50" s="163">
        <f>'Coeficientes Longitudinais'!C45*(1-Principal!D5^2)^0.5</f>
        <v>0.9160019143817625</v>
      </c>
      <c r="D50" s="601"/>
      <c r="E50" s="602"/>
      <c r="F50" s="274"/>
      <c r="G50" s="274"/>
      <c r="H50" s="602"/>
      <c r="I50" s="602"/>
      <c r="J50" s="602"/>
      <c r="K50" s="602"/>
      <c r="L50" s="602"/>
      <c r="M50" s="602"/>
      <c r="N50" s="602"/>
      <c r="O50" s="602"/>
      <c r="P50" s="602"/>
      <c r="Q50" s="603"/>
    </row>
    <row r="51" spans="2:17" ht="12.75">
      <c r="B51" s="147"/>
      <c r="C51" s="364"/>
      <c r="D51" s="601"/>
      <c r="E51" s="602"/>
      <c r="F51" s="274"/>
      <c r="G51" s="274"/>
      <c r="H51" s="602"/>
      <c r="I51" s="602"/>
      <c r="J51" s="602"/>
      <c r="K51" s="602"/>
      <c r="L51" s="602"/>
      <c r="M51" s="602"/>
      <c r="N51" s="602"/>
      <c r="O51" s="602"/>
      <c r="P51" s="602"/>
      <c r="Q51" s="603"/>
    </row>
    <row r="52" spans="2:17" ht="12.75">
      <c r="B52" s="269" t="s">
        <v>657</v>
      </c>
      <c r="C52" s="366" t="e">
        <f>Interp1D('Coeficientes Longitudinais'!$C$46,'ESDU 70011'!$M$69:$M$73,'ESDU 70011'!$N$69:$N$73)*'Coeficientes Longitudinais'!$C$45</f>
        <v>#NAME?</v>
      </c>
      <c r="D52" s="601"/>
      <c r="E52" s="602"/>
      <c r="F52" s="274"/>
      <c r="G52" s="274"/>
      <c r="H52" s="602"/>
      <c r="I52" s="602"/>
      <c r="J52" s="602"/>
      <c r="K52" s="602"/>
      <c r="L52" s="602"/>
      <c r="M52" s="602"/>
      <c r="N52" s="602"/>
      <c r="O52" s="602"/>
      <c r="P52" s="602"/>
      <c r="Q52" s="603"/>
    </row>
    <row r="53" spans="2:17" ht="13.5" thickBot="1">
      <c r="B53" s="365"/>
      <c r="C53" s="293"/>
      <c r="D53" s="601"/>
      <c r="E53" s="602"/>
      <c r="F53" s="274"/>
      <c r="G53" s="274"/>
      <c r="H53" s="602"/>
      <c r="I53" s="602"/>
      <c r="J53" s="602"/>
      <c r="K53" s="602"/>
      <c r="L53" s="602"/>
      <c r="M53" s="602"/>
      <c r="N53" s="602"/>
      <c r="O53" s="602"/>
      <c r="P53" s="602"/>
      <c r="Q53" s="603"/>
    </row>
    <row r="54" spans="2:17" ht="13.5" thickBot="1">
      <c r="B54" s="643" t="s">
        <v>653</v>
      </c>
      <c r="C54" s="644"/>
      <c r="D54" s="601"/>
      <c r="E54" s="602"/>
      <c r="F54" s="274"/>
      <c r="G54" s="274"/>
      <c r="H54" s="602"/>
      <c r="I54" s="602"/>
      <c r="J54" s="602"/>
      <c r="K54" s="602"/>
      <c r="L54" s="602"/>
      <c r="M54" s="602"/>
      <c r="N54" s="602"/>
      <c r="O54" s="602"/>
      <c r="P54" s="602"/>
      <c r="Q54" s="603"/>
    </row>
    <row r="55" spans="2:17" ht="12.75">
      <c r="B55" s="25" t="s">
        <v>442</v>
      </c>
      <c r="C55" s="141">
        <f>'Dados Geométricos'!$L$56-'Dados Geométricos'!$E$64/'Dados Geométricos'!$L$58*('Dados Geométricos'!$L$56-'Dados Geométricos'!$L$57)</f>
        <v>3.0368376753507014</v>
      </c>
      <c r="D55" s="601"/>
      <c r="E55" s="602"/>
      <c r="F55" s="274"/>
      <c r="G55" s="274"/>
      <c r="H55" s="602"/>
      <c r="I55" s="602"/>
      <c r="J55" s="602"/>
      <c r="K55" s="602"/>
      <c r="L55" s="602"/>
      <c r="M55" s="602"/>
      <c r="N55" s="602"/>
      <c r="O55" s="602"/>
      <c r="P55" s="602"/>
      <c r="Q55" s="603"/>
    </row>
    <row r="56" spans="2:17" ht="12.75">
      <c r="B56" s="25" t="s">
        <v>340</v>
      </c>
      <c r="C56" s="163">
        <f>('Dados Geométricos'!L57+'Coeficientes Longitudinais'!C55)*('Dados Geométricos'!L58-'Dados Geométricos'!E64)/2</f>
        <v>3.196741370741484</v>
      </c>
      <c r="D56" s="601"/>
      <c r="E56" s="602"/>
      <c r="F56" s="274"/>
      <c r="G56" s="274"/>
      <c r="H56" s="602"/>
      <c r="I56" s="602"/>
      <c r="J56" s="602"/>
      <c r="K56" s="602"/>
      <c r="L56" s="602"/>
      <c r="M56" s="602"/>
      <c r="N56" s="602"/>
      <c r="O56" s="602"/>
      <c r="P56" s="602"/>
      <c r="Q56" s="603"/>
    </row>
    <row r="57" spans="2:17" ht="12.75">
      <c r="B57" s="25" t="s">
        <v>107</v>
      </c>
      <c r="C57" s="163">
        <f>('Dados Geométricos'!$L$58-'Dados Geométricos'!$E$64)^2/'Coeficientes Longitudinais'!C56</f>
        <v>0.3730248592876967</v>
      </c>
      <c r="D57" s="601"/>
      <c r="E57" s="602"/>
      <c r="F57" s="274"/>
      <c r="G57" s="274"/>
      <c r="H57" s="602"/>
      <c r="I57" s="602"/>
      <c r="J57" s="602"/>
      <c r="K57" s="602"/>
      <c r="L57" s="602"/>
      <c r="M57" s="602"/>
      <c r="N57" s="602"/>
      <c r="O57" s="602"/>
      <c r="P57" s="602"/>
      <c r="Q57" s="603"/>
    </row>
    <row r="58" spans="2:17" ht="12.75">
      <c r="B58" s="25" t="s">
        <v>45</v>
      </c>
      <c r="C58" s="163">
        <f>'Dados Geométricos'!L57/'Coeficientes Longitudinais'!C55</f>
        <v>0.9279389619251119</v>
      </c>
      <c r="D58" s="601"/>
      <c r="E58" s="602"/>
      <c r="F58" s="274"/>
      <c r="G58" s="274"/>
      <c r="H58" s="602"/>
      <c r="I58" s="602"/>
      <c r="J58" s="602"/>
      <c r="K58" s="602"/>
      <c r="L58" s="602"/>
      <c r="M58" s="602"/>
      <c r="N58" s="602"/>
      <c r="O58" s="602"/>
      <c r="P58" s="602"/>
      <c r="Q58" s="603"/>
    </row>
    <row r="59" spans="2:17" ht="12.75">
      <c r="B59" s="147"/>
      <c r="C59" s="164"/>
      <c r="D59" s="601"/>
      <c r="E59" s="602"/>
      <c r="F59" s="274"/>
      <c r="G59" s="274"/>
      <c r="H59" s="602"/>
      <c r="I59" s="602"/>
      <c r="J59" s="602"/>
      <c r="K59" s="602"/>
      <c r="L59" s="602"/>
      <c r="M59" s="602"/>
      <c r="N59" s="602"/>
      <c r="O59" s="602"/>
      <c r="P59" s="602"/>
      <c r="Q59" s="603"/>
    </row>
    <row r="60" spans="2:17" ht="12.75">
      <c r="B60" s="25" t="s">
        <v>110</v>
      </c>
      <c r="C60" s="317">
        <f>180/PI()*ATAN(TAN('Dados Geométricos'!$L$59*PI()/180)-(1-'Coeficientes Longitudinais'!C58)/(1+'Coeficientes Longitudinais'!C58)/(('Dados Geométricos'!L58-'Dados Geométricos'!E64)^2/'Coeficientes Longitudinais'!C56))</f>
        <v>-10.630119606489247</v>
      </c>
      <c r="D60" s="601"/>
      <c r="E60" s="602"/>
      <c r="F60" s="274"/>
      <c r="G60" s="274"/>
      <c r="H60" s="602"/>
      <c r="I60" s="602"/>
      <c r="J60" s="602"/>
      <c r="K60" s="602"/>
      <c r="L60" s="602"/>
      <c r="M60" s="602"/>
      <c r="N60" s="602"/>
      <c r="O60" s="602"/>
      <c r="P60" s="602"/>
      <c r="Q60" s="603"/>
    </row>
    <row r="61" spans="2:17" ht="12.75">
      <c r="B61" s="159" t="s">
        <v>109</v>
      </c>
      <c r="C61" s="165">
        <f>C57*TAN('Dados Geométricos'!L59/57.3)</f>
        <v>-0.03263303035954028</v>
      </c>
      <c r="D61" s="601"/>
      <c r="E61" s="602"/>
      <c r="F61" s="274"/>
      <c r="G61" s="274"/>
      <c r="H61" s="602"/>
      <c r="I61" s="602"/>
      <c r="J61" s="602"/>
      <c r="K61" s="602"/>
      <c r="L61" s="602"/>
      <c r="M61" s="602"/>
      <c r="N61" s="602"/>
      <c r="O61" s="602"/>
      <c r="P61" s="602"/>
      <c r="Q61" s="603"/>
    </row>
    <row r="62" spans="2:17" ht="12.75">
      <c r="B62" s="25" t="s">
        <v>108</v>
      </c>
      <c r="C62" s="163">
        <f>C57*(1-Principal!D5^2)^0.5</f>
        <v>0.3558430363775739</v>
      </c>
      <c r="D62" s="601"/>
      <c r="E62" s="602"/>
      <c r="F62" s="274"/>
      <c r="G62" s="274"/>
      <c r="H62" s="602"/>
      <c r="I62" s="602"/>
      <c r="J62" s="602"/>
      <c r="K62" s="602"/>
      <c r="L62" s="602"/>
      <c r="M62" s="602"/>
      <c r="N62" s="602"/>
      <c r="O62" s="602"/>
      <c r="P62" s="602"/>
      <c r="Q62" s="603"/>
    </row>
    <row r="63" spans="2:17" ht="12.75">
      <c r="B63" s="147"/>
      <c r="C63" s="364"/>
      <c r="D63" s="601"/>
      <c r="E63" s="602"/>
      <c r="F63" s="274"/>
      <c r="G63" s="274"/>
      <c r="H63" s="602"/>
      <c r="I63" s="602"/>
      <c r="J63" s="602"/>
      <c r="K63" s="602"/>
      <c r="L63" s="602"/>
      <c r="M63" s="602"/>
      <c r="N63" s="602"/>
      <c r="O63" s="602"/>
      <c r="P63" s="602"/>
      <c r="Q63" s="603"/>
    </row>
    <row r="64" spans="2:17" ht="12.75">
      <c r="B64" s="269" t="s">
        <v>666</v>
      </c>
      <c r="C64" s="366" t="e">
        <f>Interp1D('Coeficientes Longitudinais'!$C$58,'ESDU 70011'!$P$69:$P$73,'ESDU 70011'!$Q$69:$Q$73)*$C$57</f>
        <v>#NAME?</v>
      </c>
      <c r="D64" s="601"/>
      <c r="E64" s="602"/>
      <c r="F64" s="274"/>
      <c r="G64" s="274"/>
      <c r="H64" s="602"/>
      <c r="I64" s="602"/>
      <c r="J64" s="602"/>
      <c r="K64" s="602"/>
      <c r="L64" s="602"/>
      <c r="M64" s="602"/>
      <c r="N64" s="602"/>
      <c r="O64" s="602"/>
      <c r="P64" s="602"/>
      <c r="Q64" s="603"/>
    </row>
    <row r="65" spans="2:17" ht="13.5" thickBot="1">
      <c r="B65" s="365"/>
      <c r="C65" s="293"/>
      <c r="D65" s="604"/>
      <c r="E65" s="605"/>
      <c r="F65" s="275"/>
      <c r="G65" s="275"/>
      <c r="H65" s="605"/>
      <c r="I65" s="605"/>
      <c r="J65" s="605"/>
      <c r="K65" s="605"/>
      <c r="L65" s="605"/>
      <c r="M65" s="605"/>
      <c r="N65" s="605"/>
      <c r="O65" s="605"/>
      <c r="P65" s="605"/>
      <c r="Q65" s="606"/>
    </row>
  </sheetData>
  <sheetProtection/>
  <mergeCells count="22">
    <mergeCell ref="B4:C4"/>
    <mergeCell ref="B15:C15"/>
    <mergeCell ref="B25:C25"/>
    <mergeCell ref="J13:K13"/>
    <mergeCell ref="B43:C43"/>
    <mergeCell ref="B54:C54"/>
    <mergeCell ref="D18:E65"/>
    <mergeCell ref="N15:O65"/>
    <mergeCell ref="H34:I65"/>
    <mergeCell ref="J17:K17"/>
    <mergeCell ref="L31:M65"/>
    <mergeCell ref="J19:K65"/>
    <mergeCell ref="P3:Q3"/>
    <mergeCell ref="B2:Q2"/>
    <mergeCell ref="P15:Q65"/>
    <mergeCell ref="L3:M3"/>
    <mergeCell ref="J3:K3"/>
    <mergeCell ref="H3:I3"/>
    <mergeCell ref="F3:G3"/>
    <mergeCell ref="B3:C3"/>
    <mergeCell ref="D3:E3"/>
    <mergeCell ref="N3:O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7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Plan13">
    <tabColor indexed="17"/>
  </sheetPr>
  <dimension ref="A1:AB96"/>
  <sheetViews>
    <sheetView zoomScale="85" zoomScaleNormal="85" zoomScalePageLayoutView="0" workbookViewId="0" topLeftCell="A1">
      <selection activeCell="I23" sqref="I23:M34"/>
    </sheetView>
  </sheetViews>
  <sheetFormatPr defaultColWidth="9.140625" defaultRowHeight="12.75"/>
  <cols>
    <col min="1" max="16384" width="9.140625" style="18" customWidth="1"/>
  </cols>
  <sheetData>
    <row r="1" spans="1:16" ht="13.5" thickBot="1">
      <c r="A1" s="632" t="s">
        <v>275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4"/>
    </row>
    <row r="2" spans="1:16" ht="13.5" thickBot="1">
      <c r="A2" s="731" t="s">
        <v>276</v>
      </c>
      <c r="B2" s="810"/>
      <c r="C2" s="810"/>
      <c r="D2" s="810"/>
      <c r="E2" s="810"/>
      <c r="F2" s="810"/>
      <c r="G2" s="810"/>
      <c r="H2" s="810"/>
      <c r="I2" s="811"/>
      <c r="J2" s="599"/>
      <c r="K2" s="599"/>
      <c r="L2" s="599"/>
      <c r="M2" s="599"/>
      <c r="N2" s="599"/>
      <c r="O2" s="599"/>
      <c r="P2" s="600"/>
    </row>
    <row r="3" spans="1:16" ht="13.5" thickBot="1">
      <c r="A3" s="54"/>
      <c r="B3" s="727" t="s">
        <v>6</v>
      </c>
      <c r="C3" s="727"/>
      <c r="D3" s="727"/>
      <c r="E3" s="727"/>
      <c r="F3" s="727"/>
      <c r="G3" s="727"/>
      <c r="H3" s="727"/>
      <c r="I3" s="728"/>
      <c r="J3" s="602"/>
      <c r="K3" s="602"/>
      <c r="L3" s="602"/>
      <c r="M3" s="602"/>
      <c r="N3" s="602"/>
      <c r="O3" s="602"/>
      <c r="P3" s="603"/>
    </row>
    <row r="4" spans="1:16" ht="12.75">
      <c r="A4" s="729" t="s">
        <v>45</v>
      </c>
      <c r="B4" s="34"/>
      <c r="C4" s="30">
        <v>1</v>
      </c>
      <c r="D4" s="30">
        <v>2</v>
      </c>
      <c r="E4" s="30">
        <v>4</v>
      </c>
      <c r="F4" s="30">
        <v>6</v>
      </c>
      <c r="G4" s="30">
        <v>8</v>
      </c>
      <c r="H4" s="30">
        <v>10</v>
      </c>
      <c r="I4" s="31">
        <v>12</v>
      </c>
      <c r="J4" s="602"/>
      <c r="K4" s="602"/>
      <c r="L4" s="602"/>
      <c r="M4" s="602"/>
      <c r="N4" s="602"/>
      <c r="O4" s="602"/>
      <c r="P4" s="603"/>
    </row>
    <row r="5" spans="1:16" ht="12.75">
      <c r="A5" s="729"/>
      <c r="B5" s="35">
        <v>0</v>
      </c>
      <c r="C5" s="20">
        <v>0.07875</v>
      </c>
      <c r="D5" s="20">
        <v>0.0794363</v>
      </c>
      <c r="E5" s="20">
        <v>0.0804657</v>
      </c>
      <c r="F5" s="20">
        <v>0.0813235</v>
      </c>
      <c r="G5" s="20">
        <v>0.0814951</v>
      </c>
      <c r="H5" s="20">
        <v>0.0816667</v>
      </c>
      <c r="I5" s="21">
        <v>0.0816667</v>
      </c>
      <c r="J5" s="602"/>
      <c r="K5" s="602"/>
      <c r="L5" s="602"/>
      <c r="M5" s="602"/>
      <c r="N5" s="602"/>
      <c r="O5" s="602"/>
      <c r="P5" s="603"/>
    </row>
    <row r="6" spans="1:16" ht="12.75">
      <c r="A6" s="729"/>
      <c r="B6" s="35">
        <v>0.1</v>
      </c>
      <c r="C6" s="20">
        <v>0.0806373</v>
      </c>
      <c r="D6" s="20">
        <v>0.0832108</v>
      </c>
      <c r="E6" s="20">
        <v>0.0868137</v>
      </c>
      <c r="F6" s="20">
        <v>0.0890441</v>
      </c>
      <c r="G6" s="20">
        <v>0.0907598</v>
      </c>
      <c r="H6" s="20">
        <v>0.0921324</v>
      </c>
      <c r="I6" s="21">
        <v>0.0933333</v>
      </c>
      <c r="J6" s="602"/>
      <c r="K6" s="602"/>
      <c r="L6" s="602"/>
      <c r="M6" s="602"/>
      <c r="N6" s="602"/>
      <c r="O6" s="602"/>
      <c r="P6" s="603"/>
    </row>
    <row r="7" spans="1:16" ht="12.75">
      <c r="A7" s="729"/>
      <c r="B7" s="35">
        <v>0.25</v>
      </c>
      <c r="C7" s="20">
        <v>0.0826961</v>
      </c>
      <c r="D7" s="20">
        <v>0.0871569</v>
      </c>
      <c r="E7" s="20">
        <v>0.093848</v>
      </c>
      <c r="F7" s="20">
        <v>0.0983088</v>
      </c>
      <c r="G7" s="20">
        <v>0.101225</v>
      </c>
      <c r="H7" s="20">
        <v>0.103284</v>
      </c>
      <c r="I7" s="21">
        <v>0.104828</v>
      </c>
      <c r="J7" s="602"/>
      <c r="K7" s="602"/>
      <c r="L7" s="602"/>
      <c r="M7" s="602"/>
      <c r="N7" s="602"/>
      <c r="O7" s="602"/>
      <c r="P7" s="603"/>
    </row>
    <row r="8" spans="1:16" ht="12.75">
      <c r="A8" s="729"/>
      <c r="B8" s="35">
        <v>0.5</v>
      </c>
      <c r="C8" s="20">
        <v>0.085098</v>
      </c>
      <c r="D8" s="20">
        <v>0.0914461</v>
      </c>
      <c r="E8" s="20">
        <v>0.101397</v>
      </c>
      <c r="F8" s="20">
        <v>0.107745</v>
      </c>
      <c r="G8" s="20">
        <v>0.112377</v>
      </c>
      <c r="H8" s="20">
        <v>0.115637</v>
      </c>
      <c r="I8" s="21">
        <v>0.118382</v>
      </c>
      <c r="J8" s="602"/>
      <c r="K8" s="602"/>
      <c r="L8" s="602"/>
      <c r="M8" s="602"/>
      <c r="N8" s="602"/>
      <c r="O8" s="602"/>
      <c r="P8" s="603"/>
    </row>
    <row r="9" spans="1:16" ht="12.75">
      <c r="A9" s="729"/>
      <c r="B9" s="35">
        <v>0.75</v>
      </c>
      <c r="C9" s="20">
        <v>0.0869853</v>
      </c>
      <c r="D9" s="20">
        <v>0.0945343</v>
      </c>
      <c r="E9" s="20">
        <v>0.106373</v>
      </c>
      <c r="F9" s="20">
        <v>0.114608</v>
      </c>
      <c r="G9" s="20">
        <v>0.12027</v>
      </c>
      <c r="H9" s="20">
        <v>0.124387</v>
      </c>
      <c r="I9" s="21">
        <v>0.127475</v>
      </c>
      <c r="J9" s="602"/>
      <c r="K9" s="602"/>
      <c r="L9" s="602"/>
      <c r="M9" s="602"/>
      <c r="N9" s="602"/>
      <c r="O9" s="602"/>
      <c r="P9" s="603"/>
    </row>
    <row r="10" spans="1:16" ht="13.5" thickBot="1">
      <c r="A10" s="730"/>
      <c r="B10" s="36">
        <v>1</v>
      </c>
      <c r="C10" s="20">
        <v>0.0883578</v>
      </c>
      <c r="D10" s="22">
        <v>0.0971078</v>
      </c>
      <c r="E10" s="22">
        <v>0.110147</v>
      </c>
      <c r="F10" s="22">
        <v>0.119412</v>
      </c>
      <c r="G10" s="22">
        <v>0.126103</v>
      </c>
      <c r="H10" s="22">
        <v>0.13125</v>
      </c>
      <c r="I10" s="23">
        <v>0.134853</v>
      </c>
      <c r="J10" s="602"/>
      <c r="K10" s="602"/>
      <c r="L10" s="602"/>
      <c r="M10" s="602"/>
      <c r="N10" s="602"/>
      <c r="O10" s="602"/>
      <c r="P10" s="603"/>
    </row>
    <row r="11" spans="1:16" ht="13.5" thickBot="1">
      <c r="A11" s="720" t="s">
        <v>277</v>
      </c>
      <c r="B11" s="721"/>
      <c r="C11" s="722"/>
      <c r="D11" s="598"/>
      <c r="E11" s="599"/>
      <c r="F11" s="599"/>
      <c r="G11" s="599"/>
      <c r="H11" s="599"/>
      <c r="I11" s="599"/>
      <c r="J11" s="602"/>
      <c r="K11" s="602"/>
      <c r="L11" s="602"/>
      <c r="M11" s="602"/>
      <c r="N11" s="602"/>
      <c r="O11" s="602"/>
      <c r="P11" s="603"/>
    </row>
    <row r="12" spans="1:16" ht="13.5" thickBot="1">
      <c r="A12" s="54"/>
      <c r="B12" s="63"/>
      <c r="C12" s="51" t="s">
        <v>19</v>
      </c>
      <c r="D12" s="601"/>
      <c r="E12" s="602"/>
      <c r="F12" s="602"/>
      <c r="G12" s="602"/>
      <c r="H12" s="602"/>
      <c r="I12" s="602"/>
      <c r="J12" s="602"/>
      <c r="K12" s="602"/>
      <c r="L12" s="602"/>
      <c r="M12" s="602"/>
      <c r="N12" s="602"/>
      <c r="O12" s="602"/>
      <c r="P12" s="603"/>
    </row>
    <row r="13" spans="1:16" ht="12.75">
      <c r="A13" s="729" t="s">
        <v>263</v>
      </c>
      <c r="B13" s="35">
        <v>0</v>
      </c>
      <c r="C13" s="21">
        <v>1</v>
      </c>
      <c r="D13" s="601"/>
      <c r="E13" s="602"/>
      <c r="F13" s="602"/>
      <c r="G13" s="602"/>
      <c r="H13" s="602"/>
      <c r="I13" s="602"/>
      <c r="J13" s="602"/>
      <c r="K13" s="602"/>
      <c r="L13" s="602"/>
      <c r="M13" s="602"/>
      <c r="N13" s="602"/>
      <c r="O13" s="602"/>
      <c r="P13" s="603"/>
    </row>
    <row r="14" spans="1:16" ht="12.75">
      <c r="A14" s="729"/>
      <c r="B14" s="35">
        <v>10</v>
      </c>
      <c r="C14" s="21">
        <v>1.1466</v>
      </c>
      <c r="D14" s="601"/>
      <c r="E14" s="602"/>
      <c r="F14" s="602"/>
      <c r="G14" s="602"/>
      <c r="H14" s="602"/>
      <c r="I14" s="602"/>
      <c r="J14" s="602"/>
      <c r="K14" s="602"/>
      <c r="L14" s="602"/>
      <c r="M14" s="602"/>
      <c r="N14" s="602"/>
      <c r="O14" s="602"/>
      <c r="P14" s="603"/>
    </row>
    <row r="15" spans="1:16" ht="12.75">
      <c r="A15" s="729"/>
      <c r="B15" s="35">
        <v>20</v>
      </c>
      <c r="C15" s="21">
        <v>1.3291</v>
      </c>
      <c r="D15" s="601"/>
      <c r="E15" s="602"/>
      <c r="F15" s="602"/>
      <c r="G15" s="602"/>
      <c r="H15" s="602"/>
      <c r="I15" s="602"/>
      <c r="J15" s="602"/>
      <c r="K15" s="602"/>
      <c r="L15" s="602"/>
      <c r="M15" s="602"/>
      <c r="N15" s="602"/>
      <c r="O15" s="602"/>
      <c r="P15" s="603"/>
    </row>
    <row r="16" spans="1:16" ht="12.75">
      <c r="A16" s="729"/>
      <c r="B16" s="35">
        <v>30</v>
      </c>
      <c r="C16" s="21">
        <v>1.5377</v>
      </c>
      <c r="D16" s="601"/>
      <c r="E16" s="602"/>
      <c r="F16" s="602"/>
      <c r="G16" s="602"/>
      <c r="H16" s="602"/>
      <c r="I16" s="602"/>
      <c r="J16" s="602"/>
      <c r="K16" s="602"/>
      <c r="L16" s="602"/>
      <c r="M16" s="602"/>
      <c r="N16" s="602"/>
      <c r="O16" s="602"/>
      <c r="P16" s="603"/>
    </row>
    <row r="17" spans="1:16" ht="12.75">
      <c r="A17" s="729"/>
      <c r="B17" s="35">
        <v>40</v>
      </c>
      <c r="C17" s="21">
        <v>1.7821</v>
      </c>
      <c r="D17" s="601"/>
      <c r="E17" s="602"/>
      <c r="F17" s="602"/>
      <c r="G17" s="602"/>
      <c r="H17" s="602"/>
      <c r="I17" s="602"/>
      <c r="J17" s="602"/>
      <c r="K17" s="602"/>
      <c r="L17" s="602"/>
      <c r="M17" s="602"/>
      <c r="N17" s="602"/>
      <c r="O17" s="602"/>
      <c r="P17" s="603"/>
    </row>
    <row r="18" spans="1:16" ht="12.75">
      <c r="A18" s="729"/>
      <c r="B18" s="35">
        <v>50</v>
      </c>
      <c r="C18" s="21">
        <v>2.1112</v>
      </c>
      <c r="D18" s="601"/>
      <c r="E18" s="602"/>
      <c r="F18" s="602"/>
      <c r="G18" s="602"/>
      <c r="H18" s="602"/>
      <c r="I18" s="602"/>
      <c r="J18" s="602"/>
      <c r="K18" s="602"/>
      <c r="L18" s="602"/>
      <c r="M18" s="602"/>
      <c r="N18" s="602"/>
      <c r="O18" s="602"/>
      <c r="P18" s="603"/>
    </row>
    <row r="19" spans="1:16" ht="13.5" thickBot="1">
      <c r="A19" s="730"/>
      <c r="B19" s="36">
        <v>60</v>
      </c>
      <c r="C19" s="21">
        <v>2.5479</v>
      </c>
      <c r="D19" s="601"/>
      <c r="E19" s="602"/>
      <c r="F19" s="602"/>
      <c r="G19" s="602"/>
      <c r="H19" s="602"/>
      <c r="I19" s="602"/>
      <c r="J19" s="602"/>
      <c r="K19" s="602"/>
      <c r="L19" s="602"/>
      <c r="M19" s="602"/>
      <c r="N19" s="602"/>
      <c r="O19" s="602"/>
      <c r="P19" s="603"/>
    </row>
    <row r="20" spans="1:28" ht="13.5" thickBot="1">
      <c r="A20" s="720" t="s">
        <v>278</v>
      </c>
      <c r="B20" s="721"/>
      <c r="C20" s="722"/>
      <c r="D20" s="601"/>
      <c r="E20" s="602"/>
      <c r="F20" s="602"/>
      <c r="G20" s="602"/>
      <c r="H20" s="602"/>
      <c r="I20" s="602"/>
      <c r="J20" s="602"/>
      <c r="K20" s="602"/>
      <c r="L20" s="602"/>
      <c r="M20" s="602"/>
      <c r="N20" s="602"/>
      <c r="O20" s="602"/>
      <c r="P20" s="603"/>
      <c r="Q20" s="73"/>
      <c r="R20" s="73"/>
      <c r="S20" s="73"/>
      <c r="T20" s="73"/>
      <c r="U20" s="73"/>
      <c r="V20" s="20"/>
      <c r="W20" s="668"/>
      <c r="X20" s="668"/>
      <c r="Y20" s="20"/>
      <c r="Z20" s="20"/>
      <c r="AA20" s="20"/>
      <c r="AB20" s="20"/>
    </row>
    <row r="21" spans="1:28" ht="13.5" thickBot="1">
      <c r="A21" s="54"/>
      <c r="B21" s="85"/>
      <c r="C21" s="16" t="s">
        <v>22</v>
      </c>
      <c r="D21" s="601"/>
      <c r="E21" s="602"/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3"/>
      <c r="V21" s="20"/>
      <c r="Y21" s="20"/>
      <c r="Z21" s="20"/>
      <c r="AA21" s="20"/>
      <c r="AB21" s="20"/>
    </row>
    <row r="22" spans="1:28" ht="12.75">
      <c r="A22" s="729" t="s">
        <v>263</v>
      </c>
      <c r="B22" s="98">
        <v>0</v>
      </c>
      <c r="C22" s="21">
        <v>0</v>
      </c>
      <c r="D22" s="601"/>
      <c r="E22" s="602"/>
      <c r="F22" s="602"/>
      <c r="G22" s="602"/>
      <c r="H22" s="602"/>
      <c r="I22" s="602"/>
      <c r="J22" s="602"/>
      <c r="K22" s="602"/>
      <c r="L22" s="602"/>
      <c r="M22" s="602"/>
      <c r="N22" s="602"/>
      <c r="O22" s="602"/>
      <c r="P22" s="603"/>
      <c r="V22" s="20"/>
      <c r="Y22" s="20"/>
      <c r="Z22" s="20"/>
      <c r="AA22" s="20"/>
      <c r="AB22" s="20"/>
    </row>
    <row r="23" spans="1:28" ht="12.75">
      <c r="A23" s="729"/>
      <c r="B23" s="35">
        <v>10</v>
      </c>
      <c r="C23" s="21">
        <v>0.0003877</v>
      </c>
      <c r="D23" s="601"/>
      <c r="E23" s="602"/>
      <c r="F23" s="602"/>
      <c r="G23" s="602"/>
      <c r="H23" s="602"/>
      <c r="I23" s="602"/>
      <c r="J23" s="602"/>
      <c r="K23" s="602"/>
      <c r="L23" s="602"/>
      <c r="M23" s="602"/>
      <c r="N23" s="602"/>
      <c r="O23" s="602"/>
      <c r="P23" s="603"/>
      <c r="V23" s="20"/>
      <c r="Y23" s="20"/>
      <c r="Z23" s="20"/>
      <c r="AA23" s="20"/>
      <c r="AB23" s="20"/>
    </row>
    <row r="24" spans="1:28" ht="12.75">
      <c r="A24" s="729"/>
      <c r="B24" s="35">
        <v>20</v>
      </c>
      <c r="C24" s="21">
        <v>0.0007753</v>
      </c>
      <c r="D24" s="601"/>
      <c r="E24" s="602"/>
      <c r="F24" s="602"/>
      <c r="G24" s="602"/>
      <c r="H24" s="602"/>
      <c r="I24" s="602"/>
      <c r="J24" s="602"/>
      <c r="K24" s="602"/>
      <c r="L24" s="602"/>
      <c r="M24" s="602"/>
      <c r="N24" s="602"/>
      <c r="O24" s="602"/>
      <c r="P24" s="603"/>
      <c r="V24" s="20"/>
      <c r="Y24" s="20"/>
      <c r="Z24" s="20"/>
      <c r="AA24" s="20"/>
      <c r="AB24" s="20"/>
    </row>
    <row r="25" spans="1:28" ht="12.75">
      <c r="A25" s="729"/>
      <c r="B25" s="35">
        <v>30</v>
      </c>
      <c r="C25" s="21">
        <v>0.0011366</v>
      </c>
      <c r="D25" s="601"/>
      <c r="E25" s="602"/>
      <c r="F25" s="602"/>
      <c r="G25" s="602"/>
      <c r="H25" s="602"/>
      <c r="I25" s="602"/>
      <c r="J25" s="602"/>
      <c r="K25" s="602"/>
      <c r="L25" s="602"/>
      <c r="M25" s="602"/>
      <c r="N25" s="602"/>
      <c r="O25" s="602"/>
      <c r="P25" s="603"/>
      <c r="V25" s="20"/>
      <c r="Y25" s="20"/>
      <c r="Z25" s="20"/>
      <c r="AA25" s="20"/>
      <c r="AB25" s="20"/>
    </row>
    <row r="26" spans="1:28" ht="12.75">
      <c r="A26" s="729"/>
      <c r="B26" s="35">
        <v>40</v>
      </c>
      <c r="C26" s="21">
        <v>0.0014625999999999999</v>
      </c>
      <c r="D26" s="601"/>
      <c r="E26" s="602"/>
      <c r="F26" s="602"/>
      <c r="G26" s="602"/>
      <c r="H26" s="602"/>
      <c r="I26" s="602"/>
      <c r="J26" s="602"/>
      <c r="K26" s="602"/>
      <c r="L26" s="602"/>
      <c r="M26" s="602"/>
      <c r="N26" s="602"/>
      <c r="O26" s="602"/>
      <c r="P26" s="603"/>
      <c r="V26" s="20"/>
      <c r="Y26" s="20"/>
      <c r="Z26" s="20"/>
      <c r="AA26" s="20"/>
      <c r="AB26" s="20"/>
    </row>
    <row r="27" spans="1:28" ht="12.75">
      <c r="A27" s="729"/>
      <c r="B27" s="35">
        <v>50</v>
      </c>
      <c r="C27" s="21">
        <v>0.0017357</v>
      </c>
      <c r="D27" s="601"/>
      <c r="E27" s="602"/>
      <c r="F27" s="602"/>
      <c r="G27" s="602"/>
      <c r="H27" s="602"/>
      <c r="I27" s="602"/>
      <c r="J27" s="602"/>
      <c r="K27" s="602"/>
      <c r="L27" s="602"/>
      <c r="M27" s="602"/>
      <c r="N27" s="602"/>
      <c r="O27" s="602"/>
      <c r="P27" s="603"/>
      <c r="V27" s="20"/>
      <c r="Y27" s="20"/>
      <c r="Z27" s="20"/>
      <c r="AA27" s="20"/>
      <c r="AB27" s="20"/>
    </row>
    <row r="28" spans="1:28" ht="13.5" thickBot="1">
      <c r="A28" s="730"/>
      <c r="B28" s="36">
        <v>60</v>
      </c>
      <c r="C28" s="21">
        <v>0.0019648</v>
      </c>
      <c r="D28" s="604"/>
      <c r="E28" s="605"/>
      <c r="F28" s="605"/>
      <c r="G28" s="605"/>
      <c r="H28" s="605"/>
      <c r="I28" s="605"/>
      <c r="J28" s="602"/>
      <c r="K28" s="602"/>
      <c r="L28" s="602"/>
      <c r="M28" s="602"/>
      <c r="N28" s="602"/>
      <c r="O28" s="602"/>
      <c r="P28" s="603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1:28" ht="13.5" thickBot="1">
      <c r="A29" s="720" t="s">
        <v>279</v>
      </c>
      <c r="B29" s="721"/>
      <c r="C29" s="721"/>
      <c r="D29" s="721"/>
      <c r="E29" s="721"/>
      <c r="F29" s="721"/>
      <c r="G29" s="721"/>
      <c r="H29" s="721"/>
      <c r="I29" s="722"/>
      <c r="J29" s="602"/>
      <c r="K29" s="602"/>
      <c r="L29" s="602"/>
      <c r="M29" s="602"/>
      <c r="N29" s="602"/>
      <c r="O29" s="602"/>
      <c r="P29" s="603"/>
      <c r="Q29" s="73"/>
      <c r="R29" s="73"/>
      <c r="S29" s="73"/>
      <c r="T29" s="73"/>
      <c r="U29" s="73"/>
      <c r="V29" s="73"/>
      <c r="W29" s="73"/>
      <c r="X29" s="73"/>
      <c r="Y29" s="20"/>
      <c r="Z29" s="20"/>
      <c r="AA29" s="20"/>
      <c r="AB29" s="20"/>
    </row>
    <row r="30" spans="1:28" ht="13.5" thickBot="1">
      <c r="A30" s="54"/>
      <c r="B30" s="629" t="s">
        <v>6</v>
      </c>
      <c r="C30" s="629"/>
      <c r="D30" s="629"/>
      <c r="E30" s="629"/>
      <c r="F30" s="629"/>
      <c r="G30" s="629"/>
      <c r="H30" s="629"/>
      <c r="I30" s="715"/>
      <c r="J30" s="602"/>
      <c r="K30" s="602"/>
      <c r="L30" s="602"/>
      <c r="M30" s="602"/>
      <c r="N30" s="602"/>
      <c r="O30" s="602"/>
      <c r="P30" s="603"/>
      <c r="Y30" s="20"/>
      <c r="Z30" s="20"/>
      <c r="AA30" s="20"/>
      <c r="AB30" s="20"/>
    </row>
    <row r="31" spans="1:28" ht="12.75">
      <c r="A31" s="729" t="s">
        <v>45</v>
      </c>
      <c r="B31" s="34"/>
      <c r="C31" s="30">
        <v>1</v>
      </c>
      <c r="D31" s="30">
        <v>2</v>
      </c>
      <c r="E31" s="30">
        <v>4</v>
      </c>
      <c r="F31" s="30">
        <v>6</v>
      </c>
      <c r="G31" s="30">
        <v>8</v>
      </c>
      <c r="H31" s="30">
        <v>10</v>
      </c>
      <c r="I31" s="31">
        <v>12</v>
      </c>
      <c r="J31" s="602"/>
      <c r="K31" s="602"/>
      <c r="L31" s="602"/>
      <c r="M31" s="602"/>
      <c r="N31" s="602"/>
      <c r="O31" s="602"/>
      <c r="P31" s="603"/>
      <c r="Y31" s="20"/>
      <c r="Z31" s="20"/>
      <c r="AA31" s="20"/>
      <c r="AB31" s="20"/>
    </row>
    <row r="32" spans="1:28" ht="12.75">
      <c r="A32" s="729"/>
      <c r="B32" s="35">
        <v>0</v>
      </c>
      <c r="C32" s="20">
        <v>-0.00028849999999999997</v>
      </c>
      <c r="D32" s="20">
        <v>-0.0005096</v>
      </c>
      <c r="E32" s="20">
        <v>-0.00075</v>
      </c>
      <c r="F32" s="20">
        <v>-0.0008846</v>
      </c>
      <c r="G32" s="20">
        <v>-0.0009231</v>
      </c>
      <c r="H32" s="20">
        <v>-0.0009519</v>
      </c>
      <c r="I32" s="21">
        <v>-0.0009519</v>
      </c>
      <c r="J32" s="602"/>
      <c r="K32" s="602"/>
      <c r="L32" s="602"/>
      <c r="M32" s="602"/>
      <c r="N32" s="602"/>
      <c r="O32" s="602"/>
      <c r="P32" s="603"/>
      <c r="Y32" s="20"/>
      <c r="Z32" s="20"/>
      <c r="AA32" s="20"/>
      <c r="AB32" s="20"/>
    </row>
    <row r="33" spans="1:28" ht="12.75">
      <c r="A33" s="729"/>
      <c r="B33" s="35">
        <v>0.1</v>
      </c>
      <c r="C33" s="20">
        <v>-0.0004712</v>
      </c>
      <c r="D33" s="20">
        <v>-0.00075</v>
      </c>
      <c r="E33" s="20">
        <v>-0.0011442000000000002</v>
      </c>
      <c r="F33" s="20">
        <v>-0.0014038</v>
      </c>
      <c r="G33" s="20">
        <v>-0.0015481</v>
      </c>
      <c r="H33" s="20">
        <v>-0.001625</v>
      </c>
      <c r="I33" s="21">
        <v>-0.0016538</v>
      </c>
      <c r="J33" s="602"/>
      <c r="K33" s="602"/>
      <c r="L33" s="602"/>
      <c r="M33" s="602"/>
      <c r="N33" s="602"/>
      <c r="O33" s="602"/>
      <c r="P33" s="603"/>
      <c r="Y33" s="20"/>
      <c r="Z33" s="20"/>
      <c r="AA33" s="20"/>
      <c r="AB33" s="20"/>
    </row>
    <row r="34" spans="1:28" ht="12.75">
      <c r="A34" s="729"/>
      <c r="B34" s="35">
        <v>0.25</v>
      </c>
      <c r="C34" s="20">
        <v>-0.0005769</v>
      </c>
      <c r="D34" s="20">
        <v>-0.0008846</v>
      </c>
      <c r="E34" s="20">
        <v>-0.0012981</v>
      </c>
      <c r="F34" s="20">
        <v>-0.0015673</v>
      </c>
      <c r="G34" s="20">
        <v>-0.0017404</v>
      </c>
      <c r="H34" s="20">
        <v>-0.001875</v>
      </c>
      <c r="I34" s="21">
        <v>-0.0019712</v>
      </c>
      <c r="J34" s="602"/>
      <c r="K34" s="602"/>
      <c r="L34" s="602"/>
      <c r="M34" s="602"/>
      <c r="N34" s="602"/>
      <c r="O34" s="602"/>
      <c r="P34" s="603"/>
      <c r="Y34" s="20"/>
      <c r="Z34" s="20"/>
      <c r="AA34" s="20"/>
      <c r="AB34" s="20"/>
    </row>
    <row r="35" spans="1:28" ht="12.75">
      <c r="A35" s="729"/>
      <c r="B35" s="35">
        <v>0.5</v>
      </c>
      <c r="C35" s="20">
        <v>-0.0006442</v>
      </c>
      <c r="D35" s="20">
        <v>-0.0009712</v>
      </c>
      <c r="E35" s="20">
        <v>-0.001375</v>
      </c>
      <c r="F35" s="20">
        <v>-0.0016538</v>
      </c>
      <c r="G35" s="20">
        <v>-0.001875</v>
      </c>
      <c r="H35" s="20">
        <v>-0.0020288</v>
      </c>
      <c r="I35" s="21">
        <v>-0.0021538</v>
      </c>
      <c r="J35" s="602"/>
      <c r="K35" s="602"/>
      <c r="L35" s="602"/>
      <c r="M35" s="602"/>
      <c r="N35" s="602"/>
      <c r="O35" s="602"/>
      <c r="P35" s="603"/>
      <c r="Y35" s="20"/>
      <c r="Z35" s="20"/>
      <c r="AA35" s="20"/>
      <c r="AB35" s="20"/>
    </row>
    <row r="36" spans="1:28" ht="12.75">
      <c r="A36" s="729"/>
      <c r="B36" s="35">
        <v>0.75</v>
      </c>
      <c r="C36" s="20">
        <v>-0.0006538000000000001</v>
      </c>
      <c r="D36" s="20">
        <v>-0.001</v>
      </c>
      <c r="E36" s="20">
        <v>-0.0014038</v>
      </c>
      <c r="F36" s="20">
        <v>-0.0016827</v>
      </c>
      <c r="G36" s="20">
        <v>-0.0019038</v>
      </c>
      <c r="H36" s="20">
        <v>-0.0020672999999999998</v>
      </c>
      <c r="I36" s="21">
        <v>-0.0022019</v>
      </c>
      <c r="J36" s="602"/>
      <c r="K36" s="602"/>
      <c r="L36" s="602"/>
      <c r="M36" s="602"/>
      <c r="N36" s="602"/>
      <c r="O36" s="602"/>
      <c r="P36" s="603"/>
      <c r="Y36" s="20"/>
      <c r="Z36" s="20"/>
      <c r="AA36" s="20"/>
      <c r="AB36" s="20"/>
    </row>
    <row r="37" spans="1:28" ht="13.5" thickBot="1">
      <c r="A37" s="730"/>
      <c r="B37" s="36">
        <v>1</v>
      </c>
      <c r="C37" s="20">
        <v>-0.0006538000000000001</v>
      </c>
      <c r="D37" s="20">
        <v>-0.0010096</v>
      </c>
      <c r="E37" s="20">
        <v>-0.0014135</v>
      </c>
      <c r="F37" s="20">
        <v>-0.0016922999999999999</v>
      </c>
      <c r="G37" s="20">
        <v>-0.0019231</v>
      </c>
      <c r="H37" s="20">
        <v>-0.0020769</v>
      </c>
      <c r="I37" s="21">
        <v>-0.0022115</v>
      </c>
      <c r="J37" s="605"/>
      <c r="K37" s="605"/>
      <c r="L37" s="605"/>
      <c r="M37" s="605"/>
      <c r="N37" s="605"/>
      <c r="O37" s="605"/>
      <c r="P37" s="606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1:28" ht="13.5" thickBot="1">
      <c r="A38" s="720" t="s">
        <v>282</v>
      </c>
      <c r="B38" s="721"/>
      <c r="C38" s="721"/>
      <c r="D38" s="721"/>
      <c r="E38" s="721"/>
      <c r="F38" s="721"/>
      <c r="G38" s="721"/>
      <c r="H38" s="721"/>
      <c r="I38" s="721"/>
      <c r="J38" s="721"/>
      <c r="K38" s="721"/>
      <c r="L38" s="721"/>
      <c r="M38" s="721"/>
      <c r="N38" s="721"/>
      <c r="O38" s="721"/>
      <c r="P38" s="72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</row>
    <row r="39" spans="1:16" ht="12.75" customHeight="1" thickBot="1">
      <c r="A39" s="54"/>
      <c r="B39" s="629" t="s">
        <v>280</v>
      </c>
      <c r="C39" s="629"/>
      <c r="D39" s="629"/>
      <c r="E39" s="629"/>
      <c r="F39" s="629"/>
      <c r="G39" s="629"/>
      <c r="H39" s="629"/>
      <c r="I39" s="629"/>
      <c r="J39" s="629"/>
      <c r="K39" s="629"/>
      <c r="L39" s="629"/>
      <c r="M39" s="629"/>
      <c r="N39" s="629"/>
      <c r="O39" s="629"/>
      <c r="P39" s="715"/>
    </row>
    <row r="40" spans="1:16" ht="12.75" customHeight="1">
      <c r="A40" s="729" t="s">
        <v>45</v>
      </c>
      <c r="B40" s="34"/>
      <c r="C40" s="30">
        <v>0</v>
      </c>
      <c r="D40" s="30">
        <v>0.1</v>
      </c>
      <c r="E40" s="30">
        <v>0.2</v>
      </c>
      <c r="F40" s="30">
        <v>0.3</v>
      </c>
      <c r="G40" s="30">
        <v>0.4</v>
      </c>
      <c r="H40" s="30">
        <v>0.46</v>
      </c>
      <c r="I40" s="30">
        <v>0.5</v>
      </c>
      <c r="J40" s="30">
        <v>0.54</v>
      </c>
      <c r="K40" s="30">
        <v>0.58</v>
      </c>
      <c r="L40" s="30">
        <v>0.62</v>
      </c>
      <c r="M40" s="30">
        <v>0.7</v>
      </c>
      <c r="N40" s="30">
        <v>0.8</v>
      </c>
      <c r="O40" s="30">
        <v>0.9</v>
      </c>
      <c r="P40" s="31">
        <v>1</v>
      </c>
    </row>
    <row r="41" spans="1:16" ht="12.75">
      <c r="A41" s="729"/>
      <c r="B41" s="35">
        <v>0</v>
      </c>
      <c r="C41" s="20">
        <v>0</v>
      </c>
      <c r="D41" s="20">
        <v>-0.0005641</v>
      </c>
      <c r="E41" s="20">
        <v>-0.0011795</v>
      </c>
      <c r="F41" s="20">
        <v>-0.0018462</v>
      </c>
      <c r="G41" s="20">
        <v>-0.0025128</v>
      </c>
      <c r="H41" s="20">
        <v>-0.0028033999999999997</v>
      </c>
      <c r="I41" s="20">
        <v>-0.0028889000000000002</v>
      </c>
      <c r="J41" s="20">
        <v>-0.0028889000000000002</v>
      </c>
      <c r="K41" s="20">
        <v>-0.002735</v>
      </c>
      <c r="L41" s="20">
        <v>-0.0024615</v>
      </c>
      <c r="M41" s="20">
        <v>-0.0019487</v>
      </c>
      <c r="N41" s="20">
        <v>-0.0008547</v>
      </c>
      <c r="O41" s="20">
        <v>-0.0001538</v>
      </c>
      <c r="P41" s="21">
        <v>0</v>
      </c>
    </row>
    <row r="42" spans="1:16" ht="12.75">
      <c r="A42" s="729"/>
      <c r="B42" s="35">
        <v>0.1</v>
      </c>
      <c r="C42" s="20">
        <v>0</v>
      </c>
      <c r="D42" s="20">
        <v>-0.0008376</v>
      </c>
      <c r="E42" s="20">
        <v>-0.001641</v>
      </c>
      <c r="F42" s="20">
        <v>-0.0024102999999999998</v>
      </c>
      <c r="G42" s="20">
        <v>-0.0029573</v>
      </c>
      <c r="H42" s="20">
        <v>-0.0032137</v>
      </c>
      <c r="I42" s="20">
        <v>-0.0032991</v>
      </c>
      <c r="J42" s="20">
        <v>-0.0032308</v>
      </c>
      <c r="K42" s="20">
        <v>-0.0031111</v>
      </c>
      <c r="L42" s="20">
        <v>-0.0028718</v>
      </c>
      <c r="M42" s="20">
        <v>-0.0023761</v>
      </c>
      <c r="N42" s="20">
        <v>-0.0013504</v>
      </c>
      <c r="O42" s="20">
        <v>-0.0005128</v>
      </c>
      <c r="P42" s="21">
        <v>0</v>
      </c>
    </row>
    <row r="43" spans="1:16" ht="12.75">
      <c r="A43" s="729"/>
      <c r="B43" s="35">
        <v>0.2</v>
      </c>
      <c r="C43" s="20">
        <v>0</v>
      </c>
      <c r="D43" s="20">
        <v>-0.0009231</v>
      </c>
      <c r="E43" s="20">
        <v>-0.0017607</v>
      </c>
      <c r="F43" s="20">
        <v>-0.0025812</v>
      </c>
      <c r="G43" s="20">
        <v>-0.0031623999999999997</v>
      </c>
      <c r="H43" s="20">
        <v>-0.0034017</v>
      </c>
      <c r="I43" s="20">
        <v>-0.0034701</v>
      </c>
      <c r="J43" s="20">
        <v>-0.003453</v>
      </c>
      <c r="K43" s="20">
        <v>-0.0033333</v>
      </c>
      <c r="L43" s="20">
        <v>-0.0031111</v>
      </c>
      <c r="M43" s="20">
        <v>-0.0026838</v>
      </c>
      <c r="N43" s="20">
        <v>-0.0017094</v>
      </c>
      <c r="O43" s="20">
        <v>-0.0007863</v>
      </c>
      <c r="P43" s="21">
        <v>0</v>
      </c>
    </row>
    <row r="44" spans="1:16" ht="12.75">
      <c r="A44" s="729"/>
      <c r="B44" s="35">
        <v>0.4</v>
      </c>
      <c r="C44" s="20">
        <v>0</v>
      </c>
      <c r="D44" s="20">
        <v>-0.0010084999999999998</v>
      </c>
      <c r="E44" s="20">
        <v>-0.0019145000000000002</v>
      </c>
      <c r="F44" s="20">
        <v>-0.0027692000000000003</v>
      </c>
      <c r="G44" s="20">
        <v>-0.0033504</v>
      </c>
      <c r="H44" s="20">
        <v>-0.0035726</v>
      </c>
      <c r="I44" s="20">
        <v>-0.0036581</v>
      </c>
      <c r="J44" s="20">
        <v>-0.0036238999999999998</v>
      </c>
      <c r="K44" s="20">
        <v>-0.0035214</v>
      </c>
      <c r="L44" s="20">
        <v>-0.0033161999999999996</v>
      </c>
      <c r="M44" s="20">
        <v>-0.0028205</v>
      </c>
      <c r="N44" s="20">
        <v>-0.0019829</v>
      </c>
      <c r="O44" s="20">
        <v>-0.0010598</v>
      </c>
      <c r="P44" s="21">
        <v>0</v>
      </c>
    </row>
    <row r="45" spans="1:28" ht="13.5" thickBot="1">
      <c r="A45" s="730"/>
      <c r="B45" s="36">
        <v>1</v>
      </c>
      <c r="C45" s="20">
        <v>0</v>
      </c>
      <c r="D45" s="20">
        <v>-0.0011282</v>
      </c>
      <c r="E45" s="22">
        <v>-0.0020513</v>
      </c>
      <c r="F45" s="22">
        <v>-0.0029230999999999997</v>
      </c>
      <c r="G45" s="22">
        <v>-0.0035214</v>
      </c>
      <c r="H45" s="22">
        <v>-0.0037607</v>
      </c>
      <c r="I45" s="22">
        <v>-0.003812</v>
      </c>
      <c r="J45" s="22">
        <v>-0.0037778</v>
      </c>
      <c r="K45" s="22">
        <v>-0.0036923</v>
      </c>
      <c r="L45" s="22">
        <v>-0.0035385</v>
      </c>
      <c r="M45" s="22">
        <v>-0.0030426999999999997</v>
      </c>
      <c r="N45" s="22">
        <v>-0.0022222</v>
      </c>
      <c r="O45" s="22">
        <v>-0.0011624</v>
      </c>
      <c r="P45" s="23">
        <v>0</v>
      </c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28" ht="13.5" thickBot="1">
      <c r="A46" s="643" t="s">
        <v>281</v>
      </c>
      <c r="B46" s="688"/>
      <c r="C46" s="688"/>
      <c r="D46" s="644"/>
      <c r="E46" s="598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60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1:28" ht="12.75" customHeight="1" thickBot="1">
      <c r="A47" s="869" t="s">
        <v>45</v>
      </c>
      <c r="B47" s="85"/>
      <c r="C47" s="629" t="s">
        <v>283</v>
      </c>
      <c r="D47" s="715"/>
      <c r="E47" s="601"/>
      <c r="F47" s="602"/>
      <c r="G47" s="602"/>
      <c r="H47" s="602"/>
      <c r="I47" s="602"/>
      <c r="J47" s="602"/>
      <c r="K47" s="602"/>
      <c r="L47" s="602"/>
      <c r="M47" s="602"/>
      <c r="N47" s="602"/>
      <c r="O47" s="602"/>
      <c r="P47" s="603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spans="1:28" ht="12.75">
      <c r="A48" s="729"/>
      <c r="B48" s="35">
        <v>0</v>
      </c>
      <c r="C48" s="668">
        <v>0</v>
      </c>
      <c r="D48" s="868"/>
      <c r="E48" s="601"/>
      <c r="F48" s="602"/>
      <c r="G48" s="602"/>
      <c r="H48" s="602"/>
      <c r="I48" s="602"/>
      <c r="J48" s="602"/>
      <c r="K48" s="602"/>
      <c r="L48" s="602"/>
      <c r="M48" s="602"/>
      <c r="N48" s="602"/>
      <c r="O48" s="602"/>
      <c r="P48" s="603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1:28" ht="12.75">
      <c r="A49" s="729"/>
      <c r="B49" s="35">
        <v>2</v>
      </c>
      <c r="C49" s="668">
        <v>0.3719</v>
      </c>
      <c r="D49" s="868"/>
      <c r="E49" s="601"/>
      <c r="F49" s="602"/>
      <c r="G49" s="602"/>
      <c r="H49" s="602"/>
      <c r="I49" s="602"/>
      <c r="J49" s="602"/>
      <c r="K49" s="602"/>
      <c r="L49" s="602"/>
      <c r="M49" s="602"/>
      <c r="N49" s="602"/>
      <c r="O49" s="602"/>
      <c r="P49" s="603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</row>
    <row r="50" spans="1:28" ht="12.75">
      <c r="A50" s="729"/>
      <c r="B50" s="35">
        <v>4</v>
      </c>
      <c r="C50" s="668">
        <v>0.593</v>
      </c>
      <c r="D50" s="868"/>
      <c r="E50" s="601"/>
      <c r="F50" s="602"/>
      <c r="G50" s="602"/>
      <c r="H50" s="602"/>
      <c r="I50" s="602"/>
      <c r="J50" s="602"/>
      <c r="K50" s="602"/>
      <c r="L50" s="602"/>
      <c r="M50" s="602"/>
      <c r="N50" s="602"/>
      <c r="O50" s="602"/>
      <c r="P50" s="603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</row>
    <row r="51" spans="1:28" ht="12.75">
      <c r="A51" s="729"/>
      <c r="B51" s="35">
        <v>6</v>
      </c>
      <c r="C51" s="668">
        <v>0.7404</v>
      </c>
      <c r="D51" s="868"/>
      <c r="E51" s="601"/>
      <c r="F51" s="602"/>
      <c r="G51" s="602"/>
      <c r="H51" s="602"/>
      <c r="I51" s="602"/>
      <c r="J51" s="602"/>
      <c r="K51" s="602"/>
      <c r="L51" s="602"/>
      <c r="M51" s="602"/>
      <c r="N51" s="602"/>
      <c r="O51" s="602"/>
      <c r="P51" s="603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</row>
    <row r="52" spans="1:28" ht="12.75">
      <c r="A52" s="729"/>
      <c r="B52" s="35">
        <v>8</v>
      </c>
      <c r="C52" s="668">
        <v>0.8561</v>
      </c>
      <c r="D52" s="868"/>
      <c r="E52" s="601"/>
      <c r="F52" s="602"/>
      <c r="G52" s="602"/>
      <c r="H52" s="602"/>
      <c r="I52" s="602"/>
      <c r="J52" s="602"/>
      <c r="K52" s="602"/>
      <c r="L52" s="602"/>
      <c r="M52" s="602"/>
      <c r="N52" s="602"/>
      <c r="O52" s="602"/>
      <c r="P52" s="603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</row>
    <row r="53" spans="1:28" ht="12.75">
      <c r="A53" s="729"/>
      <c r="B53" s="35">
        <v>10</v>
      </c>
      <c r="C53" s="668">
        <v>0.9404</v>
      </c>
      <c r="D53" s="868"/>
      <c r="E53" s="601"/>
      <c r="F53" s="602"/>
      <c r="G53" s="602"/>
      <c r="H53" s="602"/>
      <c r="I53" s="602"/>
      <c r="J53" s="602"/>
      <c r="K53" s="602"/>
      <c r="L53" s="602"/>
      <c r="M53" s="602"/>
      <c r="N53" s="602"/>
      <c r="O53" s="602"/>
      <c r="P53" s="603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1:28" ht="13.5" thickBot="1">
      <c r="A54" s="730"/>
      <c r="B54" s="36">
        <v>12</v>
      </c>
      <c r="C54" s="668">
        <v>1</v>
      </c>
      <c r="D54" s="868"/>
      <c r="E54" s="604"/>
      <c r="F54" s="605"/>
      <c r="G54" s="605"/>
      <c r="H54" s="602"/>
      <c r="I54" s="602"/>
      <c r="J54" s="602"/>
      <c r="K54" s="602"/>
      <c r="L54" s="602"/>
      <c r="M54" s="602"/>
      <c r="N54" s="602"/>
      <c r="O54" s="602"/>
      <c r="P54" s="603"/>
      <c r="T54" s="20"/>
      <c r="U54" s="20"/>
      <c r="V54" s="20"/>
      <c r="W54" s="20"/>
      <c r="X54" s="20"/>
      <c r="Y54" s="20"/>
      <c r="Z54" s="20"/>
      <c r="AA54" s="20"/>
      <c r="AB54" s="20"/>
    </row>
    <row r="55" spans="1:28" ht="13.5" thickBot="1">
      <c r="A55" s="731" t="s">
        <v>284</v>
      </c>
      <c r="B55" s="810"/>
      <c r="C55" s="810"/>
      <c r="D55" s="810"/>
      <c r="E55" s="810"/>
      <c r="F55" s="810"/>
      <c r="G55" s="811"/>
      <c r="H55" s="602"/>
      <c r="I55" s="602"/>
      <c r="J55" s="602"/>
      <c r="K55" s="602"/>
      <c r="L55" s="602"/>
      <c r="M55" s="602"/>
      <c r="N55" s="602"/>
      <c r="O55" s="602"/>
      <c r="P55" s="603"/>
      <c r="T55" s="20"/>
      <c r="U55" s="20"/>
      <c r="V55" s="20"/>
      <c r="W55" s="20"/>
      <c r="X55" s="20"/>
      <c r="Y55" s="20"/>
      <c r="Z55" s="20"/>
      <c r="AA55" s="20"/>
      <c r="AB55" s="20"/>
    </row>
    <row r="56" spans="1:28" ht="13.5" thickBot="1">
      <c r="A56" s="54"/>
      <c r="B56" s="629" t="s">
        <v>6</v>
      </c>
      <c r="C56" s="629"/>
      <c r="D56" s="629"/>
      <c r="E56" s="629"/>
      <c r="F56" s="629"/>
      <c r="G56" s="715"/>
      <c r="H56" s="602"/>
      <c r="I56" s="602"/>
      <c r="J56" s="602"/>
      <c r="K56" s="602"/>
      <c r="L56" s="602"/>
      <c r="M56" s="602"/>
      <c r="N56" s="602"/>
      <c r="O56" s="602"/>
      <c r="P56" s="603"/>
      <c r="T56" s="20"/>
      <c r="U56" s="20"/>
      <c r="V56" s="20"/>
      <c r="W56" s="20"/>
      <c r="X56" s="20"/>
      <c r="Y56" s="20"/>
      <c r="Z56" s="20"/>
      <c r="AA56" s="20"/>
      <c r="AB56" s="20"/>
    </row>
    <row r="57" spans="1:28" ht="12.75" customHeight="1">
      <c r="A57" s="729" t="s">
        <v>263</v>
      </c>
      <c r="B57" s="34"/>
      <c r="C57" s="30">
        <v>1</v>
      </c>
      <c r="D57" s="30">
        <v>2</v>
      </c>
      <c r="E57" s="30">
        <v>4</v>
      </c>
      <c r="F57" s="30">
        <v>8</v>
      </c>
      <c r="G57" s="31">
        <v>12</v>
      </c>
      <c r="H57" s="602"/>
      <c r="I57" s="602"/>
      <c r="J57" s="602"/>
      <c r="K57" s="602"/>
      <c r="L57" s="602"/>
      <c r="M57" s="602"/>
      <c r="N57" s="602"/>
      <c r="O57" s="602"/>
      <c r="P57" s="603"/>
      <c r="T57" s="20"/>
      <c r="U57" s="20"/>
      <c r="V57" s="20"/>
      <c r="W57" s="20"/>
      <c r="X57" s="20"/>
      <c r="Y57" s="20"/>
      <c r="Z57" s="20"/>
      <c r="AA57" s="20"/>
      <c r="AB57" s="20"/>
    </row>
    <row r="58" spans="1:28" ht="12.75">
      <c r="A58" s="729"/>
      <c r="B58" s="35">
        <v>0</v>
      </c>
      <c r="C58" s="20">
        <v>1.0297</v>
      </c>
      <c r="D58" s="20">
        <v>1.0459</v>
      </c>
      <c r="E58" s="20">
        <v>1.0622</v>
      </c>
      <c r="F58" s="20">
        <v>1.077</v>
      </c>
      <c r="G58" s="21">
        <v>1.0824</v>
      </c>
      <c r="H58" s="602"/>
      <c r="I58" s="602"/>
      <c r="J58" s="602"/>
      <c r="K58" s="602"/>
      <c r="L58" s="602"/>
      <c r="M58" s="602"/>
      <c r="N58" s="602"/>
      <c r="O58" s="602"/>
      <c r="P58" s="603"/>
      <c r="T58" s="20"/>
      <c r="U58" s="20"/>
      <c r="V58" s="20"/>
      <c r="W58" s="20"/>
      <c r="X58" s="20"/>
      <c r="Y58" s="20"/>
      <c r="Z58" s="20"/>
      <c r="AA58" s="20"/>
      <c r="AB58" s="20"/>
    </row>
    <row r="59" spans="1:28" ht="12.75">
      <c r="A59" s="729"/>
      <c r="B59" s="35">
        <v>20</v>
      </c>
      <c r="C59" s="20">
        <v>1.027</v>
      </c>
      <c r="D59" s="20">
        <v>1.0405</v>
      </c>
      <c r="E59" s="20">
        <v>1.0527</v>
      </c>
      <c r="F59" s="20">
        <v>1.0649</v>
      </c>
      <c r="G59" s="21">
        <v>1.0703</v>
      </c>
      <c r="H59" s="602"/>
      <c r="I59" s="602"/>
      <c r="J59" s="602"/>
      <c r="K59" s="602"/>
      <c r="L59" s="602"/>
      <c r="M59" s="602"/>
      <c r="N59" s="602"/>
      <c r="O59" s="602"/>
      <c r="P59" s="603"/>
      <c r="T59" s="20"/>
      <c r="U59" s="20"/>
      <c r="V59" s="20"/>
      <c r="W59" s="20"/>
      <c r="X59" s="20"/>
      <c r="Y59" s="20"/>
      <c r="Z59" s="20"/>
      <c r="AA59" s="20"/>
      <c r="AB59" s="20"/>
    </row>
    <row r="60" spans="1:28" ht="12.75">
      <c r="A60" s="729"/>
      <c r="B60" s="35">
        <v>40</v>
      </c>
      <c r="C60" s="20">
        <v>1.0189</v>
      </c>
      <c r="D60" s="20">
        <v>1.027</v>
      </c>
      <c r="E60" s="20">
        <v>1.0351</v>
      </c>
      <c r="F60" s="20">
        <v>1.0432</v>
      </c>
      <c r="G60" s="21">
        <v>1.0446</v>
      </c>
      <c r="H60" s="602"/>
      <c r="I60" s="602"/>
      <c r="J60" s="602"/>
      <c r="K60" s="602"/>
      <c r="L60" s="602"/>
      <c r="M60" s="602"/>
      <c r="N60" s="602"/>
      <c r="O60" s="602"/>
      <c r="P60" s="603"/>
      <c r="T60" s="20"/>
      <c r="U60" s="20"/>
      <c r="V60" s="20"/>
      <c r="W60" s="20"/>
      <c r="X60" s="20"/>
      <c r="Y60" s="20"/>
      <c r="Z60" s="20"/>
      <c r="AA60" s="20"/>
      <c r="AB60" s="20"/>
    </row>
    <row r="61" spans="1:28" ht="13.5" thickBot="1">
      <c r="A61" s="730"/>
      <c r="B61" s="36">
        <v>60</v>
      </c>
      <c r="C61" s="22">
        <v>1.0081</v>
      </c>
      <c r="D61" s="22">
        <v>1.0095</v>
      </c>
      <c r="E61" s="22">
        <v>1.0122</v>
      </c>
      <c r="F61" s="22">
        <v>1.0149</v>
      </c>
      <c r="G61" s="23">
        <v>1.0149</v>
      </c>
      <c r="H61" s="602"/>
      <c r="I61" s="602"/>
      <c r="J61" s="602"/>
      <c r="K61" s="602"/>
      <c r="L61" s="602"/>
      <c r="M61" s="602"/>
      <c r="N61" s="602"/>
      <c r="O61" s="602"/>
      <c r="P61" s="603"/>
      <c r="T61" s="20"/>
      <c r="U61" s="20"/>
      <c r="V61" s="20"/>
      <c r="W61" s="20"/>
      <c r="X61" s="20"/>
      <c r="Y61" s="20"/>
      <c r="Z61" s="20"/>
      <c r="AA61" s="20"/>
      <c r="AB61" s="20"/>
    </row>
    <row r="62" spans="1:28" ht="13.5" thickBot="1">
      <c r="A62" s="731" t="s">
        <v>285</v>
      </c>
      <c r="B62" s="810"/>
      <c r="C62" s="810"/>
      <c r="D62" s="810"/>
      <c r="E62" s="810"/>
      <c r="F62" s="810"/>
      <c r="G62" s="811"/>
      <c r="H62" s="602"/>
      <c r="I62" s="602"/>
      <c r="J62" s="602"/>
      <c r="K62" s="602"/>
      <c r="L62" s="602"/>
      <c r="M62" s="602"/>
      <c r="N62" s="602"/>
      <c r="O62" s="602"/>
      <c r="P62" s="603"/>
      <c r="T62" s="20"/>
      <c r="U62" s="20"/>
      <c r="V62" s="20"/>
      <c r="W62" s="20"/>
      <c r="X62" s="20"/>
      <c r="Y62" s="20"/>
      <c r="Z62" s="20"/>
      <c r="AA62" s="20"/>
      <c r="AB62" s="20"/>
    </row>
    <row r="63" spans="1:28" ht="13.5" thickBot="1">
      <c r="A63" s="54"/>
      <c r="B63" s="629" t="s">
        <v>6</v>
      </c>
      <c r="C63" s="629"/>
      <c r="D63" s="629"/>
      <c r="E63" s="629"/>
      <c r="F63" s="629"/>
      <c r="G63" s="715"/>
      <c r="H63" s="602"/>
      <c r="I63" s="602"/>
      <c r="J63" s="602"/>
      <c r="K63" s="602"/>
      <c r="L63" s="602"/>
      <c r="M63" s="602"/>
      <c r="N63" s="602"/>
      <c r="O63" s="602"/>
      <c r="P63" s="603"/>
      <c r="T63" s="20"/>
      <c r="U63" s="20"/>
      <c r="V63" s="20"/>
      <c r="W63" s="20"/>
      <c r="X63" s="20"/>
      <c r="Y63" s="20"/>
      <c r="Z63" s="20"/>
      <c r="AA63" s="20"/>
      <c r="AB63" s="20"/>
    </row>
    <row r="64" spans="1:28" ht="12.75">
      <c r="A64" s="729" t="s">
        <v>263</v>
      </c>
      <c r="B64" s="34"/>
      <c r="C64" s="30">
        <v>1</v>
      </c>
      <c r="D64" s="30">
        <v>2</v>
      </c>
      <c r="E64" s="30">
        <v>4</v>
      </c>
      <c r="F64" s="30">
        <v>8</v>
      </c>
      <c r="G64" s="31">
        <v>12</v>
      </c>
      <c r="H64" s="602"/>
      <c r="I64" s="602"/>
      <c r="J64" s="602"/>
      <c r="K64" s="602"/>
      <c r="L64" s="602"/>
      <c r="M64" s="602"/>
      <c r="N64" s="602"/>
      <c r="O64" s="602"/>
      <c r="P64" s="603"/>
      <c r="T64" s="20"/>
      <c r="U64" s="20"/>
      <c r="V64" s="20"/>
      <c r="W64" s="20"/>
      <c r="X64" s="20"/>
      <c r="Y64" s="20"/>
      <c r="Z64" s="20"/>
      <c r="AA64" s="20"/>
      <c r="AB64" s="20"/>
    </row>
    <row r="65" spans="1:28" ht="12.75">
      <c r="A65" s="729"/>
      <c r="B65" s="35">
        <v>0</v>
      </c>
      <c r="C65" s="20">
        <v>1.08014</v>
      </c>
      <c r="D65" s="20">
        <v>1.12808</v>
      </c>
      <c r="E65" s="20">
        <v>1.17534</v>
      </c>
      <c r="F65" s="20">
        <v>1.21644</v>
      </c>
      <c r="G65" s="21">
        <v>1.23356</v>
      </c>
      <c r="H65" s="602"/>
      <c r="I65" s="602"/>
      <c r="J65" s="602"/>
      <c r="K65" s="602"/>
      <c r="L65" s="602"/>
      <c r="M65" s="602"/>
      <c r="N65" s="602"/>
      <c r="O65" s="602"/>
      <c r="P65" s="603"/>
      <c r="T65" s="20"/>
      <c r="U65" s="20"/>
      <c r="V65" s="20"/>
      <c r="W65" s="20"/>
      <c r="X65" s="20"/>
      <c r="Y65" s="20"/>
      <c r="Z65" s="20"/>
      <c r="AA65" s="20"/>
      <c r="AB65" s="20"/>
    </row>
    <row r="66" spans="1:28" ht="12.75">
      <c r="A66" s="729"/>
      <c r="B66" s="35">
        <v>20</v>
      </c>
      <c r="C66" s="20">
        <v>1.07055</v>
      </c>
      <c r="D66" s="20">
        <v>1.10616</v>
      </c>
      <c r="E66" s="20">
        <v>1.14247</v>
      </c>
      <c r="F66" s="20">
        <v>1.17534</v>
      </c>
      <c r="G66" s="21">
        <v>1.19247</v>
      </c>
      <c r="H66" s="602"/>
      <c r="I66" s="602"/>
      <c r="J66" s="602"/>
      <c r="K66" s="602"/>
      <c r="L66" s="602"/>
      <c r="M66" s="602"/>
      <c r="N66" s="602"/>
      <c r="O66" s="602"/>
      <c r="P66" s="603"/>
      <c r="T66" s="20"/>
      <c r="U66" s="20"/>
      <c r="V66" s="20"/>
      <c r="W66" s="20"/>
      <c r="X66" s="20"/>
      <c r="Y66" s="20"/>
      <c r="Z66" s="20"/>
      <c r="AA66" s="20"/>
      <c r="AB66" s="20"/>
    </row>
    <row r="67" spans="1:28" ht="12.75">
      <c r="A67" s="729"/>
      <c r="B67" s="35">
        <v>40</v>
      </c>
      <c r="C67" s="20">
        <v>1.04795</v>
      </c>
      <c r="D67" s="20">
        <v>1.06507</v>
      </c>
      <c r="E67" s="20">
        <v>1.08699</v>
      </c>
      <c r="F67" s="20">
        <v>1.10822</v>
      </c>
      <c r="G67" s="21">
        <v>1.11438</v>
      </c>
      <c r="H67" s="602"/>
      <c r="I67" s="602"/>
      <c r="J67" s="602"/>
      <c r="K67" s="602"/>
      <c r="L67" s="602"/>
      <c r="M67" s="602"/>
      <c r="N67" s="602"/>
      <c r="O67" s="602"/>
      <c r="P67" s="603"/>
      <c r="T67" s="20"/>
      <c r="U67" s="20"/>
      <c r="V67" s="20"/>
      <c r="W67" s="20"/>
      <c r="X67" s="20"/>
      <c r="Y67" s="20"/>
      <c r="Z67" s="20"/>
      <c r="AA67" s="20"/>
      <c r="AB67" s="20"/>
    </row>
    <row r="68" spans="1:28" ht="13.5" thickBot="1">
      <c r="A68" s="730"/>
      <c r="B68" s="36">
        <v>60</v>
      </c>
      <c r="C68" s="20">
        <v>1.01644</v>
      </c>
      <c r="D68" s="20">
        <v>1.02123</v>
      </c>
      <c r="E68" s="20">
        <v>1.02877</v>
      </c>
      <c r="F68" s="20">
        <v>1.03425</v>
      </c>
      <c r="G68" s="21">
        <v>1.03699</v>
      </c>
      <c r="H68" s="602"/>
      <c r="I68" s="602"/>
      <c r="J68" s="602"/>
      <c r="K68" s="602"/>
      <c r="L68" s="602"/>
      <c r="M68" s="602"/>
      <c r="N68" s="602"/>
      <c r="O68" s="602"/>
      <c r="P68" s="603"/>
      <c r="T68" s="20"/>
      <c r="U68" s="20"/>
      <c r="V68" s="20"/>
      <c r="W68" s="20"/>
      <c r="X68" s="20"/>
      <c r="Y68" s="20"/>
      <c r="Z68" s="20"/>
      <c r="AA68" s="20"/>
      <c r="AB68" s="20"/>
    </row>
    <row r="69" spans="1:28" ht="13.5" thickBot="1">
      <c r="A69" s="731" t="s">
        <v>286</v>
      </c>
      <c r="B69" s="810"/>
      <c r="C69" s="810"/>
      <c r="D69" s="810"/>
      <c r="E69" s="810"/>
      <c r="F69" s="810"/>
      <c r="G69" s="811"/>
      <c r="H69" s="602"/>
      <c r="I69" s="602"/>
      <c r="J69" s="602"/>
      <c r="K69" s="602"/>
      <c r="L69" s="602"/>
      <c r="M69" s="602"/>
      <c r="N69" s="602"/>
      <c r="O69" s="602"/>
      <c r="P69" s="603"/>
      <c r="T69" s="20"/>
      <c r="U69" s="20"/>
      <c r="V69" s="20"/>
      <c r="W69" s="20"/>
      <c r="X69" s="20"/>
      <c r="Y69" s="20"/>
      <c r="Z69" s="20"/>
      <c r="AA69" s="20"/>
      <c r="AB69" s="20"/>
    </row>
    <row r="70" spans="1:28" ht="13.5" thickBot="1">
      <c r="A70" s="54"/>
      <c r="B70" s="727" t="s">
        <v>6</v>
      </c>
      <c r="C70" s="727"/>
      <c r="D70" s="727"/>
      <c r="E70" s="727"/>
      <c r="F70" s="727"/>
      <c r="G70" s="728"/>
      <c r="H70" s="602"/>
      <c r="I70" s="602"/>
      <c r="J70" s="602"/>
      <c r="K70" s="602"/>
      <c r="L70" s="602"/>
      <c r="M70" s="602"/>
      <c r="N70" s="602"/>
      <c r="O70" s="602"/>
      <c r="P70" s="603"/>
      <c r="T70" s="20"/>
      <c r="U70" s="20"/>
      <c r="V70" s="20"/>
      <c r="W70" s="20"/>
      <c r="X70" s="20"/>
      <c r="Y70" s="20"/>
      <c r="Z70" s="20"/>
      <c r="AA70" s="20"/>
      <c r="AB70" s="20"/>
    </row>
    <row r="71" spans="1:28" ht="12.75">
      <c r="A71" s="729" t="s">
        <v>263</v>
      </c>
      <c r="B71" s="60"/>
      <c r="C71" s="58">
        <v>1</v>
      </c>
      <c r="D71" s="58">
        <v>2</v>
      </c>
      <c r="E71" s="58">
        <v>4</v>
      </c>
      <c r="F71" s="58">
        <v>8</v>
      </c>
      <c r="G71" s="59">
        <v>12</v>
      </c>
      <c r="H71" s="602"/>
      <c r="I71" s="602"/>
      <c r="J71" s="602"/>
      <c r="K71" s="602"/>
      <c r="L71" s="602"/>
      <c r="M71" s="602"/>
      <c r="N71" s="602"/>
      <c r="O71" s="602"/>
      <c r="P71" s="603"/>
      <c r="T71" s="20"/>
      <c r="U71" s="20"/>
      <c r="V71" s="20"/>
      <c r="W71" s="20"/>
      <c r="X71" s="20"/>
      <c r="Y71" s="20"/>
      <c r="Z71" s="20"/>
      <c r="AA71" s="20"/>
      <c r="AB71" s="20"/>
    </row>
    <row r="72" spans="1:28" ht="12.75">
      <c r="A72" s="729"/>
      <c r="B72" s="35">
        <v>0</v>
      </c>
      <c r="C72" s="20">
        <v>1.12371</v>
      </c>
      <c r="D72" s="20">
        <v>1.20069</v>
      </c>
      <c r="E72" s="20">
        <v>1.28179</v>
      </c>
      <c r="F72" s="20">
        <v>1.35739</v>
      </c>
      <c r="G72" s="21">
        <v>1.38763</v>
      </c>
      <c r="H72" s="602"/>
      <c r="I72" s="602"/>
      <c r="J72" s="602"/>
      <c r="K72" s="602"/>
      <c r="L72" s="602"/>
      <c r="M72" s="602"/>
      <c r="N72" s="602"/>
      <c r="O72" s="602"/>
      <c r="P72" s="603"/>
      <c r="T72" s="20"/>
      <c r="U72" s="20"/>
      <c r="V72" s="20"/>
      <c r="W72" s="20"/>
      <c r="X72" s="20"/>
      <c r="Y72" s="20"/>
      <c r="Z72" s="20"/>
      <c r="AA72" s="20"/>
      <c r="AB72" s="20"/>
    </row>
    <row r="73" spans="1:28" ht="12.75">
      <c r="A73" s="729"/>
      <c r="B73" s="35">
        <v>20</v>
      </c>
      <c r="C73" s="20">
        <v>1.10859</v>
      </c>
      <c r="D73" s="20">
        <v>1.15395</v>
      </c>
      <c r="E73" s="20">
        <v>1.21443</v>
      </c>
      <c r="F73" s="20">
        <v>1.27216</v>
      </c>
      <c r="G73" s="21">
        <v>1.29966</v>
      </c>
      <c r="H73" s="602"/>
      <c r="I73" s="602"/>
      <c r="J73" s="602"/>
      <c r="K73" s="602"/>
      <c r="L73" s="602"/>
      <c r="M73" s="602"/>
      <c r="N73" s="602"/>
      <c r="O73" s="602"/>
      <c r="P73" s="603"/>
      <c r="T73" s="20"/>
      <c r="U73" s="20"/>
      <c r="V73" s="20"/>
      <c r="W73" s="20"/>
      <c r="X73" s="20"/>
      <c r="Y73" s="20"/>
      <c r="Z73" s="20"/>
      <c r="AA73" s="20"/>
      <c r="AB73" s="20"/>
    </row>
    <row r="74" spans="1:28" ht="12.75">
      <c r="A74" s="729"/>
      <c r="B74" s="35">
        <v>40</v>
      </c>
      <c r="C74" s="20">
        <v>1.06735</v>
      </c>
      <c r="D74" s="20">
        <v>1.09897</v>
      </c>
      <c r="E74" s="20">
        <v>1.12921</v>
      </c>
      <c r="F74" s="20">
        <v>1.14983</v>
      </c>
      <c r="G74" s="21">
        <v>1.1622</v>
      </c>
      <c r="H74" s="602"/>
      <c r="I74" s="602"/>
      <c r="J74" s="602"/>
      <c r="K74" s="602"/>
      <c r="L74" s="602"/>
      <c r="M74" s="602"/>
      <c r="N74" s="602"/>
      <c r="O74" s="602"/>
      <c r="P74" s="603"/>
      <c r="T74" s="20"/>
      <c r="U74" s="20"/>
      <c r="V74" s="20"/>
      <c r="W74" s="20"/>
      <c r="X74" s="20"/>
      <c r="Y74" s="20"/>
      <c r="Z74" s="20"/>
      <c r="AA74" s="20"/>
      <c r="AB74" s="20"/>
    </row>
    <row r="75" spans="1:28" ht="13.5" thickBot="1">
      <c r="A75" s="730"/>
      <c r="B75" s="36">
        <v>60</v>
      </c>
      <c r="C75" s="20">
        <v>1.02887</v>
      </c>
      <c r="D75" s="20">
        <v>1.03574</v>
      </c>
      <c r="E75" s="20">
        <v>1.04536</v>
      </c>
      <c r="F75" s="20">
        <v>1.04811</v>
      </c>
      <c r="G75" s="21">
        <v>1.04811</v>
      </c>
      <c r="H75" s="602"/>
      <c r="I75" s="602"/>
      <c r="J75" s="602"/>
      <c r="K75" s="602"/>
      <c r="L75" s="602"/>
      <c r="M75" s="602"/>
      <c r="N75" s="602"/>
      <c r="O75" s="602"/>
      <c r="P75" s="603"/>
      <c r="T75" s="20"/>
      <c r="U75" s="20"/>
      <c r="V75" s="20"/>
      <c r="W75" s="20"/>
      <c r="X75" s="20"/>
      <c r="Y75" s="20"/>
      <c r="Z75" s="20"/>
      <c r="AA75" s="20"/>
      <c r="AB75" s="20"/>
    </row>
    <row r="76" spans="1:28" ht="13.5" thickBot="1">
      <c r="A76" s="720" t="s">
        <v>288</v>
      </c>
      <c r="B76" s="721"/>
      <c r="C76" s="721"/>
      <c r="D76" s="721"/>
      <c r="E76" s="721"/>
      <c r="F76" s="721"/>
      <c r="G76" s="722"/>
      <c r="H76" s="602"/>
      <c r="I76" s="602"/>
      <c r="J76" s="602"/>
      <c r="K76" s="602"/>
      <c r="L76" s="602"/>
      <c r="M76" s="602"/>
      <c r="N76" s="602"/>
      <c r="O76" s="602"/>
      <c r="P76" s="603"/>
      <c r="T76" s="20"/>
      <c r="U76" s="20"/>
      <c r="V76" s="20"/>
      <c r="W76" s="20"/>
      <c r="X76" s="20"/>
      <c r="Y76" s="20"/>
      <c r="Z76" s="20"/>
      <c r="AA76" s="20"/>
      <c r="AB76" s="20"/>
    </row>
    <row r="77" spans="1:28" ht="13.5" thickBot="1">
      <c r="A77" s="54"/>
      <c r="B77" s="727" t="s">
        <v>6</v>
      </c>
      <c r="C77" s="727"/>
      <c r="D77" s="727"/>
      <c r="E77" s="727"/>
      <c r="F77" s="727"/>
      <c r="G77" s="728"/>
      <c r="H77" s="602"/>
      <c r="I77" s="602"/>
      <c r="J77" s="602"/>
      <c r="K77" s="602"/>
      <c r="L77" s="602"/>
      <c r="M77" s="602"/>
      <c r="N77" s="602"/>
      <c r="O77" s="602"/>
      <c r="P77" s="603"/>
      <c r="T77" s="20"/>
      <c r="U77" s="20"/>
      <c r="V77" s="20"/>
      <c r="W77" s="20"/>
      <c r="X77" s="20"/>
      <c r="Y77" s="20"/>
      <c r="Z77" s="20"/>
      <c r="AA77" s="20"/>
      <c r="AB77" s="20"/>
    </row>
    <row r="78" spans="1:28" ht="12.75">
      <c r="A78" s="729" t="s">
        <v>263</v>
      </c>
      <c r="B78" s="34"/>
      <c r="C78" s="30">
        <v>1</v>
      </c>
      <c r="D78" s="30">
        <v>2</v>
      </c>
      <c r="E78" s="30">
        <v>4</v>
      </c>
      <c r="F78" s="30">
        <v>8</v>
      </c>
      <c r="G78" s="31">
        <v>12</v>
      </c>
      <c r="H78" s="602"/>
      <c r="I78" s="602"/>
      <c r="J78" s="602"/>
      <c r="K78" s="602"/>
      <c r="L78" s="602"/>
      <c r="M78" s="602"/>
      <c r="N78" s="602"/>
      <c r="O78" s="602"/>
      <c r="P78" s="603"/>
      <c r="T78" s="20"/>
      <c r="U78" s="20"/>
      <c r="V78" s="20"/>
      <c r="W78" s="20"/>
      <c r="X78" s="20"/>
      <c r="Y78" s="20"/>
      <c r="Z78" s="20"/>
      <c r="AA78" s="20"/>
      <c r="AB78" s="20"/>
    </row>
    <row r="79" spans="1:28" ht="12.75">
      <c r="A79" s="729"/>
      <c r="B79" s="35">
        <v>0</v>
      </c>
      <c r="C79" s="20">
        <v>1.20629</v>
      </c>
      <c r="D79" s="20">
        <v>1.33281</v>
      </c>
      <c r="E79" s="20">
        <v>1.48409</v>
      </c>
      <c r="F79" s="20">
        <v>1.62436</v>
      </c>
      <c r="G79" s="21">
        <v>1.69312</v>
      </c>
      <c r="H79" s="602"/>
      <c r="I79" s="602"/>
      <c r="J79" s="602"/>
      <c r="K79" s="602"/>
      <c r="L79" s="602"/>
      <c r="M79" s="602"/>
      <c r="N79" s="602"/>
      <c r="O79" s="602"/>
      <c r="P79" s="603"/>
      <c r="T79" s="20"/>
      <c r="U79" s="20"/>
      <c r="V79" s="20"/>
      <c r="W79" s="20"/>
      <c r="X79" s="20"/>
      <c r="Y79" s="20"/>
      <c r="Z79" s="20"/>
      <c r="AA79" s="20"/>
      <c r="AB79" s="20"/>
    </row>
    <row r="80" spans="1:28" ht="12.75">
      <c r="A80" s="729"/>
      <c r="B80" s="35">
        <v>20</v>
      </c>
      <c r="C80" s="20">
        <v>1.1664</v>
      </c>
      <c r="D80" s="20">
        <v>1.27367</v>
      </c>
      <c r="E80" s="20">
        <v>1.37269</v>
      </c>
      <c r="F80" s="20">
        <v>1.47171</v>
      </c>
      <c r="G80" s="21">
        <v>1.51434</v>
      </c>
      <c r="H80" s="602"/>
      <c r="I80" s="602"/>
      <c r="J80" s="602"/>
      <c r="K80" s="602"/>
      <c r="L80" s="602"/>
      <c r="M80" s="602"/>
      <c r="N80" s="602"/>
      <c r="O80" s="602"/>
      <c r="P80" s="603"/>
      <c r="T80" s="20"/>
      <c r="U80" s="20"/>
      <c r="V80" s="20"/>
      <c r="W80" s="20"/>
      <c r="X80" s="20"/>
      <c r="Y80" s="20"/>
      <c r="Z80" s="20"/>
      <c r="AA80" s="20"/>
      <c r="AB80" s="20"/>
    </row>
    <row r="81" spans="1:28" ht="12.75">
      <c r="A81" s="729"/>
      <c r="B81" s="35">
        <v>40</v>
      </c>
      <c r="C81" s="20">
        <v>1.09489</v>
      </c>
      <c r="D81" s="20">
        <v>1.14165</v>
      </c>
      <c r="E81" s="20">
        <v>1.18566</v>
      </c>
      <c r="F81" s="20">
        <v>1.22141</v>
      </c>
      <c r="G81" s="21">
        <v>1.23654</v>
      </c>
      <c r="H81" s="602"/>
      <c r="I81" s="602"/>
      <c r="J81" s="602"/>
      <c r="K81" s="602"/>
      <c r="L81" s="602"/>
      <c r="M81" s="602"/>
      <c r="N81" s="602"/>
      <c r="O81" s="602"/>
      <c r="P81" s="603"/>
      <c r="T81" s="20"/>
      <c r="U81" s="20"/>
      <c r="V81" s="20"/>
      <c r="W81" s="20"/>
      <c r="X81" s="20"/>
      <c r="Y81" s="20"/>
      <c r="Z81" s="20"/>
      <c r="AA81" s="20"/>
      <c r="AB81" s="20"/>
    </row>
    <row r="82" spans="1:28" ht="13.5" thickBot="1">
      <c r="A82" s="730"/>
      <c r="B82" s="36">
        <v>60</v>
      </c>
      <c r="C82" s="20">
        <v>1.022</v>
      </c>
      <c r="D82" s="20">
        <v>1.04401</v>
      </c>
      <c r="E82" s="20">
        <v>1.05501</v>
      </c>
      <c r="F82" s="20">
        <v>1.06051</v>
      </c>
      <c r="G82" s="21">
        <v>1.06601</v>
      </c>
      <c r="H82" s="602"/>
      <c r="I82" s="602"/>
      <c r="J82" s="602"/>
      <c r="K82" s="602"/>
      <c r="L82" s="602"/>
      <c r="M82" s="602"/>
      <c r="N82" s="602"/>
      <c r="O82" s="602"/>
      <c r="P82" s="603"/>
      <c r="T82" s="20"/>
      <c r="U82" s="20"/>
      <c r="V82" s="20"/>
      <c r="W82" s="20"/>
      <c r="X82" s="20"/>
      <c r="Y82" s="20"/>
      <c r="Z82" s="20"/>
      <c r="AA82" s="20"/>
      <c r="AB82" s="20"/>
    </row>
    <row r="83" spans="1:28" ht="13.5" thickBot="1">
      <c r="A83" s="720" t="s">
        <v>287</v>
      </c>
      <c r="B83" s="721"/>
      <c r="C83" s="721"/>
      <c r="D83" s="721"/>
      <c r="E83" s="721"/>
      <c r="F83" s="721"/>
      <c r="G83" s="722"/>
      <c r="H83" s="602"/>
      <c r="I83" s="602"/>
      <c r="J83" s="602"/>
      <c r="K83" s="602"/>
      <c r="L83" s="602"/>
      <c r="M83" s="602"/>
      <c r="N83" s="602"/>
      <c r="O83" s="602"/>
      <c r="P83" s="603"/>
      <c r="T83" s="20"/>
      <c r="U83" s="20"/>
      <c r="V83" s="20"/>
      <c r="W83" s="20"/>
      <c r="X83" s="20"/>
      <c r="Y83" s="20"/>
      <c r="Z83" s="20"/>
      <c r="AA83" s="20"/>
      <c r="AB83" s="20"/>
    </row>
    <row r="84" spans="1:28" ht="13.5" thickBot="1">
      <c r="A84" s="54"/>
      <c r="B84" s="727" t="s">
        <v>6</v>
      </c>
      <c r="C84" s="727"/>
      <c r="D84" s="727"/>
      <c r="E84" s="727"/>
      <c r="F84" s="727"/>
      <c r="G84" s="728"/>
      <c r="H84" s="602"/>
      <c r="I84" s="602"/>
      <c r="J84" s="602"/>
      <c r="K84" s="602"/>
      <c r="L84" s="602"/>
      <c r="M84" s="602"/>
      <c r="N84" s="602"/>
      <c r="O84" s="602"/>
      <c r="P84" s="603"/>
      <c r="T84" s="20"/>
      <c r="U84" s="20"/>
      <c r="V84" s="20"/>
      <c r="W84" s="20"/>
      <c r="X84" s="20"/>
      <c r="Y84" s="20"/>
      <c r="Z84" s="20"/>
      <c r="AA84" s="20"/>
      <c r="AB84" s="20"/>
    </row>
    <row r="85" spans="1:28" ht="12.75">
      <c r="A85" s="729" t="s">
        <v>263</v>
      </c>
      <c r="B85" s="34"/>
      <c r="C85" s="30">
        <v>1</v>
      </c>
      <c r="D85" s="30">
        <v>2</v>
      </c>
      <c r="E85" s="30">
        <v>4</v>
      </c>
      <c r="F85" s="30">
        <v>8</v>
      </c>
      <c r="G85" s="31">
        <v>12</v>
      </c>
      <c r="H85" s="602"/>
      <c r="I85" s="602"/>
      <c r="J85" s="602"/>
      <c r="K85" s="602"/>
      <c r="L85" s="602"/>
      <c r="M85" s="602"/>
      <c r="N85" s="602"/>
      <c r="O85" s="602"/>
      <c r="P85" s="603"/>
      <c r="T85" s="20"/>
      <c r="U85" s="20"/>
      <c r="V85" s="20"/>
      <c r="W85" s="20"/>
      <c r="X85" s="20"/>
      <c r="Y85" s="20"/>
      <c r="Z85" s="20"/>
      <c r="AA85" s="20"/>
      <c r="AB85" s="20"/>
    </row>
    <row r="86" spans="1:28" ht="12.75">
      <c r="A86" s="729"/>
      <c r="B86" s="35">
        <v>0</v>
      </c>
      <c r="C86" s="20">
        <v>1.37599</v>
      </c>
      <c r="D86" s="20">
        <v>1.63945</v>
      </c>
      <c r="E86" s="20">
        <v>1.99348</v>
      </c>
      <c r="F86" s="20">
        <v>2.35575</v>
      </c>
      <c r="G86" s="21">
        <v>2.53688</v>
      </c>
      <c r="H86" s="602"/>
      <c r="I86" s="602"/>
      <c r="J86" s="602"/>
      <c r="K86" s="602"/>
      <c r="L86" s="602"/>
      <c r="M86" s="602"/>
      <c r="N86" s="602"/>
      <c r="O86" s="602"/>
      <c r="P86" s="603"/>
      <c r="T86" s="20"/>
      <c r="U86" s="20"/>
      <c r="V86" s="20"/>
      <c r="W86" s="20"/>
      <c r="X86" s="20"/>
      <c r="Y86" s="20"/>
      <c r="Z86" s="20"/>
      <c r="AA86" s="20"/>
      <c r="AB86" s="20"/>
    </row>
    <row r="87" spans="1:28" ht="12.75">
      <c r="A87" s="729"/>
      <c r="B87" s="35">
        <v>20</v>
      </c>
      <c r="C87" s="20">
        <v>1.2717</v>
      </c>
      <c r="D87" s="20">
        <v>1.45557</v>
      </c>
      <c r="E87" s="20">
        <v>1.66141</v>
      </c>
      <c r="F87" s="20">
        <v>1.85901</v>
      </c>
      <c r="G87" s="21">
        <v>1.95506</v>
      </c>
      <c r="H87" s="602"/>
      <c r="I87" s="602"/>
      <c r="J87" s="602"/>
      <c r="K87" s="602"/>
      <c r="L87" s="602"/>
      <c r="M87" s="602"/>
      <c r="N87" s="602"/>
      <c r="O87" s="602"/>
      <c r="P87" s="603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</row>
    <row r="88" spans="1:16" ht="12.75">
      <c r="A88" s="729"/>
      <c r="B88" s="35">
        <v>40</v>
      </c>
      <c r="C88" s="20">
        <v>1.13448</v>
      </c>
      <c r="D88" s="20">
        <v>1.20309</v>
      </c>
      <c r="E88" s="20">
        <v>1.27444</v>
      </c>
      <c r="F88" s="20">
        <v>1.32933</v>
      </c>
      <c r="G88" s="21">
        <v>1.35403</v>
      </c>
      <c r="H88" s="602"/>
      <c r="I88" s="602"/>
      <c r="J88" s="602"/>
      <c r="K88" s="602"/>
      <c r="L88" s="602"/>
      <c r="M88" s="602"/>
      <c r="N88" s="602"/>
      <c r="O88" s="602"/>
      <c r="P88" s="603"/>
    </row>
    <row r="89" spans="1:16" ht="13.5" thickBot="1">
      <c r="A89" s="730"/>
      <c r="B89" s="36">
        <v>60</v>
      </c>
      <c r="C89" s="22">
        <v>1.04391</v>
      </c>
      <c r="D89" s="22">
        <v>1.05763</v>
      </c>
      <c r="E89" s="22">
        <v>1.07136</v>
      </c>
      <c r="F89" s="22">
        <v>1.08508</v>
      </c>
      <c r="G89" s="23">
        <v>1.09057</v>
      </c>
      <c r="H89" s="602"/>
      <c r="I89" s="602"/>
      <c r="J89" s="602"/>
      <c r="K89" s="602"/>
      <c r="L89" s="602"/>
      <c r="M89" s="602"/>
      <c r="N89" s="602"/>
      <c r="O89" s="602"/>
      <c r="P89" s="603"/>
    </row>
    <row r="90" spans="1:16" ht="13.5" thickBot="1">
      <c r="A90" s="643" t="s">
        <v>289</v>
      </c>
      <c r="B90" s="688"/>
      <c r="C90" s="644"/>
      <c r="D90" s="598"/>
      <c r="E90" s="599"/>
      <c r="F90" s="599"/>
      <c r="G90" s="599"/>
      <c r="H90" s="602"/>
      <c r="I90" s="602"/>
      <c r="J90" s="602"/>
      <c r="K90" s="602"/>
      <c r="L90" s="602"/>
      <c r="M90" s="602"/>
      <c r="N90" s="602"/>
      <c r="O90" s="602"/>
      <c r="P90" s="603"/>
    </row>
    <row r="91" spans="1:16" ht="13.5" thickBot="1">
      <c r="A91" s="54"/>
      <c r="B91" s="85"/>
      <c r="C91" s="16" t="s">
        <v>290</v>
      </c>
      <c r="D91" s="601"/>
      <c r="E91" s="602"/>
      <c r="F91" s="602"/>
      <c r="G91" s="602"/>
      <c r="H91" s="602"/>
      <c r="I91" s="602"/>
      <c r="J91" s="602"/>
      <c r="K91" s="602"/>
      <c r="L91" s="602"/>
      <c r="M91" s="602"/>
      <c r="N91" s="602"/>
      <c r="O91" s="602"/>
      <c r="P91" s="603"/>
    </row>
    <row r="92" spans="1:16" ht="12.75">
      <c r="A92" s="729" t="s">
        <v>5</v>
      </c>
      <c r="B92" s="35">
        <v>0.4</v>
      </c>
      <c r="C92" s="21" t="e">
        <f>DITP('Coeficientes Latero-Direcionais'!$E$5,'Dados Geométricos'!$E$15,'ESDU 72021'!B57:G61)</f>
        <v>#NAME?</v>
      </c>
      <c r="D92" s="601"/>
      <c r="E92" s="602"/>
      <c r="F92" s="602"/>
      <c r="G92" s="602"/>
      <c r="H92" s="602"/>
      <c r="I92" s="602"/>
      <c r="J92" s="602"/>
      <c r="K92" s="602"/>
      <c r="L92" s="602"/>
      <c r="M92" s="602"/>
      <c r="N92" s="602"/>
      <c r="O92" s="602"/>
      <c r="P92" s="603"/>
    </row>
    <row r="93" spans="1:16" ht="12.75">
      <c r="A93" s="729"/>
      <c r="B93" s="35">
        <v>0.6</v>
      </c>
      <c r="C93" s="21" t="e">
        <f>DITP('Coeficientes Latero-Direcionais'!$E$5,'Dados Geométricos'!$E$15,'ESDU 72021'!B64:G68)</f>
        <v>#NAME?</v>
      </c>
      <c r="D93" s="601"/>
      <c r="E93" s="602"/>
      <c r="F93" s="602"/>
      <c r="G93" s="602"/>
      <c r="H93" s="602"/>
      <c r="I93" s="602"/>
      <c r="J93" s="602"/>
      <c r="K93" s="602"/>
      <c r="L93" s="602"/>
      <c r="M93" s="602"/>
      <c r="N93" s="602"/>
      <c r="O93" s="602"/>
      <c r="P93" s="603"/>
    </row>
    <row r="94" spans="1:16" ht="12.75">
      <c r="A94" s="729"/>
      <c r="B94" s="35">
        <v>0.7</v>
      </c>
      <c r="C94" s="21" t="e">
        <f>DITP('Coeficientes Latero-Direcionais'!$E$5,'Dados Geométricos'!$E$15,'ESDU 72021'!B71:G75)</f>
        <v>#NAME?</v>
      </c>
      <c r="D94" s="601"/>
      <c r="E94" s="602"/>
      <c r="F94" s="602"/>
      <c r="G94" s="602"/>
      <c r="H94" s="602"/>
      <c r="I94" s="602"/>
      <c r="J94" s="602"/>
      <c r="K94" s="602"/>
      <c r="L94" s="602"/>
      <c r="M94" s="602"/>
      <c r="N94" s="602"/>
      <c r="O94" s="602"/>
      <c r="P94" s="603"/>
    </row>
    <row r="95" spans="1:16" ht="12.75">
      <c r="A95" s="729"/>
      <c r="B95" s="35">
        <v>0.8</v>
      </c>
      <c r="C95" s="21" t="e">
        <f>DITP('Coeficientes Latero-Direcionais'!$E$5,'Dados Geométricos'!$E$15,'ESDU 72021'!B78:G82)</f>
        <v>#NAME?</v>
      </c>
      <c r="D95" s="601"/>
      <c r="E95" s="602"/>
      <c r="F95" s="602"/>
      <c r="G95" s="602"/>
      <c r="H95" s="602"/>
      <c r="I95" s="602"/>
      <c r="J95" s="602"/>
      <c r="K95" s="602"/>
      <c r="L95" s="602"/>
      <c r="M95" s="602"/>
      <c r="N95" s="602"/>
      <c r="O95" s="602"/>
      <c r="P95" s="603"/>
    </row>
    <row r="96" spans="1:16" ht="13.5" thickBot="1">
      <c r="A96" s="730"/>
      <c r="B96" s="36">
        <v>0.9</v>
      </c>
      <c r="C96" s="23" t="e">
        <f>DITP('Coeficientes Latero-Direcionais'!$E$5,'Dados Geométricos'!$E$15,'ESDU 72021'!B85:G89)</f>
        <v>#NAME?</v>
      </c>
      <c r="D96" s="604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6"/>
    </row>
  </sheetData>
  <sheetProtection/>
  <mergeCells count="47">
    <mergeCell ref="D90:G96"/>
    <mergeCell ref="A20:C20"/>
    <mergeCell ref="B84:G84"/>
    <mergeCell ref="A85:A89"/>
    <mergeCell ref="A92:A96"/>
    <mergeCell ref="A83:G83"/>
    <mergeCell ref="B70:G70"/>
    <mergeCell ref="A71:A75"/>
    <mergeCell ref="A62:G62"/>
    <mergeCell ref="A55:G55"/>
    <mergeCell ref="A1:P1"/>
    <mergeCell ref="A46:D46"/>
    <mergeCell ref="A90:C90"/>
    <mergeCell ref="J2:P37"/>
    <mergeCell ref="D11:I28"/>
    <mergeCell ref="H46:P96"/>
    <mergeCell ref="E46:G54"/>
    <mergeCell ref="A76:G76"/>
    <mergeCell ref="B77:G77"/>
    <mergeCell ref="A78:A82"/>
    <mergeCell ref="A2:I2"/>
    <mergeCell ref="A13:A19"/>
    <mergeCell ref="A11:C11"/>
    <mergeCell ref="A69:G69"/>
    <mergeCell ref="B39:P39"/>
    <mergeCell ref="A38:P38"/>
    <mergeCell ref="C48:D48"/>
    <mergeCell ref="C49:D49"/>
    <mergeCell ref="C50:D50"/>
    <mergeCell ref="A40:A45"/>
    <mergeCell ref="A22:A28"/>
    <mergeCell ref="A31:A37"/>
    <mergeCell ref="B30:I30"/>
    <mergeCell ref="A29:I29"/>
    <mergeCell ref="W20:X20"/>
    <mergeCell ref="B3:I3"/>
    <mergeCell ref="A4:A10"/>
    <mergeCell ref="B63:G63"/>
    <mergeCell ref="A64:A68"/>
    <mergeCell ref="C54:D54"/>
    <mergeCell ref="C47:D47"/>
    <mergeCell ref="A47:A54"/>
    <mergeCell ref="A57:A61"/>
    <mergeCell ref="B56:G56"/>
    <mergeCell ref="C51:D51"/>
    <mergeCell ref="C52:D52"/>
    <mergeCell ref="C53:D5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Plan14">
    <tabColor indexed="17"/>
  </sheetPr>
  <dimension ref="A1:N57"/>
  <sheetViews>
    <sheetView zoomScale="85" zoomScaleNormal="85" zoomScalePageLayoutView="0" workbookViewId="0" topLeftCell="A1">
      <selection activeCell="L57" sqref="L57"/>
    </sheetView>
  </sheetViews>
  <sheetFormatPr defaultColWidth="9.140625" defaultRowHeight="12.75"/>
  <cols>
    <col min="1" max="16384" width="9.140625" style="18" customWidth="1"/>
  </cols>
  <sheetData>
    <row r="1" spans="1:13" ht="13.5" thickBot="1">
      <c r="A1" s="632" t="s">
        <v>293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4"/>
    </row>
    <row r="2" spans="1:13" ht="13.5" thickBot="1">
      <c r="A2" s="720" t="s">
        <v>292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2"/>
    </row>
    <row r="3" spans="1:13" ht="13.5" thickBot="1">
      <c r="A3" s="54"/>
      <c r="B3" s="727" t="s">
        <v>87</v>
      </c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8"/>
    </row>
    <row r="4" spans="1:13" ht="12.75">
      <c r="A4" s="729" t="s">
        <v>291</v>
      </c>
      <c r="B4" s="34"/>
      <c r="C4" s="95">
        <v>0.02</v>
      </c>
      <c r="D4" s="30">
        <v>0.04</v>
      </c>
      <c r="E4" s="95">
        <v>0.06</v>
      </c>
      <c r="F4" s="30">
        <v>0.08</v>
      </c>
      <c r="G4" s="95">
        <v>0.1</v>
      </c>
      <c r="H4" s="30">
        <v>0.12</v>
      </c>
      <c r="I4" s="95">
        <v>0.14</v>
      </c>
      <c r="J4" s="30">
        <v>0.16</v>
      </c>
      <c r="K4" s="95">
        <v>0.18</v>
      </c>
      <c r="L4" s="30">
        <v>0.2</v>
      </c>
      <c r="M4" s="96">
        <v>0.22</v>
      </c>
    </row>
    <row r="5" spans="1:13" ht="12.75">
      <c r="A5" s="729"/>
      <c r="B5" s="35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26">
        <v>0</v>
      </c>
    </row>
    <row r="6" spans="1:13" ht="12.75">
      <c r="A6" s="729"/>
      <c r="B6" s="35">
        <v>0.1</v>
      </c>
      <c r="C6" s="33">
        <v>0.00030000000000000003</v>
      </c>
      <c r="D6" s="33">
        <v>0.0007</v>
      </c>
      <c r="E6" s="33">
        <v>0.0016</v>
      </c>
      <c r="F6" s="33">
        <v>0.0025</v>
      </c>
      <c r="G6" s="33">
        <v>0.0039</v>
      </c>
      <c r="H6" s="33">
        <v>0.0050999999999999995</v>
      </c>
      <c r="I6" s="33">
        <v>0.0068000000000000005</v>
      </c>
      <c r="J6" s="33">
        <v>0.008400000000000001</v>
      </c>
      <c r="K6" s="33">
        <v>0.0103</v>
      </c>
      <c r="L6" s="33">
        <v>0.0121</v>
      </c>
      <c r="M6" s="26">
        <v>0.013800000000000002</v>
      </c>
    </row>
    <row r="7" spans="1:13" ht="12.75">
      <c r="A7" s="729"/>
      <c r="B7" s="35">
        <v>0.2</v>
      </c>
      <c r="C7" s="33">
        <v>0.0005</v>
      </c>
      <c r="D7" s="33">
        <v>0.0013</v>
      </c>
      <c r="E7" s="33">
        <v>0.0029000000000000002</v>
      </c>
      <c r="F7" s="33">
        <v>0.0048000000000000004</v>
      </c>
      <c r="G7" s="33">
        <v>0.0073999999999999995</v>
      </c>
      <c r="H7" s="33">
        <v>0.01</v>
      </c>
      <c r="I7" s="33">
        <v>0.0132</v>
      </c>
      <c r="J7" s="33">
        <v>0.0164</v>
      </c>
      <c r="K7" s="33">
        <v>0.02</v>
      </c>
      <c r="L7" s="33">
        <v>0.0235</v>
      </c>
      <c r="M7" s="26">
        <v>0.0269</v>
      </c>
    </row>
    <row r="8" spans="1:13" ht="12.75">
      <c r="A8" s="729"/>
      <c r="B8" s="35">
        <v>0.3</v>
      </c>
      <c r="C8" s="33">
        <v>0.0006000000000000001</v>
      </c>
      <c r="D8" s="33">
        <v>0.0019</v>
      </c>
      <c r="E8" s="33">
        <v>0.004200000000000001</v>
      </c>
      <c r="F8" s="33">
        <v>0.006900000000000001</v>
      </c>
      <c r="G8" s="33">
        <v>0.010499999999999999</v>
      </c>
      <c r="H8" s="33">
        <v>0.0144</v>
      </c>
      <c r="I8" s="33">
        <v>0.0186</v>
      </c>
      <c r="J8" s="33">
        <v>0.0233</v>
      </c>
      <c r="K8" s="33">
        <v>0.028100000000000003</v>
      </c>
      <c r="L8" s="33">
        <v>0.033100000000000004</v>
      </c>
      <c r="M8" s="26">
        <v>0.0379</v>
      </c>
    </row>
    <row r="9" spans="1:13" ht="12.75">
      <c r="A9" s="729"/>
      <c r="B9" s="35">
        <v>0.4</v>
      </c>
      <c r="C9" s="33">
        <v>0.0007</v>
      </c>
      <c r="D9" s="33">
        <v>0.0023</v>
      </c>
      <c r="E9" s="33">
        <v>0.005</v>
      </c>
      <c r="F9" s="33">
        <v>0.0085</v>
      </c>
      <c r="G9" s="33">
        <v>0.0127</v>
      </c>
      <c r="H9" s="33">
        <v>0.0178</v>
      </c>
      <c r="I9" s="33">
        <v>0.0229</v>
      </c>
      <c r="J9" s="33">
        <v>0.028499999999999998</v>
      </c>
      <c r="K9" s="33">
        <v>0.034499999999999996</v>
      </c>
      <c r="L9" s="33">
        <v>0.04</v>
      </c>
      <c r="M9" s="26">
        <v>0.045700000000000005</v>
      </c>
    </row>
    <row r="10" spans="1:13" ht="12.75">
      <c r="A10" s="729"/>
      <c r="B10" s="35">
        <v>0.45</v>
      </c>
      <c r="C10" s="33">
        <v>0.0008</v>
      </c>
      <c r="D10" s="33">
        <v>0.0025</v>
      </c>
      <c r="E10" s="33">
        <v>0.0053</v>
      </c>
      <c r="F10" s="33">
        <v>0.009</v>
      </c>
      <c r="G10" s="33">
        <v>0.0134</v>
      </c>
      <c r="H10" s="33">
        <v>0.0186</v>
      </c>
      <c r="I10" s="33">
        <v>0.0242</v>
      </c>
      <c r="J10" s="33">
        <v>0.03</v>
      </c>
      <c r="K10" s="33">
        <v>0.0358</v>
      </c>
      <c r="L10" s="33">
        <v>0.0419</v>
      </c>
      <c r="M10" s="26">
        <v>0.0477</v>
      </c>
    </row>
    <row r="11" spans="1:13" ht="12.75">
      <c r="A11" s="729"/>
      <c r="B11" s="35">
        <v>0.5</v>
      </c>
      <c r="C11" s="33">
        <v>0.0008</v>
      </c>
      <c r="D11" s="33">
        <v>0.0026</v>
      </c>
      <c r="E11" s="33">
        <v>0.0055</v>
      </c>
      <c r="F11" s="33">
        <v>0.0094</v>
      </c>
      <c r="G11" s="33">
        <v>0.013900000000000001</v>
      </c>
      <c r="H11" s="33">
        <v>0.0189</v>
      </c>
      <c r="I11" s="33">
        <v>0.0245</v>
      </c>
      <c r="J11" s="33">
        <v>0.0301</v>
      </c>
      <c r="K11" s="33">
        <v>0.0359</v>
      </c>
      <c r="L11" s="33">
        <v>0.0416</v>
      </c>
      <c r="M11" s="26">
        <v>0.047</v>
      </c>
    </row>
    <row r="12" spans="1:13" ht="13.5" thickBot="1">
      <c r="A12" s="730"/>
      <c r="B12" s="36">
        <v>0.6</v>
      </c>
      <c r="C12" s="97">
        <v>0.0007</v>
      </c>
      <c r="D12" s="97">
        <v>0.0025</v>
      </c>
      <c r="E12" s="97">
        <v>0.0054</v>
      </c>
      <c r="F12" s="97">
        <v>0.0089</v>
      </c>
      <c r="G12" s="97">
        <v>0.013300000000000001</v>
      </c>
      <c r="H12" s="97">
        <v>0.0178</v>
      </c>
      <c r="I12" s="97">
        <v>0.022600000000000002</v>
      </c>
      <c r="J12" s="97">
        <v>0.0273</v>
      </c>
      <c r="K12" s="97">
        <v>0.0319</v>
      </c>
      <c r="L12" s="97">
        <v>0.036199999999999996</v>
      </c>
      <c r="M12" s="28">
        <v>0.0396</v>
      </c>
    </row>
    <row r="13" spans="1:13" ht="13.5" thickBot="1">
      <c r="A13" s="731" t="s">
        <v>294</v>
      </c>
      <c r="B13" s="810"/>
      <c r="C13" s="811"/>
      <c r="D13" s="598"/>
      <c r="E13" s="599"/>
      <c r="F13" s="599"/>
      <c r="G13" s="599"/>
      <c r="H13" s="599"/>
      <c r="I13" s="599"/>
      <c r="J13" s="599"/>
      <c r="K13" s="599"/>
      <c r="L13" s="599"/>
      <c r="M13" s="600"/>
    </row>
    <row r="14" spans="1:13" ht="13.5" thickBot="1">
      <c r="A14" s="19"/>
      <c r="B14" s="85"/>
      <c r="C14" s="16" t="s">
        <v>295</v>
      </c>
      <c r="D14" s="601"/>
      <c r="E14" s="602"/>
      <c r="F14" s="602"/>
      <c r="G14" s="602"/>
      <c r="H14" s="602"/>
      <c r="I14" s="602"/>
      <c r="J14" s="602"/>
      <c r="K14" s="602"/>
      <c r="L14" s="602"/>
      <c r="M14" s="603"/>
    </row>
    <row r="15" spans="1:13" ht="12.75">
      <c r="A15" s="718" t="s">
        <v>6</v>
      </c>
      <c r="B15" s="99">
        <v>2</v>
      </c>
      <c r="C15" s="26">
        <v>0.58753</v>
      </c>
      <c r="D15" s="601"/>
      <c r="E15" s="602"/>
      <c r="F15" s="602"/>
      <c r="G15" s="602"/>
      <c r="H15" s="602"/>
      <c r="I15" s="602"/>
      <c r="J15" s="602"/>
      <c r="K15" s="602"/>
      <c r="L15" s="602"/>
      <c r="M15" s="603"/>
    </row>
    <row r="16" spans="1:13" ht="12.75">
      <c r="A16" s="718"/>
      <c r="B16" s="99">
        <v>2.6497</v>
      </c>
      <c r="C16" s="26">
        <v>0.68941</v>
      </c>
      <c r="D16" s="601"/>
      <c r="E16" s="602"/>
      <c r="F16" s="602"/>
      <c r="G16" s="602"/>
      <c r="H16" s="602"/>
      <c r="I16" s="602"/>
      <c r="J16" s="602"/>
      <c r="K16" s="602"/>
      <c r="L16" s="602"/>
      <c r="M16" s="603"/>
    </row>
    <row r="17" spans="1:13" ht="12.75">
      <c r="A17" s="718"/>
      <c r="B17" s="99">
        <v>3.4619</v>
      </c>
      <c r="C17" s="26">
        <v>0.7913</v>
      </c>
      <c r="D17" s="601"/>
      <c r="E17" s="602"/>
      <c r="F17" s="602"/>
      <c r="G17" s="602"/>
      <c r="H17" s="602"/>
      <c r="I17" s="602"/>
      <c r="J17" s="602"/>
      <c r="K17" s="602"/>
      <c r="L17" s="602"/>
      <c r="M17" s="603"/>
    </row>
    <row r="18" spans="1:13" ht="12.75">
      <c r="A18" s="718"/>
      <c r="B18" s="99">
        <v>4.335</v>
      </c>
      <c r="C18" s="26">
        <v>0.87241</v>
      </c>
      <c r="D18" s="601"/>
      <c r="E18" s="602"/>
      <c r="F18" s="602"/>
      <c r="G18" s="602"/>
      <c r="H18" s="602"/>
      <c r="I18" s="602"/>
      <c r="J18" s="602"/>
      <c r="K18" s="602"/>
      <c r="L18" s="602"/>
      <c r="M18" s="603"/>
    </row>
    <row r="19" spans="1:13" ht="12.75">
      <c r="A19" s="718"/>
      <c r="B19" s="99">
        <v>5.797</v>
      </c>
      <c r="C19" s="26">
        <v>0.98682</v>
      </c>
      <c r="D19" s="601"/>
      <c r="E19" s="602"/>
      <c r="F19" s="602"/>
      <c r="G19" s="602"/>
      <c r="H19" s="602"/>
      <c r="I19" s="602"/>
      <c r="J19" s="602"/>
      <c r="K19" s="602"/>
      <c r="L19" s="602"/>
      <c r="M19" s="603"/>
    </row>
    <row r="20" spans="1:13" ht="12.75">
      <c r="A20" s="718"/>
      <c r="B20" s="99">
        <v>7.4213</v>
      </c>
      <c r="C20" s="26">
        <v>1.0742</v>
      </c>
      <c r="D20" s="601"/>
      <c r="E20" s="602"/>
      <c r="F20" s="602"/>
      <c r="G20" s="602"/>
      <c r="H20" s="602"/>
      <c r="I20" s="602"/>
      <c r="J20" s="602"/>
      <c r="K20" s="602"/>
      <c r="L20" s="602"/>
      <c r="M20" s="603"/>
    </row>
    <row r="21" spans="1:13" ht="12.75">
      <c r="A21" s="718"/>
      <c r="B21" s="99">
        <v>8.6599</v>
      </c>
      <c r="C21" s="26">
        <v>1.1263</v>
      </c>
      <c r="D21" s="601"/>
      <c r="E21" s="602"/>
      <c r="F21" s="602"/>
      <c r="G21" s="602"/>
      <c r="H21" s="602"/>
      <c r="I21" s="602"/>
      <c r="J21" s="602"/>
      <c r="K21" s="602"/>
      <c r="L21" s="602"/>
      <c r="M21" s="603"/>
    </row>
    <row r="22" spans="1:13" ht="12.75">
      <c r="A22" s="718"/>
      <c r="B22" s="99">
        <v>10.162</v>
      </c>
      <c r="C22" s="26">
        <v>1.1784</v>
      </c>
      <c r="D22" s="601"/>
      <c r="E22" s="602"/>
      <c r="F22" s="602"/>
      <c r="G22" s="602"/>
      <c r="H22" s="602"/>
      <c r="I22" s="602"/>
      <c r="J22" s="602"/>
      <c r="K22" s="602"/>
      <c r="L22" s="602"/>
      <c r="M22" s="603"/>
    </row>
    <row r="23" spans="1:13" ht="12.75">
      <c r="A23" s="718"/>
      <c r="B23" s="99">
        <v>11.523</v>
      </c>
      <c r="C23" s="26">
        <v>1.218</v>
      </c>
      <c r="D23" s="601"/>
      <c r="E23" s="602"/>
      <c r="F23" s="602"/>
      <c r="G23" s="602"/>
      <c r="H23" s="602"/>
      <c r="I23" s="602"/>
      <c r="J23" s="602"/>
      <c r="K23" s="602"/>
      <c r="L23" s="602"/>
      <c r="M23" s="603"/>
    </row>
    <row r="24" spans="1:13" ht="12.75">
      <c r="A24" s="718"/>
      <c r="B24" s="99">
        <v>13.147</v>
      </c>
      <c r="C24" s="26">
        <v>1.2534</v>
      </c>
      <c r="D24" s="601"/>
      <c r="E24" s="602"/>
      <c r="F24" s="602"/>
      <c r="G24" s="602"/>
      <c r="H24" s="602"/>
      <c r="I24" s="602"/>
      <c r="J24" s="602"/>
      <c r="K24" s="602"/>
      <c r="L24" s="602"/>
      <c r="M24" s="603"/>
    </row>
    <row r="25" spans="1:13" ht="13.5" thickBot="1">
      <c r="A25" s="718"/>
      <c r="B25" s="99">
        <v>14</v>
      </c>
      <c r="C25" s="26">
        <v>1.2701</v>
      </c>
      <c r="D25" s="601"/>
      <c r="E25" s="602"/>
      <c r="F25" s="602"/>
      <c r="G25" s="602"/>
      <c r="H25" s="602"/>
      <c r="I25" s="602"/>
      <c r="J25" s="602"/>
      <c r="K25" s="602"/>
      <c r="L25" s="602"/>
      <c r="M25" s="603"/>
    </row>
    <row r="26" spans="1:13" ht="13.5" thickBot="1">
      <c r="A26" s="643" t="s">
        <v>296</v>
      </c>
      <c r="B26" s="688"/>
      <c r="C26" s="688"/>
      <c r="D26" s="688"/>
      <c r="E26" s="688"/>
      <c r="F26" s="688"/>
      <c r="G26" s="688"/>
      <c r="H26" s="688"/>
      <c r="I26" s="644"/>
      <c r="J26" s="274"/>
      <c r="K26" s="274"/>
      <c r="L26" s="274"/>
      <c r="M26" s="287"/>
    </row>
    <row r="27" spans="1:13" ht="13.5" thickBot="1">
      <c r="A27" s="294"/>
      <c r="B27" s="870" t="s">
        <v>297</v>
      </c>
      <c r="C27" s="668"/>
      <c r="D27" s="668"/>
      <c r="E27" s="668"/>
      <c r="F27" s="668"/>
      <c r="G27" s="668"/>
      <c r="H27" s="668"/>
      <c r="I27" s="868"/>
      <c r="J27" s="274"/>
      <c r="K27" s="274"/>
      <c r="L27" s="274"/>
      <c r="M27" s="287"/>
    </row>
    <row r="28" spans="1:13" ht="12.75">
      <c r="A28" s="729" t="s">
        <v>87</v>
      </c>
      <c r="B28" s="34"/>
      <c r="C28" s="101">
        <v>0</v>
      </c>
      <c r="D28" s="101">
        <v>0.1</v>
      </c>
      <c r="E28" s="101">
        <v>0.2</v>
      </c>
      <c r="F28" s="101">
        <v>0.3</v>
      </c>
      <c r="G28" s="101">
        <v>0.4</v>
      </c>
      <c r="H28" s="101">
        <v>0.5</v>
      </c>
      <c r="I28" s="102">
        <v>0.6</v>
      </c>
      <c r="J28" s="274"/>
      <c r="K28" s="274"/>
      <c r="L28" s="274"/>
      <c r="M28" s="287"/>
    </row>
    <row r="29" spans="1:14" ht="12.75">
      <c r="A29" s="729"/>
      <c r="B29" s="35">
        <v>0.05</v>
      </c>
      <c r="C29" s="33">
        <v>0.01326</v>
      </c>
      <c r="D29" s="33">
        <v>0.012996</v>
      </c>
      <c r="E29" s="33">
        <v>0.012485</v>
      </c>
      <c r="F29" s="33">
        <v>0.011692</v>
      </c>
      <c r="G29" s="33">
        <v>0.010687</v>
      </c>
      <c r="H29" s="33">
        <v>0.0094361</v>
      </c>
      <c r="I29" s="26">
        <v>0.0081852</v>
      </c>
      <c r="J29" s="274"/>
      <c r="K29" s="274"/>
      <c r="L29" s="274"/>
      <c r="M29" s="287"/>
      <c r="N29" s="20"/>
    </row>
    <row r="30" spans="1:14" ht="12.75">
      <c r="A30" s="729"/>
      <c r="B30" s="35">
        <v>0.1</v>
      </c>
      <c r="C30" s="33">
        <v>0.012626</v>
      </c>
      <c r="D30" s="33">
        <v>0.012308</v>
      </c>
      <c r="E30" s="33">
        <v>0.011797</v>
      </c>
      <c r="F30" s="33">
        <v>0.011004</v>
      </c>
      <c r="G30" s="33">
        <v>0.01</v>
      </c>
      <c r="H30" s="33">
        <v>0.008696</v>
      </c>
      <c r="I30" s="26">
        <v>0.007392</v>
      </c>
      <c r="J30" s="274"/>
      <c r="K30" s="274"/>
      <c r="L30" s="274"/>
      <c r="M30" s="287"/>
      <c r="N30" s="20"/>
    </row>
    <row r="31" spans="1:14" ht="12.75">
      <c r="A31" s="729"/>
      <c r="B31" s="35">
        <v>0.2</v>
      </c>
      <c r="C31" s="33">
        <v>0.011709</v>
      </c>
      <c r="D31" s="33">
        <v>0.011339</v>
      </c>
      <c r="E31" s="33">
        <v>0.010846</v>
      </c>
      <c r="F31" s="33">
        <v>0.010106</v>
      </c>
      <c r="G31" s="33">
        <v>0.0091013</v>
      </c>
      <c r="H31" s="33">
        <v>0.0077093</v>
      </c>
      <c r="I31" s="26">
        <v>0.0063173</v>
      </c>
      <c r="J31" s="274"/>
      <c r="K31" s="274"/>
      <c r="L31" s="274"/>
      <c r="M31" s="287"/>
      <c r="N31" s="20"/>
    </row>
    <row r="32" spans="1:14" ht="13.5" thickBot="1">
      <c r="A32" s="730"/>
      <c r="B32" s="36">
        <v>0.3</v>
      </c>
      <c r="C32" s="97">
        <v>0.010899</v>
      </c>
      <c r="D32" s="97">
        <v>0.010599</v>
      </c>
      <c r="E32" s="97">
        <v>0.010176</v>
      </c>
      <c r="F32" s="97">
        <v>0.0095242</v>
      </c>
      <c r="G32" s="97">
        <v>0.0084493</v>
      </c>
      <c r="H32" s="97">
        <v>0.0070044</v>
      </c>
      <c r="I32" s="28">
        <v>0.0055595</v>
      </c>
      <c r="J32" s="275"/>
      <c r="K32" s="275"/>
      <c r="L32" s="275"/>
      <c r="M32" s="288"/>
      <c r="N32" s="20"/>
    </row>
    <row r="33" ht="12.75">
      <c r="N33" s="20"/>
    </row>
    <row r="34" ht="12.75">
      <c r="N34" s="20"/>
    </row>
    <row r="35" ht="12.75">
      <c r="N35" s="20"/>
    </row>
    <row r="36" ht="12.75">
      <c r="N36" s="20"/>
    </row>
    <row r="37" ht="12.75">
      <c r="N37" s="20"/>
    </row>
    <row r="38" spans="13:14" ht="12.75">
      <c r="M38" s="103"/>
      <c r="N38" s="20"/>
    </row>
    <row r="39" spans="13:14" ht="12.75">
      <c r="M39" s="103"/>
      <c r="N39" s="20"/>
    </row>
    <row r="40" spans="13:14" ht="12.75">
      <c r="M40" s="103"/>
      <c r="N40" s="20"/>
    </row>
    <row r="41" spans="13:14" ht="12.75">
      <c r="M41" s="103"/>
      <c r="N41" s="20"/>
    </row>
    <row r="42" spans="13:14" ht="12.75">
      <c r="M42" s="103"/>
      <c r="N42" s="20"/>
    </row>
    <row r="43" ht="12.75">
      <c r="N43" s="20"/>
    </row>
    <row r="44" spans="13:14" ht="12.75">
      <c r="M44" s="103"/>
      <c r="N44" s="20"/>
    </row>
    <row r="45" spans="13:14" ht="12.75">
      <c r="M45" s="103"/>
      <c r="N45" s="20"/>
    </row>
    <row r="46" spans="13:14" ht="12.75">
      <c r="M46" s="103"/>
      <c r="N46" s="20"/>
    </row>
    <row r="47" spans="13:14" ht="12.75">
      <c r="M47" s="103"/>
      <c r="N47" s="20"/>
    </row>
    <row r="48" spans="13:14" ht="12.75">
      <c r="M48" s="103"/>
      <c r="N48" s="20"/>
    </row>
    <row r="49" spans="13:14" ht="12.75">
      <c r="M49" s="103"/>
      <c r="N49" s="20"/>
    </row>
    <row r="50" spans="13:14" ht="12.75">
      <c r="M50" s="103"/>
      <c r="N50" s="20"/>
    </row>
    <row r="51" ht="12.75">
      <c r="N51" s="20"/>
    </row>
    <row r="52" spans="13:14" ht="12.75">
      <c r="M52" s="103"/>
      <c r="N52" s="20"/>
    </row>
    <row r="53" spans="13:14" ht="12.75">
      <c r="M53" s="103"/>
      <c r="N53" s="20"/>
    </row>
    <row r="54" spans="13:14" ht="12.75">
      <c r="M54" s="103"/>
      <c r="N54" s="20"/>
    </row>
    <row r="55" spans="13:14" ht="12.75">
      <c r="M55" s="103"/>
      <c r="N55" s="20"/>
    </row>
    <row r="56" spans="13:14" ht="12.75">
      <c r="M56" s="103"/>
      <c r="N56" s="20"/>
    </row>
    <row r="57" spans="13:14" ht="12.75">
      <c r="M57" s="103"/>
      <c r="N57" s="20"/>
    </row>
  </sheetData>
  <sheetProtection/>
  <mergeCells count="10">
    <mergeCell ref="B3:M3"/>
    <mergeCell ref="A4:A12"/>
    <mergeCell ref="A2:M2"/>
    <mergeCell ref="A1:M1"/>
    <mergeCell ref="A28:A32"/>
    <mergeCell ref="D13:M25"/>
    <mergeCell ref="A13:C13"/>
    <mergeCell ref="A15:A25"/>
    <mergeCell ref="B27:I27"/>
    <mergeCell ref="A26:I2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Plan15">
    <tabColor indexed="17"/>
  </sheetPr>
  <dimension ref="A1:Z51"/>
  <sheetViews>
    <sheetView zoomScale="85" zoomScaleNormal="85" zoomScalePageLayoutView="0" workbookViewId="0" topLeftCell="A1">
      <selection activeCell="L57" sqref="L57"/>
    </sheetView>
  </sheetViews>
  <sheetFormatPr defaultColWidth="9.140625" defaultRowHeight="12.75"/>
  <cols>
    <col min="1" max="16384" width="9.140625" style="72" customWidth="1"/>
  </cols>
  <sheetData>
    <row r="1" spans="1:13" ht="13.5" thickBot="1">
      <c r="A1" s="723" t="s">
        <v>302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5"/>
    </row>
    <row r="2" spans="1:13" ht="13.5" thickBot="1">
      <c r="A2" s="777" t="s">
        <v>301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80"/>
    </row>
    <row r="3" spans="1:13" ht="13.5" thickBot="1">
      <c r="A3" s="131"/>
      <c r="B3" s="831" t="s">
        <v>300</v>
      </c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2"/>
    </row>
    <row r="4" spans="1:13" ht="12.75">
      <c r="A4" s="828" t="s">
        <v>299</v>
      </c>
      <c r="B4" s="122"/>
      <c r="C4" s="380">
        <v>6.999999999</v>
      </c>
      <c r="D4" s="380">
        <v>8</v>
      </c>
      <c r="E4" s="380">
        <v>9</v>
      </c>
      <c r="F4" s="380">
        <v>10</v>
      </c>
      <c r="G4" s="380">
        <v>11</v>
      </c>
      <c r="H4" s="380">
        <v>12</v>
      </c>
      <c r="I4" s="380">
        <v>13</v>
      </c>
      <c r="J4" s="380">
        <v>14</v>
      </c>
      <c r="K4" s="380">
        <v>15</v>
      </c>
      <c r="L4" s="380">
        <v>16</v>
      </c>
      <c r="M4" s="381">
        <v>17</v>
      </c>
    </row>
    <row r="5" spans="1:13" ht="12.75">
      <c r="A5" s="828"/>
      <c r="B5" s="125">
        <v>0.5999999</v>
      </c>
      <c r="C5" s="104">
        <v>0.088682</v>
      </c>
      <c r="D5" s="104">
        <v>0.080243</v>
      </c>
      <c r="E5" s="104">
        <v>0.073103</v>
      </c>
      <c r="F5" s="104">
        <v>0.067262</v>
      </c>
      <c r="G5" s="104">
        <v>0.062394</v>
      </c>
      <c r="H5" s="104">
        <v>0.058824</v>
      </c>
      <c r="I5" s="104">
        <v>0.055903</v>
      </c>
      <c r="J5" s="104">
        <v>0.05428</v>
      </c>
      <c r="K5" s="104">
        <v>0.053306</v>
      </c>
      <c r="L5" s="104">
        <v>0.053955</v>
      </c>
      <c r="M5" s="105">
        <v>0.055578</v>
      </c>
    </row>
    <row r="6" spans="1:13" ht="12.75">
      <c r="A6" s="828"/>
      <c r="B6" s="125">
        <v>0.8</v>
      </c>
      <c r="C6" s="104">
        <v>0.1101</v>
      </c>
      <c r="D6" s="104">
        <v>0.10037</v>
      </c>
      <c r="E6" s="104">
        <v>0.091602</v>
      </c>
      <c r="F6" s="104">
        <v>0.083813</v>
      </c>
      <c r="G6" s="104">
        <v>0.077647</v>
      </c>
      <c r="H6" s="104">
        <v>0.072779</v>
      </c>
      <c r="I6" s="104">
        <v>0.069209</v>
      </c>
      <c r="J6" s="104">
        <v>0.067262</v>
      </c>
      <c r="K6" s="104">
        <v>0.066613</v>
      </c>
      <c r="L6" s="104">
        <v>0.067262</v>
      </c>
      <c r="M6" s="105">
        <v>0.069209</v>
      </c>
    </row>
    <row r="7" spans="1:13" ht="12.75">
      <c r="A7" s="828"/>
      <c r="B7" s="125">
        <v>1</v>
      </c>
      <c r="C7" s="104">
        <v>0.12925</v>
      </c>
      <c r="D7" s="104">
        <v>0.11724</v>
      </c>
      <c r="E7" s="104">
        <v>0.10686</v>
      </c>
      <c r="F7" s="104">
        <v>0.097769</v>
      </c>
      <c r="G7" s="104">
        <v>0.090629</v>
      </c>
      <c r="H7" s="104">
        <v>0.085436</v>
      </c>
      <c r="I7" s="104">
        <v>0.081217</v>
      </c>
      <c r="J7" s="104">
        <v>0.078296</v>
      </c>
      <c r="K7" s="104">
        <v>0.077972</v>
      </c>
      <c r="L7" s="104">
        <v>0.078945</v>
      </c>
      <c r="M7" s="105">
        <v>0.081542</v>
      </c>
    </row>
    <row r="8" spans="1:13" ht="12.75">
      <c r="A8" s="828"/>
      <c r="B8" s="125">
        <v>1.2</v>
      </c>
      <c r="C8" s="104">
        <v>0.1458</v>
      </c>
      <c r="D8" s="104">
        <v>0.13217</v>
      </c>
      <c r="E8" s="104">
        <v>0.12081</v>
      </c>
      <c r="F8" s="104">
        <v>0.11075</v>
      </c>
      <c r="G8" s="104">
        <v>0.10231</v>
      </c>
      <c r="H8" s="104">
        <v>0.095822</v>
      </c>
      <c r="I8" s="104">
        <v>0.091602</v>
      </c>
      <c r="J8" s="104">
        <v>0.089006</v>
      </c>
      <c r="K8" s="104">
        <v>0.088032</v>
      </c>
      <c r="L8" s="104">
        <v>0.089006</v>
      </c>
      <c r="M8" s="105">
        <v>0.091602</v>
      </c>
    </row>
    <row r="9" spans="1:13" ht="12.75">
      <c r="A9" s="828"/>
      <c r="B9" s="125">
        <v>1.4</v>
      </c>
      <c r="C9" s="104">
        <v>0.1617</v>
      </c>
      <c r="D9" s="104">
        <v>0.14677</v>
      </c>
      <c r="E9" s="104">
        <v>0.13379</v>
      </c>
      <c r="F9" s="104">
        <v>0.12243</v>
      </c>
      <c r="G9" s="104">
        <v>0.11335</v>
      </c>
      <c r="H9" s="104">
        <v>0.10621</v>
      </c>
      <c r="I9" s="104">
        <v>0.10166</v>
      </c>
      <c r="J9" s="104">
        <v>0.098418</v>
      </c>
      <c r="K9" s="104">
        <v>0.097444</v>
      </c>
      <c r="L9" s="104">
        <v>0.098742</v>
      </c>
      <c r="M9" s="105">
        <v>0.10166</v>
      </c>
    </row>
    <row r="10" spans="1:13" ht="13.5" thickBot="1">
      <c r="A10" s="829"/>
      <c r="B10" s="126">
        <v>1.600000000001</v>
      </c>
      <c r="C10" s="127">
        <v>0.17631</v>
      </c>
      <c r="D10" s="127">
        <v>0.15976</v>
      </c>
      <c r="E10" s="127">
        <v>0.14548</v>
      </c>
      <c r="F10" s="127">
        <v>0.13379</v>
      </c>
      <c r="G10" s="127">
        <v>0.12373</v>
      </c>
      <c r="H10" s="127">
        <v>0.11594</v>
      </c>
      <c r="I10" s="127">
        <v>0.11043</v>
      </c>
      <c r="J10" s="127">
        <v>0.10751</v>
      </c>
      <c r="K10" s="127">
        <v>0.10653</v>
      </c>
      <c r="L10" s="127">
        <v>0.10783</v>
      </c>
      <c r="M10" s="128">
        <v>0.11108</v>
      </c>
    </row>
    <row r="11" spans="1:13" ht="13.5" thickBot="1">
      <c r="A11" s="777" t="s">
        <v>303</v>
      </c>
      <c r="B11" s="778"/>
      <c r="C11" s="778"/>
      <c r="D11" s="778"/>
      <c r="E11" s="778"/>
      <c r="F11" s="778"/>
      <c r="G11" s="778"/>
      <c r="H11" s="778"/>
      <c r="I11" s="778"/>
      <c r="J11" s="778"/>
      <c r="K11" s="778"/>
      <c r="L11" s="780"/>
      <c r="M11" s="871"/>
    </row>
    <row r="12" spans="1:13" ht="13.5" thickBot="1">
      <c r="A12" s="379" t="s">
        <v>86</v>
      </c>
      <c r="B12" s="830" t="s">
        <v>84</v>
      </c>
      <c r="C12" s="831"/>
      <c r="D12" s="831"/>
      <c r="E12" s="831"/>
      <c r="F12" s="831"/>
      <c r="G12" s="831"/>
      <c r="H12" s="831"/>
      <c r="I12" s="831"/>
      <c r="J12" s="831"/>
      <c r="K12" s="831"/>
      <c r="L12" s="832"/>
      <c r="M12" s="740"/>
    </row>
    <row r="13" spans="1:13" ht="12.75" customHeight="1">
      <c r="A13" s="872" t="s">
        <v>85</v>
      </c>
      <c r="B13" s="122"/>
      <c r="C13" s="380">
        <v>3.9999999999</v>
      </c>
      <c r="D13" s="380">
        <v>4.5</v>
      </c>
      <c r="E13" s="380">
        <v>5</v>
      </c>
      <c r="F13" s="380">
        <v>5.5</v>
      </c>
      <c r="G13" s="380">
        <v>6</v>
      </c>
      <c r="H13" s="380">
        <v>7</v>
      </c>
      <c r="I13" s="380">
        <v>8</v>
      </c>
      <c r="J13" s="380">
        <v>9</v>
      </c>
      <c r="K13" s="380">
        <v>10</v>
      </c>
      <c r="L13" s="381">
        <v>11.0000000001</v>
      </c>
      <c r="M13" s="740"/>
    </row>
    <row r="14" spans="1:13" ht="12.75">
      <c r="A14" s="873"/>
      <c r="B14" s="382">
        <v>-1E-11</v>
      </c>
      <c r="C14" s="104">
        <v>0</v>
      </c>
      <c r="D14" s="104">
        <v>0.0002765</v>
      </c>
      <c r="E14" s="104">
        <v>0.0002765</v>
      </c>
      <c r="F14" s="104">
        <v>0.0002765</v>
      </c>
      <c r="G14" s="104">
        <v>0.0002765</v>
      </c>
      <c r="H14" s="104">
        <v>0.000553</v>
      </c>
      <c r="I14" s="104">
        <v>0.0002765</v>
      </c>
      <c r="J14" s="104">
        <v>0.0002765</v>
      </c>
      <c r="K14" s="104">
        <v>0.000553</v>
      </c>
      <c r="L14" s="105">
        <v>0.000553</v>
      </c>
      <c r="M14" s="740"/>
    </row>
    <row r="15" spans="1:13" ht="12.75">
      <c r="A15" s="873"/>
      <c r="B15" s="382">
        <v>0.05</v>
      </c>
      <c r="C15" s="104">
        <v>0.085714</v>
      </c>
      <c r="D15" s="104">
        <v>0.062765</v>
      </c>
      <c r="E15" s="104">
        <v>0.045069</v>
      </c>
      <c r="F15" s="104">
        <v>0.034009</v>
      </c>
      <c r="G15" s="104">
        <v>0.026544</v>
      </c>
      <c r="H15" s="104">
        <v>0.017143</v>
      </c>
      <c r="I15" s="104">
        <v>0.011613</v>
      </c>
      <c r="J15" s="104">
        <v>0.0080184</v>
      </c>
      <c r="K15" s="104">
        <v>0.0060829</v>
      </c>
      <c r="L15" s="105">
        <v>0.0047005</v>
      </c>
      <c r="M15" s="740"/>
    </row>
    <row r="16" spans="1:13" ht="12.75">
      <c r="A16" s="873"/>
      <c r="B16" s="382">
        <v>0.1</v>
      </c>
      <c r="C16" s="104">
        <v>0.1576</v>
      </c>
      <c r="D16" s="104">
        <v>0.11558</v>
      </c>
      <c r="E16" s="104">
        <v>0.085714</v>
      </c>
      <c r="F16" s="104">
        <v>0.065806</v>
      </c>
      <c r="G16" s="104">
        <v>0.050046</v>
      </c>
      <c r="H16" s="104">
        <v>0.03235</v>
      </c>
      <c r="I16" s="104">
        <v>0.022396</v>
      </c>
      <c r="J16" s="104">
        <v>0.015484</v>
      </c>
      <c r="K16" s="104">
        <v>0.011613</v>
      </c>
      <c r="L16" s="105">
        <v>0.0094009</v>
      </c>
      <c r="M16" s="740"/>
    </row>
    <row r="17" spans="1:26" ht="12.75">
      <c r="A17" s="873"/>
      <c r="B17" s="382">
        <v>0.15</v>
      </c>
      <c r="C17" s="104">
        <v>0.20793</v>
      </c>
      <c r="D17" s="104">
        <v>0.15512</v>
      </c>
      <c r="E17" s="104">
        <v>0.11834</v>
      </c>
      <c r="F17" s="104">
        <v>0.090691</v>
      </c>
      <c r="G17" s="104">
        <v>0.070783</v>
      </c>
      <c r="H17" s="104">
        <v>0.045899</v>
      </c>
      <c r="I17" s="104">
        <v>0.031521</v>
      </c>
      <c r="J17" s="104">
        <v>0.022396</v>
      </c>
      <c r="K17" s="104">
        <v>0.01659</v>
      </c>
      <c r="L17" s="105">
        <v>0.013272</v>
      </c>
      <c r="M17" s="740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</row>
    <row r="18" spans="1:13" ht="12.75">
      <c r="A18" s="873"/>
      <c r="B18" s="382">
        <v>0.2</v>
      </c>
      <c r="C18" s="104">
        <v>0.22977</v>
      </c>
      <c r="D18" s="104">
        <v>0.17668</v>
      </c>
      <c r="E18" s="104">
        <v>0.1377</v>
      </c>
      <c r="F18" s="104">
        <v>0.10839</v>
      </c>
      <c r="G18" s="104">
        <v>0.086544</v>
      </c>
      <c r="H18" s="104">
        <v>0.056959</v>
      </c>
      <c r="I18" s="104">
        <v>0.039816</v>
      </c>
      <c r="J18" s="104">
        <v>0.028756</v>
      </c>
      <c r="K18" s="104">
        <v>0.02129</v>
      </c>
      <c r="L18" s="105">
        <v>0.016866</v>
      </c>
      <c r="M18" s="740"/>
    </row>
    <row r="19" spans="1:13" ht="12.75">
      <c r="A19" s="873"/>
      <c r="B19" s="382">
        <v>0.25</v>
      </c>
      <c r="C19" s="104">
        <v>0.23281</v>
      </c>
      <c r="D19" s="104">
        <v>0.18415</v>
      </c>
      <c r="E19" s="104">
        <v>0.1471</v>
      </c>
      <c r="F19" s="104">
        <v>0.12</v>
      </c>
      <c r="G19" s="104">
        <v>0.096774</v>
      </c>
      <c r="H19" s="104">
        <v>0.066083</v>
      </c>
      <c r="I19" s="104">
        <v>0.047005</v>
      </c>
      <c r="J19" s="104">
        <v>0.034009</v>
      </c>
      <c r="K19" s="104">
        <v>0.025161</v>
      </c>
      <c r="L19" s="105">
        <v>0.019908</v>
      </c>
      <c r="M19" s="740"/>
    </row>
    <row r="20" spans="1:13" ht="12.75">
      <c r="A20" s="873"/>
      <c r="B20" s="382">
        <v>0.3</v>
      </c>
      <c r="C20" s="104">
        <v>0.22396</v>
      </c>
      <c r="D20" s="104">
        <v>0.18194</v>
      </c>
      <c r="E20" s="104">
        <v>0.14931</v>
      </c>
      <c r="F20" s="104">
        <v>0.12304</v>
      </c>
      <c r="G20" s="104">
        <v>0.10258</v>
      </c>
      <c r="H20" s="104">
        <v>0.072166</v>
      </c>
      <c r="I20" s="104">
        <v>0.051705</v>
      </c>
      <c r="J20" s="104">
        <v>0.038157</v>
      </c>
      <c r="K20" s="104">
        <v>0.029032</v>
      </c>
      <c r="L20" s="105">
        <v>0.022673</v>
      </c>
      <c r="M20" s="740"/>
    </row>
    <row r="21" spans="1:13" ht="12.75">
      <c r="A21" s="873"/>
      <c r="B21" s="382">
        <v>0.4</v>
      </c>
      <c r="C21" s="104">
        <v>0.18442</v>
      </c>
      <c r="D21" s="104">
        <v>0.1612</v>
      </c>
      <c r="E21" s="104">
        <v>0.13991</v>
      </c>
      <c r="F21" s="104">
        <v>0.11917</v>
      </c>
      <c r="G21" s="104">
        <v>0.10341</v>
      </c>
      <c r="H21" s="104">
        <v>0.07659</v>
      </c>
      <c r="I21" s="104">
        <v>0.057235</v>
      </c>
      <c r="J21" s="104">
        <v>0.04424</v>
      </c>
      <c r="K21" s="104">
        <v>0.034286</v>
      </c>
      <c r="L21" s="105">
        <v>0.027373</v>
      </c>
      <c r="M21" s="740"/>
    </row>
    <row r="22" spans="1:13" ht="12.75" customHeight="1">
      <c r="A22" s="873"/>
      <c r="B22" s="382">
        <v>0.500000001</v>
      </c>
      <c r="C22" s="104">
        <v>0.14793</v>
      </c>
      <c r="D22" s="104">
        <v>0.13521</v>
      </c>
      <c r="E22" s="104">
        <v>0.12138</v>
      </c>
      <c r="F22" s="104">
        <v>0.107</v>
      </c>
      <c r="G22" s="104">
        <v>0.095115</v>
      </c>
      <c r="H22" s="104">
        <v>0.073825</v>
      </c>
      <c r="I22" s="104">
        <v>0.058341</v>
      </c>
      <c r="J22" s="104">
        <v>0.045899</v>
      </c>
      <c r="K22" s="104">
        <v>0.037051</v>
      </c>
      <c r="L22" s="105">
        <v>0.030415</v>
      </c>
      <c r="M22" s="740"/>
    </row>
    <row r="23" spans="1:13" ht="12.75" customHeight="1" thickBot="1">
      <c r="A23" s="874"/>
      <c r="B23" s="385">
        <v>0.600000002</v>
      </c>
      <c r="C23" s="386">
        <v>0.11144</v>
      </c>
      <c r="D23" s="386">
        <v>0.10922</v>
      </c>
      <c r="E23" s="386">
        <v>0.10285</v>
      </c>
      <c r="F23" s="386">
        <v>0.09483</v>
      </c>
      <c r="G23" s="386">
        <v>0.08682</v>
      </c>
      <c r="H23" s="386">
        <v>0.07106</v>
      </c>
      <c r="I23" s="386">
        <v>0.059447</v>
      </c>
      <c r="J23" s="386">
        <v>0.047558</v>
      </c>
      <c r="K23" s="386">
        <v>0.039816</v>
      </c>
      <c r="L23" s="387">
        <v>0.033457</v>
      </c>
      <c r="M23" s="378"/>
    </row>
    <row r="24" spans="1:13" ht="13.5" thickBot="1">
      <c r="A24" s="777" t="s">
        <v>304</v>
      </c>
      <c r="B24" s="779"/>
      <c r="C24" s="779"/>
      <c r="D24" s="779"/>
      <c r="E24" s="779"/>
      <c r="F24" s="779"/>
      <c r="G24" s="779"/>
      <c r="H24" s="820"/>
      <c r="I24" s="738"/>
      <c r="J24" s="739"/>
      <c r="K24" s="739"/>
      <c r="L24" s="739"/>
      <c r="M24" s="740"/>
    </row>
    <row r="25" spans="1:13" ht="13.5" thickBot="1">
      <c r="A25" s="131" t="s">
        <v>83</v>
      </c>
      <c r="B25" s="831" t="s">
        <v>45</v>
      </c>
      <c r="C25" s="831"/>
      <c r="D25" s="831"/>
      <c r="E25" s="831"/>
      <c r="F25" s="831"/>
      <c r="G25" s="831"/>
      <c r="H25" s="832"/>
      <c r="I25" s="738"/>
      <c r="J25" s="739"/>
      <c r="K25" s="739"/>
      <c r="L25" s="739"/>
      <c r="M25" s="740"/>
    </row>
    <row r="26" spans="1:26" ht="12.75">
      <c r="A26" s="828" t="s">
        <v>6</v>
      </c>
      <c r="B26" s="122"/>
      <c r="C26" s="383">
        <v>-1E-09</v>
      </c>
      <c r="D26" s="383">
        <v>0.2</v>
      </c>
      <c r="E26" s="383">
        <v>0.4</v>
      </c>
      <c r="F26" s="383">
        <v>0.6</v>
      </c>
      <c r="G26" s="383">
        <v>0.8</v>
      </c>
      <c r="H26" s="384">
        <v>1.000000001</v>
      </c>
      <c r="I26" s="738"/>
      <c r="J26" s="739"/>
      <c r="K26" s="739"/>
      <c r="L26" s="739"/>
      <c r="M26" s="740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2.75">
      <c r="A27" s="828"/>
      <c r="B27" s="35">
        <v>1.99999999999</v>
      </c>
      <c r="C27" s="104">
        <v>1.3553</v>
      </c>
      <c r="D27" s="104">
        <v>1.3214</v>
      </c>
      <c r="E27" s="104">
        <v>1.289</v>
      </c>
      <c r="F27" s="104">
        <v>1.2551</v>
      </c>
      <c r="G27" s="104">
        <v>1.2243</v>
      </c>
      <c r="H27" s="105">
        <v>1.1919</v>
      </c>
      <c r="I27" s="738"/>
      <c r="J27" s="739"/>
      <c r="K27" s="739"/>
      <c r="L27" s="739"/>
      <c r="M27" s="740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2.75">
      <c r="A28" s="828"/>
      <c r="B28" s="35">
        <v>3</v>
      </c>
      <c r="C28" s="104">
        <v>1.2967</v>
      </c>
      <c r="D28" s="104">
        <v>1.2536</v>
      </c>
      <c r="E28" s="104">
        <v>1.2119</v>
      </c>
      <c r="F28" s="104">
        <v>1.1703</v>
      </c>
      <c r="G28" s="104">
        <v>1.1287</v>
      </c>
      <c r="H28" s="105">
        <v>1.0886</v>
      </c>
      <c r="I28" s="738"/>
      <c r="J28" s="739"/>
      <c r="K28" s="739"/>
      <c r="L28" s="739"/>
      <c r="M28" s="740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</row>
    <row r="29" spans="1:26" ht="12.75">
      <c r="A29" s="828"/>
      <c r="B29" s="35">
        <v>4</v>
      </c>
      <c r="C29" s="104">
        <v>1.2428</v>
      </c>
      <c r="D29" s="104">
        <v>1.195</v>
      </c>
      <c r="E29" s="104">
        <v>1.1441</v>
      </c>
      <c r="F29" s="104">
        <v>1.0933</v>
      </c>
      <c r="G29" s="104">
        <v>1.047</v>
      </c>
      <c r="H29" s="105">
        <v>1.0008</v>
      </c>
      <c r="I29" s="738"/>
      <c r="J29" s="739"/>
      <c r="K29" s="739"/>
      <c r="L29" s="739"/>
      <c r="M29" s="740"/>
      <c r="Z29" s="18"/>
    </row>
    <row r="30" spans="1:26" ht="12.75">
      <c r="A30" s="828"/>
      <c r="B30" s="35">
        <v>5</v>
      </c>
      <c r="C30" s="104">
        <v>1.1919</v>
      </c>
      <c r="D30" s="104">
        <v>1.1395</v>
      </c>
      <c r="E30" s="104">
        <v>1.0825</v>
      </c>
      <c r="F30" s="104">
        <v>1.027</v>
      </c>
      <c r="G30" s="104">
        <v>0.97765</v>
      </c>
      <c r="H30" s="105">
        <v>0.92832</v>
      </c>
      <c r="I30" s="738"/>
      <c r="J30" s="739"/>
      <c r="K30" s="739"/>
      <c r="L30" s="739"/>
      <c r="M30" s="740"/>
      <c r="Z30" s="18"/>
    </row>
    <row r="31" spans="1:26" ht="12.75">
      <c r="A31" s="828"/>
      <c r="B31" s="35">
        <v>6</v>
      </c>
      <c r="C31" s="104">
        <v>1.1457</v>
      </c>
      <c r="D31" s="104">
        <v>1.0871</v>
      </c>
      <c r="E31" s="104">
        <v>1.0285</v>
      </c>
      <c r="F31" s="104">
        <v>0.96994</v>
      </c>
      <c r="G31" s="104">
        <v>0.91599</v>
      </c>
      <c r="H31" s="105">
        <v>0.86821</v>
      </c>
      <c r="I31" s="738"/>
      <c r="J31" s="739"/>
      <c r="K31" s="739"/>
      <c r="L31" s="739"/>
      <c r="M31" s="740"/>
      <c r="Z31" s="18"/>
    </row>
    <row r="32" spans="1:26" ht="12.75">
      <c r="A32" s="828"/>
      <c r="B32" s="35">
        <v>7</v>
      </c>
      <c r="C32" s="104">
        <v>1.1025</v>
      </c>
      <c r="D32" s="104">
        <v>1.0393</v>
      </c>
      <c r="E32" s="104">
        <v>0.97919</v>
      </c>
      <c r="F32" s="104">
        <v>0.91908</v>
      </c>
      <c r="G32" s="104">
        <v>0.86513</v>
      </c>
      <c r="H32" s="105">
        <v>0.8158</v>
      </c>
      <c r="I32" s="738"/>
      <c r="J32" s="739"/>
      <c r="K32" s="739"/>
      <c r="L32" s="739"/>
      <c r="M32" s="740"/>
      <c r="Z32" s="18"/>
    </row>
    <row r="33" spans="1:26" ht="12.75">
      <c r="A33" s="828"/>
      <c r="B33" s="35">
        <v>8</v>
      </c>
      <c r="C33" s="104">
        <v>1.0609</v>
      </c>
      <c r="D33" s="104">
        <v>0.99769</v>
      </c>
      <c r="E33" s="104">
        <v>0.93603</v>
      </c>
      <c r="F33" s="104">
        <v>0.87592</v>
      </c>
      <c r="G33" s="104">
        <v>0.8158</v>
      </c>
      <c r="H33" s="105">
        <v>0.7711</v>
      </c>
      <c r="I33" s="738"/>
      <c r="J33" s="739"/>
      <c r="K33" s="739"/>
      <c r="L33" s="739"/>
      <c r="M33" s="740"/>
      <c r="Z33" s="18"/>
    </row>
    <row r="34" spans="1:26" ht="12.75">
      <c r="A34" s="828"/>
      <c r="B34" s="35">
        <v>9</v>
      </c>
      <c r="C34" s="104">
        <v>1.027</v>
      </c>
      <c r="D34" s="104">
        <v>0.96224</v>
      </c>
      <c r="E34" s="104">
        <v>0.8975</v>
      </c>
      <c r="F34" s="104">
        <v>0.83584</v>
      </c>
      <c r="G34" s="104">
        <v>0.77726</v>
      </c>
      <c r="H34" s="105">
        <v>0.7264</v>
      </c>
      <c r="I34" s="738"/>
      <c r="J34" s="739"/>
      <c r="K34" s="739"/>
      <c r="L34" s="739"/>
      <c r="M34" s="740"/>
      <c r="Z34" s="18"/>
    </row>
    <row r="35" spans="1:26" ht="13.5" thickBot="1">
      <c r="A35" s="829"/>
      <c r="B35" s="36">
        <v>10</v>
      </c>
      <c r="C35" s="127">
        <v>0.99769</v>
      </c>
      <c r="D35" s="127">
        <v>0.92678</v>
      </c>
      <c r="E35" s="127">
        <v>0.8605</v>
      </c>
      <c r="F35" s="127">
        <v>0.79884</v>
      </c>
      <c r="G35" s="127">
        <v>0.74181</v>
      </c>
      <c r="H35" s="128">
        <v>0.69094</v>
      </c>
      <c r="I35" s="741"/>
      <c r="J35" s="742"/>
      <c r="K35" s="742"/>
      <c r="L35" s="742"/>
      <c r="M35" s="743"/>
      <c r="Z35" s="18"/>
    </row>
    <row r="36" ht="12.75">
      <c r="Z36" s="18"/>
    </row>
    <row r="37" ht="12.75">
      <c r="Z37" s="18"/>
    </row>
    <row r="38" ht="12.75">
      <c r="Z38" s="18"/>
    </row>
    <row r="39" spans="15:26" ht="12.75"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5:26" ht="12.75">
      <c r="O40" s="668"/>
      <c r="P40" s="668"/>
      <c r="Q40" s="668"/>
      <c r="R40" s="668"/>
      <c r="S40" s="668"/>
      <c r="T40" s="668"/>
      <c r="U40" s="668"/>
      <c r="V40" s="668"/>
      <c r="W40" s="668"/>
      <c r="X40" s="668"/>
      <c r="Y40" s="668"/>
      <c r="Z40" s="668"/>
    </row>
    <row r="41" spans="22:26" ht="12.75">
      <c r="V41" s="18"/>
      <c r="W41" s="18"/>
      <c r="X41" s="18"/>
      <c r="Y41" s="18"/>
      <c r="Z41" s="18"/>
    </row>
    <row r="42" spans="22:26" ht="12.75">
      <c r="V42" s="18"/>
      <c r="W42" s="18"/>
      <c r="X42" s="18"/>
      <c r="Y42" s="18"/>
      <c r="Z42" s="18"/>
    </row>
    <row r="43" spans="22:26" ht="12.75">
      <c r="V43" s="18"/>
      <c r="W43" s="18"/>
      <c r="X43" s="18"/>
      <c r="Y43" s="18"/>
      <c r="Z43" s="18"/>
    </row>
    <row r="44" spans="22:26" ht="12.75">
      <c r="V44" s="18"/>
      <c r="W44" s="18"/>
      <c r="X44" s="18"/>
      <c r="Y44" s="18"/>
      <c r="Z44" s="18"/>
    </row>
    <row r="45" spans="22:26" ht="12.75">
      <c r="V45" s="18"/>
      <c r="W45" s="18"/>
      <c r="X45" s="18"/>
      <c r="Y45" s="18"/>
      <c r="Z45" s="18"/>
    </row>
    <row r="46" spans="22:26" ht="12.75">
      <c r="V46" s="18"/>
      <c r="W46" s="18"/>
      <c r="X46" s="18"/>
      <c r="Y46" s="18"/>
      <c r="Z46" s="18"/>
    </row>
    <row r="47" spans="22:26" ht="12.75">
      <c r="V47" s="18"/>
      <c r="W47" s="18"/>
      <c r="X47" s="18"/>
      <c r="Y47" s="18"/>
      <c r="Z47" s="18"/>
    </row>
    <row r="48" spans="22:26" ht="12.75">
      <c r="V48" s="18"/>
      <c r="W48" s="18"/>
      <c r="X48" s="18"/>
      <c r="Y48" s="18"/>
      <c r="Z48" s="18"/>
    </row>
    <row r="49" spans="22:26" ht="12.75">
      <c r="V49" s="18"/>
      <c r="W49" s="18"/>
      <c r="X49" s="18"/>
      <c r="Y49" s="18"/>
      <c r="Z49" s="18"/>
    </row>
    <row r="50" spans="22:26" ht="12.75">
      <c r="V50" s="18"/>
      <c r="W50" s="18"/>
      <c r="X50" s="18"/>
      <c r="Y50" s="18"/>
      <c r="Z50" s="18"/>
    </row>
    <row r="51" spans="15:26" ht="12.75"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</sheetData>
  <sheetProtection/>
  <mergeCells count="15">
    <mergeCell ref="B3:M3"/>
    <mergeCell ref="A2:M2"/>
    <mergeCell ref="A1:M1"/>
    <mergeCell ref="I24:M35"/>
    <mergeCell ref="M11:M22"/>
    <mergeCell ref="A13:A23"/>
    <mergeCell ref="O40:Z40"/>
    <mergeCell ref="O28:Z28"/>
    <mergeCell ref="O17:Z17"/>
    <mergeCell ref="A4:A10"/>
    <mergeCell ref="B12:L12"/>
    <mergeCell ref="A11:L11"/>
    <mergeCell ref="A24:H24"/>
    <mergeCell ref="B25:H25"/>
    <mergeCell ref="A26:A3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Plan16">
    <tabColor indexed="17"/>
  </sheetPr>
  <dimension ref="A1:T64"/>
  <sheetViews>
    <sheetView zoomScale="85" zoomScaleNormal="85" zoomScalePageLayoutView="0" workbookViewId="0" topLeftCell="A1">
      <selection activeCell="S29" sqref="S29"/>
    </sheetView>
  </sheetViews>
  <sheetFormatPr defaultColWidth="9.140625" defaultRowHeight="12.75"/>
  <cols>
    <col min="1" max="16384" width="9.140625" style="72" customWidth="1"/>
  </cols>
  <sheetData>
    <row r="1" spans="1:14" ht="13.5" thickBot="1">
      <c r="A1" s="632" t="s">
        <v>305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4"/>
    </row>
    <row r="2" spans="1:14" ht="13.5" thickBot="1">
      <c r="A2" s="819" t="s">
        <v>306</v>
      </c>
      <c r="B2" s="779"/>
      <c r="C2" s="779"/>
      <c r="D2" s="779"/>
      <c r="E2" s="779"/>
      <c r="F2" s="779"/>
      <c r="G2" s="779"/>
      <c r="H2" s="779"/>
      <c r="I2" s="820"/>
      <c r="J2" s="821"/>
      <c r="K2" s="822"/>
      <c r="L2" s="822"/>
      <c r="M2" s="822"/>
      <c r="N2" s="823"/>
    </row>
    <row r="3" spans="1:14" ht="13.5" thickBot="1">
      <c r="A3" s="107"/>
      <c r="B3" s="875" t="s">
        <v>6</v>
      </c>
      <c r="C3" s="875"/>
      <c r="D3" s="875"/>
      <c r="E3" s="875"/>
      <c r="F3" s="875"/>
      <c r="G3" s="875"/>
      <c r="H3" s="875"/>
      <c r="I3" s="876"/>
      <c r="J3" s="738"/>
      <c r="K3" s="739"/>
      <c r="L3" s="739"/>
      <c r="M3" s="739"/>
      <c r="N3" s="740"/>
    </row>
    <row r="4" spans="1:14" ht="12.75">
      <c r="A4" s="877" t="s">
        <v>263</v>
      </c>
      <c r="B4" s="110"/>
      <c r="C4" s="111">
        <v>2</v>
      </c>
      <c r="D4" s="111">
        <v>3</v>
      </c>
      <c r="E4" s="111">
        <v>4</v>
      </c>
      <c r="F4" s="111">
        <v>6</v>
      </c>
      <c r="G4" s="111">
        <v>8</v>
      </c>
      <c r="H4" s="111">
        <v>10</v>
      </c>
      <c r="I4" s="112">
        <v>12</v>
      </c>
      <c r="J4" s="738"/>
      <c r="K4" s="739"/>
      <c r="L4" s="739"/>
      <c r="M4" s="739"/>
      <c r="N4" s="740"/>
    </row>
    <row r="5" spans="1:14" ht="12.75">
      <c r="A5" s="877"/>
      <c r="B5" s="113">
        <v>0</v>
      </c>
      <c r="C5" s="70">
        <v>-0.0426</v>
      </c>
      <c r="D5" s="70">
        <v>-0.0287</v>
      </c>
      <c r="E5" s="70">
        <v>-0.0277</v>
      </c>
      <c r="F5" s="70">
        <v>-0.0328</v>
      </c>
      <c r="G5" s="70">
        <v>-0.0374</v>
      </c>
      <c r="H5" s="70">
        <v>-0.0405</v>
      </c>
      <c r="I5" s="94">
        <v>-0.0436</v>
      </c>
      <c r="J5" s="738"/>
      <c r="K5" s="739"/>
      <c r="L5" s="739"/>
      <c r="M5" s="739"/>
      <c r="N5" s="740"/>
    </row>
    <row r="6" spans="1:14" ht="12.75">
      <c r="A6" s="877"/>
      <c r="B6" s="113">
        <v>10</v>
      </c>
      <c r="C6" s="70">
        <v>-0.0528</v>
      </c>
      <c r="D6" s="70">
        <v>-0.0364</v>
      </c>
      <c r="E6" s="70">
        <v>-0.0328</v>
      </c>
      <c r="F6" s="70">
        <v>-0.0328</v>
      </c>
      <c r="G6" s="70">
        <v>-0.0359</v>
      </c>
      <c r="H6" s="70">
        <v>-0.0405</v>
      </c>
      <c r="I6" s="94">
        <v>-0.0426</v>
      </c>
      <c r="J6" s="738"/>
      <c r="K6" s="739"/>
      <c r="L6" s="739"/>
      <c r="M6" s="739"/>
      <c r="N6" s="740"/>
    </row>
    <row r="7" spans="1:14" ht="12.75">
      <c r="A7" s="877"/>
      <c r="B7" s="113">
        <v>20</v>
      </c>
      <c r="C7" s="70">
        <v>-0.0662</v>
      </c>
      <c r="D7" s="70">
        <v>-0.0462</v>
      </c>
      <c r="E7" s="70">
        <v>-0.0405</v>
      </c>
      <c r="F7" s="70">
        <v>-0.039</v>
      </c>
      <c r="G7" s="70">
        <v>-0.041</v>
      </c>
      <c r="H7" s="70">
        <v>-0.0431</v>
      </c>
      <c r="I7" s="94">
        <v>-0.0456</v>
      </c>
      <c r="J7" s="738"/>
      <c r="K7" s="739"/>
      <c r="L7" s="739"/>
      <c r="M7" s="739"/>
      <c r="N7" s="740"/>
    </row>
    <row r="8" spans="1:14" ht="12.75">
      <c r="A8" s="877"/>
      <c r="B8" s="113">
        <v>30</v>
      </c>
      <c r="C8" s="70">
        <v>-0.0815</v>
      </c>
      <c r="D8" s="70">
        <v>-0.0579</v>
      </c>
      <c r="E8" s="70">
        <v>-0.0503</v>
      </c>
      <c r="F8" s="70">
        <v>-0.0472</v>
      </c>
      <c r="G8" s="70">
        <v>-0.0482</v>
      </c>
      <c r="H8" s="70">
        <v>-0.0508</v>
      </c>
      <c r="I8" s="94">
        <v>-0.0533</v>
      </c>
      <c r="J8" s="738"/>
      <c r="K8" s="739"/>
      <c r="L8" s="739"/>
      <c r="M8" s="739"/>
      <c r="N8" s="740"/>
    </row>
    <row r="9" spans="1:14" ht="12.75">
      <c r="A9" s="877"/>
      <c r="B9" s="113">
        <v>40</v>
      </c>
      <c r="C9" s="70">
        <v>-0.1021</v>
      </c>
      <c r="D9" s="70">
        <v>-0.0744</v>
      </c>
      <c r="E9" s="70">
        <v>-0.0651</v>
      </c>
      <c r="F9" s="70">
        <v>-0.0605</v>
      </c>
      <c r="G9" s="70">
        <v>-0.0621</v>
      </c>
      <c r="H9" s="70">
        <v>-0.0641</v>
      </c>
      <c r="I9" s="94">
        <v>-0.0651</v>
      </c>
      <c r="J9" s="738"/>
      <c r="K9" s="739"/>
      <c r="L9" s="739"/>
      <c r="M9" s="739"/>
      <c r="N9" s="740"/>
    </row>
    <row r="10" spans="1:20" ht="12.75">
      <c r="A10" s="877"/>
      <c r="B10" s="113">
        <v>50</v>
      </c>
      <c r="C10" s="70">
        <v>-0.1328</v>
      </c>
      <c r="D10" s="70">
        <v>-0.099</v>
      </c>
      <c r="E10" s="70">
        <v>-0.0872</v>
      </c>
      <c r="F10" s="70">
        <v>-0.0815</v>
      </c>
      <c r="G10" s="70">
        <v>-0.0821</v>
      </c>
      <c r="H10" s="70">
        <v>-0.0841</v>
      </c>
      <c r="I10" s="94">
        <v>-0.0867</v>
      </c>
      <c r="J10" s="738"/>
      <c r="K10" s="739"/>
      <c r="L10" s="739"/>
      <c r="M10" s="739"/>
      <c r="N10" s="740"/>
      <c r="O10" s="73"/>
      <c r="P10" s="73"/>
      <c r="Q10" s="73"/>
      <c r="R10" s="73"/>
      <c r="S10" s="73"/>
      <c r="T10" s="20"/>
    </row>
    <row r="11" spans="1:20" ht="13.5" thickBot="1">
      <c r="A11" s="878"/>
      <c r="B11" s="114">
        <v>60</v>
      </c>
      <c r="C11" s="71">
        <v>-0.1882</v>
      </c>
      <c r="D11" s="71">
        <v>-0.1441</v>
      </c>
      <c r="E11" s="71">
        <v>-0.1308</v>
      </c>
      <c r="F11" s="71">
        <v>-0.1236</v>
      </c>
      <c r="G11" s="71">
        <v>-0.1251</v>
      </c>
      <c r="H11" s="71">
        <v>-0.1272</v>
      </c>
      <c r="I11" s="115">
        <v>-0.1313</v>
      </c>
      <c r="J11" s="738"/>
      <c r="K11" s="739"/>
      <c r="L11" s="739"/>
      <c r="M11" s="739"/>
      <c r="N11" s="740"/>
      <c r="T11" s="20"/>
    </row>
    <row r="12" spans="1:20" ht="13.5" thickBot="1">
      <c r="A12" s="777" t="s">
        <v>307</v>
      </c>
      <c r="B12" s="778"/>
      <c r="C12" s="778"/>
      <c r="D12" s="778"/>
      <c r="E12" s="778"/>
      <c r="F12" s="778"/>
      <c r="G12" s="778"/>
      <c r="H12" s="778"/>
      <c r="I12" s="780"/>
      <c r="J12" s="738"/>
      <c r="K12" s="739"/>
      <c r="L12" s="739"/>
      <c r="M12" s="739"/>
      <c r="N12" s="740"/>
      <c r="T12" s="20"/>
    </row>
    <row r="13" spans="1:20" ht="13.5" thickBot="1">
      <c r="A13" s="116"/>
      <c r="B13" s="831" t="s">
        <v>6</v>
      </c>
      <c r="C13" s="831"/>
      <c r="D13" s="831"/>
      <c r="E13" s="831"/>
      <c r="F13" s="831"/>
      <c r="G13" s="831"/>
      <c r="H13" s="831"/>
      <c r="I13" s="832"/>
      <c r="J13" s="738"/>
      <c r="K13" s="739"/>
      <c r="L13" s="739"/>
      <c r="M13" s="739"/>
      <c r="N13" s="740"/>
      <c r="T13" s="20"/>
    </row>
    <row r="14" spans="1:20" ht="12.75">
      <c r="A14" s="828" t="s">
        <v>263</v>
      </c>
      <c r="B14" s="34"/>
      <c r="C14" s="30">
        <v>2</v>
      </c>
      <c r="D14" s="30">
        <v>3</v>
      </c>
      <c r="E14" s="30">
        <v>4</v>
      </c>
      <c r="F14" s="30">
        <v>6</v>
      </c>
      <c r="G14" s="30">
        <v>8</v>
      </c>
      <c r="H14" s="30">
        <v>10</v>
      </c>
      <c r="I14" s="31">
        <v>12</v>
      </c>
      <c r="J14" s="738"/>
      <c r="K14" s="739"/>
      <c r="L14" s="739"/>
      <c r="M14" s="739"/>
      <c r="N14" s="740"/>
      <c r="T14" s="20"/>
    </row>
    <row r="15" spans="1:20" ht="12.75">
      <c r="A15" s="828"/>
      <c r="B15" s="35">
        <v>0</v>
      </c>
      <c r="C15" s="20">
        <v>-0.0673</v>
      </c>
      <c r="D15" s="20">
        <v>-0.0452</v>
      </c>
      <c r="E15" s="20">
        <v>-0.039</v>
      </c>
      <c r="F15" s="20">
        <v>-0.0359</v>
      </c>
      <c r="G15" s="20">
        <v>-0.038</v>
      </c>
      <c r="H15" s="20">
        <v>-0.0395</v>
      </c>
      <c r="I15" s="21">
        <v>-0.0416</v>
      </c>
      <c r="J15" s="738"/>
      <c r="K15" s="739"/>
      <c r="L15" s="739"/>
      <c r="M15" s="739"/>
      <c r="N15" s="740"/>
      <c r="T15" s="20"/>
    </row>
    <row r="16" spans="1:20" ht="12.75">
      <c r="A16" s="828"/>
      <c r="B16" s="35">
        <v>10</v>
      </c>
      <c r="C16" s="20">
        <v>-0.0796</v>
      </c>
      <c r="D16" s="20">
        <v>-0.0555</v>
      </c>
      <c r="E16" s="20">
        <v>-0.0478</v>
      </c>
      <c r="F16" s="20">
        <v>-0.0442</v>
      </c>
      <c r="G16" s="20">
        <v>-0.0452</v>
      </c>
      <c r="H16" s="20">
        <v>-0.0472</v>
      </c>
      <c r="I16" s="21">
        <v>-0.0488</v>
      </c>
      <c r="J16" s="738"/>
      <c r="K16" s="739"/>
      <c r="L16" s="739"/>
      <c r="M16" s="739"/>
      <c r="N16" s="740"/>
      <c r="T16" s="20"/>
    </row>
    <row r="17" spans="1:20" ht="12.75">
      <c r="A17" s="828"/>
      <c r="B17" s="35">
        <v>20</v>
      </c>
      <c r="C17" s="20">
        <v>-0.094</v>
      </c>
      <c r="D17" s="20">
        <v>-0.0673</v>
      </c>
      <c r="E17" s="20">
        <v>-0.058</v>
      </c>
      <c r="F17" s="20">
        <v>-0.0534</v>
      </c>
      <c r="G17" s="20">
        <v>-0.0555</v>
      </c>
      <c r="H17" s="20">
        <v>-0.057</v>
      </c>
      <c r="I17" s="21">
        <v>-0.0586</v>
      </c>
      <c r="J17" s="738"/>
      <c r="K17" s="739"/>
      <c r="L17" s="739"/>
      <c r="M17" s="739"/>
      <c r="N17" s="740"/>
      <c r="T17" s="20"/>
    </row>
    <row r="18" spans="1:20" ht="12.75">
      <c r="A18" s="828"/>
      <c r="B18" s="35">
        <v>30</v>
      </c>
      <c r="C18" s="20">
        <v>-0.1125</v>
      </c>
      <c r="D18" s="20">
        <v>-0.0817</v>
      </c>
      <c r="E18" s="20">
        <v>-0.0709</v>
      </c>
      <c r="F18" s="20">
        <v>-0.0663</v>
      </c>
      <c r="G18" s="20">
        <v>-0.0678</v>
      </c>
      <c r="H18" s="20">
        <v>-0.0694</v>
      </c>
      <c r="I18" s="21">
        <v>-0.0719</v>
      </c>
      <c r="J18" s="738"/>
      <c r="K18" s="739"/>
      <c r="L18" s="739"/>
      <c r="M18" s="739"/>
      <c r="N18" s="740"/>
      <c r="T18" s="20"/>
    </row>
    <row r="19" spans="1:20" ht="12.75">
      <c r="A19" s="828"/>
      <c r="B19" s="35">
        <v>40</v>
      </c>
      <c r="C19" s="20">
        <v>-0.1362</v>
      </c>
      <c r="D19" s="20">
        <v>-0.1017</v>
      </c>
      <c r="E19" s="20">
        <v>-0.0899</v>
      </c>
      <c r="F19" s="20">
        <v>-0.0848</v>
      </c>
      <c r="G19" s="20">
        <v>-0.0858</v>
      </c>
      <c r="H19" s="20">
        <v>-0.0879</v>
      </c>
      <c r="I19" s="21">
        <v>-0.0904</v>
      </c>
      <c r="J19" s="738"/>
      <c r="K19" s="739"/>
      <c r="L19" s="739"/>
      <c r="M19" s="739"/>
      <c r="N19" s="740"/>
      <c r="O19" s="20"/>
      <c r="P19" s="20"/>
      <c r="Q19" s="20"/>
      <c r="R19" s="20"/>
      <c r="S19" s="20"/>
      <c r="T19" s="20"/>
    </row>
    <row r="20" spans="1:20" ht="12.75">
      <c r="A20" s="828"/>
      <c r="B20" s="35">
        <v>50</v>
      </c>
      <c r="C20" s="20">
        <v>-0.1717</v>
      </c>
      <c r="D20" s="20">
        <v>-0.1331</v>
      </c>
      <c r="E20" s="20">
        <v>-0.1192</v>
      </c>
      <c r="F20" s="20">
        <v>-0.1141</v>
      </c>
      <c r="G20" s="20">
        <v>-0.1156</v>
      </c>
      <c r="H20" s="20">
        <v>-0.1187</v>
      </c>
      <c r="I20" s="21">
        <v>-0.1218</v>
      </c>
      <c r="J20" s="738"/>
      <c r="K20" s="739"/>
      <c r="L20" s="739"/>
      <c r="M20" s="739"/>
      <c r="N20" s="740"/>
      <c r="O20" s="73"/>
      <c r="P20" s="73"/>
      <c r="Q20" s="73"/>
      <c r="R20" s="73"/>
      <c r="S20" s="73"/>
      <c r="T20" s="20"/>
    </row>
    <row r="21" spans="1:20" ht="13.5" thickBot="1">
      <c r="A21" s="829"/>
      <c r="B21" s="36">
        <v>60</v>
      </c>
      <c r="C21" s="22">
        <v>-0.2349</v>
      </c>
      <c r="D21" s="22">
        <v>-0.1871</v>
      </c>
      <c r="E21" s="22">
        <v>-0.1732</v>
      </c>
      <c r="F21" s="22">
        <v>-0.1676</v>
      </c>
      <c r="G21" s="22">
        <v>-0.1717</v>
      </c>
      <c r="H21" s="22">
        <v>-0.1768</v>
      </c>
      <c r="I21" s="23">
        <v>-0.182</v>
      </c>
      <c r="J21" s="738"/>
      <c r="K21" s="739"/>
      <c r="L21" s="739"/>
      <c r="M21" s="739"/>
      <c r="N21" s="740"/>
      <c r="T21" s="20"/>
    </row>
    <row r="22" spans="1:20" ht="13.5" thickBot="1">
      <c r="A22" s="819" t="s">
        <v>308</v>
      </c>
      <c r="B22" s="779"/>
      <c r="C22" s="779"/>
      <c r="D22" s="779"/>
      <c r="E22" s="779"/>
      <c r="F22" s="779"/>
      <c r="G22" s="779"/>
      <c r="H22" s="779"/>
      <c r="I22" s="820"/>
      <c r="J22" s="738"/>
      <c r="K22" s="739"/>
      <c r="L22" s="739"/>
      <c r="M22" s="739"/>
      <c r="N22" s="740"/>
      <c r="T22" s="20"/>
    </row>
    <row r="23" spans="1:20" ht="13.5" thickBot="1">
      <c r="A23" s="116"/>
      <c r="B23" s="831" t="s">
        <v>6</v>
      </c>
      <c r="C23" s="831"/>
      <c r="D23" s="831"/>
      <c r="E23" s="831"/>
      <c r="F23" s="831"/>
      <c r="G23" s="831"/>
      <c r="H23" s="831"/>
      <c r="I23" s="832"/>
      <c r="J23" s="738"/>
      <c r="K23" s="739"/>
      <c r="L23" s="739"/>
      <c r="M23" s="739"/>
      <c r="N23" s="740"/>
      <c r="T23" s="20"/>
    </row>
    <row r="24" spans="1:20" ht="12.75">
      <c r="A24" s="828" t="s">
        <v>263</v>
      </c>
      <c r="B24" s="34"/>
      <c r="C24" s="30">
        <v>2</v>
      </c>
      <c r="D24" s="30">
        <v>3</v>
      </c>
      <c r="E24" s="30">
        <v>4</v>
      </c>
      <c r="F24" s="30">
        <v>6</v>
      </c>
      <c r="G24" s="30">
        <v>8</v>
      </c>
      <c r="H24" s="30">
        <v>10</v>
      </c>
      <c r="I24" s="31">
        <v>12</v>
      </c>
      <c r="J24" s="738"/>
      <c r="K24" s="739"/>
      <c r="L24" s="739"/>
      <c r="M24" s="739"/>
      <c r="N24" s="740"/>
      <c r="T24" s="20"/>
    </row>
    <row r="25" spans="1:20" ht="12.75">
      <c r="A25" s="828"/>
      <c r="B25" s="35">
        <v>0</v>
      </c>
      <c r="C25" s="20">
        <v>-0.0918</v>
      </c>
      <c r="D25" s="20">
        <v>-0.0621</v>
      </c>
      <c r="E25" s="20">
        <v>-0.0508</v>
      </c>
      <c r="F25" s="20">
        <v>-0.0456</v>
      </c>
      <c r="G25" s="20">
        <v>-0.0441</v>
      </c>
      <c r="H25" s="20">
        <v>-0.0456</v>
      </c>
      <c r="I25" s="21">
        <v>-0.0467</v>
      </c>
      <c r="J25" s="738"/>
      <c r="K25" s="739"/>
      <c r="L25" s="739"/>
      <c r="M25" s="739"/>
      <c r="N25" s="740"/>
      <c r="T25" s="20"/>
    </row>
    <row r="26" spans="1:20" ht="12.75">
      <c r="A26" s="828"/>
      <c r="B26" s="35">
        <v>10</v>
      </c>
      <c r="C26" s="20">
        <v>-0.1067</v>
      </c>
      <c r="D26" s="20">
        <v>-0.0738</v>
      </c>
      <c r="E26" s="20">
        <v>-0.0626</v>
      </c>
      <c r="F26" s="20">
        <v>-0.0559</v>
      </c>
      <c r="G26" s="20">
        <v>-0.0559</v>
      </c>
      <c r="H26" s="20">
        <v>-0.0564</v>
      </c>
      <c r="I26" s="21">
        <v>-0.0585</v>
      </c>
      <c r="J26" s="738"/>
      <c r="K26" s="739"/>
      <c r="L26" s="739"/>
      <c r="M26" s="739"/>
      <c r="N26" s="740"/>
      <c r="T26" s="20"/>
    </row>
    <row r="27" spans="1:20" ht="12.75">
      <c r="A27" s="828"/>
      <c r="B27" s="35">
        <v>20</v>
      </c>
      <c r="C27" s="20">
        <v>-0.1241</v>
      </c>
      <c r="D27" s="20">
        <v>-0.0882</v>
      </c>
      <c r="E27" s="20">
        <v>-0.0759</v>
      </c>
      <c r="F27" s="20">
        <v>-0.0692</v>
      </c>
      <c r="G27" s="20">
        <v>-0.0687</v>
      </c>
      <c r="H27" s="20">
        <v>-0.0703</v>
      </c>
      <c r="I27" s="21">
        <v>-0.0723</v>
      </c>
      <c r="J27" s="738"/>
      <c r="K27" s="739"/>
      <c r="L27" s="739"/>
      <c r="M27" s="739"/>
      <c r="N27" s="740"/>
      <c r="T27" s="20"/>
    </row>
    <row r="28" spans="1:20" ht="12.75">
      <c r="A28" s="828"/>
      <c r="B28" s="35">
        <v>30</v>
      </c>
      <c r="C28" s="20">
        <v>-0.1436</v>
      </c>
      <c r="D28" s="20">
        <v>-0.1062</v>
      </c>
      <c r="E28" s="20">
        <v>-0.0923</v>
      </c>
      <c r="F28" s="20">
        <v>-0.0862</v>
      </c>
      <c r="G28" s="20">
        <v>-0.0867</v>
      </c>
      <c r="H28" s="20">
        <v>-0.0882</v>
      </c>
      <c r="I28" s="21">
        <v>-0.0908</v>
      </c>
      <c r="J28" s="738"/>
      <c r="K28" s="739"/>
      <c r="L28" s="739"/>
      <c r="M28" s="739"/>
      <c r="N28" s="740"/>
      <c r="T28" s="20"/>
    </row>
    <row r="29" spans="1:20" ht="12.75">
      <c r="A29" s="828"/>
      <c r="B29" s="35">
        <v>40</v>
      </c>
      <c r="C29" s="20">
        <v>-0.1713</v>
      </c>
      <c r="D29" s="20">
        <v>-0.1292</v>
      </c>
      <c r="E29" s="20">
        <v>-0.1154</v>
      </c>
      <c r="F29" s="20">
        <v>-0.1097</v>
      </c>
      <c r="G29" s="20">
        <v>-0.1103</v>
      </c>
      <c r="H29" s="20">
        <v>-0.1128</v>
      </c>
      <c r="I29" s="21">
        <v>-0.1174</v>
      </c>
      <c r="J29" s="738"/>
      <c r="K29" s="739"/>
      <c r="L29" s="739"/>
      <c r="M29" s="739"/>
      <c r="N29" s="740"/>
      <c r="O29" s="20"/>
      <c r="P29" s="20"/>
      <c r="Q29" s="20"/>
      <c r="R29" s="20"/>
      <c r="S29" s="20"/>
      <c r="T29" s="20"/>
    </row>
    <row r="30" spans="1:20" ht="12.75">
      <c r="A30" s="828"/>
      <c r="B30" s="35">
        <v>50</v>
      </c>
      <c r="C30" s="20">
        <v>-0.2128</v>
      </c>
      <c r="D30" s="20">
        <v>-0.1656</v>
      </c>
      <c r="E30" s="20">
        <v>-0.1513</v>
      </c>
      <c r="F30" s="20">
        <v>-0.1446</v>
      </c>
      <c r="G30" s="20">
        <v>-0.1492</v>
      </c>
      <c r="H30" s="20">
        <v>-0.1533</v>
      </c>
      <c r="I30" s="21">
        <v>-0.1585</v>
      </c>
      <c r="J30" s="738"/>
      <c r="K30" s="739"/>
      <c r="L30" s="739"/>
      <c r="M30" s="739"/>
      <c r="N30" s="740"/>
      <c r="O30" s="73"/>
      <c r="P30" s="73"/>
      <c r="Q30" s="73"/>
      <c r="R30" s="73"/>
      <c r="S30" s="73"/>
      <c r="T30" s="20"/>
    </row>
    <row r="31" spans="1:20" ht="13.5" thickBot="1">
      <c r="A31" s="828"/>
      <c r="B31" s="36">
        <v>60</v>
      </c>
      <c r="C31" s="22">
        <v>-0.2769</v>
      </c>
      <c r="D31" s="22">
        <v>-0.2303</v>
      </c>
      <c r="E31" s="22">
        <v>-0.2154</v>
      </c>
      <c r="F31" s="22">
        <v>-0.2128</v>
      </c>
      <c r="G31" s="22">
        <v>-0.2195</v>
      </c>
      <c r="H31" s="22">
        <v>-0.2262</v>
      </c>
      <c r="I31" s="23">
        <v>-0.2338</v>
      </c>
      <c r="J31" s="738"/>
      <c r="K31" s="739"/>
      <c r="L31" s="739"/>
      <c r="M31" s="739"/>
      <c r="N31" s="740"/>
      <c r="T31" s="20"/>
    </row>
    <row r="32" spans="1:20" ht="13.5" thickBot="1">
      <c r="A32" s="720" t="s">
        <v>248</v>
      </c>
      <c r="B32" s="762"/>
      <c r="C32" s="763"/>
      <c r="D32" s="601"/>
      <c r="E32" s="602"/>
      <c r="F32" s="602"/>
      <c r="G32" s="602"/>
      <c r="H32" s="602"/>
      <c r="I32" s="602"/>
      <c r="J32" s="602"/>
      <c r="K32" s="602"/>
      <c r="L32" s="602"/>
      <c r="M32" s="602"/>
      <c r="N32" s="603"/>
      <c r="T32" s="20"/>
    </row>
    <row r="33" spans="1:20" ht="12.75" customHeight="1" thickBot="1">
      <c r="A33" s="827" t="s">
        <v>311</v>
      </c>
      <c r="B33" s="117"/>
      <c r="C33" s="118" t="s">
        <v>310</v>
      </c>
      <c r="D33" s="601"/>
      <c r="E33" s="602"/>
      <c r="F33" s="602"/>
      <c r="G33" s="602"/>
      <c r="H33" s="602"/>
      <c r="I33" s="602"/>
      <c r="J33" s="602"/>
      <c r="K33" s="602"/>
      <c r="L33" s="602"/>
      <c r="M33" s="602"/>
      <c r="N33" s="603"/>
      <c r="T33" s="20"/>
    </row>
    <row r="34" spans="1:20" ht="12.75">
      <c r="A34" s="828"/>
      <c r="B34" s="119">
        <v>-1E-06</v>
      </c>
      <c r="C34" s="26" t="e">
        <f>DITP('Coeficientes Latero-Direcionais'!I5,'Dados Geométricos'!E15,'ESDU 81014'!B4:I11)</f>
        <v>#NAME?</v>
      </c>
      <c r="D34" s="601"/>
      <c r="E34" s="602"/>
      <c r="F34" s="602"/>
      <c r="G34" s="602"/>
      <c r="H34" s="602"/>
      <c r="I34" s="602"/>
      <c r="J34" s="602"/>
      <c r="K34" s="602"/>
      <c r="L34" s="602"/>
      <c r="M34" s="602"/>
      <c r="N34" s="603"/>
      <c r="T34" s="20"/>
    </row>
    <row r="35" spans="1:20" ht="12.75">
      <c r="A35" s="828"/>
      <c r="B35" s="119">
        <v>0.1</v>
      </c>
      <c r="C35" s="26" t="e">
        <f>DITP('Coeficientes Latero-Direcionais'!I5,'Dados Geométricos'!E15,'ESDU 81014'!B14:I21)</f>
        <v>#NAME?</v>
      </c>
      <c r="D35" s="601"/>
      <c r="E35" s="602"/>
      <c r="F35" s="602"/>
      <c r="G35" s="602"/>
      <c r="H35" s="602"/>
      <c r="I35" s="602"/>
      <c r="J35" s="602"/>
      <c r="K35" s="602"/>
      <c r="L35" s="602"/>
      <c r="M35" s="602"/>
      <c r="N35" s="603"/>
      <c r="T35" s="20"/>
    </row>
    <row r="36" spans="1:20" ht="13.5" thickBot="1">
      <c r="A36" s="828"/>
      <c r="B36" s="119">
        <v>2.000001</v>
      </c>
      <c r="C36" s="26" t="e">
        <f>DITP('Coeficientes Latero-Direcionais'!$I$5,'Dados Geométricos'!$E$15,'ESDU 81014'!B24:I31)</f>
        <v>#NAME?</v>
      </c>
      <c r="D36" s="601"/>
      <c r="E36" s="602"/>
      <c r="F36" s="602"/>
      <c r="G36" s="602"/>
      <c r="H36" s="602"/>
      <c r="I36" s="602"/>
      <c r="J36" s="602"/>
      <c r="K36" s="602"/>
      <c r="L36" s="602"/>
      <c r="M36" s="602"/>
      <c r="N36" s="603"/>
      <c r="T36" s="20"/>
    </row>
    <row r="37" spans="1:20" ht="13.5" thickBot="1">
      <c r="A37" s="777" t="s">
        <v>309</v>
      </c>
      <c r="B37" s="778"/>
      <c r="C37" s="778"/>
      <c r="D37" s="778"/>
      <c r="E37" s="778"/>
      <c r="F37" s="778"/>
      <c r="G37" s="778"/>
      <c r="H37" s="778"/>
      <c r="I37" s="780"/>
      <c r="J37" s="739"/>
      <c r="K37" s="739"/>
      <c r="L37" s="739"/>
      <c r="M37" s="739"/>
      <c r="N37" s="740"/>
      <c r="T37" s="20"/>
    </row>
    <row r="38" spans="1:20" ht="13.5" thickBot="1">
      <c r="A38" s="116"/>
      <c r="B38" s="831" t="s">
        <v>263</v>
      </c>
      <c r="C38" s="831"/>
      <c r="D38" s="831"/>
      <c r="E38" s="831"/>
      <c r="F38" s="831"/>
      <c r="G38" s="831"/>
      <c r="H38" s="831"/>
      <c r="I38" s="832"/>
      <c r="J38" s="739"/>
      <c r="K38" s="739"/>
      <c r="L38" s="739"/>
      <c r="M38" s="739"/>
      <c r="N38" s="740"/>
      <c r="T38" s="20"/>
    </row>
    <row r="39" spans="1:20" ht="12.75">
      <c r="A39" s="828" t="s">
        <v>6</v>
      </c>
      <c r="B39" s="34"/>
      <c r="C39" s="30">
        <v>0</v>
      </c>
      <c r="D39" s="30">
        <v>10</v>
      </c>
      <c r="E39" s="30">
        <v>20</v>
      </c>
      <c r="F39" s="30">
        <v>30</v>
      </c>
      <c r="G39" s="30">
        <v>40</v>
      </c>
      <c r="H39" s="30">
        <v>50</v>
      </c>
      <c r="I39" s="31">
        <v>60</v>
      </c>
      <c r="J39" s="739"/>
      <c r="K39" s="739"/>
      <c r="L39" s="739"/>
      <c r="M39" s="739"/>
      <c r="N39" s="740"/>
      <c r="T39" s="20"/>
    </row>
    <row r="40" spans="1:20" ht="12.75">
      <c r="A40" s="828"/>
      <c r="B40" s="35">
        <v>2</v>
      </c>
      <c r="C40" s="20">
        <v>0.242</v>
      </c>
      <c r="D40" s="20">
        <v>0.293</v>
      </c>
      <c r="E40" s="20">
        <v>0.3389</v>
      </c>
      <c r="F40" s="20">
        <v>0.3975</v>
      </c>
      <c r="G40" s="20">
        <v>0.4739</v>
      </c>
      <c r="H40" s="20">
        <v>0.5936</v>
      </c>
      <c r="I40" s="21">
        <v>0.7822</v>
      </c>
      <c r="J40" s="739"/>
      <c r="K40" s="739"/>
      <c r="L40" s="739"/>
      <c r="M40" s="739"/>
      <c r="N40" s="740"/>
      <c r="T40" s="20"/>
    </row>
    <row r="41" spans="1:20" ht="12.75">
      <c r="A41" s="828"/>
      <c r="B41" s="35">
        <v>3</v>
      </c>
      <c r="C41" s="20">
        <v>0.1631</v>
      </c>
      <c r="D41" s="20">
        <v>0.2166</v>
      </c>
      <c r="E41" s="20">
        <v>0.2726</v>
      </c>
      <c r="F41" s="20">
        <v>0.3338</v>
      </c>
      <c r="G41" s="20">
        <v>0.4229</v>
      </c>
      <c r="H41" s="20">
        <v>0.5503</v>
      </c>
      <c r="I41" s="21">
        <v>0.772</v>
      </c>
      <c r="J41" s="739"/>
      <c r="K41" s="739"/>
      <c r="L41" s="739"/>
      <c r="M41" s="739"/>
      <c r="N41" s="740"/>
      <c r="T41" s="20"/>
    </row>
    <row r="42" spans="1:20" ht="12.75">
      <c r="A42" s="828"/>
      <c r="B42" s="35">
        <v>4</v>
      </c>
      <c r="C42" s="20">
        <v>0.1248</v>
      </c>
      <c r="D42" s="20">
        <v>0.1758</v>
      </c>
      <c r="E42" s="20">
        <v>0.242</v>
      </c>
      <c r="F42" s="20">
        <v>0.3134</v>
      </c>
      <c r="G42" s="20">
        <v>0.4051</v>
      </c>
      <c r="H42" s="20">
        <v>0.5452</v>
      </c>
      <c r="I42" s="21">
        <v>0.7694</v>
      </c>
      <c r="J42" s="739"/>
      <c r="K42" s="739"/>
      <c r="L42" s="739"/>
      <c r="M42" s="739"/>
      <c r="N42" s="740"/>
      <c r="T42" s="20"/>
    </row>
    <row r="43" spans="1:20" ht="12.75">
      <c r="A43" s="828"/>
      <c r="B43" s="35">
        <v>6</v>
      </c>
      <c r="C43" s="20">
        <v>0.0841</v>
      </c>
      <c r="D43" s="20">
        <v>0.1452</v>
      </c>
      <c r="E43" s="20">
        <v>0.2115</v>
      </c>
      <c r="F43" s="20">
        <v>0.293</v>
      </c>
      <c r="G43" s="20">
        <v>0.3924</v>
      </c>
      <c r="H43" s="20">
        <v>0.5427</v>
      </c>
      <c r="I43" s="21">
        <v>0.7796</v>
      </c>
      <c r="J43" s="739"/>
      <c r="K43" s="739"/>
      <c r="L43" s="739"/>
      <c r="M43" s="739"/>
      <c r="N43" s="740"/>
      <c r="T43" s="20"/>
    </row>
    <row r="44" spans="1:20" ht="12.75">
      <c r="A44" s="828"/>
      <c r="B44" s="35">
        <v>8</v>
      </c>
      <c r="C44" s="20">
        <v>0.0611</v>
      </c>
      <c r="D44" s="20">
        <v>0.1274</v>
      </c>
      <c r="E44" s="20">
        <v>0.1987</v>
      </c>
      <c r="F44" s="20">
        <v>0.2854</v>
      </c>
      <c r="G44" s="20">
        <v>0.3949</v>
      </c>
      <c r="H44" s="20">
        <v>0.5452</v>
      </c>
      <c r="I44" s="21">
        <v>0.7924</v>
      </c>
      <c r="J44" s="739"/>
      <c r="K44" s="739"/>
      <c r="L44" s="739"/>
      <c r="M44" s="739"/>
      <c r="N44" s="740"/>
      <c r="O44" s="20"/>
      <c r="P44" s="20"/>
      <c r="Q44" s="20"/>
      <c r="R44" s="20"/>
      <c r="S44" s="20"/>
      <c r="T44" s="20"/>
    </row>
    <row r="45" spans="1:20" ht="12.75">
      <c r="A45" s="828"/>
      <c r="B45" s="35">
        <v>10</v>
      </c>
      <c r="C45" s="20">
        <v>0.051</v>
      </c>
      <c r="D45" s="20">
        <v>0.1172</v>
      </c>
      <c r="E45" s="20">
        <v>0.1911</v>
      </c>
      <c r="F45" s="20">
        <v>0.2854</v>
      </c>
      <c r="G45" s="20">
        <v>0.3949</v>
      </c>
      <c r="H45" s="20">
        <v>0.5503</v>
      </c>
      <c r="I45" s="21">
        <v>0.7975</v>
      </c>
      <c r="J45" s="739"/>
      <c r="K45" s="739"/>
      <c r="L45" s="739"/>
      <c r="M45" s="739"/>
      <c r="N45" s="740"/>
      <c r="O45" s="73"/>
      <c r="P45" s="73"/>
      <c r="Q45" s="73"/>
      <c r="R45" s="73"/>
      <c r="S45" s="73"/>
      <c r="T45" s="20"/>
    </row>
    <row r="46" spans="1:20" ht="13.5" thickBot="1">
      <c r="A46" s="828"/>
      <c r="B46" s="35">
        <v>12</v>
      </c>
      <c r="C46" s="20">
        <v>0.0408</v>
      </c>
      <c r="D46" s="20">
        <v>0.1146</v>
      </c>
      <c r="E46" s="20">
        <v>0.1911</v>
      </c>
      <c r="F46" s="20">
        <v>0.2803</v>
      </c>
      <c r="G46" s="20">
        <v>0.3949</v>
      </c>
      <c r="H46" s="20">
        <v>0.5554</v>
      </c>
      <c r="I46" s="21">
        <v>0.8127</v>
      </c>
      <c r="J46" s="739"/>
      <c r="K46" s="739"/>
      <c r="L46" s="739"/>
      <c r="M46" s="739"/>
      <c r="N46" s="740"/>
      <c r="T46" s="20"/>
    </row>
    <row r="47" spans="1:20" ht="13.5" thickBot="1">
      <c r="A47" s="777" t="s">
        <v>312</v>
      </c>
      <c r="B47" s="778"/>
      <c r="C47" s="778"/>
      <c r="D47" s="778"/>
      <c r="E47" s="778"/>
      <c r="F47" s="778"/>
      <c r="G47" s="778"/>
      <c r="H47" s="778"/>
      <c r="I47" s="778"/>
      <c r="J47" s="780"/>
      <c r="K47" s="738"/>
      <c r="L47" s="739"/>
      <c r="M47" s="739"/>
      <c r="N47" s="740"/>
      <c r="T47" s="20"/>
    </row>
    <row r="48" spans="1:20" ht="13.5" thickBot="1">
      <c r="A48" s="116"/>
      <c r="B48" s="831" t="s">
        <v>6</v>
      </c>
      <c r="C48" s="831"/>
      <c r="D48" s="831"/>
      <c r="E48" s="831"/>
      <c r="F48" s="831"/>
      <c r="G48" s="831"/>
      <c r="H48" s="831"/>
      <c r="I48" s="831"/>
      <c r="J48" s="832"/>
      <c r="K48" s="738"/>
      <c r="L48" s="739"/>
      <c r="M48" s="739"/>
      <c r="N48" s="740"/>
      <c r="T48" s="20"/>
    </row>
    <row r="49" spans="1:20" ht="12.75">
      <c r="A49" s="828" t="s">
        <v>263</v>
      </c>
      <c r="B49" s="34"/>
      <c r="C49" s="30">
        <v>1</v>
      </c>
      <c r="D49" s="30">
        <v>2</v>
      </c>
      <c r="E49" s="30">
        <v>3</v>
      </c>
      <c r="F49" s="30">
        <v>4</v>
      </c>
      <c r="G49" s="30">
        <v>5</v>
      </c>
      <c r="H49" s="30">
        <v>6</v>
      </c>
      <c r="I49" s="30">
        <v>7</v>
      </c>
      <c r="J49" s="31">
        <v>8</v>
      </c>
      <c r="K49" s="738"/>
      <c r="L49" s="739"/>
      <c r="M49" s="739"/>
      <c r="N49" s="740"/>
      <c r="T49" s="20"/>
    </row>
    <row r="50" spans="1:20" ht="12.75">
      <c r="A50" s="828"/>
      <c r="B50" s="35">
        <v>0</v>
      </c>
      <c r="C50" s="20">
        <v>32</v>
      </c>
      <c r="D50" s="20">
        <v>11.3986</v>
      </c>
      <c r="E50" s="20">
        <v>5.1748</v>
      </c>
      <c r="F50" s="20">
        <v>2.9371</v>
      </c>
      <c r="G50" s="20">
        <v>1.8881</v>
      </c>
      <c r="H50" s="20">
        <v>1.4685</v>
      </c>
      <c r="I50" s="20">
        <v>1.3287</v>
      </c>
      <c r="J50" s="21">
        <v>1.1888</v>
      </c>
      <c r="K50" s="738"/>
      <c r="L50" s="739"/>
      <c r="M50" s="739"/>
      <c r="N50" s="740"/>
      <c r="T50" s="20"/>
    </row>
    <row r="51" spans="1:20" ht="12.75">
      <c r="A51" s="828"/>
      <c r="B51" s="35">
        <v>45</v>
      </c>
      <c r="C51" s="20">
        <v>32</v>
      </c>
      <c r="D51" s="20">
        <v>15.1049</v>
      </c>
      <c r="E51" s="20">
        <v>7.7622</v>
      </c>
      <c r="F51" s="20">
        <v>4.8252</v>
      </c>
      <c r="G51" s="20">
        <v>3.7762</v>
      </c>
      <c r="H51" s="20">
        <v>3.4965</v>
      </c>
      <c r="I51" s="20">
        <v>3.3566</v>
      </c>
      <c r="J51" s="21">
        <v>3.2867</v>
      </c>
      <c r="K51" s="738"/>
      <c r="L51" s="739"/>
      <c r="M51" s="739"/>
      <c r="N51" s="740"/>
      <c r="T51" s="20"/>
    </row>
    <row r="52" spans="1:20" ht="13.5" thickBot="1">
      <c r="A52" s="829"/>
      <c r="B52" s="36">
        <v>60</v>
      </c>
      <c r="C52" s="22">
        <v>32</v>
      </c>
      <c r="D52" s="22">
        <v>15.1049</v>
      </c>
      <c r="E52" s="22">
        <v>8.1119</v>
      </c>
      <c r="F52" s="22">
        <v>5.5245</v>
      </c>
      <c r="G52" s="22">
        <v>4.4056</v>
      </c>
      <c r="H52" s="22">
        <v>4.1259</v>
      </c>
      <c r="I52" s="22">
        <v>3.986</v>
      </c>
      <c r="J52" s="23">
        <v>3.9161</v>
      </c>
      <c r="K52" s="741"/>
      <c r="L52" s="742"/>
      <c r="M52" s="742"/>
      <c r="N52" s="743"/>
      <c r="T52" s="20"/>
    </row>
    <row r="53" ht="12.75">
      <c r="T53" s="20"/>
    </row>
    <row r="54" spans="12:20" ht="12.75">
      <c r="L54" s="20"/>
      <c r="M54" s="20"/>
      <c r="N54" s="20"/>
      <c r="O54" s="20"/>
      <c r="P54" s="20"/>
      <c r="Q54" s="20"/>
      <c r="R54" s="20"/>
      <c r="S54" s="20"/>
      <c r="T54" s="20"/>
    </row>
    <row r="55" spans="12:20" ht="12.75">
      <c r="L55" s="73"/>
      <c r="M55" s="73"/>
      <c r="N55" s="73"/>
      <c r="O55" s="73"/>
      <c r="P55" s="73"/>
      <c r="Q55" s="73"/>
      <c r="R55" s="73"/>
      <c r="S55" s="73"/>
      <c r="T55" s="73"/>
    </row>
    <row r="60" spans="12:20" ht="12.75">
      <c r="L60" s="20"/>
      <c r="M60" s="20"/>
      <c r="N60" s="20"/>
      <c r="O60" s="20"/>
      <c r="P60" s="20"/>
      <c r="Q60" s="20"/>
      <c r="R60" s="20"/>
      <c r="S60" s="20"/>
      <c r="T60" s="20"/>
    </row>
    <row r="61" spans="14:20" ht="12.75">
      <c r="N61" s="20"/>
      <c r="O61" s="20"/>
      <c r="P61" s="20"/>
      <c r="Q61" s="20"/>
      <c r="R61" s="20"/>
      <c r="S61" s="20"/>
      <c r="T61" s="20"/>
    </row>
    <row r="62" spans="14:20" ht="12.75">
      <c r="N62" s="20"/>
      <c r="O62" s="20"/>
      <c r="P62" s="20"/>
      <c r="Q62" s="20"/>
      <c r="R62" s="20"/>
      <c r="S62" s="20"/>
      <c r="T62" s="20"/>
    </row>
    <row r="63" spans="14:20" ht="12.75">
      <c r="N63" s="20"/>
      <c r="O63" s="20"/>
      <c r="P63" s="20"/>
      <c r="Q63" s="20"/>
      <c r="R63" s="20"/>
      <c r="S63" s="20"/>
      <c r="T63" s="20"/>
    </row>
    <row r="64" spans="14:20" ht="12.75">
      <c r="N64" s="20"/>
      <c r="O64" s="20"/>
      <c r="P64" s="20"/>
      <c r="Q64" s="20"/>
      <c r="R64" s="20"/>
      <c r="S64" s="20"/>
      <c r="T64" s="20"/>
    </row>
  </sheetData>
  <sheetProtection/>
  <mergeCells count="22">
    <mergeCell ref="A1:N1"/>
    <mergeCell ref="B3:I3"/>
    <mergeCell ref="A2:I2"/>
    <mergeCell ref="A4:A11"/>
    <mergeCell ref="A49:A52"/>
    <mergeCell ref="A47:J47"/>
    <mergeCell ref="A12:I12"/>
    <mergeCell ref="A24:A31"/>
    <mergeCell ref="A37:I37"/>
    <mergeCell ref="A32:C32"/>
    <mergeCell ref="D32:N36"/>
    <mergeCell ref="J37:N46"/>
    <mergeCell ref="K47:N52"/>
    <mergeCell ref="J2:N31"/>
    <mergeCell ref="B13:I13"/>
    <mergeCell ref="A14:A21"/>
    <mergeCell ref="B48:J48"/>
    <mergeCell ref="B38:I38"/>
    <mergeCell ref="A39:A46"/>
    <mergeCell ref="A33:A36"/>
    <mergeCell ref="A22:I22"/>
    <mergeCell ref="B23:I2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Plan17">
    <tabColor indexed="17"/>
  </sheetPr>
  <dimension ref="A1:W63"/>
  <sheetViews>
    <sheetView zoomScale="85" zoomScaleNormal="85" zoomScalePageLayoutView="0" workbookViewId="0" topLeftCell="A1">
      <selection activeCell="I23" sqref="A20:P39"/>
    </sheetView>
  </sheetViews>
  <sheetFormatPr defaultColWidth="9.140625" defaultRowHeight="12.75"/>
  <cols>
    <col min="1" max="16384" width="9.140625" style="72" customWidth="1"/>
  </cols>
  <sheetData>
    <row r="1" spans="1:13" ht="13.5" thickBot="1">
      <c r="A1" s="723" t="s">
        <v>313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5"/>
    </row>
    <row r="2" spans="1:13" ht="13.5" thickBot="1">
      <c r="A2" s="885" t="s">
        <v>314</v>
      </c>
      <c r="B2" s="886"/>
      <c r="C2" s="886"/>
      <c r="D2" s="886"/>
      <c r="E2" s="886"/>
      <c r="F2" s="887"/>
      <c r="G2" s="738"/>
      <c r="H2" s="739"/>
      <c r="I2" s="739"/>
      <c r="J2" s="739"/>
      <c r="K2" s="739"/>
      <c r="L2" s="739"/>
      <c r="M2" s="740"/>
    </row>
    <row r="3" spans="1:13" ht="13.5" thickBot="1">
      <c r="A3" s="108" t="s">
        <v>27</v>
      </c>
      <c r="B3" s="875" t="s">
        <v>3</v>
      </c>
      <c r="C3" s="875"/>
      <c r="D3" s="875"/>
      <c r="E3" s="875"/>
      <c r="F3" s="876"/>
      <c r="G3" s="738"/>
      <c r="H3" s="739"/>
      <c r="I3" s="739"/>
      <c r="J3" s="739"/>
      <c r="K3" s="739"/>
      <c r="L3" s="739"/>
      <c r="M3" s="740"/>
    </row>
    <row r="4" spans="1:13" ht="12.75">
      <c r="A4" s="877" t="s">
        <v>315</v>
      </c>
      <c r="B4" s="122"/>
      <c r="C4" s="123">
        <v>0.9999999999</v>
      </c>
      <c r="D4" s="123">
        <v>2</v>
      </c>
      <c r="E4" s="123">
        <v>4</v>
      </c>
      <c r="F4" s="124">
        <v>6.000000000001</v>
      </c>
      <c r="G4" s="738"/>
      <c r="H4" s="739"/>
      <c r="I4" s="739"/>
      <c r="J4" s="739"/>
      <c r="K4" s="739"/>
      <c r="L4" s="739"/>
      <c r="M4" s="740"/>
    </row>
    <row r="5" spans="1:13" ht="12.75">
      <c r="A5" s="877"/>
      <c r="B5" s="125">
        <v>0.0999999</v>
      </c>
      <c r="C5" s="104">
        <v>0.63636</v>
      </c>
      <c r="D5" s="104">
        <v>0.70455</v>
      </c>
      <c r="E5" s="104">
        <v>0.8</v>
      </c>
      <c r="F5" s="105">
        <v>0.90227</v>
      </c>
      <c r="G5" s="738"/>
      <c r="H5" s="739"/>
      <c r="I5" s="739"/>
      <c r="J5" s="739"/>
      <c r="K5" s="739"/>
      <c r="L5" s="739"/>
      <c r="M5" s="740"/>
    </row>
    <row r="6" spans="1:13" ht="12.75">
      <c r="A6" s="877"/>
      <c r="B6" s="125">
        <v>0.15</v>
      </c>
      <c r="C6" s="104">
        <v>0.69091</v>
      </c>
      <c r="D6" s="104">
        <v>0.76591</v>
      </c>
      <c r="E6" s="104">
        <v>0.85455</v>
      </c>
      <c r="F6" s="105">
        <v>0.93636</v>
      </c>
      <c r="G6" s="738"/>
      <c r="H6" s="739"/>
      <c r="I6" s="739"/>
      <c r="J6" s="739"/>
      <c r="K6" s="739"/>
      <c r="L6" s="739"/>
      <c r="M6" s="740"/>
    </row>
    <row r="7" spans="1:13" ht="12.75">
      <c r="A7" s="877"/>
      <c r="B7" s="125">
        <v>0.2</v>
      </c>
      <c r="C7" s="104">
        <v>0.75227</v>
      </c>
      <c r="D7" s="104">
        <v>0.83409</v>
      </c>
      <c r="E7" s="104">
        <v>0.92273</v>
      </c>
      <c r="F7" s="105">
        <v>1.0045</v>
      </c>
      <c r="G7" s="738"/>
      <c r="H7" s="739"/>
      <c r="I7" s="739"/>
      <c r="J7" s="739"/>
      <c r="K7" s="739"/>
      <c r="L7" s="739"/>
      <c r="M7" s="740"/>
    </row>
    <row r="8" spans="1:13" ht="12.75">
      <c r="A8" s="877"/>
      <c r="B8" s="125">
        <v>0.25</v>
      </c>
      <c r="C8" s="104">
        <v>0.83409</v>
      </c>
      <c r="D8" s="104">
        <v>0.90909</v>
      </c>
      <c r="E8" s="104">
        <v>1.0045</v>
      </c>
      <c r="F8" s="105">
        <v>1.0795</v>
      </c>
      <c r="G8" s="738"/>
      <c r="H8" s="739"/>
      <c r="I8" s="739"/>
      <c r="J8" s="739"/>
      <c r="K8" s="739"/>
      <c r="L8" s="739"/>
      <c r="M8" s="740"/>
    </row>
    <row r="9" spans="1:13" ht="12.75">
      <c r="A9" s="877"/>
      <c r="B9" s="125">
        <v>0.3</v>
      </c>
      <c r="C9" s="104">
        <v>0.94318</v>
      </c>
      <c r="D9" s="104">
        <v>1.0114</v>
      </c>
      <c r="E9" s="104">
        <v>1.1</v>
      </c>
      <c r="F9" s="105">
        <v>1.175</v>
      </c>
      <c r="G9" s="738"/>
      <c r="H9" s="739"/>
      <c r="I9" s="739"/>
      <c r="J9" s="739"/>
      <c r="K9" s="739"/>
      <c r="L9" s="739"/>
      <c r="M9" s="740"/>
    </row>
    <row r="10" spans="1:13" ht="12.75">
      <c r="A10" s="877"/>
      <c r="B10" s="125">
        <v>0.35</v>
      </c>
      <c r="C10" s="104">
        <v>1.0591</v>
      </c>
      <c r="D10" s="104">
        <v>1.1273</v>
      </c>
      <c r="E10" s="104">
        <v>1.2159</v>
      </c>
      <c r="F10" s="105">
        <v>1.2841</v>
      </c>
      <c r="G10" s="738"/>
      <c r="H10" s="739"/>
      <c r="I10" s="739"/>
      <c r="J10" s="739"/>
      <c r="K10" s="739"/>
      <c r="L10" s="739"/>
      <c r="M10" s="740"/>
    </row>
    <row r="11" spans="1:13" ht="12.75">
      <c r="A11" s="877"/>
      <c r="B11" s="125">
        <v>0.4</v>
      </c>
      <c r="C11" s="104">
        <v>1.1955</v>
      </c>
      <c r="D11" s="104">
        <v>1.2568</v>
      </c>
      <c r="E11" s="104">
        <v>1.3455</v>
      </c>
      <c r="F11" s="105">
        <v>1.4136</v>
      </c>
      <c r="G11" s="738"/>
      <c r="H11" s="739"/>
      <c r="I11" s="739"/>
      <c r="J11" s="739"/>
      <c r="K11" s="739"/>
      <c r="L11" s="739"/>
      <c r="M11" s="740"/>
    </row>
    <row r="12" spans="1:13" ht="12.75">
      <c r="A12" s="877"/>
      <c r="B12" s="125">
        <v>0.45</v>
      </c>
      <c r="C12" s="104">
        <v>1.3659</v>
      </c>
      <c r="D12" s="104">
        <v>1.4273</v>
      </c>
      <c r="E12" s="104">
        <v>1.4955</v>
      </c>
      <c r="F12" s="105">
        <v>1.5568</v>
      </c>
      <c r="G12" s="738"/>
      <c r="H12" s="739"/>
      <c r="I12" s="739"/>
      <c r="J12" s="739"/>
      <c r="K12" s="739"/>
      <c r="L12" s="739"/>
      <c r="M12" s="740"/>
    </row>
    <row r="13" spans="1:13" ht="13.5" thickBot="1">
      <c r="A13" s="877"/>
      <c r="B13" s="126">
        <v>0.5000000001</v>
      </c>
      <c r="C13" s="104">
        <v>1.55</v>
      </c>
      <c r="D13" s="104">
        <v>1.5977</v>
      </c>
      <c r="E13" s="104">
        <v>1.6659</v>
      </c>
      <c r="F13" s="105">
        <v>1.7341</v>
      </c>
      <c r="G13" s="738"/>
      <c r="H13" s="739"/>
      <c r="I13" s="739"/>
      <c r="J13" s="739"/>
      <c r="K13" s="739"/>
      <c r="L13" s="739"/>
      <c r="M13" s="740"/>
    </row>
    <row r="14" spans="1:13" ht="13.5" thickBot="1">
      <c r="A14" s="777" t="s">
        <v>316</v>
      </c>
      <c r="B14" s="778"/>
      <c r="C14" s="778"/>
      <c r="D14" s="778"/>
      <c r="E14" s="778"/>
      <c r="F14" s="780"/>
      <c r="G14" s="738"/>
      <c r="H14" s="739"/>
      <c r="I14" s="739"/>
      <c r="J14" s="739"/>
      <c r="K14" s="739"/>
      <c r="L14" s="739"/>
      <c r="M14" s="740"/>
    </row>
    <row r="15" spans="1:13" ht="13.5" thickBot="1">
      <c r="A15" s="108" t="s">
        <v>29</v>
      </c>
      <c r="B15" s="875" t="s">
        <v>30</v>
      </c>
      <c r="C15" s="875"/>
      <c r="D15" s="875"/>
      <c r="E15" s="875"/>
      <c r="F15" s="876"/>
      <c r="G15" s="738"/>
      <c r="H15" s="739"/>
      <c r="I15" s="739"/>
      <c r="J15" s="739"/>
      <c r="K15" s="739"/>
      <c r="L15" s="739"/>
      <c r="M15" s="740"/>
    </row>
    <row r="16" spans="1:13" ht="12.75">
      <c r="A16" s="877" t="s">
        <v>315</v>
      </c>
      <c r="B16" s="122"/>
      <c r="C16" s="123">
        <v>0.499999999999999</v>
      </c>
      <c r="D16" s="123">
        <v>1</v>
      </c>
      <c r="E16" s="123">
        <v>2</v>
      </c>
      <c r="F16" s="124">
        <v>4.000001</v>
      </c>
      <c r="G16" s="738"/>
      <c r="H16" s="739"/>
      <c r="I16" s="739"/>
      <c r="J16" s="739"/>
      <c r="K16" s="739"/>
      <c r="L16" s="739"/>
      <c r="M16" s="740"/>
    </row>
    <row r="17" spans="1:13" ht="12.75">
      <c r="A17" s="877"/>
      <c r="B17" s="125">
        <v>0.1999999999</v>
      </c>
      <c r="C17" s="104">
        <v>0.99452</v>
      </c>
      <c r="D17" s="104">
        <v>0.99041</v>
      </c>
      <c r="E17" s="104">
        <v>0.98219</v>
      </c>
      <c r="F17" s="105">
        <v>0.97123</v>
      </c>
      <c r="G17" s="738"/>
      <c r="H17" s="739"/>
      <c r="I17" s="739"/>
      <c r="J17" s="739"/>
      <c r="K17" s="739"/>
      <c r="L17" s="739"/>
      <c r="M17" s="740"/>
    </row>
    <row r="18" spans="1:13" ht="12.75">
      <c r="A18" s="877"/>
      <c r="B18" s="125">
        <v>0.3</v>
      </c>
      <c r="C18" s="104">
        <v>0.99589</v>
      </c>
      <c r="D18" s="104">
        <v>0.99315</v>
      </c>
      <c r="E18" s="104">
        <v>0.98767</v>
      </c>
      <c r="F18" s="105">
        <v>0.97945</v>
      </c>
      <c r="G18" s="738"/>
      <c r="H18" s="739"/>
      <c r="I18" s="739"/>
      <c r="J18" s="739"/>
      <c r="K18" s="739"/>
      <c r="L18" s="739"/>
      <c r="M18" s="740"/>
    </row>
    <row r="19" spans="1:23" ht="12.75">
      <c r="A19" s="877"/>
      <c r="B19" s="125">
        <v>0.4</v>
      </c>
      <c r="C19" s="104">
        <v>1.0027</v>
      </c>
      <c r="D19" s="104">
        <v>1.0027</v>
      </c>
      <c r="E19" s="104">
        <v>1.0055</v>
      </c>
      <c r="F19" s="105">
        <v>1.0068</v>
      </c>
      <c r="G19" s="738"/>
      <c r="H19" s="739"/>
      <c r="I19" s="739"/>
      <c r="J19" s="739"/>
      <c r="K19" s="739"/>
      <c r="L19" s="739"/>
      <c r="M19" s="740"/>
      <c r="N19" s="73"/>
      <c r="O19" s="73"/>
      <c r="P19" s="73"/>
      <c r="Q19" s="18"/>
      <c r="R19" s="668"/>
      <c r="S19" s="668"/>
      <c r="T19" s="668"/>
      <c r="U19" s="668"/>
      <c r="V19" s="668"/>
      <c r="W19" s="668"/>
    </row>
    <row r="20" spans="1:23" ht="12.75">
      <c r="A20" s="877"/>
      <c r="B20" s="125">
        <v>0.5</v>
      </c>
      <c r="C20" s="104">
        <v>1.0151</v>
      </c>
      <c r="D20" s="104">
        <v>1.0219</v>
      </c>
      <c r="E20" s="104">
        <v>1.0288</v>
      </c>
      <c r="F20" s="105">
        <v>1.0397</v>
      </c>
      <c r="G20" s="738"/>
      <c r="H20" s="739"/>
      <c r="I20" s="739"/>
      <c r="J20" s="739"/>
      <c r="K20" s="739"/>
      <c r="L20" s="739"/>
      <c r="M20" s="740"/>
      <c r="Q20" s="18"/>
      <c r="T20" s="18"/>
      <c r="W20" s="18"/>
    </row>
    <row r="21" spans="1:23" ht="12.75">
      <c r="A21" s="877"/>
      <c r="B21" s="125">
        <v>0.6</v>
      </c>
      <c r="C21" s="104">
        <v>1.0329</v>
      </c>
      <c r="D21" s="104">
        <v>1.0493</v>
      </c>
      <c r="E21" s="104">
        <v>1.0603</v>
      </c>
      <c r="F21" s="105">
        <v>1.0808</v>
      </c>
      <c r="G21" s="738"/>
      <c r="H21" s="739"/>
      <c r="I21" s="739"/>
      <c r="J21" s="739"/>
      <c r="K21" s="739"/>
      <c r="L21" s="739"/>
      <c r="M21" s="740"/>
      <c r="Q21" s="18"/>
      <c r="T21" s="18"/>
      <c r="W21" s="18"/>
    </row>
    <row r="22" spans="1:23" ht="12.75">
      <c r="A22" s="877"/>
      <c r="B22" s="125">
        <v>0.7</v>
      </c>
      <c r="C22" s="104">
        <v>1.0589</v>
      </c>
      <c r="D22" s="104">
        <v>1.0808</v>
      </c>
      <c r="E22" s="104">
        <v>1.1</v>
      </c>
      <c r="F22" s="105">
        <v>1.1315</v>
      </c>
      <c r="G22" s="738"/>
      <c r="H22" s="739"/>
      <c r="I22" s="739"/>
      <c r="J22" s="739"/>
      <c r="K22" s="739"/>
      <c r="L22" s="739"/>
      <c r="M22" s="740"/>
      <c r="Q22" s="18"/>
      <c r="T22" s="18"/>
      <c r="W22" s="18"/>
    </row>
    <row r="23" spans="1:23" ht="12.75">
      <c r="A23" s="877"/>
      <c r="B23" s="125">
        <v>0.8</v>
      </c>
      <c r="C23" s="104">
        <v>1.0877</v>
      </c>
      <c r="D23" s="104">
        <v>1.1192</v>
      </c>
      <c r="E23" s="104">
        <v>1.1507</v>
      </c>
      <c r="F23" s="105">
        <v>1.1932</v>
      </c>
      <c r="G23" s="738"/>
      <c r="H23" s="739"/>
      <c r="I23" s="739"/>
      <c r="J23" s="739"/>
      <c r="K23" s="739"/>
      <c r="L23" s="739"/>
      <c r="M23" s="740"/>
      <c r="Q23" s="18"/>
      <c r="T23" s="18"/>
      <c r="W23" s="18"/>
    </row>
    <row r="24" spans="1:23" ht="12.75">
      <c r="A24" s="877"/>
      <c r="B24" s="125">
        <v>0.9</v>
      </c>
      <c r="C24" s="104">
        <v>1.1205</v>
      </c>
      <c r="D24" s="104">
        <v>1.1616</v>
      </c>
      <c r="E24" s="104">
        <v>1.2096</v>
      </c>
      <c r="F24" s="105">
        <v>1.2589</v>
      </c>
      <c r="G24" s="738"/>
      <c r="H24" s="739"/>
      <c r="I24" s="739"/>
      <c r="J24" s="739"/>
      <c r="K24" s="739"/>
      <c r="L24" s="739"/>
      <c r="M24" s="740"/>
      <c r="Q24" s="18"/>
      <c r="T24" s="18"/>
      <c r="W24" s="18"/>
    </row>
    <row r="25" spans="1:23" ht="13.5" thickBot="1">
      <c r="A25" s="878"/>
      <c r="B25" s="126">
        <v>1.00000000001</v>
      </c>
      <c r="C25" s="127">
        <v>1.1548</v>
      </c>
      <c r="D25" s="127">
        <v>1.2096</v>
      </c>
      <c r="E25" s="127">
        <v>1.2753</v>
      </c>
      <c r="F25" s="128">
        <v>1.3247</v>
      </c>
      <c r="G25" s="738"/>
      <c r="H25" s="739"/>
      <c r="I25" s="739"/>
      <c r="J25" s="739"/>
      <c r="K25" s="739"/>
      <c r="L25" s="739"/>
      <c r="M25" s="740"/>
      <c r="Q25" s="18"/>
      <c r="T25" s="18"/>
      <c r="W25" s="18"/>
    </row>
    <row r="26" spans="1:23" ht="27" customHeight="1" thickBot="1">
      <c r="A26" s="879" t="s">
        <v>317</v>
      </c>
      <c r="B26" s="880"/>
      <c r="C26" s="881"/>
      <c r="D26" s="738"/>
      <c r="E26" s="739"/>
      <c r="F26" s="739"/>
      <c r="G26" s="739"/>
      <c r="H26" s="739"/>
      <c r="I26" s="739"/>
      <c r="J26" s="739"/>
      <c r="K26" s="739"/>
      <c r="L26" s="739"/>
      <c r="M26" s="740"/>
      <c r="Q26" s="18"/>
      <c r="T26" s="18"/>
      <c r="W26" s="18"/>
    </row>
    <row r="27" spans="1:23" ht="12" customHeight="1" thickBot="1">
      <c r="A27" s="882" t="s">
        <v>33</v>
      </c>
      <c r="B27" s="120"/>
      <c r="C27" s="121" t="s">
        <v>32</v>
      </c>
      <c r="D27" s="738"/>
      <c r="E27" s="739"/>
      <c r="F27" s="739"/>
      <c r="G27" s="739"/>
      <c r="H27" s="739"/>
      <c r="I27" s="739"/>
      <c r="J27" s="739"/>
      <c r="K27" s="739"/>
      <c r="L27" s="739"/>
      <c r="M27" s="740"/>
      <c r="Q27" s="18"/>
      <c r="T27" s="18"/>
      <c r="W27" s="18"/>
    </row>
    <row r="28" spans="1:23" ht="12.75">
      <c r="A28" s="883"/>
      <c r="B28" s="129">
        <v>-0.5</v>
      </c>
      <c r="C28" s="105">
        <v>0.73151</v>
      </c>
      <c r="D28" s="738"/>
      <c r="E28" s="739"/>
      <c r="F28" s="739"/>
      <c r="G28" s="739"/>
      <c r="H28" s="739"/>
      <c r="I28" s="739"/>
      <c r="J28" s="739"/>
      <c r="K28" s="739"/>
      <c r="L28" s="739"/>
      <c r="M28" s="740"/>
      <c r="Q28" s="18"/>
      <c r="T28" s="18"/>
      <c r="W28" s="18"/>
    </row>
    <row r="29" spans="1:23" ht="12.75">
      <c r="A29" s="883"/>
      <c r="B29" s="129">
        <v>-0.46725</v>
      </c>
      <c r="C29" s="105">
        <v>0.73973</v>
      </c>
      <c r="D29" s="738"/>
      <c r="E29" s="739"/>
      <c r="F29" s="739"/>
      <c r="G29" s="739"/>
      <c r="H29" s="739"/>
      <c r="I29" s="739"/>
      <c r="J29" s="739"/>
      <c r="K29" s="739"/>
      <c r="L29" s="739"/>
      <c r="M29" s="740"/>
      <c r="Q29" s="18"/>
      <c r="T29" s="18"/>
      <c r="W29" s="18"/>
    </row>
    <row r="30" spans="1:23" ht="12.75">
      <c r="A30" s="883"/>
      <c r="B30" s="129">
        <v>-0.42903</v>
      </c>
      <c r="C30" s="105">
        <v>0.75068</v>
      </c>
      <c r="D30" s="738"/>
      <c r="E30" s="739"/>
      <c r="F30" s="739"/>
      <c r="G30" s="739"/>
      <c r="H30" s="739"/>
      <c r="I30" s="739"/>
      <c r="J30" s="739"/>
      <c r="K30" s="739"/>
      <c r="L30" s="739"/>
      <c r="M30" s="740"/>
      <c r="N30" s="18"/>
      <c r="O30" s="18"/>
      <c r="P30" s="18"/>
      <c r="Q30" s="18"/>
      <c r="T30" s="18"/>
      <c r="W30" s="18"/>
    </row>
    <row r="31" spans="1:23" ht="12.75">
      <c r="A31" s="883"/>
      <c r="B31" s="129">
        <v>-0.37717</v>
      </c>
      <c r="C31" s="105">
        <v>0.7726</v>
      </c>
      <c r="D31" s="738"/>
      <c r="E31" s="739"/>
      <c r="F31" s="739"/>
      <c r="G31" s="739"/>
      <c r="H31" s="739"/>
      <c r="I31" s="739"/>
      <c r="J31" s="739"/>
      <c r="K31" s="739"/>
      <c r="L31" s="739"/>
      <c r="M31" s="740"/>
      <c r="N31" s="73"/>
      <c r="O31" s="73"/>
      <c r="P31" s="73"/>
      <c r="Q31" s="18"/>
      <c r="T31" s="18"/>
      <c r="W31" s="18"/>
    </row>
    <row r="32" spans="1:23" ht="12.75">
      <c r="A32" s="883"/>
      <c r="B32" s="129">
        <v>-0.33077</v>
      </c>
      <c r="C32" s="105">
        <v>0.79726</v>
      </c>
      <c r="D32" s="738"/>
      <c r="E32" s="739"/>
      <c r="F32" s="739"/>
      <c r="G32" s="739"/>
      <c r="H32" s="739"/>
      <c r="I32" s="739"/>
      <c r="J32" s="739"/>
      <c r="K32" s="739"/>
      <c r="L32" s="739"/>
      <c r="M32" s="740"/>
      <c r="Q32" s="18"/>
      <c r="T32" s="18"/>
      <c r="W32" s="18"/>
    </row>
    <row r="33" spans="1:23" ht="12.75">
      <c r="A33" s="883"/>
      <c r="B33" s="129">
        <v>-0.27345</v>
      </c>
      <c r="C33" s="105">
        <v>0.83014</v>
      </c>
      <c r="D33" s="738"/>
      <c r="E33" s="739"/>
      <c r="F33" s="739"/>
      <c r="G33" s="739"/>
      <c r="H33" s="739"/>
      <c r="I33" s="739"/>
      <c r="J33" s="739"/>
      <c r="K33" s="739"/>
      <c r="L33" s="739"/>
      <c r="M33" s="740"/>
      <c r="Q33" s="18"/>
      <c r="T33" s="18"/>
      <c r="W33" s="18"/>
    </row>
    <row r="34" spans="1:23" ht="12.75">
      <c r="A34" s="883"/>
      <c r="B34" s="129">
        <v>-0.21613</v>
      </c>
      <c r="C34" s="105">
        <v>0.86301</v>
      </c>
      <c r="D34" s="738"/>
      <c r="E34" s="739"/>
      <c r="F34" s="739"/>
      <c r="G34" s="739"/>
      <c r="H34" s="739"/>
      <c r="I34" s="739"/>
      <c r="J34" s="739"/>
      <c r="K34" s="739"/>
      <c r="L34" s="739"/>
      <c r="M34" s="740"/>
      <c r="Q34" s="18"/>
      <c r="T34" s="18"/>
      <c r="U34" s="18"/>
      <c r="V34" s="18"/>
      <c r="W34" s="18"/>
    </row>
    <row r="35" spans="1:23" ht="12.75">
      <c r="A35" s="883"/>
      <c r="B35" s="129">
        <v>-0.16154</v>
      </c>
      <c r="C35" s="105">
        <v>0.89589</v>
      </c>
      <c r="D35" s="738"/>
      <c r="E35" s="739"/>
      <c r="F35" s="739"/>
      <c r="G35" s="739"/>
      <c r="H35" s="739"/>
      <c r="I35" s="739"/>
      <c r="J35" s="739"/>
      <c r="K35" s="739"/>
      <c r="L35" s="739"/>
      <c r="M35" s="740"/>
      <c r="Q35" s="18"/>
      <c r="T35" s="18"/>
      <c r="U35" s="18"/>
      <c r="V35" s="18"/>
      <c r="W35" s="18"/>
    </row>
    <row r="36" spans="1:23" ht="12.75">
      <c r="A36" s="883"/>
      <c r="B36" s="129">
        <v>-0.12605</v>
      </c>
      <c r="C36" s="105">
        <v>0.91781</v>
      </c>
      <c r="D36" s="738"/>
      <c r="E36" s="739"/>
      <c r="F36" s="739"/>
      <c r="G36" s="739"/>
      <c r="H36" s="739"/>
      <c r="I36" s="739"/>
      <c r="J36" s="739"/>
      <c r="K36" s="739"/>
      <c r="L36" s="739"/>
      <c r="M36" s="740"/>
      <c r="Q36" s="18"/>
      <c r="T36" s="18"/>
      <c r="U36" s="18"/>
      <c r="V36" s="18"/>
      <c r="W36" s="18"/>
    </row>
    <row r="37" spans="1:23" ht="12.75">
      <c r="A37" s="883"/>
      <c r="B37" s="129">
        <v>-0.085112</v>
      </c>
      <c r="C37" s="105">
        <v>0.94521</v>
      </c>
      <c r="D37" s="738"/>
      <c r="E37" s="739"/>
      <c r="F37" s="739"/>
      <c r="G37" s="739"/>
      <c r="H37" s="739"/>
      <c r="I37" s="739"/>
      <c r="J37" s="739"/>
      <c r="K37" s="739"/>
      <c r="L37" s="739"/>
      <c r="M37" s="740"/>
      <c r="Q37" s="18"/>
      <c r="T37" s="18"/>
      <c r="U37" s="18"/>
      <c r="V37" s="18"/>
      <c r="W37" s="18"/>
    </row>
    <row r="38" spans="1:23" ht="12.75">
      <c r="A38" s="883"/>
      <c r="B38" s="129">
        <v>-0.03871</v>
      </c>
      <c r="C38" s="105">
        <v>0.9726</v>
      </c>
      <c r="D38" s="738"/>
      <c r="E38" s="739"/>
      <c r="F38" s="739"/>
      <c r="G38" s="739"/>
      <c r="H38" s="739"/>
      <c r="I38" s="739"/>
      <c r="J38" s="739"/>
      <c r="K38" s="739"/>
      <c r="L38" s="739"/>
      <c r="M38" s="740"/>
      <c r="Q38" s="18"/>
      <c r="T38" s="18"/>
      <c r="U38" s="18"/>
      <c r="V38" s="18"/>
      <c r="W38" s="18"/>
    </row>
    <row r="39" spans="1:23" ht="12.75">
      <c r="A39" s="883"/>
      <c r="B39" s="129">
        <v>0.01861</v>
      </c>
      <c r="C39" s="105">
        <v>1.0082</v>
      </c>
      <c r="D39" s="738"/>
      <c r="E39" s="739"/>
      <c r="F39" s="739"/>
      <c r="G39" s="739"/>
      <c r="H39" s="739"/>
      <c r="I39" s="739"/>
      <c r="J39" s="739"/>
      <c r="K39" s="739"/>
      <c r="L39" s="739"/>
      <c r="M39" s="740"/>
      <c r="Q39" s="18"/>
      <c r="T39" s="18"/>
      <c r="U39" s="18"/>
      <c r="V39" s="18"/>
      <c r="W39" s="18"/>
    </row>
    <row r="40" spans="1:23" ht="12.75">
      <c r="A40" s="883"/>
      <c r="B40" s="129">
        <v>0.062283</v>
      </c>
      <c r="C40" s="105">
        <v>1.0356</v>
      </c>
      <c r="D40" s="738"/>
      <c r="E40" s="739"/>
      <c r="F40" s="739"/>
      <c r="G40" s="739"/>
      <c r="H40" s="739"/>
      <c r="I40" s="739"/>
      <c r="J40" s="739"/>
      <c r="K40" s="739"/>
      <c r="L40" s="739"/>
      <c r="M40" s="740"/>
      <c r="Q40" s="18"/>
      <c r="T40" s="18"/>
      <c r="U40" s="18"/>
      <c r="V40" s="18"/>
      <c r="W40" s="18"/>
    </row>
    <row r="41" spans="1:23" ht="12.75">
      <c r="A41" s="883"/>
      <c r="B41" s="129">
        <v>0.1005</v>
      </c>
      <c r="C41" s="105">
        <v>1.0575</v>
      </c>
      <c r="D41" s="738"/>
      <c r="E41" s="739"/>
      <c r="F41" s="739"/>
      <c r="G41" s="739"/>
      <c r="H41" s="739"/>
      <c r="I41" s="739"/>
      <c r="J41" s="739"/>
      <c r="K41" s="739"/>
      <c r="L41" s="739"/>
      <c r="M41" s="740"/>
      <c r="Q41" s="18"/>
      <c r="R41" s="18"/>
      <c r="S41" s="18"/>
      <c r="T41" s="18"/>
      <c r="U41" s="18"/>
      <c r="V41" s="18"/>
      <c r="W41" s="18"/>
    </row>
    <row r="42" spans="1:13" ht="12.75">
      <c r="A42" s="883"/>
      <c r="B42" s="129">
        <v>0.14963</v>
      </c>
      <c r="C42" s="105">
        <v>1.0877</v>
      </c>
      <c r="D42" s="738"/>
      <c r="E42" s="739"/>
      <c r="F42" s="739"/>
      <c r="G42" s="739"/>
      <c r="H42" s="739"/>
      <c r="I42" s="739"/>
      <c r="J42" s="739"/>
      <c r="K42" s="739"/>
      <c r="L42" s="739"/>
      <c r="M42" s="740"/>
    </row>
    <row r="43" spans="1:13" ht="12.75">
      <c r="A43" s="883"/>
      <c r="B43" s="129">
        <v>0.18238</v>
      </c>
      <c r="C43" s="105">
        <v>1.1096</v>
      </c>
      <c r="D43" s="738"/>
      <c r="E43" s="739"/>
      <c r="F43" s="739"/>
      <c r="G43" s="739"/>
      <c r="H43" s="739"/>
      <c r="I43" s="739"/>
      <c r="J43" s="739"/>
      <c r="K43" s="739"/>
      <c r="L43" s="739"/>
      <c r="M43" s="740"/>
    </row>
    <row r="44" spans="1:13" ht="12.75">
      <c r="A44" s="883"/>
      <c r="B44" s="129">
        <v>0.21787</v>
      </c>
      <c r="C44" s="105">
        <v>1.1288</v>
      </c>
      <c r="D44" s="738"/>
      <c r="E44" s="739"/>
      <c r="F44" s="739"/>
      <c r="G44" s="739"/>
      <c r="H44" s="739"/>
      <c r="I44" s="739"/>
      <c r="J44" s="739"/>
      <c r="K44" s="739"/>
      <c r="L44" s="739"/>
      <c r="M44" s="740"/>
    </row>
    <row r="45" spans="1:13" ht="12.75">
      <c r="A45" s="883"/>
      <c r="B45" s="129">
        <v>0.26154</v>
      </c>
      <c r="C45" s="105">
        <v>1.1562</v>
      </c>
      <c r="D45" s="738"/>
      <c r="E45" s="739"/>
      <c r="F45" s="739"/>
      <c r="G45" s="739"/>
      <c r="H45" s="739"/>
      <c r="I45" s="739"/>
      <c r="J45" s="739"/>
      <c r="K45" s="739"/>
      <c r="L45" s="739"/>
      <c r="M45" s="740"/>
    </row>
    <row r="46" spans="1:13" ht="12.75">
      <c r="A46" s="883"/>
      <c r="B46" s="129">
        <v>0.31067</v>
      </c>
      <c r="C46" s="105">
        <v>1.1836</v>
      </c>
      <c r="D46" s="738"/>
      <c r="E46" s="739"/>
      <c r="F46" s="739"/>
      <c r="G46" s="739"/>
      <c r="H46" s="739"/>
      <c r="I46" s="739"/>
      <c r="J46" s="739"/>
      <c r="K46" s="739"/>
      <c r="L46" s="739"/>
      <c r="M46" s="740"/>
    </row>
    <row r="47" spans="1:13" ht="12.75">
      <c r="A47" s="883"/>
      <c r="B47" s="129">
        <v>0.40074</v>
      </c>
      <c r="C47" s="105">
        <v>1.2301</v>
      </c>
      <c r="D47" s="738"/>
      <c r="E47" s="739"/>
      <c r="F47" s="739"/>
      <c r="G47" s="739"/>
      <c r="H47" s="739"/>
      <c r="I47" s="739"/>
      <c r="J47" s="739"/>
      <c r="K47" s="739"/>
      <c r="L47" s="739"/>
      <c r="M47" s="740"/>
    </row>
    <row r="48" spans="1:13" ht="13.5" thickBot="1">
      <c r="A48" s="884"/>
      <c r="B48" s="130">
        <v>0.49901</v>
      </c>
      <c r="C48" s="128">
        <v>1.2767</v>
      </c>
      <c r="D48" s="738"/>
      <c r="E48" s="739"/>
      <c r="F48" s="739"/>
      <c r="G48" s="739"/>
      <c r="H48" s="739"/>
      <c r="I48" s="739"/>
      <c r="J48" s="739"/>
      <c r="K48" s="739"/>
      <c r="L48" s="739"/>
      <c r="M48" s="740"/>
    </row>
    <row r="49" spans="1:13" ht="13.5" thickBot="1">
      <c r="A49" s="885" t="s">
        <v>318</v>
      </c>
      <c r="B49" s="886"/>
      <c r="C49" s="887"/>
      <c r="D49" s="738"/>
      <c r="E49" s="739"/>
      <c r="F49" s="739"/>
      <c r="G49" s="739"/>
      <c r="H49" s="739"/>
      <c r="I49" s="739"/>
      <c r="J49" s="739"/>
      <c r="K49" s="739"/>
      <c r="L49" s="739"/>
      <c r="M49" s="740"/>
    </row>
    <row r="50" spans="1:13" ht="13.5" thickBot="1">
      <c r="A50" s="888" t="s">
        <v>34</v>
      </c>
      <c r="B50" s="109"/>
      <c r="C50" s="106" t="s">
        <v>319</v>
      </c>
      <c r="D50" s="738"/>
      <c r="E50" s="739"/>
      <c r="F50" s="739"/>
      <c r="G50" s="739"/>
      <c r="H50" s="739"/>
      <c r="I50" s="739"/>
      <c r="J50" s="739"/>
      <c r="K50" s="739"/>
      <c r="L50" s="739"/>
      <c r="M50" s="740"/>
    </row>
    <row r="51" spans="1:13" ht="12.75">
      <c r="A51" s="877"/>
      <c r="B51" s="129">
        <v>0.24862</v>
      </c>
      <c r="C51" s="105">
        <v>0.4274</v>
      </c>
      <c r="D51" s="738"/>
      <c r="E51" s="739"/>
      <c r="F51" s="739"/>
      <c r="G51" s="739"/>
      <c r="H51" s="739"/>
      <c r="I51" s="739"/>
      <c r="J51" s="739"/>
      <c r="K51" s="739"/>
      <c r="L51" s="739"/>
      <c r="M51" s="740"/>
    </row>
    <row r="52" spans="1:13" ht="12.75">
      <c r="A52" s="877"/>
      <c r="B52" s="129">
        <v>0.31492</v>
      </c>
      <c r="C52" s="105">
        <v>0.43836</v>
      </c>
      <c r="D52" s="738"/>
      <c r="E52" s="739"/>
      <c r="F52" s="739"/>
      <c r="G52" s="739"/>
      <c r="H52" s="739"/>
      <c r="I52" s="739"/>
      <c r="J52" s="739"/>
      <c r="K52" s="739"/>
      <c r="L52" s="739"/>
      <c r="M52" s="740"/>
    </row>
    <row r="53" spans="1:13" ht="12.75">
      <c r="A53" s="877"/>
      <c r="B53" s="129">
        <v>0.37845</v>
      </c>
      <c r="C53" s="105">
        <v>0.44932</v>
      </c>
      <c r="D53" s="738"/>
      <c r="E53" s="739"/>
      <c r="F53" s="739"/>
      <c r="G53" s="739"/>
      <c r="H53" s="739"/>
      <c r="I53" s="739"/>
      <c r="J53" s="739"/>
      <c r="K53" s="739"/>
      <c r="L53" s="739"/>
      <c r="M53" s="740"/>
    </row>
    <row r="54" spans="1:13" ht="12.75">
      <c r="A54" s="877"/>
      <c r="B54" s="129">
        <v>0.4558</v>
      </c>
      <c r="C54" s="105">
        <v>0.46438</v>
      </c>
      <c r="D54" s="738"/>
      <c r="E54" s="739"/>
      <c r="F54" s="739"/>
      <c r="G54" s="739"/>
      <c r="H54" s="739"/>
      <c r="I54" s="739"/>
      <c r="J54" s="739"/>
      <c r="K54" s="739"/>
      <c r="L54" s="739"/>
      <c r="M54" s="740"/>
    </row>
    <row r="55" spans="1:13" ht="12.75">
      <c r="A55" s="877"/>
      <c r="B55" s="129">
        <v>0.50829</v>
      </c>
      <c r="C55" s="105">
        <v>0.47534</v>
      </c>
      <c r="D55" s="738"/>
      <c r="E55" s="739"/>
      <c r="F55" s="739"/>
      <c r="G55" s="739"/>
      <c r="H55" s="739"/>
      <c r="I55" s="739"/>
      <c r="J55" s="739"/>
      <c r="K55" s="739"/>
      <c r="L55" s="739"/>
      <c r="M55" s="740"/>
    </row>
    <row r="56" spans="1:13" ht="12.75">
      <c r="A56" s="877"/>
      <c r="B56" s="129">
        <v>0.57735</v>
      </c>
      <c r="C56" s="105">
        <v>0.49178</v>
      </c>
      <c r="D56" s="738"/>
      <c r="E56" s="739"/>
      <c r="F56" s="739"/>
      <c r="G56" s="739"/>
      <c r="H56" s="739"/>
      <c r="I56" s="739"/>
      <c r="J56" s="739"/>
      <c r="K56" s="739"/>
      <c r="L56" s="739"/>
      <c r="M56" s="740"/>
    </row>
    <row r="57" spans="1:13" ht="12.75">
      <c r="A57" s="877"/>
      <c r="B57" s="129">
        <v>0.66851</v>
      </c>
      <c r="C57" s="105">
        <v>0.5137</v>
      </c>
      <c r="D57" s="738"/>
      <c r="E57" s="739"/>
      <c r="F57" s="739"/>
      <c r="G57" s="739"/>
      <c r="H57" s="739"/>
      <c r="I57" s="739"/>
      <c r="J57" s="739"/>
      <c r="K57" s="739"/>
      <c r="L57" s="739"/>
      <c r="M57" s="740"/>
    </row>
    <row r="58" spans="1:13" ht="12.75">
      <c r="A58" s="877"/>
      <c r="B58" s="129">
        <v>0.73204</v>
      </c>
      <c r="C58" s="105">
        <v>0.52877</v>
      </c>
      <c r="D58" s="738"/>
      <c r="E58" s="739"/>
      <c r="F58" s="739"/>
      <c r="G58" s="739"/>
      <c r="H58" s="739"/>
      <c r="I58" s="739"/>
      <c r="J58" s="739"/>
      <c r="K58" s="739"/>
      <c r="L58" s="739"/>
      <c r="M58" s="740"/>
    </row>
    <row r="59" spans="1:13" ht="12.75">
      <c r="A59" s="877"/>
      <c r="B59" s="129">
        <v>0.78453</v>
      </c>
      <c r="C59" s="105">
        <v>0.54247</v>
      </c>
      <c r="D59" s="738"/>
      <c r="E59" s="739"/>
      <c r="F59" s="739"/>
      <c r="G59" s="739"/>
      <c r="H59" s="739"/>
      <c r="I59" s="739"/>
      <c r="J59" s="739"/>
      <c r="K59" s="739"/>
      <c r="L59" s="739"/>
      <c r="M59" s="740"/>
    </row>
    <row r="60" spans="1:13" ht="12.75">
      <c r="A60" s="877"/>
      <c r="B60" s="129">
        <v>0.84807</v>
      </c>
      <c r="C60" s="105">
        <v>0.56027</v>
      </c>
      <c r="D60" s="738"/>
      <c r="E60" s="739"/>
      <c r="F60" s="739"/>
      <c r="G60" s="739"/>
      <c r="H60" s="739"/>
      <c r="I60" s="739"/>
      <c r="J60" s="739"/>
      <c r="K60" s="739"/>
      <c r="L60" s="739"/>
      <c r="M60" s="740"/>
    </row>
    <row r="61" spans="1:13" ht="12.75">
      <c r="A61" s="877"/>
      <c r="B61" s="129">
        <v>0.9116</v>
      </c>
      <c r="C61" s="105">
        <v>0.57671</v>
      </c>
      <c r="D61" s="738"/>
      <c r="E61" s="739"/>
      <c r="F61" s="739"/>
      <c r="G61" s="739"/>
      <c r="H61" s="739"/>
      <c r="I61" s="739"/>
      <c r="J61" s="739"/>
      <c r="K61" s="739"/>
      <c r="L61" s="739"/>
      <c r="M61" s="740"/>
    </row>
    <row r="62" spans="1:13" ht="12.75">
      <c r="A62" s="877"/>
      <c r="B62" s="129">
        <v>0.96133</v>
      </c>
      <c r="C62" s="105">
        <v>0.59041</v>
      </c>
      <c r="D62" s="738"/>
      <c r="E62" s="739"/>
      <c r="F62" s="739"/>
      <c r="G62" s="739"/>
      <c r="H62" s="739"/>
      <c r="I62" s="739"/>
      <c r="J62" s="739"/>
      <c r="K62" s="739"/>
      <c r="L62" s="739"/>
      <c r="M62" s="740"/>
    </row>
    <row r="63" spans="1:13" ht="13.5" thickBot="1">
      <c r="A63" s="878"/>
      <c r="B63" s="130">
        <v>0.99448</v>
      </c>
      <c r="C63" s="128">
        <v>0.6</v>
      </c>
      <c r="D63" s="741"/>
      <c r="E63" s="742"/>
      <c r="F63" s="742"/>
      <c r="G63" s="742"/>
      <c r="H63" s="742"/>
      <c r="I63" s="742"/>
      <c r="J63" s="742"/>
      <c r="K63" s="742"/>
      <c r="L63" s="742"/>
      <c r="M63" s="743"/>
    </row>
  </sheetData>
  <sheetProtection/>
  <mergeCells count="16">
    <mergeCell ref="A49:C49"/>
    <mergeCell ref="A50:A63"/>
    <mergeCell ref="D49:M63"/>
    <mergeCell ref="A1:M1"/>
    <mergeCell ref="A4:A13"/>
    <mergeCell ref="B3:F3"/>
    <mergeCell ref="A2:F2"/>
    <mergeCell ref="U19:W19"/>
    <mergeCell ref="R19:T19"/>
    <mergeCell ref="G2:M25"/>
    <mergeCell ref="D26:M48"/>
    <mergeCell ref="A14:F14"/>
    <mergeCell ref="B15:F15"/>
    <mergeCell ref="A16:A25"/>
    <mergeCell ref="A26:C26"/>
    <mergeCell ref="A27:A48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Plan19">
    <tabColor indexed="17"/>
  </sheetPr>
  <dimension ref="A1:AM39"/>
  <sheetViews>
    <sheetView zoomScale="85" zoomScaleNormal="85" zoomScalePageLayoutView="0" workbookViewId="0" topLeftCell="A1">
      <selection activeCell="R51" sqref="R51"/>
    </sheetView>
  </sheetViews>
  <sheetFormatPr defaultColWidth="9.140625" defaultRowHeight="12.75"/>
  <cols>
    <col min="1" max="1" width="11.00390625" style="72" customWidth="1"/>
    <col min="2" max="2" width="10.00390625" style="72" customWidth="1"/>
    <col min="3" max="3" width="10.28125" style="72" customWidth="1"/>
    <col min="4" max="16384" width="9.140625" style="72" customWidth="1"/>
  </cols>
  <sheetData>
    <row r="1" spans="1:16" ht="13.5" thickBot="1">
      <c r="A1" s="723" t="s">
        <v>320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725"/>
    </row>
    <row r="2" spans="1:16" ht="13.5" thickBot="1">
      <c r="A2" s="885" t="s">
        <v>321</v>
      </c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7"/>
    </row>
    <row r="3" spans="1:16" ht="13.5" thickBot="1">
      <c r="A3" s="131" t="s">
        <v>322</v>
      </c>
      <c r="B3" s="831" t="s">
        <v>324</v>
      </c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2"/>
    </row>
    <row r="4" spans="1:16" ht="12.75">
      <c r="A4" s="828" t="s">
        <v>323</v>
      </c>
      <c r="B4" s="34"/>
      <c r="C4" s="30">
        <v>1.5</v>
      </c>
      <c r="D4" s="30">
        <v>2</v>
      </c>
      <c r="E4" s="30">
        <v>2.5</v>
      </c>
      <c r="F4" s="30">
        <v>3</v>
      </c>
      <c r="G4" s="30">
        <v>3.5</v>
      </c>
      <c r="H4" s="30">
        <v>4</v>
      </c>
      <c r="I4" s="30">
        <v>4.5</v>
      </c>
      <c r="J4" s="30">
        <v>5</v>
      </c>
      <c r="K4" s="30">
        <v>6</v>
      </c>
      <c r="L4" s="30">
        <v>7</v>
      </c>
      <c r="M4" s="30">
        <v>8</v>
      </c>
      <c r="N4" s="30">
        <v>9</v>
      </c>
      <c r="O4" s="30">
        <v>10</v>
      </c>
      <c r="P4" s="31">
        <v>11</v>
      </c>
    </row>
    <row r="5" spans="1:16" ht="12.75">
      <c r="A5" s="828"/>
      <c r="B5" s="35">
        <v>-20</v>
      </c>
      <c r="C5" s="33">
        <v>0.064</v>
      </c>
      <c r="D5" s="33">
        <v>0.08</v>
      </c>
      <c r="E5" s="33">
        <v>0.09</v>
      </c>
      <c r="F5" s="33">
        <v>0.1</v>
      </c>
      <c r="G5" s="33">
        <v>0.11</v>
      </c>
      <c r="H5" s="33">
        <v>0.118</v>
      </c>
      <c r="I5" s="33">
        <v>0.128</v>
      </c>
      <c r="J5" s="33">
        <v>0.132</v>
      </c>
      <c r="K5" s="20">
        <v>0.143</v>
      </c>
      <c r="L5" s="20">
        <v>0.152</v>
      </c>
      <c r="M5" s="20">
        <v>0.16</v>
      </c>
      <c r="N5" s="20">
        <v>0.167</v>
      </c>
      <c r="O5" s="20">
        <v>0.172</v>
      </c>
      <c r="P5" s="21">
        <v>0.177</v>
      </c>
    </row>
    <row r="6" spans="1:16" ht="12.75">
      <c r="A6" s="828"/>
      <c r="B6" s="35">
        <v>0</v>
      </c>
      <c r="C6" s="33">
        <v>0.065</v>
      </c>
      <c r="D6" s="33">
        <v>0.081</v>
      </c>
      <c r="E6" s="33">
        <v>0.095</v>
      </c>
      <c r="F6" s="33">
        <v>0.105</v>
      </c>
      <c r="G6" s="33">
        <v>0.118</v>
      </c>
      <c r="H6" s="33">
        <v>0.128</v>
      </c>
      <c r="I6" s="33">
        <v>0.137</v>
      </c>
      <c r="J6" s="33">
        <v>0.143</v>
      </c>
      <c r="K6" s="20">
        <v>0.155</v>
      </c>
      <c r="L6" s="20">
        <v>0.165</v>
      </c>
      <c r="M6" s="20">
        <v>0.173</v>
      </c>
      <c r="N6" s="20">
        <v>0.182</v>
      </c>
      <c r="O6" s="20">
        <v>0.187</v>
      </c>
      <c r="P6" s="21">
        <v>0.192</v>
      </c>
    </row>
    <row r="7" spans="1:16" ht="12.75">
      <c r="A7" s="828"/>
      <c r="B7" s="35">
        <v>20</v>
      </c>
      <c r="C7" s="33">
        <v>0.065</v>
      </c>
      <c r="D7" s="33">
        <v>0.082</v>
      </c>
      <c r="E7" s="33">
        <v>0.097</v>
      </c>
      <c r="F7" s="33">
        <v>0.11</v>
      </c>
      <c r="G7" s="33">
        <v>0.12</v>
      </c>
      <c r="H7" s="33">
        <v>0.13</v>
      </c>
      <c r="I7" s="33">
        <v>0.139</v>
      </c>
      <c r="J7" s="33">
        <v>0.145</v>
      </c>
      <c r="K7" s="20">
        <v>0.155</v>
      </c>
      <c r="L7" s="20">
        <v>0.165</v>
      </c>
      <c r="M7" s="20">
        <v>0.173</v>
      </c>
      <c r="N7" s="20">
        <v>0.182</v>
      </c>
      <c r="O7" s="20">
        <v>0.187</v>
      </c>
      <c r="P7" s="21">
        <v>0.192</v>
      </c>
    </row>
    <row r="8" spans="1:16" ht="12.75">
      <c r="A8" s="828"/>
      <c r="B8" s="35">
        <v>40</v>
      </c>
      <c r="C8" s="33">
        <v>0.065</v>
      </c>
      <c r="D8" s="33">
        <v>0.082</v>
      </c>
      <c r="E8" s="33">
        <v>0.096</v>
      </c>
      <c r="F8" s="33">
        <v>0.106</v>
      </c>
      <c r="G8" s="33">
        <v>0.115</v>
      </c>
      <c r="H8" s="33">
        <v>0.122</v>
      </c>
      <c r="I8" s="33">
        <v>0.13</v>
      </c>
      <c r="J8" s="33">
        <v>0.135</v>
      </c>
      <c r="K8" s="20">
        <v>0.143</v>
      </c>
      <c r="L8" s="20">
        <v>0.15</v>
      </c>
      <c r="M8" s="20">
        <v>0.156</v>
      </c>
      <c r="N8" s="20">
        <v>0.162</v>
      </c>
      <c r="O8" s="20">
        <v>0.168</v>
      </c>
      <c r="P8" s="21">
        <v>0.174</v>
      </c>
    </row>
    <row r="9" spans="1:16" ht="13.5" thickBot="1">
      <c r="A9" s="829"/>
      <c r="B9" s="36">
        <v>60</v>
      </c>
      <c r="C9" s="97">
        <v>0.055</v>
      </c>
      <c r="D9" s="97">
        <v>0.072</v>
      </c>
      <c r="E9" s="97">
        <v>0.082</v>
      </c>
      <c r="F9" s="97">
        <v>0.087</v>
      </c>
      <c r="G9" s="97">
        <v>0.091</v>
      </c>
      <c r="H9" s="97">
        <v>0.094</v>
      </c>
      <c r="I9" s="97">
        <v>0.096</v>
      </c>
      <c r="J9" s="97">
        <v>0.1</v>
      </c>
      <c r="K9" s="22">
        <v>0.105</v>
      </c>
      <c r="L9" s="22">
        <v>0.11</v>
      </c>
      <c r="M9" s="22">
        <v>0.115</v>
      </c>
      <c r="N9" s="22">
        <v>0.12</v>
      </c>
      <c r="O9" s="22">
        <v>0.122</v>
      </c>
      <c r="P9" s="23">
        <v>0.124</v>
      </c>
    </row>
    <row r="10" spans="1:39" ht="13.5" thickBot="1">
      <c r="A10" s="885" t="s">
        <v>327</v>
      </c>
      <c r="B10" s="886"/>
      <c r="C10" s="886"/>
      <c r="D10" s="886"/>
      <c r="E10" s="886"/>
      <c r="F10" s="886"/>
      <c r="G10" s="886"/>
      <c r="H10" s="886"/>
      <c r="I10" s="886"/>
      <c r="J10" s="886"/>
      <c r="K10" s="886"/>
      <c r="L10" s="886"/>
      <c r="M10" s="886"/>
      <c r="N10" s="886"/>
      <c r="O10" s="886"/>
      <c r="P10" s="887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M10" s="73"/>
    </row>
    <row r="11" spans="1:16" ht="13.5" thickBot="1">
      <c r="A11" s="131" t="s">
        <v>322</v>
      </c>
      <c r="B11" s="831" t="s">
        <v>324</v>
      </c>
      <c r="C11" s="831"/>
      <c r="D11" s="831"/>
      <c r="E11" s="831"/>
      <c r="F11" s="831"/>
      <c r="G11" s="831"/>
      <c r="H11" s="831"/>
      <c r="I11" s="831"/>
      <c r="J11" s="831"/>
      <c r="K11" s="831"/>
      <c r="L11" s="831"/>
      <c r="M11" s="831"/>
      <c r="N11" s="831"/>
      <c r="O11" s="831"/>
      <c r="P11" s="832"/>
    </row>
    <row r="12" spans="1:16" ht="12.75" customHeight="1">
      <c r="A12" s="828" t="s">
        <v>323</v>
      </c>
      <c r="B12" s="34"/>
      <c r="C12" s="30">
        <v>1.5</v>
      </c>
      <c r="D12" s="30">
        <v>2</v>
      </c>
      <c r="E12" s="30">
        <v>2.5</v>
      </c>
      <c r="F12" s="30">
        <v>3</v>
      </c>
      <c r="G12" s="30">
        <v>3.5</v>
      </c>
      <c r="H12" s="30">
        <v>4</v>
      </c>
      <c r="I12" s="30">
        <v>4.5</v>
      </c>
      <c r="J12" s="30">
        <v>5</v>
      </c>
      <c r="K12" s="30">
        <v>6</v>
      </c>
      <c r="L12" s="30">
        <v>7</v>
      </c>
      <c r="M12" s="30">
        <v>8</v>
      </c>
      <c r="N12" s="30">
        <v>9</v>
      </c>
      <c r="O12" s="30">
        <v>10</v>
      </c>
      <c r="P12" s="31">
        <v>11</v>
      </c>
    </row>
    <row r="13" spans="1:16" ht="12.75">
      <c r="A13" s="828"/>
      <c r="B13" s="35">
        <v>-20</v>
      </c>
      <c r="C13" s="33">
        <v>0.07</v>
      </c>
      <c r="D13" s="33">
        <v>0.09</v>
      </c>
      <c r="E13" s="33">
        <v>0.107</v>
      </c>
      <c r="F13" s="33">
        <v>0.122</v>
      </c>
      <c r="G13" s="33">
        <v>0.136</v>
      </c>
      <c r="H13" s="33">
        <v>0.15</v>
      </c>
      <c r="I13" s="33">
        <v>0.16</v>
      </c>
      <c r="J13" s="33">
        <v>0.169</v>
      </c>
      <c r="K13" s="20">
        <v>0.186</v>
      </c>
      <c r="L13" s="20">
        <v>0.202</v>
      </c>
      <c r="M13" s="20">
        <v>0.213</v>
      </c>
      <c r="N13" s="20">
        <v>0.222</v>
      </c>
      <c r="O13" s="20">
        <v>0.233</v>
      </c>
      <c r="P13" s="21">
        <v>0.244</v>
      </c>
    </row>
    <row r="14" spans="1:16" ht="12.75">
      <c r="A14" s="828"/>
      <c r="B14" s="35">
        <v>0</v>
      </c>
      <c r="C14" s="33">
        <v>0.07</v>
      </c>
      <c r="D14" s="33">
        <v>0.09</v>
      </c>
      <c r="E14" s="33">
        <v>0.11</v>
      </c>
      <c r="F14" s="33">
        <v>0.125</v>
      </c>
      <c r="G14" s="33">
        <v>0.14</v>
      </c>
      <c r="H14" s="33">
        <v>0.154</v>
      </c>
      <c r="I14" s="33">
        <v>0.166</v>
      </c>
      <c r="J14" s="33">
        <v>0.176</v>
      </c>
      <c r="K14" s="20">
        <v>0.195</v>
      </c>
      <c r="L14" s="20">
        <v>0.21</v>
      </c>
      <c r="M14" s="20">
        <v>0.224</v>
      </c>
      <c r="N14" s="20">
        <v>0.237</v>
      </c>
      <c r="O14" s="20">
        <v>0.248</v>
      </c>
      <c r="P14" s="21">
        <v>0.259</v>
      </c>
    </row>
    <row r="15" spans="1:16" ht="12.75">
      <c r="A15" s="828"/>
      <c r="B15" s="35">
        <v>20</v>
      </c>
      <c r="C15" s="33">
        <v>0.07</v>
      </c>
      <c r="D15" s="33">
        <v>0.09</v>
      </c>
      <c r="E15" s="33">
        <v>0.11</v>
      </c>
      <c r="F15" s="33">
        <v>0.125</v>
      </c>
      <c r="G15" s="33">
        <v>0.138</v>
      </c>
      <c r="H15" s="33">
        <v>0.152</v>
      </c>
      <c r="I15" s="33">
        <v>0.165</v>
      </c>
      <c r="J15" s="33">
        <v>0.176</v>
      </c>
      <c r="K15" s="20">
        <v>0.193</v>
      </c>
      <c r="L15" s="20">
        <v>0.206</v>
      </c>
      <c r="M15" s="20">
        <v>0.219</v>
      </c>
      <c r="N15" s="20">
        <v>0.23</v>
      </c>
      <c r="O15" s="20">
        <v>0.24</v>
      </c>
      <c r="P15" s="21">
        <v>0.25</v>
      </c>
    </row>
    <row r="16" spans="1:16" ht="12.75">
      <c r="A16" s="828"/>
      <c r="B16" s="35">
        <v>40</v>
      </c>
      <c r="C16" s="33">
        <v>0.07</v>
      </c>
      <c r="D16" s="33">
        <v>0.089</v>
      </c>
      <c r="E16" s="33">
        <v>0.107</v>
      </c>
      <c r="F16" s="33">
        <v>0.121</v>
      </c>
      <c r="G16" s="33">
        <v>0.132</v>
      </c>
      <c r="H16" s="33">
        <v>0.144</v>
      </c>
      <c r="I16" s="33">
        <v>0.154</v>
      </c>
      <c r="J16" s="33">
        <v>0.162</v>
      </c>
      <c r="K16" s="20">
        <v>0.175</v>
      </c>
      <c r="L16" s="20">
        <v>0.185</v>
      </c>
      <c r="M16" s="20">
        <v>0.194</v>
      </c>
      <c r="N16" s="20">
        <v>0.202</v>
      </c>
      <c r="O16" s="20">
        <v>0.21</v>
      </c>
      <c r="P16" s="21">
        <v>0.218</v>
      </c>
    </row>
    <row r="17" spans="1:39" ht="13.5" thickBot="1">
      <c r="A17" s="829"/>
      <c r="B17" s="36">
        <v>60</v>
      </c>
      <c r="C17" s="33">
        <v>0.062</v>
      </c>
      <c r="D17" s="33">
        <v>0.082</v>
      </c>
      <c r="E17" s="33">
        <v>0.095</v>
      </c>
      <c r="F17" s="33">
        <v>0.104</v>
      </c>
      <c r="G17" s="33">
        <v>0.112</v>
      </c>
      <c r="H17" s="33">
        <v>0.117</v>
      </c>
      <c r="I17" s="33">
        <v>0.123</v>
      </c>
      <c r="J17" s="33">
        <v>0.129</v>
      </c>
      <c r="K17" s="20">
        <v>0.135</v>
      </c>
      <c r="L17" s="20">
        <v>0.138</v>
      </c>
      <c r="M17" s="20">
        <v>0.142</v>
      </c>
      <c r="N17" s="20">
        <v>0.146</v>
      </c>
      <c r="O17" s="20">
        <v>0.15</v>
      </c>
      <c r="P17" s="21">
        <v>0.154</v>
      </c>
      <c r="Y17" s="20"/>
      <c r="Z17" s="20"/>
      <c r="AA17" s="20"/>
      <c r="AB17" s="20"/>
      <c r="AC17" s="20"/>
      <c r="AD17" s="20"/>
      <c r="AE17" s="20"/>
      <c r="AF17" s="132"/>
      <c r="AG17" s="20"/>
      <c r="AH17" s="20"/>
      <c r="AM17" s="20"/>
    </row>
    <row r="18" spans="1:39" ht="13.5" thickBot="1">
      <c r="A18" s="885" t="s">
        <v>325</v>
      </c>
      <c r="B18" s="886"/>
      <c r="C18" s="886"/>
      <c r="D18" s="886"/>
      <c r="E18" s="886"/>
      <c r="F18" s="886"/>
      <c r="G18" s="886"/>
      <c r="H18" s="886"/>
      <c r="I18" s="886"/>
      <c r="J18" s="886"/>
      <c r="K18" s="886"/>
      <c r="L18" s="886"/>
      <c r="M18" s="886"/>
      <c r="N18" s="886"/>
      <c r="O18" s="886"/>
      <c r="P18" s="887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M18" s="73"/>
    </row>
    <row r="19" spans="1:16" ht="13.5" thickBot="1">
      <c r="A19" s="131" t="s">
        <v>322</v>
      </c>
      <c r="B19" s="831" t="s">
        <v>324</v>
      </c>
      <c r="C19" s="831"/>
      <c r="D19" s="831"/>
      <c r="E19" s="831"/>
      <c r="F19" s="831"/>
      <c r="G19" s="831"/>
      <c r="H19" s="831"/>
      <c r="I19" s="831"/>
      <c r="J19" s="831"/>
      <c r="K19" s="831"/>
      <c r="L19" s="831"/>
      <c r="M19" s="831"/>
      <c r="N19" s="831"/>
      <c r="O19" s="831"/>
      <c r="P19" s="832"/>
    </row>
    <row r="20" spans="1:16" ht="12.75" customHeight="1">
      <c r="A20" s="828" t="s">
        <v>323</v>
      </c>
      <c r="B20" s="34"/>
      <c r="C20" s="30">
        <v>1.5</v>
      </c>
      <c r="D20" s="30">
        <v>2</v>
      </c>
      <c r="E20" s="30">
        <v>2.5</v>
      </c>
      <c r="F20" s="30">
        <v>3</v>
      </c>
      <c r="G20" s="30">
        <v>3.5</v>
      </c>
      <c r="H20" s="30">
        <v>4</v>
      </c>
      <c r="I20" s="30">
        <v>4.5</v>
      </c>
      <c r="J20" s="30">
        <v>5</v>
      </c>
      <c r="K20" s="30">
        <v>6</v>
      </c>
      <c r="L20" s="30">
        <v>7</v>
      </c>
      <c r="M20" s="30">
        <v>8</v>
      </c>
      <c r="N20" s="30">
        <v>9</v>
      </c>
      <c r="O20" s="30">
        <v>10</v>
      </c>
      <c r="P20" s="31">
        <v>11</v>
      </c>
    </row>
    <row r="21" spans="1:16" ht="12.75">
      <c r="A21" s="828"/>
      <c r="B21" s="35">
        <v>-20</v>
      </c>
      <c r="C21" s="33">
        <v>0.072</v>
      </c>
      <c r="D21" s="33">
        <v>0.092</v>
      </c>
      <c r="E21" s="33">
        <v>0.11</v>
      </c>
      <c r="F21" s="33">
        <v>0.129</v>
      </c>
      <c r="G21" s="33">
        <v>0.144</v>
      </c>
      <c r="H21" s="33">
        <v>0.156</v>
      </c>
      <c r="I21" s="33">
        <v>0.169</v>
      </c>
      <c r="J21" s="33">
        <v>0.182</v>
      </c>
      <c r="K21" s="20">
        <v>0.202</v>
      </c>
      <c r="L21" s="20">
        <v>0.217</v>
      </c>
      <c r="M21" s="20">
        <v>0.232</v>
      </c>
      <c r="N21" s="20">
        <v>0.247</v>
      </c>
      <c r="O21" s="20">
        <v>0.26</v>
      </c>
      <c r="P21" s="21">
        <v>0.273</v>
      </c>
    </row>
    <row r="22" spans="1:16" ht="12.75">
      <c r="A22" s="828"/>
      <c r="B22" s="35">
        <v>0</v>
      </c>
      <c r="C22" s="33">
        <v>0.072</v>
      </c>
      <c r="D22" s="33">
        <v>0.092</v>
      </c>
      <c r="E22" s="33">
        <v>0.111</v>
      </c>
      <c r="F22" s="33">
        <v>0.13</v>
      </c>
      <c r="G22" s="33">
        <v>0.146</v>
      </c>
      <c r="H22" s="33">
        <v>0.16</v>
      </c>
      <c r="I22" s="33">
        <v>0.173</v>
      </c>
      <c r="J22" s="33">
        <v>0.187</v>
      </c>
      <c r="K22" s="20">
        <v>0.208</v>
      </c>
      <c r="L22" s="20">
        <v>0.225</v>
      </c>
      <c r="M22" s="20">
        <v>0.24</v>
      </c>
      <c r="N22" s="20">
        <v>0.255</v>
      </c>
      <c r="O22" s="20">
        <v>0.266</v>
      </c>
      <c r="P22" s="21">
        <v>0.277</v>
      </c>
    </row>
    <row r="23" spans="1:16" ht="12.75">
      <c r="A23" s="828"/>
      <c r="B23" s="35">
        <v>20</v>
      </c>
      <c r="C23" s="33">
        <v>0.072</v>
      </c>
      <c r="D23" s="33">
        <v>0.092</v>
      </c>
      <c r="E23" s="33">
        <v>0.111</v>
      </c>
      <c r="F23" s="33">
        <v>0.13</v>
      </c>
      <c r="G23" s="33">
        <v>0.146</v>
      </c>
      <c r="H23" s="33">
        <v>0.16</v>
      </c>
      <c r="I23" s="33">
        <v>0.171</v>
      </c>
      <c r="J23" s="33">
        <v>0.183</v>
      </c>
      <c r="K23" s="20">
        <v>0.203</v>
      </c>
      <c r="L23" s="20">
        <v>0.22</v>
      </c>
      <c r="M23" s="20">
        <v>0.235</v>
      </c>
      <c r="N23" s="20">
        <v>0.247</v>
      </c>
      <c r="O23" s="20">
        <v>0.257</v>
      </c>
      <c r="P23" s="21">
        <v>0.267</v>
      </c>
    </row>
    <row r="24" spans="1:16" ht="12.75">
      <c r="A24" s="828"/>
      <c r="B24" s="35">
        <v>40</v>
      </c>
      <c r="C24" s="33">
        <v>0.072</v>
      </c>
      <c r="D24" s="33">
        <v>0.09</v>
      </c>
      <c r="E24" s="33">
        <v>0.109</v>
      </c>
      <c r="F24" s="33">
        <v>0.125</v>
      </c>
      <c r="G24" s="33">
        <v>0.14</v>
      </c>
      <c r="H24" s="33">
        <v>0.151</v>
      </c>
      <c r="I24" s="33">
        <v>0.16</v>
      </c>
      <c r="J24" s="33">
        <v>0.171</v>
      </c>
      <c r="K24" s="20">
        <v>0.185</v>
      </c>
      <c r="L24" s="20">
        <v>0.2</v>
      </c>
      <c r="M24" s="20">
        <v>0.21</v>
      </c>
      <c r="N24" s="20">
        <v>0.219</v>
      </c>
      <c r="O24" s="20">
        <v>0.226</v>
      </c>
      <c r="P24" s="21">
        <v>0.233</v>
      </c>
    </row>
    <row r="25" spans="1:39" ht="13.5" thickBot="1">
      <c r="A25" s="829"/>
      <c r="B25" s="36">
        <v>60</v>
      </c>
      <c r="C25" s="33">
        <v>0.067</v>
      </c>
      <c r="D25" s="33">
        <v>0.083</v>
      </c>
      <c r="E25" s="33">
        <v>0.097</v>
      </c>
      <c r="F25" s="33">
        <v>0.108</v>
      </c>
      <c r="G25" s="33">
        <v>0.118</v>
      </c>
      <c r="H25" s="33">
        <v>0.123</v>
      </c>
      <c r="I25" s="33">
        <v>0.13</v>
      </c>
      <c r="J25" s="33">
        <v>0.136</v>
      </c>
      <c r="K25" s="20">
        <v>0.142</v>
      </c>
      <c r="L25" s="20">
        <v>0.148</v>
      </c>
      <c r="M25" s="20">
        <v>0.154</v>
      </c>
      <c r="N25" s="20">
        <v>0.161</v>
      </c>
      <c r="O25" s="20">
        <v>0.167</v>
      </c>
      <c r="P25" s="21">
        <v>0.173</v>
      </c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M25" s="20"/>
    </row>
    <row r="26" spans="1:39" ht="13.5" thickBot="1">
      <c r="A26" s="885" t="s">
        <v>326</v>
      </c>
      <c r="B26" s="886"/>
      <c r="C26" s="886"/>
      <c r="D26" s="886"/>
      <c r="E26" s="886"/>
      <c r="F26" s="886"/>
      <c r="G26" s="886"/>
      <c r="H26" s="886"/>
      <c r="I26" s="886"/>
      <c r="J26" s="886"/>
      <c r="K26" s="886"/>
      <c r="L26" s="886"/>
      <c r="M26" s="886"/>
      <c r="N26" s="886"/>
      <c r="O26" s="886"/>
      <c r="P26" s="887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M26" s="73"/>
    </row>
    <row r="27" spans="1:16" ht="13.5" thickBot="1">
      <c r="A27" s="131" t="s">
        <v>322</v>
      </c>
      <c r="B27" s="831" t="s">
        <v>324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2"/>
    </row>
    <row r="28" spans="1:16" ht="12.75">
      <c r="A28" s="828" t="s">
        <v>323</v>
      </c>
      <c r="B28" s="34"/>
      <c r="C28" s="30">
        <v>1.5</v>
      </c>
      <c r="D28" s="30">
        <v>2</v>
      </c>
      <c r="E28" s="30">
        <v>2.5</v>
      </c>
      <c r="F28" s="30">
        <v>3</v>
      </c>
      <c r="G28" s="30">
        <v>3.5</v>
      </c>
      <c r="H28" s="30">
        <v>4</v>
      </c>
      <c r="I28" s="30">
        <v>4.5</v>
      </c>
      <c r="J28" s="30">
        <v>5</v>
      </c>
      <c r="K28" s="30">
        <v>6</v>
      </c>
      <c r="L28" s="30">
        <v>7</v>
      </c>
      <c r="M28" s="30">
        <v>8</v>
      </c>
      <c r="N28" s="30">
        <v>9</v>
      </c>
      <c r="O28" s="30">
        <v>10</v>
      </c>
      <c r="P28" s="31">
        <v>11</v>
      </c>
    </row>
    <row r="29" spans="1:16" ht="12.75">
      <c r="A29" s="828"/>
      <c r="B29" s="35">
        <v>-20</v>
      </c>
      <c r="C29" s="33">
        <v>0.0726</v>
      </c>
      <c r="D29" s="33">
        <v>0.0927</v>
      </c>
      <c r="E29" s="33">
        <v>0.114</v>
      </c>
      <c r="F29" s="33">
        <v>0.1311</v>
      </c>
      <c r="G29" s="33">
        <v>0.1476</v>
      </c>
      <c r="H29" s="33">
        <v>0.1634</v>
      </c>
      <c r="I29" s="33">
        <v>0.1774</v>
      </c>
      <c r="J29" s="33">
        <v>0.1896</v>
      </c>
      <c r="K29" s="20">
        <v>0.2122</v>
      </c>
      <c r="L29" s="20">
        <v>0.2323</v>
      </c>
      <c r="M29" s="20">
        <v>0.2512</v>
      </c>
      <c r="N29" s="20">
        <v>0.2671</v>
      </c>
      <c r="O29" s="20">
        <v>0.2787</v>
      </c>
      <c r="P29" s="21">
        <v>0.2903</v>
      </c>
    </row>
    <row r="30" spans="1:16" ht="12.75">
      <c r="A30" s="828"/>
      <c r="B30" s="35">
        <v>0</v>
      </c>
      <c r="C30" s="33">
        <v>0.0713</v>
      </c>
      <c r="D30" s="33">
        <v>0.0927</v>
      </c>
      <c r="E30" s="33">
        <v>0.114</v>
      </c>
      <c r="F30" s="33">
        <v>0.1323</v>
      </c>
      <c r="G30" s="33">
        <v>0.1488</v>
      </c>
      <c r="H30" s="33">
        <v>0.1646</v>
      </c>
      <c r="I30" s="33">
        <v>0.1799</v>
      </c>
      <c r="J30" s="33">
        <v>0.1921</v>
      </c>
      <c r="K30" s="20">
        <v>0.2177</v>
      </c>
      <c r="L30" s="20">
        <v>0.2378</v>
      </c>
      <c r="M30" s="20">
        <v>0.2567</v>
      </c>
      <c r="N30" s="20">
        <v>0.2726</v>
      </c>
      <c r="O30" s="20">
        <v>0.2866</v>
      </c>
      <c r="P30" s="21">
        <v>0.3006</v>
      </c>
    </row>
    <row r="31" spans="1:16" ht="12.75">
      <c r="A31" s="828"/>
      <c r="B31" s="35">
        <v>20</v>
      </c>
      <c r="C31" s="33">
        <v>0.0713</v>
      </c>
      <c r="D31" s="33">
        <v>0.0909</v>
      </c>
      <c r="E31" s="33">
        <v>0.1128</v>
      </c>
      <c r="F31" s="33">
        <v>0.1311</v>
      </c>
      <c r="G31" s="33">
        <v>0.1457</v>
      </c>
      <c r="H31" s="33">
        <v>0.1622</v>
      </c>
      <c r="I31" s="33">
        <v>0.1762</v>
      </c>
      <c r="J31" s="33">
        <v>0.1878</v>
      </c>
      <c r="K31" s="20">
        <v>0.2104</v>
      </c>
      <c r="L31" s="20">
        <v>0.2299</v>
      </c>
      <c r="M31" s="20">
        <v>0.2463</v>
      </c>
      <c r="N31" s="20">
        <v>0.2598</v>
      </c>
      <c r="O31" s="20">
        <v>0.2701</v>
      </c>
      <c r="P31" s="21">
        <v>0.2804</v>
      </c>
    </row>
    <row r="32" spans="1:16" ht="12.75">
      <c r="A32" s="828"/>
      <c r="B32" s="35">
        <v>40</v>
      </c>
      <c r="C32" s="33">
        <v>0.0707</v>
      </c>
      <c r="D32" s="33">
        <v>0.089</v>
      </c>
      <c r="E32" s="33">
        <v>0.1098</v>
      </c>
      <c r="F32" s="33">
        <v>0.1244</v>
      </c>
      <c r="G32" s="33">
        <v>0.139</v>
      </c>
      <c r="H32" s="33">
        <v>0.1518</v>
      </c>
      <c r="I32" s="33">
        <v>0.1622</v>
      </c>
      <c r="J32" s="33">
        <v>0.1732</v>
      </c>
      <c r="K32" s="20">
        <v>0.1896</v>
      </c>
      <c r="L32" s="20">
        <v>0.2037</v>
      </c>
      <c r="M32" s="20">
        <v>0.2165</v>
      </c>
      <c r="N32" s="20">
        <v>0.2274</v>
      </c>
      <c r="O32" s="20">
        <v>0.2348</v>
      </c>
      <c r="P32" s="21">
        <v>0.2422</v>
      </c>
    </row>
    <row r="33" spans="1:39" ht="13.5" thickBot="1">
      <c r="A33" s="829"/>
      <c r="B33" s="36">
        <v>60</v>
      </c>
      <c r="C33" s="97">
        <v>0.0652</v>
      </c>
      <c r="D33" s="97">
        <v>0.0787</v>
      </c>
      <c r="E33" s="97">
        <v>0.0921</v>
      </c>
      <c r="F33" s="97">
        <v>0.1043</v>
      </c>
      <c r="G33" s="97">
        <v>0.1116</v>
      </c>
      <c r="H33" s="97">
        <v>0.1201</v>
      </c>
      <c r="I33" s="97">
        <v>0.1262</v>
      </c>
      <c r="J33" s="97">
        <v>0.1317</v>
      </c>
      <c r="K33" s="22">
        <v>0.1409</v>
      </c>
      <c r="L33" s="22">
        <v>0.1482</v>
      </c>
      <c r="M33" s="22">
        <v>0.1585</v>
      </c>
      <c r="N33" s="22">
        <v>0.1622</v>
      </c>
      <c r="O33" s="22">
        <v>0.1671</v>
      </c>
      <c r="P33" s="23">
        <v>0.172</v>
      </c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M33" s="20"/>
    </row>
    <row r="34" spans="1:39" ht="13.5" thickBot="1">
      <c r="A34" s="720" t="s">
        <v>328</v>
      </c>
      <c r="B34" s="721"/>
      <c r="C34" s="722"/>
      <c r="D34" s="821"/>
      <c r="E34" s="822"/>
      <c r="F34" s="822"/>
      <c r="G34" s="822"/>
      <c r="H34" s="822"/>
      <c r="I34" s="822"/>
      <c r="J34" s="822"/>
      <c r="K34" s="822"/>
      <c r="L34" s="822"/>
      <c r="M34" s="822"/>
      <c r="N34" s="822"/>
      <c r="O34" s="822"/>
      <c r="P34" s="823"/>
      <c r="AA34" s="33"/>
      <c r="AB34" s="33"/>
      <c r="AC34" s="33"/>
      <c r="AD34" s="33"/>
      <c r="AE34" s="20"/>
      <c r="AF34" s="20"/>
      <c r="AG34" s="20"/>
      <c r="AH34" s="20"/>
      <c r="AM34" s="20"/>
    </row>
    <row r="35" spans="1:39" ht="13.5" thickBot="1">
      <c r="A35" s="888" t="s">
        <v>329</v>
      </c>
      <c r="B35" s="117"/>
      <c r="C35" s="118" t="s">
        <v>72</v>
      </c>
      <c r="D35" s="738"/>
      <c r="E35" s="739"/>
      <c r="F35" s="739"/>
      <c r="G35" s="739"/>
      <c r="H35" s="739"/>
      <c r="I35" s="739"/>
      <c r="J35" s="739"/>
      <c r="K35" s="739"/>
      <c r="L35" s="739"/>
      <c r="M35" s="739"/>
      <c r="N35" s="739"/>
      <c r="O35" s="739"/>
      <c r="P35" s="740"/>
      <c r="AA35" s="20"/>
      <c r="AB35" s="20"/>
      <c r="AC35" s="20"/>
      <c r="AD35" s="20"/>
      <c r="AE35" s="20"/>
      <c r="AF35" s="20"/>
      <c r="AG35" s="20"/>
      <c r="AH35" s="20"/>
      <c r="AM35" s="20"/>
    </row>
    <row r="36" spans="1:39" ht="12.75">
      <c r="A36" s="877"/>
      <c r="B36" s="99">
        <v>-1E-08</v>
      </c>
      <c r="C36" s="26" t="e">
        <f>DITP('Coeficientes Latero-Direcionais'!$O$7,'Coeficientes Latero-Direcionais'!$O$8,'ESDU A06.01.01'!B4:O9)</f>
        <v>#NAME?</v>
      </c>
      <c r="D36" s="738"/>
      <c r="E36" s="739"/>
      <c r="F36" s="739"/>
      <c r="G36" s="739"/>
      <c r="H36" s="739"/>
      <c r="I36" s="739"/>
      <c r="J36" s="739"/>
      <c r="K36" s="739"/>
      <c r="L36" s="739"/>
      <c r="M36" s="739"/>
      <c r="N36" s="739"/>
      <c r="O36" s="739"/>
      <c r="P36" s="740"/>
      <c r="AA36" s="20"/>
      <c r="AB36" s="20"/>
      <c r="AC36" s="20"/>
      <c r="AD36" s="20"/>
      <c r="AE36" s="20"/>
      <c r="AF36" s="20"/>
      <c r="AG36" s="20"/>
      <c r="AH36" s="20"/>
      <c r="AM36" s="20"/>
    </row>
    <row r="37" spans="1:39" ht="12.75">
      <c r="A37" s="877"/>
      <c r="B37" s="99">
        <v>0.25000000001</v>
      </c>
      <c r="C37" s="26" t="e">
        <f>DITP('Coeficientes Latero-Direcionais'!$O$7,'Coeficientes Latero-Direcionais'!$O$8,'ESDU A06.01.01'!B12:P17)</f>
        <v>#NAME?</v>
      </c>
      <c r="D37" s="738"/>
      <c r="E37" s="739"/>
      <c r="F37" s="739"/>
      <c r="G37" s="739"/>
      <c r="H37" s="739"/>
      <c r="I37" s="739"/>
      <c r="J37" s="739"/>
      <c r="K37" s="739"/>
      <c r="L37" s="739"/>
      <c r="M37" s="739"/>
      <c r="N37" s="739"/>
      <c r="O37" s="739"/>
      <c r="P37" s="740"/>
      <c r="AA37" s="20"/>
      <c r="AB37" s="20"/>
      <c r="AC37" s="20"/>
      <c r="AD37" s="20"/>
      <c r="AE37" s="20"/>
      <c r="AF37" s="20"/>
      <c r="AG37" s="20"/>
      <c r="AH37" s="20"/>
      <c r="AM37" s="20"/>
    </row>
    <row r="38" spans="1:39" ht="12.75">
      <c r="A38" s="877"/>
      <c r="B38" s="99">
        <v>0.50000001</v>
      </c>
      <c r="C38" s="26" t="e">
        <f>DITP('Coeficientes Latero-Direcionais'!$O$7,'Coeficientes Latero-Direcionais'!$O$8,'ESDU A06.01.01'!B20:P25)</f>
        <v>#NAME?</v>
      </c>
      <c r="D38" s="738"/>
      <c r="E38" s="739"/>
      <c r="F38" s="739"/>
      <c r="G38" s="739"/>
      <c r="H38" s="739"/>
      <c r="I38" s="739"/>
      <c r="J38" s="739"/>
      <c r="K38" s="739"/>
      <c r="L38" s="739"/>
      <c r="M38" s="739"/>
      <c r="N38" s="739"/>
      <c r="O38" s="739"/>
      <c r="P38" s="740"/>
      <c r="AA38" s="20"/>
      <c r="AB38" s="20"/>
      <c r="AC38" s="20"/>
      <c r="AD38" s="20"/>
      <c r="AE38" s="20"/>
      <c r="AF38" s="20"/>
      <c r="AG38" s="20"/>
      <c r="AH38" s="20"/>
      <c r="AM38" s="20"/>
    </row>
    <row r="39" spans="1:16" ht="13.5" thickBot="1">
      <c r="A39" s="878"/>
      <c r="B39" s="100">
        <v>1.00000000001</v>
      </c>
      <c r="C39" s="28" t="e">
        <f>DITP('Coeficientes Latero-Direcionais'!$O$7,'Coeficientes Latero-Direcionais'!$O$8,'ESDU A06.01.01'!B28:P33)</f>
        <v>#NAME?</v>
      </c>
      <c r="D39" s="741"/>
      <c r="E39" s="742"/>
      <c r="F39" s="742"/>
      <c r="G39" s="742"/>
      <c r="H39" s="742"/>
      <c r="I39" s="742"/>
      <c r="J39" s="742"/>
      <c r="K39" s="742"/>
      <c r="L39" s="742"/>
      <c r="M39" s="742"/>
      <c r="N39" s="742"/>
      <c r="O39" s="742"/>
      <c r="P39" s="743"/>
    </row>
  </sheetData>
  <sheetProtection/>
  <mergeCells count="16">
    <mergeCell ref="A34:C34"/>
    <mergeCell ref="A35:A39"/>
    <mergeCell ref="D34:P39"/>
    <mergeCell ref="A1:P1"/>
    <mergeCell ref="A20:A25"/>
    <mergeCell ref="A26:P26"/>
    <mergeCell ref="B27:P27"/>
    <mergeCell ref="A28:A33"/>
    <mergeCell ref="B11:P11"/>
    <mergeCell ref="A12:A17"/>
    <mergeCell ref="A18:P18"/>
    <mergeCell ref="B19:P19"/>
    <mergeCell ref="B3:P3"/>
    <mergeCell ref="A2:P2"/>
    <mergeCell ref="A4:A9"/>
    <mergeCell ref="A10:P10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Plan30">
    <tabColor indexed="17"/>
  </sheetPr>
  <dimension ref="A1:AK59"/>
  <sheetViews>
    <sheetView zoomScale="85" zoomScaleNormal="85" zoomScalePageLayoutView="0" workbookViewId="0" topLeftCell="A5">
      <selection activeCell="C56" sqref="C56"/>
    </sheetView>
  </sheetViews>
  <sheetFormatPr defaultColWidth="9.140625" defaultRowHeight="12.75"/>
  <cols>
    <col min="1" max="1" width="11.00390625" style="72" customWidth="1"/>
    <col min="2" max="2" width="10.00390625" style="72" customWidth="1"/>
    <col min="3" max="3" width="10.28125" style="72" customWidth="1"/>
    <col min="4" max="16384" width="9.140625" style="72" customWidth="1"/>
  </cols>
  <sheetData>
    <row r="1" spans="1:16" ht="13.5" thickBot="1">
      <c r="A1" s="723" t="s">
        <v>548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725"/>
    </row>
    <row r="2" spans="1:16" ht="13.5" thickBot="1">
      <c r="A2" s="777" t="s">
        <v>550</v>
      </c>
      <c r="B2" s="778"/>
      <c r="C2" s="778"/>
      <c r="D2" s="778"/>
      <c r="E2" s="778"/>
      <c r="F2" s="778"/>
      <c r="G2" s="778"/>
      <c r="H2" s="778"/>
      <c r="I2" s="778"/>
      <c r="J2" s="778"/>
      <c r="K2" s="780"/>
      <c r="L2" s="821"/>
      <c r="M2" s="822"/>
      <c r="N2" s="822"/>
      <c r="O2" s="822"/>
      <c r="P2" s="823"/>
    </row>
    <row r="3" spans="1:16" ht="13.5" thickBot="1">
      <c r="A3" s="131"/>
      <c r="B3" s="830" t="s">
        <v>549</v>
      </c>
      <c r="C3" s="831"/>
      <c r="D3" s="831"/>
      <c r="E3" s="831"/>
      <c r="F3" s="831"/>
      <c r="G3" s="831"/>
      <c r="H3" s="831"/>
      <c r="I3" s="831"/>
      <c r="J3" s="831"/>
      <c r="K3" s="832"/>
      <c r="L3" s="738"/>
      <c r="M3" s="739"/>
      <c r="N3" s="739"/>
      <c r="O3" s="739"/>
      <c r="P3" s="740"/>
    </row>
    <row r="4" spans="1:16" ht="12.75" customHeight="1">
      <c r="A4" s="827" t="s">
        <v>324</v>
      </c>
      <c r="B4" s="34"/>
      <c r="C4" s="30">
        <v>1</v>
      </c>
      <c r="D4" s="30">
        <v>2</v>
      </c>
      <c r="E4" s="30">
        <v>3</v>
      </c>
      <c r="F4" s="30">
        <v>4</v>
      </c>
      <c r="G4" s="30">
        <v>5</v>
      </c>
      <c r="H4" s="30">
        <v>6</v>
      </c>
      <c r="I4" s="30">
        <v>7</v>
      </c>
      <c r="J4" s="30">
        <v>8</v>
      </c>
      <c r="K4" s="31">
        <v>10</v>
      </c>
      <c r="L4" s="738"/>
      <c r="M4" s="739"/>
      <c r="N4" s="739"/>
      <c r="O4" s="739"/>
      <c r="P4" s="740"/>
    </row>
    <row r="5" spans="1:16" ht="12.75">
      <c r="A5" s="828"/>
      <c r="B5" s="35">
        <v>-20</v>
      </c>
      <c r="C5" s="239">
        <v>0.0026847</v>
      </c>
      <c r="D5" s="239">
        <v>0.0045405</v>
      </c>
      <c r="E5" s="239">
        <v>0.0061802</v>
      </c>
      <c r="F5" s="239">
        <v>0.0073694</v>
      </c>
      <c r="G5" s="239">
        <v>0.0083243</v>
      </c>
      <c r="H5" s="239">
        <v>0.008973</v>
      </c>
      <c r="I5" s="239">
        <v>0.0095676</v>
      </c>
      <c r="J5" s="239">
        <v>0.010126</v>
      </c>
      <c r="K5" s="237">
        <v>0.011099</v>
      </c>
      <c r="L5" s="738"/>
      <c r="M5" s="739"/>
      <c r="N5" s="739"/>
      <c r="O5" s="739"/>
      <c r="P5" s="740"/>
    </row>
    <row r="6" spans="1:16" ht="12.75">
      <c r="A6" s="828"/>
      <c r="B6" s="35">
        <v>-10</v>
      </c>
      <c r="C6" s="239">
        <v>0.0027387</v>
      </c>
      <c r="D6" s="239">
        <v>0.0046847</v>
      </c>
      <c r="E6" s="239">
        <v>0.0063604</v>
      </c>
      <c r="F6" s="239">
        <v>0.0075315</v>
      </c>
      <c r="G6" s="239">
        <v>0.0085405</v>
      </c>
      <c r="H6" s="239">
        <v>0.0093153</v>
      </c>
      <c r="I6" s="239">
        <v>0.0099279</v>
      </c>
      <c r="J6" s="239">
        <v>0.010541</v>
      </c>
      <c r="K6" s="237">
        <v>0.01155</v>
      </c>
      <c r="L6" s="738"/>
      <c r="M6" s="739"/>
      <c r="N6" s="739"/>
      <c r="O6" s="739"/>
      <c r="P6" s="740"/>
    </row>
    <row r="7" spans="1:16" ht="12.75">
      <c r="A7" s="828"/>
      <c r="B7" s="35">
        <v>0</v>
      </c>
      <c r="C7" s="239">
        <v>0.0027928</v>
      </c>
      <c r="D7" s="239">
        <v>0.0048108</v>
      </c>
      <c r="E7" s="239">
        <v>0.0065045</v>
      </c>
      <c r="F7" s="239">
        <v>0.0076937</v>
      </c>
      <c r="G7" s="239">
        <v>0.0087387</v>
      </c>
      <c r="H7" s="239">
        <v>0.0096036</v>
      </c>
      <c r="I7" s="239">
        <v>0.010234</v>
      </c>
      <c r="J7" s="239">
        <v>0.010901</v>
      </c>
      <c r="K7" s="237">
        <v>0.011946</v>
      </c>
      <c r="L7" s="738"/>
      <c r="M7" s="739"/>
      <c r="N7" s="739"/>
      <c r="O7" s="739"/>
      <c r="P7" s="740"/>
    </row>
    <row r="8" spans="1:16" ht="12.75">
      <c r="A8" s="828"/>
      <c r="B8" s="35">
        <v>10</v>
      </c>
      <c r="C8" s="239">
        <v>0.0028108</v>
      </c>
      <c r="D8" s="239">
        <v>0.0049189</v>
      </c>
      <c r="E8" s="239">
        <v>0.0065586</v>
      </c>
      <c r="F8" s="239">
        <v>0.0078018</v>
      </c>
      <c r="G8" s="239">
        <v>0.0088288</v>
      </c>
      <c r="H8" s="239">
        <v>0.0097658</v>
      </c>
      <c r="I8" s="239">
        <v>0.01045</v>
      </c>
      <c r="J8" s="239">
        <v>0.011153</v>
      </c>
      <c r="K8" s="237">
        <v>0.01218</v>
      </c>
      <c r="L8" s="738"/>
      <c r="M8" s="739"/>
      <c r="N8" s="739"/>
      <c r="O8" s="739"/>
      <c r="P8" s="740"/>
    </row>
    <row r="9" spans="1:16" ht="12.75">
      <c r="A9" s="828"/>
      <c r="B9" s="35">
        <v>20</v>
      </c>
      <c r="C9" s="239">
        <v>0.0028108</v>
      </c>
      <c r="D9" s="239">
        <v>0.005009</v>
      </c>
      <c r="E9" s="239">
        <v>0.0066126</v>
      </c>
      <c r="F9" s="239">
        <v>0.0078919</v>
      </c>
      <c r="G9" s="239">
        <v>0.0089009</v>
      </c>
      <c r="H9" s="239">
        <v>0.0098198</v>
      </c>
      <c r="I9" s="239">
        <v>0.010523</v>
      </c>
      <c r="J9" s="239">
        <v>0.011261</v>
      </c>
      <c r="K9" s="237">
        <v>0.012306</v>
      </c>
      <c r="L9" s="738"/>
      <c r="M9" s="739"/>
      <c r="N9" s="739"/>
      <c r="O9" s="739"/>
      <c r="P9" s="740"/>
    </row>
    <row r="10" spans="1:32" ht="12.75">
      <c r="A10" s="828"/>
      <c r="B10" s="35">
        <v>30</v>
      </c>
      <c r="C10" s="239">
        <v>0.0028288</v>
      </c>
      <c r="D10" s="239">
        <v>0.0050811</v>
      </c>
      <c r="E10" s="239">
        <v>0.0066306</v>
      </c>
      <c r="F10" s="239">
        <v>0.0078378</v>
      </c>
      <c r="G10" s="239">
        <v>0.0088108</v>
      </c>
      <c r="H10" s="239">
        <v>0.0096937</v>
      </c>
      <c r="I10" s="239">
        <v>0.010342</v>
      </c>
      <c r="J10" s="239">
        <v>0.011063</v>
      </c>
      <c r="K10" s="237">
        <v>0.012054</v>
      </c>
      <c r="L10" s="738"/>
      <c r="M10" s="739"/>
      <c r="N10" s="739"/>
      <c r="O10" s="739"/>
      <c r="P10" s="740"/>
      <c r="T10" s="73"/>
      <c r="U10" s="73"/>
      <c r="V10" s="73"/>
      <c r="W10" s="73"/>
      <c r="X10" s="73"/>
      <c r="Y10" s="73"/>
      <c r="Z10" s="73"/>
      <c r="AA10" s="73"/>
      <c r="AF10" s="73"/>
    </row>
    <row r="11" spans="1:16" ht="12.75">
      <c r="A11" s="828"/>
      <c r="B11" s="35">
        <v>40</v>
      </c>
      <c r="C11" s="239">
        <v>0.0028108</v>
      </c>
      <c r="D11" s="239">
        <v>0.0051171</v>
      </c>
      <c r="E11" s="239">
        <v>0.0065405</v>
      </c>
      <c r="F11" s="239">
        <v>0.0076216</v>
      </c>
      <c r="G11" s="239">
        <v>0.0085045</v>
      </c>
      <c r="H11" s="239">
        <v>0.0092613</v>
      </c>
      <c r="I11" s="239">
        <v>0.0098378</v>
      </c>
      <c r="J11" s="239">
        <v>0.010523</v>
      </c>
      <c r="K11" s="237">
        <v>0.011405</v>
      </c>
      <c r="L11" s="738"/>
      <c r="M11" s="739"/>
      <c r="N11" s="739"/>
      <c r="O11" s="739"/>
      <c r="P11" s="740"/>
    </row>
    <row r="12" spans="1:16" ht="12.75" customHeight="1">
      <c r="A12" s="828"/>
      <c r="B12" s="35">
        <v>50</v>
      </c>
      <c r="C12" s="239">
        <v>0.0027748</v>
      </c>
      <c r="D12" s="239">
        <v>0.004955</v>
      </c>
      <c r="E12" s="239">
        <v>0.0061622</v>
      </c>
      <c r="F12" s="239">
        <v>0.0071712</v>
      </c>
      <c r="G12" s="239">
        <v>0.0079099</v>
      </c>
      <c r="H12" s="239">
        <v>0.0085405</v>
      </c>
      <c r="I12" s="239">
        <v>0.0089189</v>
      </c>
      <c r="J12" s="239">
        <v>0.0094775</v>
      </c>
      <c r="K12" s="237">
        <v>0.010288</v>
      </c>
      <c r="L12" s="738"/>
      <c r="M12" s="739"/>
      <c r="N12" s="739"/>
      <c r="O12" s="739"/>
      <c r="P12" s="740"/>
    </row>
    <row r="13" spans="1:16" ht="12.75">
      <c r="A13" s="828"/>
      <c r="B13" s="35">
        <v>60</v>
      </c>
      <c r="C13" s="239">
        <v>0.0025766</v>
      </c>
      <c r="D13" s="239">
        <v>0.0045225</v>
      </c>
      <c r="E13" s="239">
        <v>0.0054955</v>
      </c>
      <c r="F13" s="239">
        <v>0.0063243</v>
      </c>
      <c r="G13" s="239">
        <v>0.0067748</v>
      </c>
      <c r="H13" s="239">
        <v>0.0071532</v>
      </c>
      <c r="I13" s="239">
        <v>0.0075856</v>
      </c>
      <c r="J13" s="239">
        <v>0.0079279</v>
      </c>
      <c r="K13" s="237">
        <v>0.0087027</v>
      </c>
      <c r="L13" s="738"/>
      <c r="M13" s="739"/>
      <c r="N13" s="739"/>
      <c r="O13" s="739"/>
      <c r="P13" s="740"/>
    </row>
    <row r="14" spans="1:16" ht="13.5" thickBot="1">
      <c r="A14" s="829"/>
      <c r="B14" s="36">
        <v>70</v>
      </c>
      <c r="C14" s="267">
        <v>0.002036</v>
      </c>
      <c r="D14" s="267">
        <v>0.0035315</v>
      </c>
      <c r="E14" s="267">
        <v>0.0043063</v>
      </c>
      <c r="F14" s="267">
        <v>0.0049009</v>
      </c>
      <c r="G14" s="267">
        <v>0.0051532</v>
      </c>
      <c r="H14" s="267">
        <v>0.0053333</v>
      </c>
      <c r="I14" s="267">
        <v>0.0056757</v>
      </c>
      <c r="J14" s="267">
        <v>0.0058559</v>
      </c>
      <c r="K14" s="238">
        <v>0.0065586</v>
      </c>
      <c r="L14" s="738"/>
      <c r="M14" s="739"/>
      <c r="N14" s="739"/>
      <c r="O14" s="739"/>
      <c r="P14" s="740"/>
    </row>
    <row r="15" spans="1:16" ht="13.5" thickBot="1">
      <c r="A15" s="777" t="s">
        <v>551</v>
      </c>
      <c r="B15" s="778"/>
      <c r="C15" s="778"/>
      <c r="D15" s="778"/>
      <c r="E15" s="778"/>
      <c r="F15" s="778"/>
      <c r="G15" s="778"/>
      <c r="H15" s="778"/>
      <c r="I15" s="778"/>
      <c r="J15" s="778"/>
      <c r="K15" s="780"/>
      <c r="L15" s="738"/>
      <c r="M15" s="739"/>
      <c r="N15" s="739"/>
      <c r="O15" s="739"/>
      <c r="P15" s="740"/>
    </row>
    <row r="16" spans="1:16" ht="13.5" thickBot="1">
      <c r="A16" s="131"/>
      <c r="B16" s="830" t="s">
        <v>549</v>
      </c>
      <c r="C16" s="831"/>
      <c r="D16" s="831"/>
      <c r="E16" s="831"/>
      <c r="F16" s="831"/>
      <c r="G16" s="831"/>
      <c r="H16" s="831"/>
      <c r="I16" s="831"/>
      <c r="J16" s="831"/>
      <c r="K16" s="832"/>
      <c r="L16" s="738"/>
      <c r="M16" s="739"/>
      <c r="N16" s="739"/>
      <c r="O16" s="739"/>
      <c r="P16" s="740"/>
    </row>
    <row r="17" spans="1:37" ht="12.75">
      <c r="A17" s="827" t="s">
        <v>324</v>
      </c>
      <c r="B17" s="34"/>
      <c r="C17" s="30">
        <v>1</v>
      </c>
      <c r="D17" s="30">
        <v>2</v>
      </c>
      <c r="E17" s="30">
        <v>3</v>
      </c>
      <c r="F17" s="30">
        <v>4</v>
      </c>
      <c r="G17" s="30">
        <v>5</v>
      </c>
      <c r="H17" s="30">
        <v>6</v>
      </c>
      <c r="I17" s="30">
        <v>7</v>
      </c>
      <c r="J17" s="30">
        <v>8</v>
      </c>
      <c r="K17" s="31">
        <v>10</v>
      </c>
      <c r="L17" s="738"/>
      <c r="M17" s="739"/>
      <c r="N17" s="739"/>
      <c r="O17" s="739"/>
      <c r="P17" s="740"/>
      <c r="AA17" s="20"/>
      <c r="AB17" s="20"/>
      <c r="AC17" s="20"/>
      <c r="AD17" s="132"/>
      <c r="AE17" s="20"/>
      <c r="AF17" s="20"/>
      <c r="AK17" s="20"/>
    </row>
    <row r="18" spans="1:37" ht="12.75">
      <c r="A18" s="828"/>
      <c r="B18" s="35">
        <v>-20</v>
      </c>
      <c r="C18" s="33">
        <v>0.0028317</v>
      </c>
      <c r="D18" s="239">
        <v>0.0053861</v>
      </c>
      <c r="E18" s="239">
        <v>0.0072079</v>
      </c>
      <c r="F18" s="239">
        <v>0.0088911</v>
      </c>
      <c r="G18" s="239">
        <v>0.0099802</v>
      </c>
      <c r="H18" s="239">
        <v>0.01097</v>
      </c>
      <c r="I18" s="239">
        <v>0.011762</v>
      </c>
      <c r="J18" s="239">
        <v>0.012535</v>
      </c>
      <c r="K18" s="239">
        <v>0.013782</v>
      </c>
      <c r="L18" s="738"/>
      <c r="M18" s="739"/>
      <c r="N18" s="739"/>
      <c r="O18" s="739"/>
      <c r="P18" s="740"/>
      <c r="AA18" s="73"/>
      <c r="AB18" s="73"/>
      <c r="AC18" s="73"/>
      <c r="AD18" s="73"/>
      <c r="AE18" s="73"/>
      <c r="AF18" s="73"/>
      <c r="AK18" s="73"/>
    </row>
    <row r="19" spans="1:16" ht="12.75">
      <c r="A19" s="828"/>
      <c r="B19" s="35">
        <v>-10</v>
      </c>
      <c r="C19" s="239">
        <v>0.0028515</v>
      </c>
      <c r="D19" s="239">
        <v>0.0053861</v>
      </c>
      <c r="E19" s="239">
        <v>0.0073267</v>
      </c>
      <c r="F19" s="239">
        <v>0.0090693</v>
      </c>
      <c r="G19" s="239">
        <v>0.010238</v>
      </c>
      <c r="H19" s="239">
        <v>0.011287</v>
      </c>
      <c r="I19" s="239">
        <v>0.012139</v>
      </c>
      <c r="J19" s="239">
        <v>0.01303</v>
      </c>
      <c r="K19" s="239">
        <v>0.014277</v>
      </c>
      <c r="L19" s="738"/>
      <c r="M19" s="739"/>
      <c r="N19" s="739"/>
      <c r="O19" s="739"/>
      <c r="P19" s="740"/>
    </row>
    <row r="20" spans="1:16" ht="12.75" customHeight="1">
      <c r="A20" s="828"/>
      <c r="B20" s="35">
        <v>0</v>
      </c>
      <c r="C20" s="239">
        <v>0.0028911</v>
      </c>
      <c r="D20" s="239">
        <v>0.0053861</v>
      </c>
      <c r="E20" s="239">
        <v>0.0074257</v>
      </c>
      <c r="F20" s="239">
        <v>0.0091881</v>
      </c>
      <c r="G20" s="239">
        <v>0.010495</v>
      </c>
      <c r="H20" s="239">
        <v>0.011545</v>
      </c>
      <c r="I20" s="239">
        <v>0.012475</v>
      </c>
      <c r="J20" s="239">
        <v>0.013327</v>
      </c>
      <c r="K20" s="239">
        <v>0.014535</v>
      </c>
      <c r="L20" s="738"/>
      <c r="M20" s="739"/>
      <c r="N20" s="739"/>
      <c r="O20" s="739"/>
      <c r="P20" s="740"/>
    </row>
    <row r="21" spans="1:16" ht="12.75">
      <c r="A21" s="828"/>
      <c r="B21" s="35">
        <v>10</v>
      </c>
      <c r="C21" s="239">
        <v>0.0029109</v>
      </c>
      <c r="D21" s="239">
        <v>0.0053861</v>
      </c>
      <c r="E21" s="239">
        <v>0.0074851</v>
      </c>
      <c r="F21" s="239">
        <v>0.0092871</v>
      </c>
      <c r="G21" s="239">
        <v>0.010594</v>
      </c>
      <c r="H21" s="239">
        <v>0.011663</v>
      </c>
      <c r="I21" s="239">
        <v>0.012574</v>
      </c>
      <c r="J21" s="239">
        <v>0.013446</v>
      </c>
      <c r="K21" s="239">
        <v>0.014574</v>
      </c>
      <c r="L21" s="738"/>
      <c r="M21" s="739"/>
      <c r="N21" s="739"/>
      <c r="O21" s="739"/>
      <c r="P21" s="740"/>
    </row>
    <row r="22" spans="1:16" ht="12.75">
      <c r="A22" s="828"/>
      <c r="B22" s="35">
        <v>20</v>
      </c>
      <c r="C22" s="239">
        <v>0.0029307</v>
      </c>
      <c r="D22" s="239">
        <v>0.0053663</v>
      </c>
      <c r="E22" s="239">
        <v>0.0074455</v>
      </c>
      <c r="F22" s="239">
        <v>0.0092673</v>
      </c>
      <c r="G22" s="239">
        <v>0.010535</v>
      </c>
      <c r="H22" s="239">
        <v>0.011604</v>
      </c>
      <c r="I22" s="239">
        <v>0.012436</v>
      </c>
      <c r="J22" s="239">
        <v>0.013307</v>
      </c>
      <c r="K22" s="239">
        <v>0.014416</v>
      </c>
      <c r="L22" s="738"/>
      <c r="M22" s="739"/>
      <c r="N22" s="739"/>
      <c r="O22" s="739"/>
      <c r="P22" s="740"/>
    </row>
    <row r="23" spans="1:16" ht="12.75">
      <c r="A23" s="828"/>
      <c r="B23" s="35">
        <v>30</v>
      </c>
      <c r="C23" s="239">
        <v>0.0029307</v>
      </c>
      <c r="D23" s="239">
        <v>0.0053465</v>
      </c>
      <c r="E23" s="239">
        <v>0.0073267</v>
      </c>
      <c r="F23" s="239">
        <v>0.0091089</v>
      </c>
      <c r="G23" s="239">
        <v>0.010337</v>
      </c>
      <c r="H23" s="239">
        <v>0.011347</v>
      </c>
      <c r="I23" s="239">
        <v>0.012079</v>
      </c>
      <c r="J23" s="239">
        <v>0.012931</v>
      </c>
      <c r="K23" s="239">
        <v>0.01398</v>
      </c>
      <c r="L23" s="738"/>
      <c r="M23" s="739"/>
      <c r="N23" s="739"/>
      <c r="O23" s="739"/>
      <c r="P23" s="740"/>
    </row>
    <row r="24" spans="1:16" ht="12.75">
      <c r="A24" s="828"/>
      <c r="B24" s="35">
        <v>40</v>
      </c>
      <c r="C24" s="239">
        <v>0.0029307</v>
      </c>
      <c r="D24" s="239">
        <v>0.0052871</v>
      </c>
      <c r="E24" s="239">
        <v>0.0071485</v>
      </c>
      <c r="F24" s="239">
        <v>0.0087921</v>
      </c>
      <c r="G24" s="239">
        <v>0.0098614</v>
      </c>
      <c r="H24" s="239">
        <v>0.010752</v>
      </c>
      <c r="I24" s="239">
        <v>0.011446</v>
      </c>
      <c r="J24" s="239">
        <v>0.012178</v>
      </c>
      <c r="K24" s="239">
        <v>0.01305</v>
      </c>
      <c r="L24" s="738"/>
      <c r="M24" s="739"/>
      <c r="N24" s="739"/>
      <c r="O24" s="739"/>
      <c r="P24" s="740"/>
    </row>
    <row r="25" spans="1:37" ht="12.75">
      <c r="A25" s="828"/>
      <c r="B25" s="35">
        <v>50</v>
      </c>
      <c r="C25" s="239">
        <v>0.0028911</v>
      </c>
      <c r="D25" s="239">
        <v>0.0051881</v>
      </c>
      <c r="E25" s="239">
        <v>0.0068713</v>
      </c>
      <c r="F25" s="239">
        <v>0.008198</v>
      </c>
      <c r="G25" s="239">
        <v>0.0090891</v>
      </c>
      <c r="H25" s="239">
        <v>0.0098416</v>
      </c>
      <c r="I25" s="239">
        <v>0.010455</v>
      </c>
      <c r="J25" s="239">
        <v>0.01099</v>
      </c>
      <c r="K25" s="239">
        <v>0.011683</v>
      </c>
      <c r="L25" s="738"/>
      <c r="M25" s="739"/>
      <c r="N25" s="739"/>
      <c r="O25" s="739"/>
      <c r="P25" s="74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K25" s="20"/>
    </row>
    <row r="26" spans="1:37" ht="12.75">
      <c r="A26" s="828"/>
      <c r="B26" s="35">
        <v>60</v>
      </c>
      <c r="C26" s="239">
        <v>0.0027921</v>
      </c>
      <c r="D26" s="239">
        <v>0.0049505</v>
      </c>
      <c r="E26" s="239">
        <v>0.0063366</v>
      </c>
      <c r="F26" s="239">
        <v>0.0072277</v>
      </c>
      <c r="G26" s="239">
        <v>0.0079604</v>
      </c>
      <c r="H26" s="239">
        <v>0.0085149</v>
      </c>
      <c r="I26" s="239">
        <v>0.0088317</v>
      </c>
      <c r="J26" s="239">
        <v>0.0092673</v>
      </c>
      <c r="K26" s="239">
        <v>0.0098218</v>
      </c>
      <c r="L26" s="738"/>
      <c r="M26" s="739"/>
      <c r="N26" s="739"/>
      <c r="O26" s="739"/>
      <c r="P26" s="740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K26" s="73"/>
    </row>
    <row r="27" spans="1:16" ht="13.5" thickBot="1">
      <c r="A27" s="829"/>
      <c r="B27" s="36">
        <v>70</v>
      </c>
      <c r="C27" s="239">
        <v>0.002396</v>
      </c>
      <c r="D27" s="239">
        <v>0.0042178</v>
      </c>
      <c r="E27" s="239">
        <v>0.0051881</v>
      </c>
      <c r="F27" s="239">
        <v>0.0057228</v>
      </c>
      <c r="G27" s="239">
        <v>0.0061782</v>
      </c>
      <c r="H27" s="239">
        <v>0.0064356</v>
      </c>
      <c r="I27" s="239">
        <v>0.0066931</v>
      </c>
      <c r="J27" s="239">
        <v>0.0069307</v>
      </c>
      <c r="K27" s="239">
        <v>0.0073663</v>
      </c>
      <c r="L27" s="738"/>
      <c r="M27" s="739"/>
      <c r="N27" s="739"/>
      <c r="O27" s="739"/>
      <c r="P27" s="740"/>
    </row>
    <row r="28" spans="1:16" ht="12.75" customHeight="1" thickBot="1">
      <c r="A28" s="777" t="s">
        <v>552</v>
      </c>
      <c r="B28" s="778"/>
      <c r="C28" s="778"/>
      <c r="D28" s="778"/>
      <c r="E28" s="778"/>
      <c r="F28" s="778"/>
      <c r="G28" s="778"/>
      <c r="H28" s="778"/>
      <c r="I28" s="778"/>
      <c r="J28" s="778"/>
      <c r="K28" s="780"/>
      <c r="L28" s="738"/>
      <c r="M28" s="739"/>
      <c r="N28" s="739"/>
      <c r="O28" s="739"/>
      <c r="P28" s="740"/>
    </row>
    <row r="29" spans="1:16" ht="13.5" thickBot="1">
      <c r="A29" s="131"/>
      <c r="B29" s="830" t="s">
        <v>549</v>
      </c>
      <c r="C29" s="831"/>
      <c r="D29" s="831"/>
      <c r="E29" s="831"/>
      <c r="F29" s="831"/>
      <c r="G29" s="831"/>
      <c r="H29" s="831"/>
      <c r="I29" s="831"/>
      <c r="J29" s="831"/>
      <c r="K29" s="832"/>
      <c r="L29" s="738"/>
      <c r="M29" s="739"/>
      <c r="N29" s="739"/>
      <c r="O29" s="739"/>
      <c r="P29" s="740"/>
    </row>
    <row r="30" spans="1:16" ht="12.75">
      <c r="A30" s="827" t="s">
        <v>324</v>
      </c>
      <c r="B30" s="34"/>
      <c r="C30" s="30">
        <v>1</v>
      </c>
      <c r="D30" s="30">
        <v>2</v>
      </c>
      <c r="E30" s="30">
        <v>3</v>
      </c>
      <c r="F30" s="30">
        <v>4</v>
      </c>
      <c r="G30" s="30">
        <v>5</v>
      </c>
      <c r="H30" s="30">
        <v>6</v>
      </c>
      <c r="I30" s="30">
        <v>7</v>
      </c>
      <c r="J30" s="30">
        <v>8</v>
      </c>
      <c r="K30" s="31">
        <v>10</v>
      </c>
      <c r="L30" s="738"/>
      <c r="M30" s="739"/>
      <c r="N30" s="739"/>
      <c r="O30" s="739"/>
      <c r="P30" s="740"/>
    </row>
    <row r="31" spans="1:16" ht="12.75">
      <c r="A31" s="828"/>
      <c r="B31" s="35">
        <v>-20</v>
      </c>
      <c r="C31" s="239">
        <v>0.0028972</v>
      </c>
      <c r="D31" s="239">
        <v>0.0054206</v>
      </c>
      <c r="E31" s="239">
        <v>0.0074579</v>
      </c>
      <c r="F31" s="239">
        <v>0.009028</v>
      </c>
      <c r="G31" s="239">
        <v>0.010093</v>
      </c>
      <c r="H31" s="239">
        <v>0.011402</v>
      </c>
      <c r="I31" s="239">
        <v>0.012411</v>
      </c>
      <c r="J31" s="239">
        <v>0.013252</v>
      </c>
      <c r="K31" s="239">
        <v>0.014692</v>
      </c>
      <c r="L31" s="738"/>
      <c r="M31" s="739"/>
      <c r="N31" s="739"/>
      <c r="O31" s="739"/>
      <c r="P31" s="740"/>
    </row>
    <row r="32" spans="1:16" ht="12.75">
      <c r="A32" s="828"/>
      <c r="B32" s="35">
        <v>-10</v>
      </c>
      <c r="C32" s="239">
        <v>0.0029159</v>
      </c>
      <c r="D32" s="239">
        <v>0.0054393</v>
      </c>
      <c r="E32" s="239">
        <v>0.0075701</v>
      </c>
      <c r="F32" s="239">
        <v>0.0092523</v>
      </c>
      <c r="G32" s="239">
        <v>0.010393</v>
      </c>
      <c r="H32" s="239">
        <v>0.011664</v>
      </c>
      <c r="I32" s="239">
        <v>0.012729</v>
      </c>
      <c r="J32" s="239">
        <v>0.013626</v>
      </c>
      <c r="K32" s="239">
        <v>0.015121</v>
      </c>
      <c r="L32" s="738"/>
      <c r="M32" s="739"/>
      <c r="N32" s="739"/>
      <c r="O32" s="739"/>
      <c r="P32" s="740"/>
    </row>
    <row r="33" spans="1:37" ht="12.75">
      <c r="A33" s="828"/>
      <c r="B33" s="35">
        <v>0</v>
      </c>
      <c r="C33" s="239">
        <v>0.0029346</v>
      </c>
      <c r="D33" s="239">
        <v>0.0054766</v>
      </c>
      <c r="E33" s="239">
        <v>0.0076822</v>
      </c>
      <c r="F33" s="239">
        <v>0.0094393</v>
      </c>
      <c r="G33" s="239">
        <v>0.010636</v>
      </c>
      <c r="H33" s="239">
        <v>0.011907</v>
      </c>
      <c r="I33" s="239">
        <v>0.012991</v>
      </c>
      <c r="J33" s="239">
        <v>0.013907</v>
      </c>
      <c r="K33" s="239">
        <v>0.015383</v>
      </c>
      <c r="L33" s="738"/>
      <c r="M33" s="739"/>
      <c r="N33" s="739"/>
      <c r="O33" s="739"/>
      <c r="P33" s="74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K33" s="20"/>
    </row>
    <row r="34" spans="1:37" ht="12.75">
      <c r="A34" s="828"/>
      <c r="B34" s="35">
        <v>10</v>
      </c>
      <c r="C34" s="239">
        <v>0.0029533</v>
      </c>
      <c r="D34" s="239">
        <v>0.0054766</v>
      </c>
      <c r="E34" s="239">
        <v>0.0077009</v>
      </c>
      <c r="F34" s="239">
        <v>0.0095327</v>
      </c>
      <c r="G34" s="239">
        <v>0.010692</v>
      </c>
      <c r="H34" s="239">
        <v>0.011963</v>
      </c>
      <c r="I34" s="239">
        <v>0.013009</v>
      </c>
      <c r="J34" s="239">
        <v>0.013944</v>
      </c>
      <c r="K34" s="239">
        <v>0.015364</v>
      </c>
      <c r="L34" s="738"/>
      <c r="M34" s="739"/>
      <c r="N34" s="739"/>
      <c r="O34" s="739"/>
      <c r="P34" s="740"/>
      <c r="Y34" s="33"/>
      <c r="Z34" s="33"/>
      <c r="AA34" s="33"/>
      <c r="AB34" s="33"/>
      <c r="AC34" s="20"/>
      <c r="AD34" s="20"/>
      <c r="AE34" s="20"/>
      <c r="AF34" s="20"/>
      <c r="AK34" s="20"/>
    </row>
    <row r="35" spans="1:37" ht="13.5" customHeight="1">
      <c r="A35" s="828"/>
      <c r="B35" s="35">
        <v>20</v>
      </c>
      <c r="C35" s="239">
        <v>0.0029533</v>
      </c>
      <c r="D35" s="239">
        <v>0.0054579</v>
      </c>
      <c r="E35" s="239">
        <v>0.0076636</v>
      </c>
      <c r="F35" s="239">
        <v>0.0094766</v>
      </c>
      <c r="G35" s="239">
        <v>0.010636</v>
      </c>
      <c r="H35" s="239">
        <v>0.011813</v>
      </c>
      <c r="I35" s="239">
        <v>0.012841</v>
      </c>
      <c r="J35" s="239">
        <v>0.013813</v>
      </c>
      <c r="K35" s="239">
        <v>0.015121</v>
      </c>
      <c r="L35" s="738"/>
      <c r="M35" s="739"/>
      <c r="N35" s="739"/>
      <c r="O35" s="739"/>
      <c r="P35" s="740"/>
      <c r="Y35" s="20"/>
      <c r="Z35" s="20"/>
      <c r="AA35" s="20"/>
      <c r="AB35" s="20"/>
      <c r="AC35" s="20"/>
      <c r="AD35" s="20"/>
      <c r="AE35" s="20"/>
      <c r="AF35" s="20"/>
      <c r="AK35" s="20"/>
    </row>
    <row r="36" spans="1:37" ht="12.75">
      <c r="A36" s="828"/>
      <c r="B36" s="35">
        <v>30</v>
      </c>
      <c r="C36" s="239">
        <v>0.0029533</v>
      </c>
      <c r="D36" s="239">
        <v>0.0054019</v>
      </c>
      <c r="E36" s="239">
        <v>0.0075514</v>
      </c>
      <c r="F36" s="239">
        <v>0.0092897</v>
      </c>
      <c r="G36" s="239">
        <v>0.010411</v>
      </c>
      <c r="H36" s="239">
        <v>0.011458</v>
      </c>
      <c r="I36" s="239">
        <v>0.012523</v>
      </c>
      <c r="J36" s="239">
        <v>0.013383</v>
      </c>
      <c r="K36" s="239">
        <v>0.014598</v>
      </c>
      <c r="L36" s="738"/>
      <c r="M36" s="739"/>
      <c r="N36" s="739"/>
      <c r="O36" s="739"/>
      <c r="P36" s="740"/>
      <c r="Y36" s="20"/>
      <c r="Z36" s="20"/>
      <c r="AA36" s="20"/>
      <c r="AB36" s="20"/>
      <c r="AC36" s="20"/>
      <c r="AD36" s="20"/>
      <c r="AE36" s="20"/>
      <c r="AF36" s="20"/>
      <c r="AK36" s="20"/>
    </row>
    <row r="37" spans="1:37" ht="12.75">
      <c r="A37" s="828"/>
      <c r="B37" s="35">
        <v>40</v>
      </c>
      <c r="C37" s="239">
        <v>0.0028972</v>
      </c>
      <c r="D37" s="239">
        <v>0.0053271</v>
      </c>
      <c r="E37" s="239">
        <v>0.0073458</v>
      </c>
      <c r="F37" s="239">
        <v>0.0089159</v>
      </c>
      <c r="G37" s="239">
        <v>0.0099626</v>
      </c>
      <c r="H37" s="239">
        <v>0.010879</v>
      </c>
      <c r="I37" s="239">
        <v>0.011757</v>
      </c>
      <c r="J37" s="239">
        <v>0.012505</v>
      </c>
      <c r="K37" s="239">
        <v>0.013626</v>
      </c>
      <c r="L37" s="738"/>
      <c r="M37" s="739"/>
      <c r="N37" s="739"/>
      <c r="O37" s="739"/>
      <c r="P37" s="740"/>
      <c r="Y37" s="20"/>
      <c r="Z37" s="20"/>
      <c r="AA37" s="20"/>
      <c r="AB37" s="20"/>
      <c r="AC37" s="20"/>
      <c r="AD37" s="20"/>
      <c r="AE37" s="20"/>
      <c r="AF37" s="20"/>
      <c r="AK37" s="20"/>
    </row>
    <row r="38" spans="1:37" ht="12.75">
      <c r="A38" s="828"/>
      <c r="B38" s="35">
        <v>50</v>
      </c>
      <c r="C38" s="239">
        <v>0.0028037</v>
      </c>
      <c r="D38" s="239">
        <v>0.0051963</v>
      </c>
      <c r="E38" s="239">
        <v>0.0070654</v>
      </c>
      <c r="F38" s="239">
        <v>0.0083551</v>
      </c>
      <c r="G38" s="239">
        <v>0.0092336</v>
      </c>
      <c r="H38" s="239">
        <v>0.010075</v>
      </c>
      <c r="I38" s="239">
        <v>0.010598</v>
      </c>
      <c r="J38" s="239">
        <v>0.011159</v>
      </c>
      <c r="K38" s="239">
        <v>0.01215</v>
      </c>
      <c r="L38" s="738"/>
      <c r="M38" s="739"/>
      <c r="N38" s="739"/>
      <c r="O38" s="739"/>
      <c r="P38" s="740"/>
      <c r="Y38" s="20"/>
      <c r="Z38" s="20"/>
      <c r="AA38" s="20"/>
      <c r="AB38" s="20"/>
      <c r="AC38" s="20"/>
      <c r="AD38" s="20"/>
      <c r="AE38" s="20"/>
      <c r="AF38" s="20"/>
      <c r="AK38" s="20"/>
    </row>
    <row r="39" spans="1:16" ht="12.75">
      <c r="A39" s="828"/>
      <c r="B39" s="35">
        <v>60</v>
      </c>
      <c r="C39" s="239">
        <v>0.0026355</v>
      </c>
      <c r="D39" s="239">
        <v>0.0049346</v>
      </c>
      <c r="E39" s="239">
        <v>0.0065607</v>
      </c>
      <c r="F39" s="239">
        <v>0.0074206</v>
      </c>
      <c r="G39" s="239">
        <v>0.0080935</v>
      </c>
      <c r="H39" s="239">
        <v>0.0086355</v>
      </c>
      <c r="I39" s="239">
        <v>0.008972</v>
      </c>
      <c r="J39" s="239">
        <v>0.0094953</v>
      </c>
      <c r="K39" s="239">
        <v>0.010299</v>
      </c>
      <c r="L39" s="738"/>
      <c r="M39" s="739"/>
      <c r="N39" s="739"/>
      <c r="O39" s="739"/>
      <c r="P39" s="740"/>
    </row>
    <row r="40" spans="1:16" ht="13.5" thickBot="1">
      <c r="A40" s="829"/>
      <c r="B40" s="36">
        <v>70</v>
      </c>
      <c r="C40" s="239">
        <v>0.0022991</v>
      </c>
      <c r="D40" s="239">
        <v>0.0041869</v>
      </c>
      <c r="E40" s="239">
        <v>0.0054393</v>
      </c>
      <c r="F40" s="239">
        <v>0.0058318</v>
      </c>
      <c r="G40" s="239">
        <v>0.006243</v>
      </c>
      <c r="H40" s="239">
        <v>0.0065981</v>
      </c>
      <c r="I40" s="239">
        <v>0.0069159</v>
      </c>
      <c r="J40" s="239">
        <v>0.0071589</v>
      </c>
      <c r="K40" s="239">
        <v>0.007757</v>
      </c>
      <c r="L40" s="738"/>
      <c r="M40" s="739"/>
      <c r="N40" s="739"/>
      <c r="O40" s="739"/>
      <c r="P40" s="740"/>
    </row>
    <row r="41" spans="1:16" ht="13.5" thickBot="1">
      <c r="A41" s="777" t="s">
        <v>553</v>
      </c>
      <c r="B41" s="778"/>
      <c r="C41" s="778"/>
      <c r="D41" s="778"/>
      <c r="E41" s="778"/>
      <c r="F41" s="778"/>
      <c r="G41" s="778"/>
      <c r="H41" s="778"/>
      <c r="I41" s="778"/>
      <c r="J41" s="778"/>
      <c r="K41" s="780"/>
      <c r="L41" s="738"/>
      <c r="M41" s="739"/>
      <c r="N41" s="739"/>
      <c r="O41" s="739"/>
      <c r="P41" s="740"/>
    </row>
    <row r="42" spans="1:16" ht="13.5" thickBot="1">
      <c r="A42" s="131"/>
      <c r="B42" s="830" t="s">
        <v>549</v>
      </c>
      <c r="C42" s="831"/>
      <c r="D42" s="831"/>
      <c r="E42" s="831"/>
      <c r="F42" s="831"/>
      <c r="G42" s="831"/>
      <c r="H42" s="831"/>
      <c r="I42" s="831"/>
      <c r="J42" s="831"/>
      <c r="K42" s="832"/>
      <c r="L42" s="738"/>
      <c r="M42" s="739"/>
      <c r="N42" s="739"/>
      <c r="O42" s="739"/>
      <c r="P42" s="740"/>
    </row>
    <row r="43" spans="1:16" ht="12.75">
      <c r="A43" s="827" t="s">
        <v>324</v>
      </c>
      <c r="B43" s="34"/>
      <c r="C43" s="30">
        <v>1</v>
      </c>
      <c r="D43" s="30">
        <v>2</v>
      </c>
      <c r="E43" s="30">
        <v>3</v>
      </c>
      <c r="F43" s="30">
        <v>4</v>
      </c>
      <c r="G43" s="30">
        <v>5</v>
      </c>
      <c r="H43" s="30">
        <v>6</v>
      </c>
      <c r="I43" s="30">
        <v>7</v>
      </c>
      <c r="J43" s="30">
        <v>8</v>
      </c>
      <c r="K43" s="31">
        <v>10</v>
      </c>
      <c r="L43" s="738"/>
      <c r="M43" s="739"/>
      <c r="N43" s="739"/>
      <c r="O43" s="739"/>
      <c r="P43" s="740"/>
    </row>
    <row r="44" spans="1:16" ht="12.75">
      <c r="A44" s="828"/>
      <c r="B44" s="35">
        <v>-20</v>
      </c>
      <c r="C44" s="239">
        <v>0.0028679</v>
      </c>
      <c r="D44" s="239">
        <v>0.0054717</v>
      </c>
      <c r="E44" s="239">
        <v>0.0076981</v>
      </c>
      <c r="F44" s="239">
        <v>0.0094717</v>
      </c>
      <c r="G44" s="239">
        <v>0.011</v>
      </c>
      <c r="H44" s="239">
        <v>0.012245</v>
      </c>
      <c r="I44" s="239">
        <v>0.013321</v>
      </c>
      <c r="J44" s="239">
        <v>0.014302</v>
      </c>
      <c r="K44" s="237">
        <v>0.015792</v>
      </c>
      <c r="L44" s="738"/>
      <c r="M44" s="739"/>
      <c r="N44" s="739"/>
      <c r="O44" s="739"/>
      <c r="P44" s="740"/>
    </row>
    <row r="45" spans="1:16" ht="12.75">
      <c r="A45" s="828"/>
      <c r="B45" s="35">
        <v>-10</v>
      </c>
      <c r="C45" s="239">
        <v>0.0028868</v>
      </c>
      <c r="D45" s="239">
        <v>0.0055094</v>
      </c>
      <c r="E45" s="239">
        <v>0.0077358</v>
      </c>
      <c r="F45" s="239">
        <v>0.0095472</v>
      </c>
      <c r="G45" s="239">
        <v>0.011132</v>
      </c>
      <c r="H45" s="239">
        <v>0.012321</v>
      </c>
      <c r="I45" s="239">
        <v>0.013453</v>
      </c>
      <c r="J45" s="239">
        <v>0.014509</v>
      </c>
      <c r="K45" s="237">
        <v>0.016132</v>
      </c>
      <c r="L45" s="738"/>
      <c r="M45" s="739"/>
      <c r="N45" s="739"/>
      <c r="O45" s="739"/>
      <c r="P45" s="740"/>
    </row>
    <row r="46" spans="1:16" ht="12.75">
      <c r="A46" s="828"/>
      <c r="B46" s="35">
        <v>0</v>
      </c>
      <c r="C46" s="239">
        <v>0.0029057</v>
      </c>
      <c r="D46" s="239">
        <v>0.0055472</v>
      </c>
      <c r="E46" s="239">
        <v>0.0077925</v>
      </c>
      <c r="F46" s="239">
        <v>0.0095849</v>
      </c>
      <c r="G46" s="239">
        <v>0.011208</v>
      </c>
      <c r="H46" s="239">
        <v>0.012396</v>
      </c>
      <c r="I46" s="239">
        <v>0.013566</v>
      </c>
      <c r="J46" s="239">
        <v>0.014679</v>
      </c>
      <c r="K46" s="237">
        <v>0.016377</v>
      </c>
      <c r="L46" s="738"/>
      <c r="M46" s="739"/>
      <c r="N46" s="739"/>
      <c r="O46" s="739"/>
      <c r="P46" s="740"/>
    </row>
    <row r="47" spans="1:16" ht="12.75">
      <c r="A47" s="828"/>
      <c r="B47" s="35">
        <v>10</v>
      </c>
      <c r="C47" s="239">
        <v>0.0029057</v>
      </c>
      <c r="D47" s="239">
        <v>0.0055472</v>
      </c>
      <c r="E47" s="239">
        <v>0.0077736</v>
      </c>
      <c r="F47" s="239">
        <v>0.009566</v>
      </c>
      <c r="G47" s="239">
        <v>0.011189</v>
      </c>
      <c r="H47" s="239">
        <v>0.012377</v>
      </c>
      <c r="I47" s="239">
        <v>0.013528</v>
      </c>
      <c r="J47" s="239">
        <v>0.014679</v>
      </c>
      <c r="K47" s="237">
        <v>0.016302</v>
      </c>
      <c r="L47" s="738"/>
      <c r="M47" s="739"/>
      <c r="N47" s="739"/>
      <c r="O47" s="739"/>
      <c r="P47" s="740"/>
    </row>
    <row r="48" spans="1:16" ht="12.75">
      <c r="A48" s="828"/>
      <c r="B48" s="35">
        <v>20</v>
      </c>
      <c r="C48" s="239">
        <v>0.0029245</v>
      </c>
      <c r="D48" s="239">
        <v>0.0055283</v>
      </c>
      <c r="E48" s="239">
        <v>0.0077547</v>
      </c>
      <c r="F48" s="239">
        <v>0.0095094</v>
      </c>
      <c r="G48" s="239">
        <v>0.011075</v>
      </c>
      <c r="H48" s="239">
        <v>0.012208</v>
      </c>
      <c r="I48" s="239">
        <v>0.013358</v>
      </c>
      <c r="J48" s="239">
        <v>0.014434</v>
      </c>
      <c r="K48" s="237">
        <v>0.015962</v>
      </c>
      <c r="L48" s="738"/>
      <c r="M48" s="739"/>
      <c r="N48" s="739"/>
      <c r="O48" s="739"/>
      <c r="P48" s="740"/>
    </row>
    <row r="49" spans="1:16" ht="12.75">
      <c r="A49" s="828"/>
      <c r="B49" s="35">
        <v>30</v>
      </c>
      <c r="C49" s="239">
        <v>0.0029245</v>
      </c>
      <c r="D49" s="239">
        <v>0.0054717</v>
      </c>
      <c r="E49" s="239">
        <v>0.0076792</v>
      </c>
      <c r="F49" s="239">
        <v>0.0094151</v>
      </c>
      <c r="G49" s="239">
        <v>0.010811</v>
      </c>
      <c r="H49" s="239">
        <v>0.011792</v>
      </c>
      <c r="I49" s="239">
        <v>0.012962</v>
      </c>
      <c r="J49" s="239">
        <v>0.013962</v>
      </c>
      <c r="K49" s="237">
        <v>0.015321</v>
      </c>
      <c r="L49" s="738"/>
      <c r="M49" s="739"/>
      <c r="N49" s="739"/>
      <c r="O49" s="739"/>
      <c r="P49" s="740"/>
    </row>
    <row r="50" spans="1:16" ht="12.75">
      <c r="A50" s="828"/>
      <c r="B50" s="35">
        <v>40</v>
      </c>
      <c r="C50" s="239">
        <v>0.0029245</v>
      </c>
      <c r="D50" s="239">
        <v>0.0054151</v>
      </c>
      <c r="E50" s="239">
        <v>0.0075283</v>
      </c>
      <c r="F50" s="239">
        <v>0.0091321</v>
      </c>
      <c r="G50" s="239">
        <v>0.010321</v>
      </c>
      <c r="H50" s="239">
        <v>0.011283</v>
      </c>
      <c r="I50" s="239">
        <v>0.012264</v>
      </c>
      <c r="J50" s="239">
        <v>0.013075</v>
      </c>
      <c r="K50" s="237">
        <v>0.01434</v>
      </c>
      <c r="L50" s="738"/>
      <c r="M50" s="739"/>
      <c r="N50" s="739"/>
      <c r="O50" s="739"/>
      <c r="P50" s="740"/>
    </row>
    <row r="51" spans="1:16" ht="12.75">
      <c r="A51" s="828"/>
      <c r="B51" s="35">
        <v>50</v>
      </c>
      <c r="C51" s="239">
        <v>0.0028679</v>
      </c>
      <c r="D51" s="239">
        <v>0.005283</v>
      </c>
      <c r="E51" s="239">
        <v>0.0072264</v>
      </c>
      <c r="F51" s="239">
        <v>0.0086415</v>
      </c>
      <c r="G51" s="239">
        <v>0.0095849</v>
      </c>
      <c r="H51" s="239">
        <v>0.010396</v>
      </c>
      <c r="I51" s="239">
        <v>0.01117</v>
      </c>
      <c r="J51" s="239">
        <v>0.011698</v>
      </c>
      <c r="K51" s="237">
        <v>0.012811</v>
      </c>
      <c r="L51" s="738"/>
      <c r="M51" s="739"/>
      <c r="N51" s="739"/>
      <c r="O51" s="739"/>
      <c r="P51" s="740"/>
    </row>
    <row r="52" spans="1:16" ht="12.75">
      <c r="A52" s="828"/>
      <c r="B52" s="35">
        <v>60</v>
      </c>
      <c r="C52" s="239">
        <v>0.0027358</v>
      </c>
      <c r="D52" s="239">
        <v>0.0049245</v>
      </c>
      <c r="E52" s="239">
        <v>0.0066038</v>
      </c>
      <c r="F52" s="239">
        <v>0.0076038</v>
      </c>
      <c r="G52" s="239">
        <v>0.0083774</v>
      </c>
      <c r="H52" s="239">
        <v>0.0088679</v>
      </c>
      <c r="I52" s="239">
        <v>0.0093585</v>
      </c>
      <c r="J52" s="239">
        <v>0.0098868</v>
      </c>
      <c r="K52" s="237">
        <v>0.010491</v>
      </c>
      <c r="L52" s="738"/>
      <c r="M52" s="739"/>
      <c r="N52" s="739"/>
      <c r="O52" s="739"/>
      <c r="P52" s="740"/>
    </row>
    <row r="53" spans="1:16" ht="13.5" thickBot="1">
      <c r="A53" s="829"/>
      <c r="B53" s="36">
        <v>70</v>
      </c>
      <c r="C53" s="267">
        <v>0.0023774</v>
      </c>
      <c r="D53" s="267">
        <v>0.0040755</v>
      </c>
      <c r="E53" s="267">
        <v>0.0053962</v>
      </c>
      <c r="F53" s="267">
        <v>0.006</v>
      </c>
      <c r="G53" s="267">
        <v>0.006434</v>
      </c>
      <c r="H53" s="267">
        <v>0.0068113</v>
      </c>
      <c r="I53" s="267">
        <v>0.0071132</v>
      </c>
      <c r="J53" s="267">
        <v>0.0073019</v>
      </c>
      <c r="K53" s="238">
        <v>0.0076604</v>
      </c>
      <c r="L53" s="738"/>
      <c r="M53" s="739"/>
      <c r="N53" s="739"/>
      <c r="O53" s="739"/>
      <c r="P53" s="740"/>
    </row>
    <row r="54" spans="1:16" ht="13.5" thickBot="1">
      <c r="A54" s="566" t="s">
        <v>328</v>
      </c>
      <c r="B54" s="716"/>
      <c r="C54" s="716"/>
      <c r="D54" s="567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10"/>
    </row>
    <row r="55" spans="1:16" ht="13.5" thickBot="1">
      <c r="A55" s="888" t="s">
        <v>329</v>
      </c>
      <c r="B55" s="308"/>
      <c r="C55" s="840" t="s">
        <v>554</v>
      </c>
      <c r="D55" s="832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10"/>
    </row>
    <row r="56" spans="1:16" ht="12.75">
      <c r="A56" s="877"/>
      <c r="B56" s="180">
        <v>-1E-08</v>
      </c>
      <c r="C56" s="135" t="e">
        <f>DITP('Coeficientes Latero-Direcionais'!$G$34,'Coeficientes Latero-Direcionais'!$G$35,'ESDU A06.01.03'!$B$4:$K$14)</f>
        <v>#NAME?</v>
      </c>
      <c r="D56" s="306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10"/>
    </row>
    <row r="57" spans="1:16" ht="12.75">
      <c r="A57" s="877"/>
      <c r="B57" s="180">
        <v>0.25000000001</v>
      </c>
      <c r="C57" s="135" t="e">
        <f>DITP('Coeficientes Latero-Direcionais'!$G$34,'Coeficientes Latero-Direcionais'!$G$35,'ESDU A06.01.03'!$B$17:$K$27)</f>
        <v>#NAME?</v>
      </c>
      <c r="D57" s="306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10"/>
    </row>
    <row r="58" spans="1:16" ht="12.75">
      <c r="A58" s="877"/>
      <c r="B58" s="180">
        <v>0.50000001</v>
      </c>
      <c r="C58" s="135" t="e">
        <f>DITP('Coeficientes Latero-Direcionais'!$G$34,'Coeficientes Latero-Direcionais'!$G$35,'ESDU A06.01.03'!$B$30:$K$40)</f>
        <v>#NAME?</v>
      </c>
      <c r="D58" s="306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10"/>
    </row>
    <row r="59" spans="1:16" ht="13.5" thickBot="1">
      <c r="A59" s="878"/>
      <c r="B59" s="158">
        <v>1.00000000001</v>
      </c>
      <c r="C59" s="134" t="e">
        <f>DITP('Coeficientes Latero-Direcionais'!$G$34,'Coeficientes Latero-Direcionais'!$G$35,'ESDU A06.01.03'!$B$43:$K$53)</f>
        <v>#NAME?</v>
      </c>
      <c r="D59" s="307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2"/>
    </row>
  </sheetData>
  <sheetProtection/>
  <mergeCells count="17">
    <mergeCell ref="A2:K2"/>
    <mergeCell ref="A55:A59"/>
    <mergeCell ref="A54:D54"/>
    <mergeCell ref="C55:D55"/>
    <mergeCell ref="A41:K41"/>
    <mergeCell ref="B42:K42"/>
    <mergeCell ref="A43:A53"/>
    <mergeCell ref="A1:P1"/>
    <mergeCell ref="L2:P53"/>
    <mergeCell ref="A28:K28"/>
    <mergeCell ref="B29:K29"/>
    <mergeCell ref="A30:A40"/>
    <mergeCell ref="A15:K15"/>
    <mergeCell ref="B16:K16"/>
    <mergeCell ref="A17:A27"/>
    <mergeCell ref="A4:A14"/>
    <mergeCell ref="B3:K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B2:O84"/>
  <sheetViews>
    <sheetView zoomScale="85" zoomScaleNormal="85" zoomScalePageLayoutView="0" workbookViewId="0" topLeftCell="A1">
      <selection activeCell="K34" sqref="K34"/>
    </sheetView>
  </sheetViews>
  <sheetFormatPr defaultColWidth="9.140625" defaultRowHeight="12.75"/>
  <cols>
    <col min="1" max="1" width="2.140625" style="18" bestFit="1" customWidth="1"/>
    <col min="2" max="2" width="11.7109375" style="18" bestFit="1" customWidth="1"/>
    <col min="3" max="3" width="9.140625" style="18" customWidth="1"/>
    <col min="4" max="4" width="9.8515625" style="18" customWidth="1"/>
    <col min="5" max="5" width="9.140625" style="18" customWidth="1"/>
    <col min="6" max="6" width="15.8515625" style="18" bestFit="1" customWidth="1"/>
    <col min="7" max="7" width="9.140625" style="20" customWidth="1"/>
    <col min="8" max="8" width="13.28125" style="18" bestFit="1" customWidth="1"/>
    <col min="9" max="9" width="13.57421875" style="20" customWidth="1"/>
    <col min="10" max="10" width="16.28125" style="18" customWidth="1"/>
    <col min="11" max="11" width="8.421875" style="18" customWidth="1"/>
    <col min="12" max="12" width="11.57421875" style="18" customWidth="1"/>
    <col min="13" max="13" width="9.00390625" style="18" customWidth="1"/>
    <col min="14" max="14" width="9.8515625" style="18" customWidth="1"/>
    <col min="15" max="15" width="7.57421875" style="18" customWidth="1"/>
    <col min="16" max="16384" width="9.140625" style="18" customWidth="1"/>
  </cols>
  <sheetData>
    <row r="1" ht="13.5" thickBot="1"/>
    <row r="2" spans="2:15" ht="13.5" thickBot="1">
      <c r="B2" s="632" t="s">
        <v>350</v>
      </c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4"/>
    </row>
    <row r="3" spans="2:15" ht="13.5" thickBot="1">
      <c r="B3" s="653" t="s">
        <v>13</v>
      </c>
      <c r="C3" s="654"/>
      <c r="D3" s="651" t="s">
        <v>18</v>
      </c>
      <c r="E3" s="652"/>
      <c r="F3" s="653" t="s">
        <v>298</v>
      </c>
      <c r="G3" s="655"/>
      <c r="H3" s="654" t="s">
        <v>62</v>
      </c>
      <c r="I3" s="654"/>
      <c r="J3" s="653" t="s">
        <v>36</v>
      </c>
      <c r="K3" s="655"/>
      <c r="L3" s="660" t="s">
        <v>73</v>
      </c>
      <c r="M3" s="661"/>
      <c r="N3" s="658" t="s">
        <v>61</v>
      </c>
      <c r="O3" s="659"/>
    </row>
    <row r="4" spans="2:15" ht="12.75">
      <c r="B4" s="291"/>
      <c r="C4" s="292"/>
      <c r="D4" s="327"/>
      <c r="E4" s="330"/>
      <c r="F4" s="155"/>
      <c r="G4" s="168"/>
      <c r="H4" s="39"/>
      <c r="I4" s="221"/>
      <c r="J4" s="38"/>
      <c r="K4" s="149"/>
      <c r="L4" s="157"/>
      <c r="M4" s="324"/>
      <c r="N4" s="155"/>
      <c r="O4" s="168"/>
    </row>
    <row r="5" spans="2:15" ht="12.75">
      <c r="B5" s="159" t="s">
        <v>16</v>
      </c>
      <c r="C5" s="165">
        <f>'Coeficientes Latero-Direcionais'!$E$5*(1-Principal!$D$5^2)^0.5</f>
        <v>7.733955580245508</v>
      </c>
      <c r="D5" s="161" t="s">
        <v>6</v>
      </c>
      <c r="E5" s="318">
        <f>'Dados Geométricos'!E13^2/'Dados Geométricos'!E12</f>
        <v>8.107388362652232</v>
      </c>
      <c r="F5" s="159" t="s">
        <v>81</v>
      </c>
      <c r="G5" s="165">
        <f>-'Dados Geométricos'!E24</f>
        <v>1.226</v>
      </c>
      <c r="H5" s="161" t="s">
        <v>6</v>
      </c>
      <c r="I5" s="318">
        <f>'Dados Geométricos'!E13^2/'Dados Geométricos'!E12</f>
        <v>8.107388362652232</v>
      </c>
      <c r="J5" s="159" t="s">
        <v>2</v>
      </c>
      <c r="K5" s="165">
        <f>Principal!$V$14*('Dados Geométricos'!$L$81+'Dados Geométricos'!$L$82)/2</f>
        <v>7.340787999999999</v>
      </c>
      <c r="L5" s="161" t="s">
        <v>75</v>
      </c>
      <c r="M5" s="318" t="e">
        <f>('Coeficientes Longitudinais'!$C$14-Principal!$D$7)/'Dados Geométricos'!$E$13/2</f>
        <v>#NAME?</v>
      </c>
      <c r="N5" s="159" t="s">
        <v>63</v>
      </c>
      <c r="O5" s="165">
        <f>(1-Principal!D5^2)^0.5</f>
        <v>0.9539392014169457</v>
      </c>
    </row>
    <row r="6" spans="2:15" ht="12.75">
      <c r="B6" s="159" t="s">
        <v>17</v>
      </c>
      <c r="C6" s="165">
        <f>ATAN(TAN(PI()/180*'Dados Geométricos'!$E$15)/((1-Principal!$D$5^2)^0.5))*180/PI()</f>
        <v>27.079873646404923</v>
      </c>
      <c r="D6" s="161" t="s">
        <v>20</v>
      </c>
      <c r="E6" s="318" t="e">
        <f>DITP('Coeficientes Latero-Direcionais'!$E$5,'Dados Geométricos'!$E$16,'ESDU 72021'!B4:I10)</f>
        <v>#NAME?</v>
      </c>
      <c r="F6" s="159" t="s">
        <v>6</v>
      </c>
      <c r="G6" s="165">
        <f>'Dados Geométricos'!E13^2/'Dados Geométricos'!E12</f>
        <v>8.107388362652232</v>
      </c>
      <c r="H6" s="161" t="s">
        <v>64</v>
      </c>
      <c r="I6" s="318">
        <f>(1/2*('Coeficientes Latero-Direcionais'!I5+COS('Dados Geométricos'!E15*PI()/180))/('Coeficientes Latero-Direcionais'!I5+4*COS('Dados Geométricos'!E15*PI()/180))*TAN('Dados Geométricos'!E15*PI()/180)+1/(2*'Coeficientes Latero-Direcionais'!I5))</f>
        <v>0.2493493226350787</v>
      </c>
      <c r="J6" s="159" t="s">
        <v>3</v>
      </c>
      <c r="K6" s="165">
        <f>2*Principal!V14^2/K5</f>
        <v>1.5797933409873708</v>
      </c>
      <c r="L6" s="161" t="s">
        <v>76</v>
      </c>
      <c r="M6" s="318">
        <f>-('Coeficientes Latero-Direcionais'!$M$7-Principal!$D$8)/('Dados Geométricos'!$E$13/2)</f>
        <v>0.12932489451476792</v>
      </c>
      <c r="N6" s="159" t="s">
        <v>65</v>
      </c>
      <c r="O6" s="165">
        <f>'Dados Geométricos'!E30/(2*PI())</f>
        <v>1.0870282613176452</v>
      </c>
    </row>
    <row r="7" spans="2:15" ht="12.75">
      <c r="B7" s="159"/>
      <c r="C7" s="165"/>
      <c r="D7" s="161" t="s">
        <v>19</v>
      </c>
      <c r="E7" s="318" t="e">
        <f>Interp1D('Dados Geométricos'!$E$15,'ESDU 72021'!B13:B19,'ESDU 72021'!C13:C19)</f>
        <v>#NAME?</v>
      </c>
      <c r="F7" s="159" t="s">
        <v>83</v>
      </c>
      <c r="G7" s="165" t="e">
        <f>DITP('Dados Geométricos'!E16,'Coeficientes Latero-Direcionais'!G6,'ESDU 79006'!B26:H35)</f>
        <v>#NAME?</v>
      </c>
      <c r="H7" s="161" t="s">
        <v>66</v>
      </c>
      <c r="I7" s="318" t="e">
        <f>Interp1D(('Coeficientes Longitudinais'!$C$14-Principal!D7)/'Dados Geométricos'!E13,'ESDU 81014'!B34:B36,'ESDU 81014'!C34:C36)</f>
        <v>#NAME?</v>
      </c>
      <c r="J7" s="159" t="s">
        <v>4</v>
      </c>
      <c r="K7" s="165">
        <f>'Dados Geométricos'!L82/'Dados Geométricos'!L81</f>
        <v>0.6138168343038645</v>
      </c>
      <c r="L7" s="161" t="s">
        <v>9</v>
      </c>
      <c r="M7" s="318">
        <f>'Dados Geométricos'!E24-Principal!D8</f>
        <v>-1.226</v>
      </c>
      <c r="N7" s="159" t="s">
        <v>67</v>
      </c>
      <c r="O7" s="165">
        <f>O5*'Coeficientes Latero-Direcionais'!I5/O6</f>
        <v>7.114769556102218</v>
      </c>
    </row>
    <row r="8" spans="2:15" ht="12.75">
      <c r="B8" s="159" t="s">
        <v>14</v>
      </c>
      <c r="C8" s="165" t="e">
        <f>DITP(C6,C5,'ESDU 71017'!B4:F11)*Interp1D('Dados Geométricos'!E16,'ESDU 71017'!B14:B24,'ESDU 71017'!C14:C24)</f>
        <v>#NAME?</v>
      </c>
      <c r="D8" s="161"/>
      <c r="E8" s="318"/>
      <c r="F8" s="159" t="s">
        <v>84</v>
      </c>
      <c r="G8" s="165">
        <f>'Dados Geométricos'!E13/'Dados Geométricos'!E58</f>
        <v>8.315789473684212</v>
      </c>
      <c r="H8" s="161" t="s">
        <v>68</v>
      </c>
      <c r="I8" s="318">
        <f>(1-Principal!$D$5^2*COS('Dados Geométricos'!$E$15*PI()/180)^2)^0.5</f>
        <v>0.9629616989321773</v>
      </c>
      <c r="J8" s="25" t="s">
        <v>566</v>
      </c>
      <c r="K8" s="165" t="e">
        <f>K5*K33/('Dados Geométricos'!E12*'Dados Geométricos'!E13)</f>
        <v>#NAME?</v>
      </c>
      <c r="L8" s="161"/>
      <c r="M8" s="318"/>
      <c r="N8" s="159" t="s">
        <v>69</v>
      </c>
      <c r="O8" s="165">
        <f>180*ATAN(TAN('Dados Geométricos'!E15*PI()/180)/O5)/PI()</f>
        <v>27.079873646404923</v>
      </c>
    </row>
    <row r="9" spans="2:15" ht="12.75">
      <c r="B9" s="159" t="s">
        <v>15</v>
      </c>
      <c r="C9" s="165" t="e">
        <f>Interp1D('Dados Geométricos'!$E$16,'ESDU 71017'!B75:B78,'ESDU 71017'!C75:C78)</f>
        <v>#NAME?</v>
      </c>
      <c r="D9" s="161" t="s">
        <v>21</v>
      </c>
      <c r="E9" s="318" t="e">
        <f>E6*E7</f>
        <v>#NAME?</v>
      </c>
      <c r="F9" s="159" t="s">
        <v>85</v>
      </c>
      <c r="G9" s="165">
        <f>ABS(G5)/'Dados Geométricos'!E67</f>
        <v>0.454074074074074</v>
      </c>
      <c r="H9" s="161" t="s">
        <v>70</v>
      </c>
      <c r="I9" s="318">
        <f>$I$6*('Coeficientes Latero-Direcionais'!$I$5+4*COS('Dados Geométricos'!$E$15*PI()/180))/('Coeficientes Latero-Direcionais'!$I$5*'Coeficientes Latero-Direcionais'!$I$8+4*COS('Dados Geométricos'!$E$15*PI()/180))*('Coeficientes Latero-Direcionais'!$I$5*'Coeficientes Latero-Direcionais'!$I$8+COS('Dados Geométricos'!$E$15*PI()/180))/('Coeficientes Latero-Direcionais'!$I$5+COS('Dados Geométricos'!$E$15*PI()/180))</f>
        <v>0.24738329687533092</v>
      </c>
      <c r="J9" s="147"/>
      <c r="K9" s="164"/>
      <c r="L9" s="161" t="s">
        <v>77</v>
      </c>
      <c r="M9" s="318">
        <f>4*SIN('Dados Geométricos'!$E$19*PI()/180)/(1+3*'Dados Geométricos'!$E$16)*(1+2*'Dados Geométricos'!$E$16-3*'Coeficientes Latero-Direcionais'!$M$6*(1+'Dados Geométricos'!$E$16)*SIN('Dados Geométricos'!$E$19*PI()/180))</f>
        <v>0.116338406303691</v>
      </c>
      <c r="N9" s="159"/>
      <c r="O9" s="165"/>
    </row>
    <row r="10" spans="2:15" ht="12.75">
      <c r="B10" s="321"/>
      <c r="C10" s="322"/>
      <c r="D10" s="161" t="s">
        <v>22</v>
      </c>
      <c r="E10" s="135" t="e">
        <f>Interp1D('Dados Geométricos'!$E$15,'ESDU 72021'!B22:B28,'ESDU 72021'!C22:C28)</f>
        <v>#NAME?</v>
      </c>
      <c r="F10" s="159" t="s">
        <v>86</v>
      </c>
      <c r="G10" s="165" t="e">
        <f>DITP('Coeficientes Latero-Direcionais'!G8,'Coeficientes Latero-Direcionais'!G9,'ESDU 79006'!B13:L23)</f>
        <v>#NAME?</v>
      </c>
      <c r="H10" s="161" t="s">
        <v>71</v>
      </c>
      <c r="I10" s="318" t="e">
        <f>$I$7*('Coeficientes Latero-Direcionais'!$I$5+4*COS('Dados Geométricos'!$E$15*PI()/180))/('Coeficientes Latero-Direcionais'!$I$5*'Coeficientes Latero-Direcionais'!$I$8+4*COS('Dados Geométricos'!$E$15*PI()/180))*('Coeficientes Latero-Direcionais'!$I$5*'Coeficientes Latero-Direcionais'!$I$8+0.5*('Coeficientes Latero-Direcionais'!$I$5*'Coeficientes Latero-Direcionais'!$I$8+COS('Dados Geométricos'!$E$15*PI()/180))*TAN('Dados Geométricos'!$E$15*PI()/180)^2)/('Coeficientes Latero-Direcionais'!$I$5+0.5*('Coeficientes Latero-Direcionais'!$I$5+COS('Dados Geométricos'!$E$15*PI()/180))*TAN('Dados Geométricos'!$E$15*PI()/180)^2)</f>
        <v>#NAME?</v>
      </c>
      <c r="J10" s="159" t="s">
        <v>25</v>
      </c>
      <c r="K10" s="165">
        <f>TAN(Principal!V13*PI()/180)-1/K6*(1-K7)/(1+K7)</f>
        <v>0.884056061298875</v>
      </c>
      <c r="L10" s="161" t="s">
        <v>78</v>
      </c>
      <c r="M10" s="318" t="e">
        <f>-SIN('Dados Geométricos'!E19*PI()/180)/(3*(1+3*'Dados Geométricos'!E16)*(1+'Dados Geométricos'!E16))*(6*'Coeficientes Latero-Direcionais'!M5*(1+'Dados Geométricos'!E16)*(1+2*'Dados Geométricos'!E16-3*'Coeficientes Latero-Direcionais'!M6*(1+'Dados Geométricos'!E16)*SIN('Dados Geométricos'!E19*PI()/180))+(1+4*'Dados Geométricos'!E16+'Dados Geométricos'!E16^2)*TAN('Dados Geométricos'!E15*PI()/180))</f>
        <v>#NAME?</v>
      </c>
      <c r="N10" s="320" t="s">
        <v>72</v>
      </c>
      <c r="O10" s="277" t="e">
        <f>Interp1D('Dados Geométricos'!E16,'ESDU A06.01.01'!B36:B39,'ESDU A06.01.01'!C36:C39)</f>
        <v>#NAME?</v>
      </c>
    </row>
    <row r="11" spans="2:15" ht="12.75">
      <c r="B11" s="159" t="s">
        <v>587</v>
      </c>
      <c r="C11" s="140" t="e">
        <f>'Coeficientes Latero-Direcionais'!$C$8*'Coeficientes Latero-Direcionais'!$H$45+'Coeficientes Latero-Direcionais'!$C$9*(Principal!$D$4*Principal!$E$52/57.3+Principal!$E$29)^2</f>
        <v>#NAME?</v>
      </c>
      <c r="D11" s="161" t="s">
        <v>23</v>
      </c>
      <c r="E11" s="318" t="e">
        <f>DITP('Coeficientes Latero-Direcionais'!$E$5,'Dados Geométricos'!$E$16,'ESDU 72021'!B31:I37)</f>
        <v>#NAME?</v>
      </c>
      <c r="F11" s="159" t="s">
        <v>87</v>
      </c>
      <c r="G11" s="165">
        <f>'Dados Geométricos'!E67/'Dados Geométricos'!E13</f>
        <v>0.14240506329113925</v>
      </c>
      <c r="H11" s="20"/>
      <c r="I11" s="222"/>
      <c r="J11" s="25" t="s">
        <v>557</v>
      </c>
      <c r="K11" s="317">
        <f>ATAN(K10)*57.3</f>
        <v>41.48154056863471</v>
      </c>
      <c r="L11" s="319" t="s">
        <v>79</v>
      </c>
      <c r="M11" s="325">
        <f>-2*'Coeficientes Latero-Direcionais'!M6*SIN('Dados Geométricos'!E19*PI()/180)/(1+3*'Dados Geométricos'!E16)*(2+4*'Dados Geométricos'!E16-3*'Coeficientes Latero-Direcionais'!M6*(1+'Dados Geométricos'!E16)*SIN('Dados Geométricos'!E19*PI()/180))</f>
        <v>-0.015129214417008496</v>
      </c>
      <c r="N11" s="321"/>
      <c r="O11" s="322"/>
    </row>
    <row r="12" spans="2:15" ht="12.75">
      <c r="B12" s="321"/>
      <c r="C12" s="322"/>
      <c r="D12" s="161"/>
      <c r="E12" s="318"/>
      <c r="F12" s="159" t="s">
        <v>88</v>
      </c>
      <c r="G12" s="165">
        <f>ABS(-'Dados Geométricos'!E24/'Dados Geométricos'!E67)</f>
        <v>0.454074074074074</v>
      </c>
      <c r="H12" s="161" t="s">
        <v>100</v>
      </c>
      <c r="I12" s="222">
        <v>0.0006</v>
      </c>
      <c r="J12" s="159" t="s">
        <v>26</v>
      </c>
      <c r="K12" s="165">
        <f>(1-Principal!$D$5^2)^0.5</f>
        <v>0.9539392014169457</v>
      </c>
      <c r="L12" s="73"/>
      <c r="M12" s="326"/>
      <c r="N12" s="159" t="s">
        <v>583</v>
      </c>
      <c r="O12" s="140" t="e">
        <f>-'Coeficientes Latero-Direcionais'!$O$10*'Coeficientes Latero-Direcionais'!$O$6/'Coeficientes Latero-Direcionais'!$O$5</f>
        <v>#NAME?</v>
      </c>
    </row>
    <row r="13" spans="2:15" ht="13.5" thickBot="1">
      <c r="B13" s="328" t="s">
        <v>586</v>
      </c>
      <c r="C13" s="257" t="e">
        <f>2*'Coeficientes Latero-Direcionais'!C11</f>
        <v>#NAME?</v>
      </c>
      <c r="D13" s="159" t="s">
        <v>24</v>
      </c>
      <c r="E13" s="318" t="e">
        <f>Interp1D(Principal!$D$5,'ESDU 72021'!$B$92:$B$96,'ESDU 72021'!$C$92:$C$96)</f>
        <v>#NAME?</v>
      </c>
      <c r="F13" s="159" t="s">
        <v>65</v>
      </c>
      <c r="G13" s="165" t="e">
        <f>DITP(G12,G11,'ESDU 73006'!B28:I32)</f>
        <v>#NAME?</v>
      </c>
      <c r="I13" s="222"/>
      <c r="J13" s="25" t="s">
        <v>97</v>
      </c>
      <c r="K13" s="165">
        <f>$K$6*$K$12</f>
        <v>1.507026798105301</v>
      </c>
      <c r="L13" s="329" t="s">
        <v>582</v>
      </c>
      <c r="M13" s="259" t="e">
        <f>2*'Coeficientes Latero-Direcionais'!O12*'Coeficientes Latero-Direcionais'!$M$9</f>
        <v>#NAME?</v>
      </c>
      <c r="N13" s="321"/>
      <c r="O13" s="322"/>
    </row>
    <row r="14" spans="2:15" ht="13.5" thickBot="1">
      <c r="B14" s="653" t="s">
        <v>603</v>
      </c>
      <c r="C14" s="654"/>
      <c r="D14" s="147"/>
      <c r="E14" s="192"/>
      <c r="F14" s="159" t="s">
        <v>89</v>
      </c>
      <c r="G14" s="165" t="e">
        <f>-'Dados Geométricos'!E24/'Dados Geométricos'!E67-$G$13*('Dados Geométricos'!$E$19)</f>
        <v>#NAME?</v>
      </c>
      <c r="H14" s="20" t="s">
        <v>8</v>
      </c>
      <c r="I14" s="318" t="s">
        <v>74</v>
      </c>
      <c r="J14" s="25" t="s">
        <v>98</v>
      </c>
      <c r="K14" s="165">
        <f>$K$6*$K$10</f>
        <v>1.3966258786994856</v>
      </c>
      <c r="L14" s="329" t="s">
        <v>585</v>
      </c>
      <c r="M14" s="259" t="e">
        <f>2*'Coeficientes Latero-Direcionais'!$M$10*'Coeficientes Latero-Direcionais'!O12</f>
        <v>#NAME?</v>
      </c>
      <c r="N14" s="328" t="s">
        <v>596</v>
      </c>
      <c r="O14" s="257" t="e">
        <f>2*O12</f>
        <v>#NAME?</v>
      </c>
    </row>
    <row r="15" spans="2:15" ht="13.5" thickBot="1">
      <c r="B15" s="251" t="s">
        <v>592</v>
      </c>
      <c r="C15" s="141">
        <f>-0.04*Principal!$V$10*Principal!$V$11/('Dados Geométricos'!$E$13*'Dados Geométricos'!$E$12)</f>
        <v>-0.029679711245477504</v>
      </c>
      <c r="D15" s="25" t="s">
        <v>101</v>
      </c>
      <c r="E15" s="135" t="e">
        <f>'Coeficientes Latero-Direcionais'!$E$9*(Principal!$D$4*'Coeficientes Longitudinais'!$C$13/57.3+'Coeficientes Longitudinais'!$K$15)*'Coeficientes Latero-Direcionais'!$E$13</f>
        <v>#NAME?</v>
      </c>
      <c r="F15" s="159" t="s">
        <v>90</v>
      </c>
      <c r="G15" s="165" t="e">
        <f>IF(G14&gt;0,DITP(G11,ABS(G14),'ESDU 73006'!B4:M12),-DITP(G11,ABS(G14),'ESDU 73006'!B4:M12))</f>
        <v>#NAME?</v>
      </c>
      <c r="H15" s="161">
        <v>0</v>
      </c>
      <c r="I15" s="318">
        <f>$I$12*H15</f>
        <v>0</v>
      </c>
      <c r="J15" s="159" t="s">
        <v>159</v>
      </c>
      <c r="K15" s="165" t="e">
        <f>K6*Interp1D(K7,'ESDU 70011'!J69:J73,'ESDU 70011'!K69:K73)*'Dados Geométricos'!L87</f>
        <v>#NAME?</v>
      </c>
      <c r="L15" s="331" t="s">
        <v>584</v>
      </c>
      <c r="M15" s="257" t="e">
        <f>2*'Coeficientes Latero-Direcionais'!O12*'Coeficientes Latero-Direcionais'!$M$11</f>
        <v>#NAME?</v>
      </c>
      <c r="N15" s="663"/>
      <c r="O15" s="669"/>
    </row>
    <row r="16" spans="2:15" ht="12.75">
      <c r="B16" s="159" t="s">
        <v>591</v>
      </c>
      <c r="C16" s="140">
        <f>-0.01*Principal!$V$10^2*Principal!$V$11/('Dados Geométricos'!$E$13^2*'Dados Geométricos'!$E$12)</f>
        <v>-0.00692722268929585</v>
      </c>
      <c r="D16" s="25" t="s">
        <v>102</v>
      </c>
      <c r="E16" s="135" t="e">
        <f>'Coeficientes Latero-Direcionais'!$E$10*'Dados Geométricos'!$E$19*'Coeficientes Latero-Direcionais'!$E$13</f>
        <v>#NAME?</v>
      </c>
      <c r="F16" s="159" t="s">
        <v>91</v>
      </c>
      <c r="G16" s="165" t="e">
        <f>Interp1D('Dados Geométricos'!E13^2/'Dados Geométricos'!E12,'ESDU 73006'!B15:B25,'ESDU 73006'!C15:C25)</f>
        <v>#NAME?</v>
      </c>
      <c r="I16" s="222"/>
      <c r="J16" s="268" t="s">
        <v>568</v>
      </c>
      <c r="K16" s="332" t="e">
        <f>K15*K18*K20</f>
        <v>#NAME?</v>
      </c>
      <c r="L16" s="599"/>
      <c r="M16" s="599"/>
      <c r="N16" s="656"/>
      <c r="O16" s="670"/>
    </row>
    <row r="17" spans="2:15" ht="12.75">
      <c r="B17" s="159" t="s">
        <v>590</v>
      </c>
      <c r="C17" s="140">
        <v>0</v>
      </c>
      <c r="D17" s="25" t="s">
        <v>103</v>
      </c>
      <c r="E17" s="135" t="e">
        <f>'Coeficientes Latero-Direcionais'!$E$11*(-'Dados Geométricos'!$E$21)*'Coeficientes Latero-Direcionais'!$E$13*'Coeficientes Latero-Direcionais'!$E$7</f>
        <v>#NAME?</v>
      </c>
      <c r="F17" s="159" t="s">
        <v>80</v>
      </c>
      <c r="G17" s="165">
        <f>-(0.2575+Principal!$V$10^2/Principal!$V$11*(0.0008*Principal!$V$10^2/Principal!$V$11-0.024))*(1.39*('Dados Geométricos'!$E$65/'Dados Geométricos'!$E$66)^0.5-0.39)*Principal!$V$11*Principal!$V$10/('Dados Geométricos'!$E$12*'Dados Geométricos'!$E$13)</f>
        <v>-0.0802680214682996</v>
      </c>
      <c r="H17" s="219" t="s">
        <v>580</v>
      </c>
      <c r="I17" s="259" t="e">
        <f>2*'Coeficientes Latero-Direcionais'!$I$9*(Principal!$D$4*Principal!$E$52/57.3+Principal!$E$29)</f>
        <v>#NAME?</v>
      </c>
      <c r="J17" s="147"/>
      <c r="K17" s="164"/>
      <c r="L17" s="602"/>
      <c r="M17" s="602"/>
      <c r="N17" s="656"/>
      <c r="O17" s="670"/>
    </row>
    <row r="18" spans="2:15" ht="13.5" thickBot="1">
      <c r="B18" s="159"/>
      <c r="C18" s="165"/>
      <c r="D18" s="323"/>
      <c r="E18" s="326"/>
      <c r="F18" s="159" t="s">
        <v>99</v>
      </c>
      <c r="G18" s="165" t="e">
        <f>G15*(1+'Dados Geométricos'!E58/'Dados Geométricos'!E67)*G16</f>
        <v>#NAME?</v>
      </c>
      <c r="H18" s="220" t="s">
        <v>581</v>
      </c>
      <c r="I18" s="258" t="e">
        <f>2*'Coeficientes Latero-Direcionais'!$I$10*(Principal!$D$4*Principal!$E$52/57.3+Principal!$E$29)</f>
        <v>#NAME?</v>
      </c>
      <c r="J18" s="159" t="s">
        <v>27</v>
      </c>
      <c r="K18" s="163" t="e">
        <f>DITP(K6,K19,'ESDU 82010'!B4:F13)</f>
        <v>#NAME?</v>
      </c>
      <c r="L18" s="602"/>
      <c r="M18" s="602"/>
      <c r="N18" s="656"/>
      <c r="O18" s="670"/>
    </row>
    <row r="19" spans="2:15" ht="12.75">
      <c r="B19" s="269" t="s">
        <v>593</v>
      </c>
      <c r="C19" s="260">
        <f>C15*2</f>
        <v>-0.05935942249095501</v>
      </c>
      <c r="D19" s="25" t="s">
        <v>588</v>
      </c>
      <c r="E19" s="140" t="e">
        <f>E15+E16+E17</f>
        <v>#NAME?</v>
      </c>
      <c r="F19" s="159" t="s">
        <v>82</v>
      </c>
      <c r="G19" s="165" t="e">
        <f>-0.014*Principal!V10*'Dados Geométricos'!E77/('Dados Geométricos'!E13*'Dados Geométricos'!E12)*(Principal!$D$4-Principal!$E$28)</f>
        <v>#NAME?</v>
      </c>
      <c r="H19" s="599"/>
      <c r="I19" s="599"/>
      <c r="J19" s="159" t="s">
        <v>28</v>
      </c>
      <c r="K19" s="165">
        <f>'Dados Geométricos'!E69/('Dados Geométricos'!E69+Principal!V14)</f>
        <v>0.41239629087359686</v>
      </c>
      <c r="L19" s="602"/>
      <c r="M19" s="602"/>
      <c r="N19" s="656"/>
      <c r="O19" s="670"/>
    </row>
    <row r="20" spans="2:15" ht="12.75">
      <c r="B20" s="269" t="s">
        <v>594</v>
      </c>
      <c r="C20" s="260">
        <f>C16*2</f>
        <v>-0.0138544453785917</v>
      </c>
      <c r="D20" s="25"/>
      <c r="E20" s="326"/>
      <c r="F20" s="268" t="s">
        <v>597</v>
      </c>
      <c r="G20" s="256" t="e">
        <f>-(0.0714+0.674*'Dados Geométricos'!$E$67^2/Principal!$V$11+'Dados Geométricos'!$E$67*'Dados Geométricos'!$E$13*'Coeficientes Latero-Direcionais'!$G$10*'Coeficientes Latero-Direcionais'!$G$7/Principal!$V$11*(4.95*ABS('Coeficientes Latero-Direcionais'!$G$5)/'Dados Geométricos'!$E$67-0.12))*Principal!$V$11/'Dados Geométricos'!$E$12-0.006*ABS('Dados Geométricos'!$E$19)</f>
        <v>#NAME?</v>
      </c>
      <c r="H20" s="602"/>
      <c r="I20" s="602"/>
      <c r="J20" s="159" t="s">
        <v>29</v>
      </c>
      <c r="K20" s="163" t="e">
        <f>DITP(K21,K22,'ESDU 82010'!B16:F25)</f>
        <v>#NAME?</v>
      </c>
      <c r="L20" s="602"/>
      <c r="M20" s="602"/>
      <c r="N20" s="656"/>
      <c r="O20" s="670"/>
    </row>
    <row r="21" spans="2:15" ht="13.5" thickBot="1">
      <c r="B21" s="328" t="s">
        <v>595</v>
      </c>
      <c r="C21" s="261">
        <f>C17*2</f>
        <v>0</v>
      </c>
      <c r="D21" s="270" t="s">
        <v>589</v>
      </c>
      <c r="E21" s="258" t="e">
        <f>2*E19</f>
        <v>#NAME?</v>
      </c>
      <c r="F21" s="268" t="s">
        <v>598</v>
      </c>
      <c r="G21" s="256" t="e">
        <f>'Coeficientes Latero-Direcionais'!$G$17+('Coeficientes Longitudinais'!$C$11-0.5*Principal!$V$10)*'Coeficientes Latero-Direcionais'!G20/'Dados Geométricos'!$E$13</f>
        <v>#NAME?</v>
      </c>
      <c r="H21" s="602"/>
      <c r="I21" s="602"/>
      <c r="J21" s="159" t="s">
        <v>30</v>
      </c>
      <c r="K21" s="165">
        <f>Principal!V6/Principal!V14</f>
        <v>2.8911960132890364</v>
      </c>
      <c r="L21" s="602"/>
      <c r="M21" s="602"/>
      <c r="N21" s="656"/>
      <c r="O21" s="670"/>
    </row>
    <row r="22" spans="2:15" ht="13.5" thickBot="1">
      <c r="B22" s="662"/>
      <c r="C22" s="663"/>
      <c r="D22" s="409"/>
      <c r="E22" s="409"/>
      <c r="F22" s="270" t="s">
        <v>599</v>
      </c>
      <c r="G22" s="257" t="e">
        <f>'Coeficientes Latero-Direcionais'!$G$18+'Coeficientes Latero-Direcionais'!$G$19+'Coeficientes Latero-Direcionais'!G37+G31</f>
        <v>#NAME?</v>
      </c>
      <c r="H22" s="602"/>
      <c r="I22" s="602"/>
      <c r="J22" s="159" t="s">
        <v>31</v>
      </c>
      <c r="K22" s="165">
        <f>(Principal!V17/Principal!V14)^2</f>
        <v>0.9991696076754122</v>
      </c>
      <c r="L22" s="602"/>
      <c r="M22" s="602"/>
      <c r="N22" s="656"/>
      <c r="O22" s="670"/>
    </row>
    <row r="23" spans="2:15" ht="13.5" thickBot="1">
      <c r="B23" s="664"/>
      <c r="C23" s="656"/>
      <c r="D23" s="274"/>
      <c r="E23" s="274"/>
      <c r="F23" s="653" t="s">
        <v>546</v>
      </c>
      <c r="G23" s="655"/>
      <c r="H23" s="602"/>
      <c r="I23" s="602"/>
      <c r="J23" s="159" t="s">
        <v>32</v>
      </c>
      <c r="K23" s="163">
        <v>1</v>
      </c>
      <c r="L23" s="602"/>
      <c r="M23" s="602"/>
      <c r="N23" s="656"/>
      <c r="O23" s="670"/>
    </row>
    <row r="24" spans="2:15" ht="12.75">
      <c r="B24" s="664"/>
      <c r="C24" s="656"/>
      <c r="D24" s="274"/>
      <c r="E24" s="274"/>
      <c r="F24" s="251" t="s">
        <v>539</v>
      </c>
      <c r="G24" s="264">
        <f>'Coeficientes Longitudinais'!C5/COS('Coeficientes Longitudinais'!C8/57.3)</f>
        <v>8.796543099541436</v>
      </c>
      <c r="H24" s="602"/>
      <c r="I24" s="602"/>
      <c r="J24" s="159" t="s">
        <v>35</v>
      </c>
      <c r="K24" s="165">
        <f>-'Dados Geométricos'!E24</f>
        <v>1.226</v>
      </c>
      <c r="L24" s="602"/>
      <c r="M24" s="602"/>
      <c r="N24" s="656"/>
      <c r="O24" s="670"/>
    </row>
    <row r="25" spans="2:15" ht="12.75">
      <c r="B25" s="664"/>
      <c r="C25" s="656"/>
      <c r="D25" s="274"/>
      <c r="E25" s="274"/>
      <c r="F25" s="159" t="s">
        <v>540</v>
      </c>
      <c r="G25" s="165">
        <f>(2+(4+G24^2)^0.5)/(2+(4+G24^2/4)^0.5)*(1-G24^2/8/(4+G24^2/4+2*(4+G24^2/4)^0.5))</f>
        <v>1.1405060406647565</v>
      </c>
      <c r="H25" s="602"/>
      <c r="I25" s="602"/>
      <c r="J25" s="159" t="s">
        <v>33</v>
      </c>
      <c r="K25" s="165">
        <f>K24/'Dados Geométricos'!E67</f>
        <v>0.454074074074074</v>
      </c>
      <c r="L25" s="602"/>
      <c r="M25" s="602"/>
      <c r="N25" s="656"/>
      <c r="O25" s="670"/>
    </row>
    <row r="26" spans="2:15" ht="12.75">
      <c r="B26" s="664"/>
      <c r="C26" s="656"/>
      <c r="D26" s="274"/>
      <c r="E26" s="274"/>
      <c r="F26" s="159" t="s">
        <v>541</v>
      </c>
      <c r="G26" s="165">
        <f>-'Dados Geométricos'!E23/'Dados Geométricos'!E13*TAN('Coeficientes Longitudinais'!C8/57.3)*'Coeficientes Latero-Direcionais'!G25</f>
        <v>-0.09830736262463241</v>
      </c>
      <c r="H26" s="602"/>
      <c r="I26" s="602"/>
      <c r="J26" s="159" t="s">
        <v>498</v>
      </c>
      <c r="K26" s="165" t="e">
        <f>Interp1D(K27,'ESDU 82010'!B51:B63,'ESDU 82010'!C51:C63)</f>
        <v>#NAME?</v>
      </c>
      <c r="L26" s="602"/>
      <c r="M26" s="602"/>
      <c r="N26" s="656"/>
      <c r="O26" s="670"/>
    </row>
    <row r="27" spans="2:15" ht="12.75">
      <c r="B27" s="664"/>
      <c r="C27" s="656"/>
      <c r="D27" s="274"/>
      <c r="E27" s="274"/>
      <c r="F27" s="159" t="s">
        <v>542</v>
      </c>
      <c r="G27" s="165">
        <f>0.25+0.79*'Dados Geométricos'!E16-0.34*'Dados Geométricos'!E16^2</f>
        <v>0.45522663999999996</v>
      </c>
      <c r="H27" s="602"/>
      <c r="I27" s="602"/>
      <c r="J27" s="159" t="s">
        <v>34</v>
      </c>
      <c r="K27" s="165">
        <f>Principal!V17/Principal!V14</f>
        <v>0.9995847176079735</v>
      </c>
      <c r="L27" s="602"/>
      <c r="M27" s="602"/>
      <c r="N27" s="656"/>
      <c r="O27" s="670"/>
    </row>
    <row r="28" spans="2:15" ht="12.75">
      <c r="B28" s="664"/>
      <c r="C28" s="656"/>
      <c r="D28" s="274"/>
      <c r="E28" s="274"/>
      <c r="F28" s="159" t="s">
        <v>283</v>
      </c>
      <c r="G28" s="165">
        <f>0.05+0.08*'Dados Geométricos'!E16-0.04*'Dados Geométricos'!E16^2</f>
        <v>0.07028784</v>
      </c>
      <c r="H28" s="602"/>
      <c r="I28" s="602"/>
      <c r="J28" s="159"/>
      <c r="K28" s="165"/>
      <c r="L28" s="602"/>
      <c r="M28" s="602"/>
      <c r="N28" s="656"/>
      <c r="O28" s="670"/>
    </row>
    <row r="29" spans="2:15" ht="12.75">
      <c r="B29" s="664"/>
      <c r="C29" s="656"/>
      <c r="D29" s="274"/>
      <c r="E29" s="274"/>
      <c r="F29" s="159" t="s">
        <v>543</v>
      </c>
      <c r="G29" s="165">
        <f>-G27/'Coeficientes Longitudinais'!C5+'Coeficientes Latero-Direcionais'!G28</f>
        <v>0.014138236744645628</v>
      </c>
      <c r="H29" s="602"/>
      <c r="I29" s="602"/>
      <c r="J29" s="159" t="s">
        <v>1</v>
      </c>
      <c r="K29" s="165">
        <f>'Dados Geométricos'!L86</f>
        <v>0.833</v>
      </c>
      <c r="L29" s="602"/>
      <c r="M29" s="602"/>
      <c r="N29" s="656"/>
      <c r="O29" s="670"/>
    </row>
    <row r="30" spans="2:15" ht="12.75">
      <c r="B30" s="664"/>
      <c r="C30" s="656"/>
      <c r="D30" s="274"/>
      <c r="E30" s="274"/>
      <c r="F30" s="159" t="s">
        <v>544</v>
      </c>
      <c r="G30" s="165">
        <f>G26+G29</f>
        <v>-0.08416912587998679</v>
      </c>
      <c r="H30" s="602"/>
      <c r="I30" s="602"/>
      <c r="J30" s="159"/>
      <c r="K30" s="165"/>
      <c r="L30" s="602"/>
      <c r="M30" s="602"/>
      <c r="N30" s="656"/>
      <c r="O30" s="670"/>
    </row>
    <row r="31" spans="2:15" ht="13.5" thickBot="1">
      <c r="B31" s="664"/>
      <c r="C31" s="656"/>
      <c r="D31" s="274"/>
      <c r="E31" s="274"/>
      <c r="F31" s="27" t="s">
        <v>672</v>
      </c>
      <c r="G31" s="293" t="e">
        <f>$G$30*(Principal!$E$25*Principal!$D$4/57.3+Principal!$E$29)</f>
        <v>#NAME?</v>
      </c>
      <c r="H31" s="602"/>
      <c r="I31" s="602"/>
      <c r="J31" s="159" t="s">
        <v>0</v>
      </c>
      <c r="K31" s="165">
        <f>Principal!V8-('Coeficientes Longitudinais'!C11-(0.25-Principal!D7)*'Dados Geométricos'!E14)+'Dados Geométricos'!L81/4</f>
        <v>5.098372091187326</v>
      </c>
      <c r="L31" s="602"/>
      <c r="M31" s="602"/>
      <c r="N31" s="656"/>
      <c r="O31" s="670"/>
    </row>
    <row r="32" spans="2:15" ht="13.5" thickBot="1">
      <c r="B32" s="664"/>
      <c r="C32" s="656"/>
      <c r="D32" s="274"/>
      <c r="E32" s="274"/>
      <c r="F32" s="666" t="s">
        <v>547</v>
      </c>
      <c r="G32" s="667"/>
      <c r="H32" s="602"/>
      <c r="I32" s="602"/>
      <c r="J32" s="159" t="s">
        <v>38</v>
      </c>
      <c r="K32" s="165" t="e">
        <f>'Coeficientes Latero-Direcionais'!$K$29+0.85*'Coeficientes Latero-Direcionais'!$K$26*Principal!$V$14</f>
        <v>#NAME?</v>
      </c>
      <c r="L32" s="602"/>
      <c r="M32" s="602"/>
      <c r="N32" s="656"/>
      <c r="O32" s="670"/>
    </row>
    <row r="33" spans="2:15" ht="12.75">
      <c r="B33" s="664"/>
      <c r="C33" s="656"/>
      <c r="D33" s="274"/>
      <c r="E33" s="274"/>
      <c r="F33" s="251" t="s">
        <v>65</v>
      </c>
      <c r="G33" s="264">
        <f>('Dados Geométricos'!E30+'Dados Geométricos'!E31)/(4*PI())*(1-Principal!D5^2)^0.5</f>
        <v>1.0445500784847375</v>
      </c>
      <c r="H33" s="602"/>
      <c r="I33" s="602"/>
      <c r="J33" s="159" t="s">
        <v>39</v>
      </c>
      <c r="K33" s="165" t="e">
        <f>'Coeficientes Latero-Direcionais'!K31+0.7*'Coeficientes Latero-Direcionais'!K26*Principal!V14*TAN(Principal!$V$13*PI()/180)</f>
        <v>#NAME?</v>
      </c>
      <c r="L33" s="602"/>
      <c r="M33" s="602"/>
      <c r="N33" s="656"/>
      <c r="O33" s="670"/>
    </row>
    <row r="34" spans="2:15" ht="12.75">
      <c r="B34" s="664"/>
      <c r="C34" s="656"/>
      <c r="D34" s="274"/>
      <c r="E34" s="274"/>
      <c r="F34" s="25" t="s">
        <v>549</v>
      </c>
      <c r="G34" s="165">
        <f>'Coeficientes Longitudinais'!C5*(1-Principal!D5^2)^0.5/'Coeficientes Latero-Direcionais'!G33</f>
        <v>7.404102244159195</v>
      </c>
      <c r="H34" s="602"/>
      <c r="I34" s="602"/>
      <c r="J34" s="520" t="s">
        <v>578</v>
      </c>
      <c r="K34" s="521" t="e">
        <f>K32/'Dados Geométricos'!E13</f>
        <v>#NAME?</v>
      </c>
      <c r="L34" s="602"/>
      <c r="M34" s="602"/>
      <c r="N34" s="656"/>
      <c r="O34" s="670"/>
    </row>
    <row r="35" spans="2:15" ht="12.75">
      <c r="B35" s="664"/>
      <c r="C35" s="656"/>
      <c r="D35" s="274"/>
      <c r="E35" s="274"/>
      <c r="F35" s="159" t="s">
        <v>69</v>
      </c>
      <c r="G35" s="165">
        <f>ATAN(TAN('Dados Geométricos'!E15/57.3)/((1-Principal!D5^2)^0.5))*57.3</f>
        <v>27.07989815956342</v>
      </c>
      <c r="H35" s="602"/>
      <c r="I35" s="602"/>
      <c r="J35" s="522" t="s">
        <v>579</v>
      </c>
      <c r="K35" s="521" t="e">
        <f>K33/'Dados Geométricos'!E13</f>
        <v>#NAME?</v>
      </c>
      <c r="L35" s="602"/>
      <c r="M35" s="602"/>
      <c r="N35" s="656"/>
      <c r="O35" s="670"/>
    </row>
    <row r="36" spans="2:15" ht="12.75">
      <c r="B36" s="664"/>
      <c r="C36" s="656"/>
      <c r="D36" s="274"/>
      <c r="E36" s="274"/>
      <c r="F36" s="159" t="s">
        <v>673</v>
      </c>
      <c r="G36" s="165" t="e">
        <f>-Interp1D('Dados Geométricos'!E16,'ESDU A06.01.03'!B56:B59,'ESDU A06.01.03'!C56:C59)</f>
        <v>#NAME?</v>
      </c>
      <c r="H36" s="602"/>
      <c r="I36" s="602"/>
      <c r="J36" s="159" t="s">
        <v>37</v>
      </c>
      <c r="K36" s="165" t="e">
        <f>-$K$18*$K$20*$K$15*'Coeficientes Latero-Direcionais'!$K$5/'Dados Geométricos'!$E$12</f>
        <v>#NAME?</v>
      </c>
      <c r="L36" s="602"/>
      <c r="M36" s="602"/>
      <c r="N36" s="656"/>
      <c r="O36" s="670"/>
    </row>
    <row r="37" spans="2:15" ht="13.5" thickBot="1">
      <c r="B37" s="664"/>
      <c r="C37" s="656"/>
      <c r="D37" s="274"/>
      <c r="E37" s="274"/>
      <c r="F37" s="328" t="s">
        <v>545</v>
      </c>
      <c r="G37" s="261" t="e">
        <f>G36*G33*'Dados Geométricos'!E19/((1-Principal!D5^2)^0.5)</f>
        <v>#NAME?</v>
      </c>
      <c r="H37" s="602"/>
      <c r="I37" s="602"/>
      <c r="J37" s="159"/>
      <c r="K37" s="165"/>
      <c r="L37" s="602"/>
      <c r="M37" s="602"/>
      <c r="N37" s="656"/>
      <c r="O37" s="670"/>
    </row>
    <row r="38" spans="2:15" ht="12.75">
      <c r="B38" s="664"/>
      <c r="C38" s="656"/>
      <c r="D38" s="274"/>
      <c r="E38" s="274"/>
      <c r="F38" s="656"/>
      <c r="G38" s="656"/>
      <c r="H38" s="602"/>
      <c r="I38" s="602"/>
      <c r="J38" s="268" t="s">
        <v>600</v>
      </c>
      <c r="K38" s="256" t="e">
        <f>-'Coeficientes Latero-Direcionais'!$K$18*'Coeficientes Latero-Direcionais'!$K$20*'Coeficientes Latero-Direcionais'!$K$23*'Coeficientes Latero-Direcionais'!$K$15*'Coeficientes Latero-Direcionais'!$K$5/'Dados Geométricos'!$E$12</f>
        <v>#NAME?</v>
      </c>
      <c r="L38" s="602"/>
      <c r="M38" s="602"/>
      <c r="N38" s="656"/>
      <c r="O38" s="670"/>
    </row>
    <row r="39" spans="2:15" ht="12.75">
      <c r="B39" s="664"/>
      <c r="C39" s="656"/>
      <c r="D39" s="274"/>
      <c r="E39" s="274"/>
      <c r="F39" s="656"/>
      <c r="G39" s="656"/>
      <c r="H39" s="602"/>
      <c r="I39" s="602"/>
      <c r="J39" s="268" t="s">
        <v>601</v>
      </c>
      <c r="K39" s="256" t="e">
        <f>-'Coeficientes Latero-Direcionais'!K38*(('Coeficientes Latero-Direcionais'!$K$31+0.7*'Coeficientes Latero-Direcionais'!$K$26*Principal!$V$14*TAN(Principal!$V$13*PI()/180))*COS(Principal!$D$4*PI()/180)+('Coeficientes Latero-Direcionais'!$K$29+0.85*'Coeficientes Latero-Direcionais'!$K$26*Principal!$V$14)*SIN(Principal!$D$4*PI()/180))/'Dados Geométricos'!$E$13</f>
        <v>#NAME?</v>
      </c>
      <c r="L39" s="602"/>
      <c r="M39" s="602"/>
      <c r="N39" s="656"/>
      <c r="O39" s="670"/>
    </row>
    <row r="40" spans="2:15" ht="13.5" thickBot="1">
      <c r="B40" s="665"/>
      <c r="C40" s="657"/>
      <c r="D40" s="275"/>
      <c r="E40" s="275"/>
      <c r="F40" s="657"/>
      <c r="G40" s="657"/>
      <c r="H40" s="605"/>
      <c r="I40" s="605"/>
      <c r="J40" s="270" t="s">
        <v>602</v>
      </c>
      <c r="K40" s="257" t="e">
        <f>'Coeficientes Latero-Direcionais'!K38*(-('Coeficientes Latero-Direcionais'!$K$31+0.7*'Coeficientes Latero-Direcionais'!$K$26*Principal!$V$14*TAN(Principal!$V$13*PI()/180))*SIN(Principal!$D$4*PI()/180)+('Coeficientes Latero-Direcionais'!$K$29+0.85*'Coeficientes Latero-Direcionais'!$K$26*Principal!$V$14)*COS(Principal!$D$4*PI()/180))/'Dados Geométricos'!$E$13</f>
        <v>#NAME?</v>
      </c>
      <c r="L40" s="605"/>
      <c r="M40" s="605"/>
      <c r="N40" s="657"/>
      <c r="O40" s="671"/>
    </row>
    <row r="41" spans="12:13" ht="12.75">
      <c r="L41" s="104"/>
      <c r="M41" s="104"/>
    </row>
    <row r="42" spans="12:13" ht="12.75">
      <c r="L42" s="104"/>
      <c r="M42" s="104"/>
    </row>
    <row r="43" spans="12:14" ht="12.75">
      <c r="L43" s="104"/>
      <c r="M43" s="104"/>
      <c r="N43" s="20"/>
    </row>
    <row r="44" spans="7:14" ht="12.75">
      <c r="G44" s="161"/>
      <c r="H44" s="362"/>
      <c r="I44" s="362"/>
      <c r="J44" s="362"/>
      <c r="K44" s="368"/>
      <c r="L44" s="104"/>
      <c r="M44" s="104"/>
      <c r="N44" s="20"/>
    </row>
    <row r="45" spans="7:14" ht="12.75">
      <c r="G45" s="161"/>
      <c r="H45" s="33"/>
      <c r="I45" s="362"/>
      <c r="J45" s="362"/>
      <c r="L45" s="104"/>
      <c r="M45" s="104"/>
      <c r="N45" s="20"/>
    </row>
    <row r="46" spans="8:14" ht="12.75">
      <c r="H46" s="33"/>
      <c r="I46" s="152"/>
      <c r="J46" s="152"/>
      <c r="L46" s="104"/>
      <c r="M46" s="104"/>
      <c r="N46" s="20"/>
    </row>
    <row r="47" spans="8:14" ht="12.75">
      <c r="H47" s="33"/>
      <c r="I47" s="152"/>
      <c r="J47" s="152"/>
      <c r="L47" s="104"/>
      <c r="M47" s="104"/>
      <c r="N47" s="20"/>
    </row>
    <row r="48" spans="8:14" ht="12.75">
      <c r="H48" s="33"/>
      <c r="I48" s="152"/>
      <c r="J48" s="152"/>
      <c r="L48" s="104"/>
      <c r="M48" s="104"/>
      <c r="N48" s="20"/>
    </row>
    <row r="49" spans="9:14" ht="12.75">
      <c r="I49" s="152"/>
      <c r="J49" s="152"/>
      <c r="L49" s="104"/>
      <c r="M49" s="104"/>
      <c r="N49" s="20"/>
    </row>
    <row r="50" spans="8:14" ht="12.75">
      <c r="H50" s="20"/>
      <c r="I50" s="152"/>
      <c r="J50" s="152"/>
      <c r="N50" s="20"/>
    </row>
    <row r="51" spans="8:14" ht="12.75">
      <c r="H51" s="161"/>
      <c r="I51" s="152"/>
      <c r="K51" s="668"/>
      <c r="L51" s="668"/>
      <c r="M51" s="668"/>
      <c r="N51" s="20"/>
    </row>
    <row r="52" spans="8:14" ht="12.75">
      <c r="H52" s="154"/>
      <c r="I52" s="152"/>
      <c r="J52" s="152"/>
      <c r="L52" s="139"/>
      <c r="M52" s="139"/>
      <c r="N52" s="20"/>
    </row>
    <row r="53" spans="8:14" ht="12.75">
      <c r="H53" s="377"/>
      <c r="I53" s="152"/>
      <c r="J53" s="367"/>
      <c r="L53" s="104"/>
      <c r="M53" s="104"/>
      <c r="N53" s="20"/>
    </row>
    <row r="54" spans="8:14" ht="12.75">
      <c r="H54" s="152"/>
      <c r="I54" s="152"/>
      <c r="J54" s="367"/>
      <c r="L54" s="104"/>
      <c r="M54" s="104"/>
      <c r="N54" s="20"/>
    </row>
    <row r="55" spans="8:14" ht="12.75">
      <c r="H55" s="152"/>
      <c r="I55" s="152"/>
      <c r="J55" s="367"/>
      <c r="L55" s="104"/>
      <c r="M55" s="104"/>
      <c r="N55" s="20"/>
    </row>
    <row r="56" spans="8:14" ht="12.75">
      <c r="H56" s="152"/>
      <c r="I56" s="152"/>
      <c r="J56" s="367"/>
      <c r="L56" s="104"/>
      <c r="M56" s="104"/>
      <c r="N56" s="20"/>
    </row>
    <row r="57" spans="8:14" ht="12.75">
      <c r="H57" s="152"/>
      <c r="I57" s="152"/>
      <c r="J57" s="367"/>
      <c r="L57" s="104"/>
      <c r="M57" s="104"/>
      <c r="N57" s="20"/>
    </row>
    <row r="58" spans="8:14" ht="12.75">
      <c r="H58" s="152"/>
      <c r="I58" s="367"/>
      <c r="J58" s="367"/>
      <c r="L58" s="104"/>
      <c r="M58" s="104"/>
      <c r="N58" s="20"/>
    </row>
    <row r="59" spans="8:14" ht="12.75">
      <c r="H59" s="152"/>
      <c r="I59" s="367"/>
      <c r="J59" s="367"/>
      <c r="L59" s="104"/>
      <c r="M59" s="104"/>
      <c r="N59" s="20"/>
    </row>
    <row r="60" spans="8:14" ht="12.75">
      <c r="H60" s="152"/>
      <c r="I60" s="367"/>
      <c r="J60" s="367"/>
      <c r="L60" s="104"/>
      <c r="M60" s="104"/>
      <c r="N60" s="20"/>
    </row>
    <row r="61" spans="12:14" ht="12.75">
      <c r="L61" s="104"/>
      <c r="M61" s="104"/>
      <c r="N61" s="20"/>
    </row>
    <row r="62" ht="12.75">
      <c r="N62" s="20"/>
    </row>
    <row r="63" spans="12:14" ht="12.75">
      <c r="L63" s="668"/>
      <c r="M63" s="668"/>
      <c r="N63" s="668"/>
    </row>
    <row r="64" spans="11:14" ht="12.75">
      <c r="K64" s="104"/>
      <c r="L64" s="104"/>
      <c r="M64" s="104"/>
      <c r="N64" s="20"/>
    </row>
    <row r="65" spans="11:14" ht="12.75">
      <c r="K65" s="104"/>
      <c r="L65" s="104"/>
      <c r="M65" s="104"/>
      <c r="N65" s="20"/>
    </row>
    <row r="66" spans="11:14" ht="12.75">
      <c r="K66" s="104"/>
      <c r="L66" s="104"/>
      <c r="M66" s="104"/>
      <c r="N66" s="20"/>
    </row>
    <row r="67" spans="11:14" ht="12.75">
      <c r="K67" s="104"/>
      <c r="L67" s="104"/>
      <c r="M67" s="104"/>
      <c r="N67" s="20"/>
    </row>
    <row r="68" spans="11:14" ht="12.75">
      <c r="K68" s="104"/>
      <c r="L68" s="104"/>
      <c r="M68" s="104"/>
      <c r="N68" s="20"/>
    </row>
    <row r="69" spans="11:14" ht="12.75">
      <c r="K69" s="104"/>
      <c r="L69" s="104"/>
      <c r="M69" s="104"/>
      <c r="N69" s="20"/>
    </row>
    <row r="70" spans="11:14" ht="12.75">
      <c r="K70" s="104"/>
      <c r="L70" s="104"/>
      <c r="M70" s="104"/>
      <c r="N70" s="20"/>
    </row>
    <row r="71" spans="11:14" ht="12.75">
      <c r="K71" s="104"/>
      <c r="L71" s="104"/>
      <c r="M71" s="104"/>
      <c r="N71" s="20"/>
    </row>
    <row r="72" spans="11:14" ht="12.75">
      <c r="K72" s="104"/>
      <c r="L72" s="104"/>
      <c r="M72" s="104"/>
      <c r="N72" s="20"/>
    </row>
    <row r="73" spans="11:14" ht="12.75">
      <c r="K73" s="104"/>
      <c r="L73" s="104"/>
      <c r="M73" s="104"/>
      <c r="N73" s="20"/>
    </row>
    <row r="74" spans="11:14" ht="12.75">
      <c r="K74" s="104"/>
      <c r="L74" s="104"/>
      <c r="M74" s="104"/>
      <c r="N74" s="20"/>
    </row>
    <row r="75" spans="11:14" ht="12.75">
      <c r="K75" s="104"/>
      <c r="L75" s="104"/>
      <c r="M75" s="104"/>
      <c r="N75" s="20"/>
    </row>
    <row r="76" spans="11:14" ht="12.75">
      <c r="K76" s="104"/>
      <c r="L76" s="104"/>
      <c r="M76" s="104"/>
      <c r="N76" s="20"/>
    </row>
    <row r="77" spans="11:14" ht="12.75">
      <c r="K77" s="104"/>
      <c r="L77" s="104"/>
      <c r="M77" s="104"/>
      <c r="N77" s="20"/>
    </row>
    <row r="78" spans="11:14" ht="12.75">
      <c r="K78" s="104"/>
      <c r="N78" s="20"/>
    </row>
    <row r="79" spans="11:14" ht="12.75">
      <c r="K79" s="104"/>
      <c r="N79" s="20"/>
    </row>
    <row r="80" spans="11:14" ht="12.75">
      <c r="K80" s="104"/>
      <c r="N80" s="20"/>
    </row>
    <row r="81" spans="11:14" ht="12.75">
      <c r="K81" s="104"/>
      <c r="N81" s="20"/>
    </row>
    <row r="82" spans="11:14" ht="12.75">
      <c r="K82" s="104"/>
      <c r="N82" s="20"/>
    </row>
    <row r="83" spans="11:14" ht="12.75">
      <c r="K83" s="104"/>
      <c r="N83" s="20"/>
    </row>
    <row r="84" spans="11:14" ht="12.75">
      <c r="K84" s="104"/>
      <c r="N84" s="20"/>
    </row>
  </sheetData>
  <sheetProtection/>
  <mergeCells count="18">
    <mergeCell ref="H3:I3"/>
    <mergeCell ref="L3:M3"/>
    <mergeCell ref="B22:C40"/>
    <mergeCell ref="F32:G32"/>
    <mergeCell ref="L63:N63"/>
    <mergeCell ref="K51:M51"/>
    <mergeCell ref="L16:M40"/>
    <mergeCell ref="N15:O40"/>
    <mergeCell ref="B2:O2"/>
    <mergeCell ref="D3:E3"/>
    <mergeCell ref="B3:C3"/>
    <mergeCell ref="F23:G23"/>
    <mergeCell ref="B14:C14"/>
    <mergeCell ref="H19:I40"/>
    <mergeCell ref="F38:G40"/>
    <mergeCell ref="F3:G3"/>
    <mergeCell ref="J3:K3"/>
    <mergeCell ref="N3:O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21">
    <pageSetUpPr fitToPage="1"/>
  </sheetPr>
  <dimension ref="B2:AP106"/>
  <sheetViews>
    <sheetView zoomScale="85" zoomScaleNormal="85" zoomScalePageLayoutView="0" workbookViewId="0" topLeftCell="A22">
      <selection activeCell="B54" sqref="B54"/>
    </sheetView>
  </sheetViews>
  <sheetFormatPr defaultColWidth="9.140625" defaultRowHeight="12.75"/>
  <cols>
    <col min="1" max="1" width="2.140625" style="154" bestFit="1" customWidth="1"/>
    <col min="2" max="2" width="20.00390625" style="154" bestFit="1" customWidth="1"/>
    <col min="3" max="3" width="9.140625" style="154" customWidth="1"/>
    <col min="4" max="4" width="12.28125" style="154" bestFit="1" customWidth="1"/>
    <col min="5" max="5" width="8.57421875" style="154" customWidth="1"/>
    <col min="6" max="6" width="12.57421875" style="154" bestFit="1" customWidth="1"/>
    <col min="7" max="7" width="10.00390625" style="154" customWidth="1"/>
    <col min="8" max="8" width="13.00390625" style="154" customWidth="1"/>
    <col min="9" max="9" width="8.28125" style="154" customWidth="1"/>
    <col min="10" max="10" width="12.8515625" style="154" customWidth="1"/>
    <col min="11" max="11" width="8.421875" style="154" customWidth="1"/>
    <col min="12" max="12" width="14.140625" style="154" customWidth="1"/>
    <col min="13" max="13" width="8.00390625" style="154" customWidth="1"/>
    <col min="14" max="14" width="23.421875" style="154" bestFit="1" customWidth="1"/>
    <col min="15" max="15" width="8.7109375" style="154" bestFit="1" customWidth="1"/>
    <col min="16" max="16" width="20.00390625" style="154" bestFit="1" customWidth="1"/>
    <col min="17" max="17" width="11.28125" style="154" customWidth="1"/>
    <col min="18" max="18" width="17.421875" style="154" customWidth="1"/>
    <col min="19" max="19" width="7.8515625" style="154" customWidth="1"/>
    <col min="20" max="20" width="9.140625" style="154" customWidth="1"/>
    <col min="21" max="21" width="9.57421875" style="154" bestFit="1" customWidth="1"/>
    <col min="22" max="16384" width="9.140625" style="154" customWidth="1"/>
  </cols>
  <sheetData>
    <row r="1" ht="13.5" thickBot="1"/>
    <row r="2" spans="2:19" ht="13.5" thickBot="1">
      <c r="B2" s="632" t="s">
        <v>477</v>
      </c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634"/>
    </row>
    <row r="3" spans="2:19" ht="13.5" thickBot="1">
      <c r="B3" s="643" t="s">
        <v>351</v>
      </c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44"/>
    </row>
    <row r="4" spans="2:25" ht="13.5" thickBot="1">
      <c r="B4" s="706" t="s">
        <v>487</v>
      </c>
      <c r="C4" s="673"/>
      <c r="D4" s="672" t="s">
        <v>361</v>
      </c>
      <c r="E4" s="673"/>
      <c r="F4" s="706" t="s">
        <v>355</v>
      </c>
      <c r="G4" s="673"/>
      <c r="H4" s="706" t="s">
        <v>363</v>
      </c>
      <c r="I4" s="673"/>
      <c r="J4" s="706" t="s">
        <v>383</v>
      </c>
      <c r="K4" s="672"/>
      <c r="L4" s="706" t="s">
        <v>392</v>
      </c>
      <c r="M4" s="673"/>
      <c r="N4" s="706" t="s">
        <v>436</v>
      </c>
      <c r="O4" s="673"/>
      <c r="P4" s="679" t="s">
        <v>538</v>
      </c>
      <c r="Q4" s="680"/>
      <c r="R4" s="679" t="s">
        <v>607</v>
      </c>
      <c r="S4" s="703"/>
      <c r="T4" s="232"/>
      <c r="U4" s="232"/>
      <c r="V4" s="232"/>
      <c r="W4" s="232"/>
      <c r="X4" s="232"/>
      <c r="Y4" s="232"/>
    </row>
    <row r="5" spans="2:19" ht="12.75">
      <c r="B5" s="38" t="s">
        <v>488</v>
      </c>
      <c r="C5" s="141" t="e">
        <f>DITP($G$5,1/$O$5,'ESDU 74011'!$B$4:$J$11)</f>
        <v>#NAME?</v>
      </c>
      <c r="D5" s="39" t="s">
        <v>437</v>
      </c>
      <c r="E5" s="265">
        <v>0</v>
      </c>
      <c r="F5" s="38" t="s">
        <v>356</v>
      </c>
      <c r="G5" s="264">
        <f>'Dados Geométricos'!$E$95</f>
        <v>0.275</v>
      </c>
      <c r="H5" s="20" t="s">
        <v>380</v>
      </c>
      <c r="I5" s="140" t="e">
        <f>-DITP($G$5,'Dados Geométricos'!$E$90,'ESDU C04.01.01'!$B$4:$J$12)</f>
        <v>#NAME?</v>
      </c>
      <c r="J5" s="25" t="s">
        <v>387</v>
      </c>
      <c r="K5" s="135" t="e">
        <f>-DITP('Dados Geométricos'!$E$95,'Dados Geométricos'!$E$90,'ESDU C04.01.02'!$B$4:$J$12)</f>
        <v>#NAME?</v>
      </c>
      <c r="L5" s="224" t="s">
        <v>393</v>
      </c>
      <c r="M5" s="141">
        <f>('Dados Geométricos'!$E$100^2-(0.5*'Dados Geométricos'!$E$101)^2)^0.5</f>
        <v>0.16000000000000003</v>
      </c>
      <c r="N5" s="38" t="s">
        <v>409</v>
      </c>
      <c r="O5" s="141">
        <f>'Coeficientes Longitudinais'!$C$27*(1-Principal!$D$5^2)^0.5</f>
        <v>4.19938331980068</v>
      </c>
      <c r="P5" s="25" t="s">
        <v>86</v>
      </c>
      <c r="Q5" s="221" t="e">
        <f>Interp1D('Dados Geométricos'!$L$90,'ESDU C04.01.08'!$B$26:$B$33,'ESDU C04.01.08'!$C$26:$C$33)</f>
        <v>#NAME?</v>
      </c>
      <c r="R5" s="38" t="s">
        <v>610</v>
      </c>
      <c r="S5" s="141">
        <f>'Dados Geométricos'!$E$95*('Dados Geométricos'!$E$81+2*('Dados Geométricos'!$E$82-'Dados Geométricos'!$E$81)/'Dados Geométricos'!$E$83*('Dados Geométricos'!$E$98+'Dados Geométricos'!$E$96-'Dados Geométricos'!$E$104/2))</f>
        <v>0.3134799339270324</v>
      </c>
    </row>
    <row r="6" spans="2:25" ht="12.75">
      <c r="B6" s="25" t="s">
        <v>159</v>
      </c>
      <c r="C6" s="140" t="e">
        <f>'Coeficientes Longitudinais'!$C$35</f>
        <v>#NAME?</v>
      </c>
      <c r="D6" s="20" t="s">
        <v>367</v>
      </c>
      <c r="E6" s="140">
        <f>1-(0.1+(1.05-0.5*'Coeficientes de Controle'!$E$5)*TAN('Dados Geométricos'!$E$91/2*PI()/180))/((LOG10(Principal!$D$6)-5)^(1-2.5*TAN(0.5*'Dados Geométricos'!$E$91*PI()/180)))</f>
        <v>0.8621587326693736</v>
      </c>
      <c r="F6" s="25" t="s">
        <v>357</v>
      </c>
      <c r="G6" s="165">
        <f>'Dados Geométricos'!$E$90</f>
        <v>0.12</v>
      </c>
      <c r="H6" s="20"/>
      <c r="I6" s="150"/>
      <c r="J6" s="25"/>
      <c r="K6" s="222"/>
      <c r="L6" s="180"/>
      <c r="M6" s="248"/>
      <c r="N6" s="25" t="s">
        <v>407</v>
      </c>
      <c r="O6" s="140">
        <f>TAN('Dados Geométricos'!$E$84*PI()/180)/((1-Principal!$D$5^2)^0.5)</f>
        <v>0.5341278026289293</v>
      </c>
      <c r="P6" s="25" t="s">
        <v>115</v>
      </c>
      <c r="Q6" s="135" t="e">
        <f>('Dados Geométricos'!$E$108/'Dados Geométricos'!$E$96)*'Coeficientes de Controle'!$Q$5*COS('Dados Geométricos'!$E$84*PI()/180)/((1-Principal!$D$5^2)^0.5)</f>
        <v>#NAME?</v>
      </c>
      <c r="R6" s="25" t="s">
        <v>611</v>
      </c>
      <c r="S6" s="140">
        <f>'Dados Geométricos'!$E$95*('Dados Geométricos'!$E$81+2*('Dados Geométricos'!$E$82-'Dados Geométricos'!$E$81)/'Dados Geométricos'!$E$83*('Dados Geométricos'!$E$98+'Dados Geométricos'!$E$96/2))</f>
        <v>0.4296696459350761</v>
      </c>
      <c r="T6" s="153"/>
      <c r="U6" s="153"/>
      <c r="V6" s="153"/>
      <c r="W6" s="153"/>
      <c r="X6" s="153"/>
      <c r="Y6" s="153"/>
    </row>
    <row r="7" spans="2:25" ht="12.75">
      <c r="B7" s="25" t="s">
        <v>489</v>
      </c>
      <c r="C7" s="140" t="e">
        <f>$C$5*$C$6</f>
        <v>#NAME?</v>
      </c>
      <c r="D7" s="20"/>
      <c r="E7" s="150"/>
      <c r="F7" s="25"/>
      <c r="G7" s="150"/>
      <c r="H7" s="20" t="s">
        <v>381</v>
      </c>
      <c r="I7" s="140" t="e">
        <f>DITP('Dados Geométricos'!$E$95,$E$13,'ESDU C04.01.01'!$B$15:$J$22)</f>
        <v>#NAME?</v>
      </c>
      <c r="J7" s="25" t="s">
        <v>388</v>
      </c>
      <c r="K7" s="222" t="e">
        <f>DITP('Dados Geométricos'!$E$95,$G$14,'ESDU C04.01.02'!$B$15:$J$24)</f>
        <v>#NAME?</v>
      </c>
      <c r="L7" s="695" t="s">
        <v>394</v>
      </c>
      <c r="M7" s="696"/>
      <c r="N7" s="25"/>
      <c r="O7" s="140"/>
      <c r="P7" s="25" t="s">
        <v>420</v>
      </c>
      <c r="Q7" s="222">
        <f>'Dados Geométricos'!E100</f>
        <v>0.2</v>
      </c>
      <c r="R7" s="25" t="s">
        <v>613</v>
      </c>
      <c r="S7" s="140">
        <f>('Dados Geométricos'!$E$103+1)*S5</f>
        <v>0.7241386473714448</v>
      </c>
      <c r="T7" s="153"/>
      <c r="U7" s="153"/>
      <c r="V7" s="153"/>
      <c r="W7" s="153"/>
      <c r="X7" s="153"/>
      <c r="Y7" s="153"/>
    </row>
    <row r="8" spans="2:25" ht="12.75">
      <c r="B8" s="25" t="s">
        <v>485</v>
      </c>
      <c r="C8" s="140">
        <f>'Dados Geométricos'!$E$90/COS('Coeficientes Longitudinais'!$C$30*PI()/180)</f>
        <v>0.1309193625952532</v>
      </c>
      <c r="D8" s="20" t="s">
        <v>372</v>
      </c>
      <c r="E8" s="140">
        <f>2*PI()+(4.75+0.02*'Dados Geométricos'!$E$91)*'Dados Geométricos'!$E$90</f>
        <v>6.886785307179586</v>
      </c>
      <c r="F8" s="25" t="s">
        <v>376</v>
      </c>
      <c r="G8" s="140" t="e">
        <f>DITP($G$5,$G$6,'ESDU C01.01.03'!$B$4:$L$12)</f>
        <v>#NAME?</v>
      </c>
      <c r="H8" s="20"/>
      <c r="I8" s="150"/>
      <c r="J8" s="25"/>
      <c r="K8" s="222"/>
      <c r="L8" s="180" t="s">
        <v>402</v>
      </c>
      <c r="M8" s="162" t="e">
        <f>Interp1D(M5,'ESDU C04.01.03'!$G$6:$G$26,'ESDU C04.01.03'!$H$6:$H$26)</f>
        <v>#NAME?</v>
      </c>
      <c r="N8" s="25" t="s">
        <v>408</v>
      </c>
      <c r="O8" s="140" t="e">
        <f>Interp1D('Dados Geométricos'!$E$95,'ESDU 89009'!$A$32:$A$35,'ESDU 89009'!$C$32:$C$35)</f>
        <v>#NAME?</v>
      </c>
      <c r="P8" s="25" t="s">
        <v>536</v>
      </c>
      <c r="Q8" s="222">
        <f>'Dados Geométricos'!E107</f>
        <v>0</v>
      </c>
      <c r="R8" s="25" t="s">
        <v>615</v>
      </c>
      <c r="S8" s="165">
        <f>S5/'Dados Geométricos'!$E$95</f>
        <v>1.139927032461936</v>
      </c>
      <c r="T8" s="153"/>
      <c r="U8" s="153"/>
      <c r="V8" s="153"/>
      <c r="W8" s="153"/>
      <c r="X8" s="153"/>
      <c r="Y8" s="153"/>
    </row>
    <row r="9" spans="2:25" ht="12.75">
      <c r="B9" s="25" t="s">
        <v>479</v>
      </c>
      <c r="C9" s="140" t="e">
        <f>DITP($C$8,$G$5,'ESDU 74011'!$B$14:$G$19)</f>
        <v>#NAME?</v>
      </c>
      <c r="D9" s="20" t="s">
        <v>373</v>
      </c>
      <c r="E9" s="140">
        <f>$E$8*$E$6</f>
        <v>5.9375020926040145</v>
      </c>
      <c r="F9" s="25" t="s">
        <v>377</v>
      </c>
      <c r="G9" s="140" t="e">
        <f>DITP($E$6,$G$5,'ESDU C01.01.03'!$B$15:$R$21)</f>
        <v>#NAME?</v>
      </c>
      <c r="H9" s="20" t="s">
        <v>382</v>
      </c>
      <c r="I9" s="140" t="e">
        <f>$I$5*$I$7</f>
        <v>#NAME?</v>
      </c>
      <c r="J9" s="25" t="s">
        <v>389</v>
      </c>
      <c r="K9" s="222" t="e">
        <f>$K$5*$K$7</f>
        <v>#NAME?</v>
      </c>
      <c r="L9" s="180" t="s">
        <v>403</v>
      </c>
      <c r="M9" s="140" t="e">
        <f>Interp1D($M$5,'ESDU C04.01.03'!$G$31:$G$51,'ESDU C04.01.03'!$H$31:$H$51)</f>
        <v>#NAME?</v>
      </c>
      <c r="N9" s="25" t="s">
        <v>424</v>
      </c>
      <c r="O9" s="140" t="e">
        <f>DITP('Dados Geométricos'!$E$100,'Dados Geométricos'!$E$95,'ESDU 89009'!$B$50:$H$54)</f>
        <v>#NAME?</v>
      </c>
      <c r="P9" s="25" t="s">
        <v>537</v>
      </c>
      <c r="Q9" s="223" t="e">
        <f>DITP($Q$7,Q8,'ESDU C04.01.08'!$B$4:$K$23)</f>
        <v>#NAME?</v>
      </c>
      <c r="R9" s="25" t="s">
        <v>612</v>
      </c>
      <c r="S9" s="165">
        <f>'Dados Geométricos'!$E$103*'Coeficientes de Controle'!$S$5</f>
        <v>0.41065871344441246</v>
      </c>
      <c r="T9" s="153"/>
      <c r="U9" s="153"/>
      <c r="V9" s="153"/>
      <c r="W9" s="153"/>
      <c r="X9" s="153"/>
      <c r="Y9" s="153"/>
    </row>
    <row r="10" spans="2:25" ht="13.5" thickBot="1">
      <c r="B10" s="25" t="s">
        <v>490</v>
      </c>
      <c r="C10" s="140">
        <f>LOG10(Principal!$D$6*('Dados Geométricos'!$E$81+'Dados Geométricos'!$E$82)/2/'Dados Geométricos'!$E$14)</f>
        <v>6.86848633803302</v>
      </c>
      <c r="D10" s="20"/>
      <c r="E10" s="150"/>
      <c r="F10" s="25"/>
      <c r="G10" s="150"/>
      <c r="H10" s="20"/>
      <c r="I10" s="150"/>
      <c r="J10" s="25"/>
      <c r="K10" s="222"/>
      <c r="L10" s="180"/>
      <c r="M10" s="248"/>
      <c r="N10" s="25" t="s">
        <v>425</v>
      </c>
      <c r="O10" s="140" t="e">
        <f>$O$8*$O$9*$E$9*COS('Dados Geométricos'!$E$97*PI()/180)/(2*PI()*((1-Principal!$D$5^2)^0.5))</f>
        <v>#NAME?</v>
      </c>
      <c r="P10" s="270" t="s">
        <v>493</v>
      </c>
      <c r="Q10" s="258" t="e">
        <f>-Q9*Q6*COS('Dados Geométricos'!$E$110/57.3)</f>
        <v>#NAME?</v>
      </c>
      <c r="R10" s="25"/>
      <c r="S10" s="150"/>
      <c r="T10" s="153"/>
      <c r="U10" s="153"/>
      <c r="V10" s="153"/>
      <c r="W10" s="153"/>
      <c r="X10" s="153"/>
      <c r="Y10" s="153"/>
    </row>
    <row r="11" spans="2:25" ht="13.5" thickBot="1">
      <c r="B11" s="25" t="s">
        <v>480</v>
      </c>
      <c r="C11" s="140" t="e">
        <f>DITP($G$5,$C$10,'ESDU 74011'!$B$22:$G$27)</f>
        <v>#NAME?</v>
      </c>
      <c r="D11" s="20" t="s">
        <v>371</v>
      </c>
      <c r="E11" s="140">
        <f>2*ATAN('Dados Geométricos'!$E$90)*180/PI()</f>
        <v>13.68554682526188</v>
      </c>
      <c r="F11" s="25" t="s">
        <v>378</v>
      </c>
      <c r="G11" s="140" t="e">
        <f>$G$8*$G$9</f>
        <v>#NAME?</v>
      </c>
      <c r="H11" s="22" t="s">
        <v>368</v>
      </c>
      <c r="I11" s="142" t="e">
        <f>$I$9+2*($E$14-$E$16)*(TAN(0.5*'Dados Geométricos'!$E$91*PI()/180)-'Dados Geométricos'!$E$90)</f>
        <v>#NAME?</v>
      </c>
      <c r="J11" s="27" t="s">
        <v>390</v>
      </c>
      <c r="K11" s="134" t="e">
        <f>$K$9+2*($G$13-$G$16)*(TAN(0.5*'Dados Geométricos'!$E$91*PI()/180)-'Dados Geométricos'!$E$90)</f>
        <v>#NAME?</v>
      </c>
      <c r="L11" s="695" t="s">
        <v>396</v>
      </c>
      <c r="M11" s="696"/>
      <c r="N11" s="25"/>
      <c r="O11" s="150"/>
      <c r="P11" s="599"/>
      <c r="Q11" s="683"/>
      <c r="R11" s="25" t="s">
        <v>608</v>
      </c>
      <c r="S11" s="140">
        <f>('Dados Geométricos'!$E$104/'Dados Geométricos'!$E$96)</f>
        <v>0.14025663980901223</v>
      </c>
      <c r="T11" s="153"/>
      <c r="U11" s="153"/>
      <c r="V11" s="153"/>
      <c r="W11" s="153"/>
      <c r="X11" s="153"/>
      <c r="Y11" s="153"/>
    </row>
    <row r="12" spans="2:25" ht="12.75">
      <c r="B12" s="268" t="s">
        <v>491</v>
      </c>
      <c r="C12" s="256" t="e">
        <f>C7*(1-C11*C9)*COS('Dados Geométricos'!E97/57.3)</f>
        <v>#NAME?</v>
      </c>
      <c r="D12" s="20"/>
      <c r="E12" s="150"/>
      <c r="F12" s="25"/>
      <c r="G12" s="150"/>
      <c r="H12" s="599"/>
      <c r="I12" s="683"/>
      <c r="J12" s="599"/>
      <c r="K12" s="683"/>
      <c r="L12" s="180" t="s">
        <v>402</v>
      </c>
      <c r="M12" s="162" t="e">
        <f>Interp1D($M$5,'ESDU C04.01.03'!$G$6:$G$26,'ESDU C04.01.03'!$I$6:$I$26)</f>
        <v>#NAME?</v>
      </c>
      <c r="N12" s="25"/>
      <c r="O12" s="150"/>
      <c r="P12" s="685"/>
      <c r="Q12" s="685"/>
      <c r="R12" s="25" t="s">
        <v>609</v>
      </c>
      <c r="S12" s="140">
        <f>S9/S6</f>
        <v>0.9557545368388991</v>
      </c>
      <c r="T12" s="153"/>
      <c r="U12" s="153"/>
      <c r="V12" s="153"/>
      <c r="W12" s="153"/>
      <c r="X12" s="153"/>
      <c r="Y12" s="153"/>
    </row>
    <row r="13" spans="2:19" ht="12.75">
      <c r="B13" s="681" t="s">
        <v>535</v>
      </c>
      <c r="C13" s="682"/>
      <c r="D13" s="20" t="s">
        <v>374</v>
      </c>
      <c r="E13" s="140">
        <f>1-(0.1+(1.05-0.5*'Coeficientes de Controle'!$E$5)*TAN($E$11/2*PI()/180))/((LOG10(Principal!$D$6)-5)^(1-2.5*TAN(0.5*$E$11*PI()/180)))</f>
        <v>0.8646108708789109</v>
      </c>
      <c r="F13" s="25" t="s">
        <v>375</v>
      </c>
      <c r="G13" s="140" t="e">
        <f>DITP($G$5,$G$6,'ESDU C01.01.03'!$B$4:$L$12)</f>
        <v>#NAME?</v>
      </c>
      <c r="H13" s="685"/>
      <c r="I13" s="685"/>
      <c r="J13" s="685"/>
      <c r="K13" s="685"/>
      <c r="L13" s="180" t="s">
        <v>403</v>
      </c>
      <c r="M13" s="140" t="e">
        <f>Interp1D($M$5,'ESDU C04.01.03'!$G$31:$G$51,'ESDU C04.01.03'!$I$31:$I$51)</f>
        <v>#NAME?</v>
      </c>
      <c r="N13" s="25" t="s">
        <v>422</v>
      </c>
      <c r="O13" s="165">
        <f>2*'Dados Geométricos'!$E$98/Principal!$V$6</f>
        <v>0.037345590347601265</v>
      </c>
      <c r="P13" s="685"/>
      <c r="Q13" s="685"/>
      <c r="R13" s="25" t="s">
        <v>614</v>
      </c>
      <c r="S13" s="140">
        <f>'Dados Geométricos'!$E$100/'Dados Geométricos'!$E$103</f>
        <v>0.15267175572519084</v>
      </c>
    </row>
    <row r="14" spans="2:23" ht="12.75">
      <c r="B14" s="25" t="s">
        <v>422</v>
      </c>
      <c r="C14" s="140">
        <f>'Dados Geométricos'!$E$109/'Dados Geométricos'!E96</f>
        <v>0.038794389734407644</v>
      </c>
      <c r="D14" s="20" t="s">
        <v>369</v>
      </c>
      <c r="E14" s="140">
        <f>2*PI()+(4.75+0.02*$E$11)*'Dados Geométricos'!$E$90</f>
        <v>6.886030619560215</v>
      </c>
      <c r="F14" s="25" t="s">
        <v>379</v>
      </c>
      <c r="G14" s="140" t="e">
        <f>DITP($E$13,$G$5,'ESDU C01.01.03'!$B$15:$R$21)</f>
        <v>#NAME?</v>
      </c>
      <c r="H14" s="685"/>
      <c r="I14" s="685"/>
      <c r="J14" s="685"/>
      <c r="K14" s="685"/>
      <c r="L14" s="180"/>
      <c r="M14" s="248"/>
      <c r="N14" s="25" t="s">
        <v>109</v>
      </c>
      <c r="O14" s="140">
        <f>'Coeficientes Longitudinais'!$C$32</f>
        <v>1.9202125699527113</v>
      </c>
      <c r="P14" s="685"/>
      <c r="Q14" s="685"/>
      <c r="R14" s="25" t="s">
        <v>68</v>
      </c>
      <c r="S14" s="140">
        <f>S11*S12^2*(1-S13^2)</f>
        <v>0.1251334738748228</v>
      </c>
      <c r="T14" s="232"/>
      <c r="U14" s="232"/>
      <c r="W14" s="232"/>
    </row>
    <row r="15" spans="2:19" ht="12.75">
      <c r="B15" s="25" t="s">
        <v>521</v>
      </c>
      <c r="C15" s="140">
        <f>('Dados Geométricos'!$E$109+'Dados Geométricos'!$E$108)/'Dados Geométricos'!E96</f>
        <v>0.038794389734407644</v>
      </c>
      <c r="D15" s="20"/>
      <c r="E15" s="150"/>
      <c r="F15" s="25"/>
      <c r="G15" s="150"/>
      <c r="H15" s="685"/>
      <c r="I15" s="685"/>
      <c r="J15" s="685"/>
      <c r="K15" s="685"/>
      <c r="L15" s="695" t="s">
        <v>395</v>
      </c>
      <c r="M15" s="696"/>
      <c r="N15" s="25" t="s">
        <v>426</v>
      </c>
      <c r="O15" s="140" t="e">
        <f>DITP($O$14,$O$13,'ESDU 89009'!$B$57:$F$63)</f>
        <v>#NAME?</v>
      </c>
      <c r="P15" s="685"/>
      <c r="Q15" s="685"/>
      <c r="R15" s="25" t="s">
        <v>616</v>
      </c>
      <c r="S15" s="165">
        <f>'Dados Geométricos'!$E$104/'Coeficientes de Controle'!S9</f>
        <v>1.1445026846206687</v>
      </c>
    </row>
    <row r="16" spans="2:23" ht="13.5" thickBot="1">
      <c r="B16" s="25" t="s">
        <v>488</v>
      </c>
      <c r="C16" s="140" t="e">
        <f>DITP('Dados Geométricos'!$E$107,1/$O$5,'ESDU 74011'!$B$4:$J$11)</f>
        <v>#NAME?</v>
      </c>
      <c r="D16" s="22" t="s">
        <v>370</v>
      </c>
      <c r="E16" s="142">
        <f>$E$13*$E$14</f>
        <v>5.953736930876803</v>
      </c>
      <c r="F16" s="27" t="s">
        <v>391</v>
      </c>
      <c r="G16" s="142" t="e">
        <f>$G$13*$G$14</f>
        <v>#NAME?</v>
      </c>
      <c r="H16" s="685"/>
      <c r="I16" s="685"/>
      <c r="J16" s="685"/>
      <c r="K16" s="685"/>
      <c r="L16" s="180" t="s">
        <v>402</v>
      </c>
      <c r="M16" s="162" t="e">
        <f>Interp1D($M$5,'ESDU C04.01.03'!$G$6:$G$26,'ESDU C04.01.03'!$J$6:$J$26)</f>
        <v>#NAME?</v>
      </c>
      <c r="N16" s="25" t="s">
        <v>427</v>
      </c>
      <c r="O16" s="140" t="e">
        <f>$O$15*$O$9*$E$9*COS('Dados Geométricos'!$E$97*PI()/180)/(2*PI()*((1-Principal!$D$5^2)^0.5))</f>
        <v>#NAME?</v>
      </c>
      <c r="P16" s="685"/>
      <c r="Q16" s="685"/>
      <c r="R16" s="25" t="s">
        <v>624</v>
      </c>
      <c r="S16" s="165">
        <f>S7/S8</f>
        <v>0.63525</v>
      </c>
      <c r="T16" s="178"/>
      <c r="U16" s="178"/>
      <c r="W16" s="178"/>
    </row>
    <row r="17" spans="2:23" ht="12.75">
      <c r="B17" s="25" t="s">
        <v>489</v>
      </c>
      <c r="C17" s="140" t="e">
        <f>$C$16*$C$6</f>
        <v>#NAME?</v>
      </c>
      <c r="D17" s="598"/>
      <c r="E17" s="683"/>
      <c r="F17" s="599"/>
      <c r="G17" s="683"/>
      <c r="H17" s="685"/>
      <c r="I17" s="685"/>
      <c r="J17" s="685"/>
      <c r="K17" s="685"/>
      <c r="L17" s="180" t="s">
        <v>403</v>
      </c>
      <c r="M17" s="140" t="e">
        <f>Interp1D($M$5,'ESDU C04.01.03'!$G$31:$G$51,'ESDU C04.01.03'!$J$31:$J$51)</f>
        <v>#NAME?</v>
      </c>
      <c r="N17" s="25"/>
      <c r="O17" s="150"/>
      <c r="P17" s="685"/>
      <c r="Q17" s="685"/>
      <c r="R17" s="25"/>
      <c r="S17" s="150"/>
      <c r="T17" s="178"/>
      <c r="U17" s="178"/>
      <c r="V17" s="178"/>
      <c r="W17" s="178"/>
    </row>
    <row r="18" spans="2:23" ht="12.75">
      <c r="B18" s="25" t="s">
        <v>479</v>
      </c>
      <c r="C18" s="140" t="e">
        <f>DITP($C$8,'Dados Geométricos'!E107,'ESDU 74011'!$B$14:$G$19)</f>
        <v>#NAME?</v>
      </c>
      <c r="D18" s="684"/>
      <c r="E18" s="685"/>
      <c r="F18" s="685"/>
      <c r="G18" s="685"/>
      <c r="H18" s="685"/>
      <c r="I18" s="685"/>
      <c r="J18" s="685"/>
      <c r="K18" s="685"/>
      <c r="L18" s="180"/>
      <c r="M18" s="140"/>
      <c r="N18" s="25" t="s">
        <v>428</v>
      </c>
      <c r="O18" s="140" t="e">
        <f>$O$10+$O$16</f>
        <v>#NAME?</v>
      </c>
      <c r="P18" s="685"/>
      <c r="Q18" s="685"/>
      <c r="R18" s="25" t="s">
        <v>90</v>
      </c>
      <c r="S18" s="140">
        <f>5.48-17.5*'Dados Geométricos'!$E$90</f>
        <v>3.3800000000000003</v>
      </c>
      <c r="T18" s="178"/>
      <c r="U18" s="178"/>
      <c r="V18" s="178"/>
      <c r="W18" s="178"/>
    </row>
    <row r="19" spans="2:23" ht="12.75">
      <c r="B19" s="25" t="s">
        <v>490</v>
      </c>
      <c r="C19" s="140">
        <f>LOG10(Principal!$D$6*('Dados Geométricos'!$E$81+'Dados Geométricos'!$E$82)/2/'Dados Geométricos'!$E$14)</f>
        <v>6.86848633803302</v>
      </c>
      <c r="D19" s="684"/>
      <c r="E19" s="685"/>
      <c r="F19" s="685"/>
      <c r="G19" s="685"/>
      <c r="H19" s="685"/>
      <c r="I19" s="685"/>
      <c r="J19" s="685"/>
      <c r="K19" s="685"/>
      <c r="L19" s="194"/>
      <c r="M19" s="250"/>
      <c r="N19" s="268" t="s">
        <v>429</v>
      </c>
      <c r="O19" s="256" t="e">
        <f>($M$23/$E$9*'Coeficientes Longitudinais'!$C$35*COS('Dados Geométricos'!$E$97*PI()/180)+'Coeficientes de Controle'!$O$18)</f>
        <v>#NAME?</v>
      </c>
      <c r="P19" s="685"/>
      <c r="Q19" s="685"/>
      <c r="R19" s="25" t="s">
        <v>91</v>
      </c>
      <c r="S19" s="140">
        <f>4.12-12.3*'Dados Geométricos'!$E$90</f>
        <v>2.644</v>
      </c>
      <c r="T19" s="178"/>
      <c r="U19" s="333"/>
      <c r="V19" s="178"/>
      <c r="W19" s="178"/>
    </row>
    <row r="20" spans="2:19" ht="12.75">
      <c r="B20" s="25" t="s">
        <v>480</v>
      </c>
      <c r="C20" s="140" t="e">
        <f>DITP('Dados Geométricos'!E107,$C$19,'ESDU 74011'!$B$22:$G$27)</f>
        <v>#NAME?</v>
      </c>
      <c r="D20" s="684"/>
      <c r="E20" s="685"/>
      <c r="F20" s="685"/>
      <c r="G20" s="685"/>
      <c r="H20" s="685"/>
      <c r="I20" s="685"/>
      <c r="J20" s="685"/>
      <c r="K20" s="685"/>
      <c r="L20" s="180" t="s">
        <v>402</v>
      </c>
      <c r="M20" s="140" t="e">
        <f>IF('Dados Geométricos'!E99=1,M8,IF('Dados Geométricos'!E99=2,M12,M16))</f>
        <v>#NAME?</v>
      </c>
      <c r="N20" s="25"/>
      <c r="O20" s="150"/>
      <c r="P20" s="685"/>
      <c r="Q20" s="685"/>
      <c r="R20" s="25" t="s">
        <v>617</v>
      </c>
      <c r="S20" s="163">
        <v>1</v>
      </c>
    </row>
    <row r="21" spans="2:22" ht="12.75">
      <c r="B21" s="25"/>
      <c r="C21" s="140"/>
      <c r="D21" s="684"/>
      <c r="E21" s="685"/>
      <c r="F21" s="685"/>
      <c r="G21" s="685"/>
      <c r="H21" s="685"/>
      <c r="I21" s="685"/>
      <c r="J21" s="685"/>
      <c r="K21" s="685"/>
      <c r="L21" s="180" t="s">
        <v>403</v>
      </c>
      <c r="M21" s="140" t="e">
        <f>IF('Dados Geométricos'!E99=1,M9,IF('Dados Geométricos'!E99=2,M13,M17))</f>
        <v>#NAME?</v>
      </c>
      <c r="N21" s="25" t="s">
        <v>430</v>
      </c>
      <c r="O21" s="140">
        <f>0.15*2*'Dados Geométricos'!$E$98/Principal!$V$6</f>
        <v>0.00560183855214019</v>
      </c>
      <c r="P21" s="685"/>
      <c r="Q21" s="685"/>
      <c r="R21" s="25" t="s">
        <v>621</v>
      </c>
      <c r="S21" s="165">
        <f>'Dados Geométricos'!$E$90-TAN(0.5*'Dados Geométricos'!$E$91/57.3)</f>
        <v>-0.0027754264730614764</v>
      </c>
      <c r="T21" s="232"/>
      <c r="U21" s="232"/>
      <c r="V21" s="232"/>
    </row>
    <row r="22" spans="2:19" ht="12.75">
      <c r="B22" s="25" t="s">
        <v>527</v>
      </c>
      <c r="C22" s="140">
        <f>'Coeficientes Longitudinais'!$C$32-8*'Coeficientes Longitudinais'!$C$28</f>
        <v>-2.175389724502356</v>
      </c>
      <c r="D22" s="684"/>
      <c r="E22" s="685"/>
      <c r="F22" s="685"/>
      <c r="G22" s="685"/>
      <c r="H22" s="685"/>
      <c r="I22" s="685"/>
      <c r="J22" s="685"/>
      <c r="K22" s="685"/>
      <c r="L22" s="180"/>
      <c r="M22" s="140"/>
      <c r="N22" s="25" t="s">
        <v>431</v>
      </c>
      <c r="O22" s="140" t="e">
        <f>'Coeficientes de Controle'!$O$21*$O$9*$E$9*COS('Dados Geométricos'!$E$97*PI()/180)/(2*PI()*((1-Principal!$D$5^2)^0.5))</f>
        <v>#NAME?</v>
      </c>
      <c r="P22" s="685"/>
      <c r="Q22" s="685"/>
      <c r="R22" s="25" t="s">
        <v>618</v>
      </c>
      <c r="S22" s="165" t="e">
        <f>Interp1D(S21,'ESDU 88003'!$B$48:$B$53,'ESDU 88003'!$C$48:$C$53)</f>
        <v>#NAME?</v>
      </c>
    </row>
    <row r="23" spans="2:22" ht="12.75">
      <c r="B23" s="25"/>
      <c r="C23" s="140"/>
      <c r="D23" s="684"/>
      <c r="E23" s="685"/>
      <c r="F23" s="685"/>
      <c r="G23" s="685"/>
      <c r="H23" s="685"/>
      <c r="I23" s="685"/>
      <c r="J23" s="685"/>
      <c r="K23" s="685"/>
      <c r="L23" s="180" t="s">
        <v>404</v>
      </c>
      <c r="M23" s="140" t="e">
        <f>I11*M20</f>
        <v>#NAME?</v>
      </c>
      <c r="N23" s="25"/>
      <c r="O23" s="150"/>
      <c r="P23" s="685"/>
      <c r="Q23" s="685"/>
      <c r="R23" s="25"/>
      <c r="S23" s="140"/>
      <c r="U23" s="178"/>
      <c r="V23" s="178"/>
    </row>
    <row r="24" spans="2:22" ht="13.5" thickBot="1">
      <c r="B24" s="25" t="s">
        <v>530</v>
      </c>
      <c r="C24" s="140">
        <f>'Dados Geométricos'!E109/'Dados Geométricos'!E96</f>
        <v>0.038794389734407644</v>
      </c>
      <c r="D24" s="684"/>
      <c r="E24" s="685"/>
      <c r="F24" s="685"/>
      <c r="G24" s="685"/>
      <c r="H24" s="685"/>
      <c r="I24" s="685"/>
      <c r="J24" s="685"/>
      <c r="K24" s="685"/>
      <c r="L24" s="27" t="s">
        <v>405</v>
      </c>
      <c r="M24" s="142" t="e">
        <f>K11*M21</f>
        <v>#NAME?</v>
      </c>
      <c r="N24" s="270" t="s">
        <v>432</v>
      </c>
      <c r="O24" s="263" t="e">
        <f>(($M$24-$G$11/$E$9*$M$23)*COS('Dados Geométricos'!$E$97*PI()/180)/((1-Principal!$D$5^2)+TAN('Dados Geométricos'!$E$84*PI()/180)^2)^0.5+'Coeficientes de Controle'!$G$11/'Coeficientes de Controle'!$E$9*('Coeficientes de Controle'!$O$19+'Coeficientes de Controle'!$O$22))*COS('Dados Geométricos'!E97/57.3)</f>
        <v>#NAME?</v>
      </c>
      <c r="P24" s="685"/>
      <c r="Q24" s="685"/>
      <c r="R24" s="25" t="s">
        <v>622</v>
      </c>
      <c r="S24" s="140" t="e">
        <f>DITP(S16,S11,'ESDU 88003'!$B$4:$G$23)</f>
        <v>#NAME?</v>
      </c>
      <c r="T24" s="178"/>
      <c r="U24" s="178"/>
      <c r="V24" s="178"/>
    </row>
    <row r="25" spans="2:22" ht="12.75">
      <c r="B25" s="25" t="s">
        <v>531</v>
      </c>
      <c r="C25" s="140">
        <f>'Dados Geométricos'!E108/'Dados Geométricos'!E96</f>
        <v>0</v>
      </c>
      <c r="D25" s="684"/>
      <c r="E25" s="685"/>
      <c r="F25" s="685"/>
      <c r="G25" s="685"/>
      <c r="H25" s="685"/>
      <c r="I25" s="685"/>
      <c r="J25" s="685"/>
      <c r="K25" s="685"/>
      <c r="L25" s="599"/>
      <c r="M25" s="683"/>
      <c r="N25" s="599"/>
      <c r="O25" s="683"/>
      <c r="P25" s="685"/>
      <c r="Q25" s="685"/>
      <c r="R25" s="25" t="s">
        <v>623</v>
      </c>
      <c r="S25" s="140" t="e">
        <f>DITP(S16,S11,'ESDU 88003'!$B$26:$G$45)</f>
        <v>#NAME?</v>
      </c>
      <c r="T25" s="178"/>
      <c r="U25" s="178"/>
      <c r="V25" s="178"/>
    </row>
    <row r="26" spans="2:22" ht="12.75">
      <c r="B26" s="25"/>
      <c r="C26" s="140"/>
      <c r="D26" s="684"/>
      <c r="E26" s="685"/>
      <c r="F26" s="685"/>
      <c r="G26" s="685"/>
      <c r="H26" s="685"/>
      <c r="I26" s="685"/>
      <c r="J26" s="685"/>
      <c r="K26" s="685"/>
      <c r="L26" s="685"/>
      <c r="M26" s="685"/>
      <c r="N26" s="685"/>
      <c r="O26" s="685"/>
      <c r="P26" s="685"/>
      <c r="Q26" s="685"/>
      <c r="R26" s="268" t="s">
        <v>619</v>
      </c>
      <c r="S26" s="256" t="e">
        <f>S24*S18*S14*S15</f>
        <v>#NAME?</v>
      </c>
      <c r="T26" s="178"/>
      <c r="U26" s="178"/>
      <c r="V26" s="178"/>
    </row>
    <row r="27" spans="2:22" ht="13.5" thickBot="1">
      <c r="B27" s="25"/>
      <c r="C27" s="140"/>
      <c r="D27" s="684"/>
      <c r="E27" s="685"/>
      <c r="F27" s="685"/>
      <c r="G27" s="685"/>
      <c r="H27" s="685"/>
      <c r="I27" s="685"/>
      <c r="J27" s="685"/>
      <c r="K27" s="685"/>
      <c r="L27" s="685"/>
      <c r="M27" s="685"/>
      <c r="N27" s="685"/>
      <c r="O27" s="685"/>
      <c r="P27" s="685"/>
      <c r="Q27" s="685"/>
      <c r="R27" s="270" t="s">
        <v>620</v>
      </c>
      <c r="S27" s="257" t="e">
        <f>S25*S19*S14*S15*S20*S22</f>
        <v>#NAME?</v>
      </c>
      <c r="T27" s="178"/>
      <c r="U27" s="178"/>
      <c r="V27" s="178"/>
    </row>
    <row r="28" spans="2:22" ht="13.5" thickBot="1">
      <c r="B28" s="270" t="s">
        <v>492</v>
      </c>
      <c r="C28" s="257" t="e">
        <f>C17*(1-C20*C18)*(C25-C24)*COS('Dados Geométricos'!E110/57.3)</f>
        <v>#NAME?</v>
      </c>
      <c r="D28" s="686"/>
      <c r="E28" s="687"/>
      <c r="F28" s="687"/>
      <c r="G28" s="687"/>
      <c r="H28" s="687"/>
      <c r="I28" s="687"/>
      <c r="J28" s="687"/>
      <c r="K28" s="687"/>
      <c r="L28" s="687"/>
      <c r="M28" s="687"/>
      <c r="N28" s="687"/>
      <c r="O28" s="687"/>
      <c r="P28" s="687"/>
      <c r="Q28" s="687"/>
      <c r="R28" s="707"/>
      <c r="S28" s="708"/>
      <c r="T28" s="178"/>
      <c r="U28" s="178"/>
      <c r="V28" s="178"/>
    </row>
    <row r="29" spans="2:22" ht="13.5" thickBot="1">
      <c r="B29" s="643" t="s">
        <v>434</v>
      </c>
      <c r="C29" s="688"/>
      <c r="D29" s="688"/>
      <c r="E29" s="688"/>
      <c r="F29" s="688"/>
      <c r="G29" s="688"/>
      <c r="H29" s="688"/>
      <c r="I29" s="688"/>
      <c r="J29" s="688"/>
      <c r="K29" s="688"/>
      <c r="L29" s="688"/>
      <c r="M29" s="688"/>
      <c r="N29" s="688"/>
      <c r="O29" s="688"/>
      <c r="P29" s="688"/>
      <c r="Q29" s="688"/>
      <c r="R29" s="688"/>
      <c r="S29" s="644"/>
      <c r="T29" s="178"/>
      <c r="U29" s="178"/>
      <c r="V29" s="178"/>
    </row>
    <row r="30" spans="2:20" ht="13.5" thickBot="1">
      <c r="B30" s="689" t="s">
        <v>499</v>
      </c>
      <c r="C30" s="690"/>
      <c r="D30" s="677" t="s">
        <v>361</v>
      </c>
      <c r="E30" s="678"/>
      <c r="F30" s="691" t="s">
        <v>355</v>
      </c>
      <c r="G30" s="678"/>
      <c r="H30" s="691" t="s">
        <v>363</v>
      </c>
      <c r="I30" s="678"/>
      <c r="J30" s="691" t="s">
        <v>383</v>
      </c>
      <c r="K30" s="678"/>
      <c r="L30" s="691" t="s">
        <v>392</v>
      </c>
      <c r="M30" s="678"/>
      <c r="N30" s="706" t="s">
        <v>436</v>
      </c>
      <c r="O30" s="673"/>
      <c r="P30" s="679" t="s">
        <v>538</v>
      </c>
      <c r="Q30" s="703"/>
      <c r="R30" s="697"/>
      <c r="S30" s="698"/>
      <c r="T30" s="178"/>
    </row>
    <row r="31" spans="2:20" ht="12.75">
      <c r="B31" s="35" t="s">
        <v>831</v>
      </c>
      <c r="C31" s="439">
        <f>'Dados Geométricos'!$L$83+('Dados Geométricos'!$L$86-'Dados Geométricos'!$L$97)</f>
        <v>2.5839999999999996</v>
      </c>
      <c r="D31" s="39" t="s">
        <v>437</v>
      </c>
      <c r="E31" s="265">
        <v>0</v>
      </c>
      <c r="F31" s="38" t="s">
        <v>356</v>
      </c>
      <c r="G31" s="264">
        <f>'Dados Geométricos'!$L$94</f>
        <v>0.3</v>
      </c>
      <c r="H31" s="38" t="s">
        <v>380</v>
      </c>
      <c r="I31" s="141" t="e">
        <f>-DITP($G$31,'Dados Geométricos'!$L$89,'ESDU C04.01.01'!$B$4:$J$12)</f>
        <v>#NAME?</v>
      </c>
      <c r="J31" s="38" t="s">
        <v>387</v>
      </c>
      <c r="K31" s="170" t="e">
        <f>-DITP('Dados Geométricos'!$L$94,'Dados Geométricos'!$L$89,'ESDU C04.01.02'!$B$4:$J$12)</f>
        <v>#NAME?</v>
      </c>
      <c r="L31" s="224" t="s">
        <v>393</v>
      </c>
      <c r="M31" s="141">
        <f>('Dados Geométricos'!$L$100^2-(0.5*'Dados Geométricos'!$L$101)^2)^0.5</f>
        <v>0</v>
      </c>
      <c r="N31" s="38" t="s">
        <v>409</v>
      </c>
      <c r="O31" s="141">
        <f>'Coeficientes Latero-Direcionais'!$K$6*(1-Principal!$D$5^2)^0.5</f>
        <v>1.507026798105301</v>
      </c>
      <c r="P31" s="25" t="s">
        <v>86</v>
      </c>
      <c r="Q31" s="149" t="e">
        <f>Interp1D('Dados Geométricos'!$E$91,'ESDU C04.01.08'!$B$26:$B$33,'ESDU C04.01.08'!$C$26:$C$33)</f>
        <v>#NAME?</v>
      </c>
      <c r="R31" s="699"/>
      <c r="S31" s="700"/>
      <c r="T31" s="178"/>
    </row>
    <row r="32" spans="2:19" ht="12.75">
      <c r="B32" s="35" t="s">
        <v>840</v>
      </c>
      <c r="C32" s="277">
        <f>'Dados Geométricos'!$E$87+('Dados Geométricos'!$L$86-'Dados Geométricos'!$L$97)</f>
        <v>2.583</v>
      </c>
      <c r="D32" s="20" t="s">
        <v>367</v>
      </c>
      <c r="E32" s="140">
        <f>1-(0.1+(1.05-0.5*'Coeficientes de Controle'!$E$31)*TAN('Dados Geométricos'!$L$90/2*PI()/180))/((LOG10(Principal!$D$6)-5)^(1-2.5*TAN(0.5*'Dados Geométricos'!$L$90*PI()/180)))</f>
        <v>0.8621587326693736</v>
      </c>
      <c r="F32" s="25" t="s">
        <v>357</v>
      </c>
      <c r="G32" s="163">
        <f>'Dados Geométricos'!L89</f>
        <v>0.1</v>
      </c>
      <c r="H32" s="25"/>
      <c r="I32" s="150"/>
      <c r="J32" s="25"/>
      <c r="K32" s="222"/>
      <c r="L32" s="180"/>
      <c r="M32" s="248"/>
      <c r="N32" s="25" t="s">
        <v>407</v>
      </c>
      <c r="O32" s="140">
        <f>TAN(Principal!$V$13*PI()/180)/((1-Principal!$D$5^2)^0.5)</f>
        <v>1.0855307259125437</v>
      </c>
      <c r="P32" s="25" t="s">
        <v>115</v>
      </c>
      <c r="Q32" s="140" t="e">
        <f>('Dados Geométricos'!$L$104/Principal!$V$16)*'Coeficientes de Controle'!$Q$5*COS('Dados Geométricos'!$L$84*PI()/180)/((1-Principal!$D$5^2)^0.5)</f>
        <v>#NAME?</v>
      </c>
      <c r="R32" s="699"/>
      <c r="S32" s="700"/>
    </row>
    <row r="33" spans="2:19" ht="12.75">
      <c r="B33" s="25" t="s">
        <v>500</v>
      </c>
      <c r="C33" s="140" t="e">
        <f>'Coeficientes Latero-Direcionais'!$K$15</f>
        <v>#NAME?</v>
      </c>
      <c r="D33" s="20"/>
      <c r="E33" s="150"/>
      <c r="F33" s="25"/>
      <c r="G33" s="150"/>
      <c r="H33" s="25" t="s">
        <v>381</v>
      </c>
      <c r="I33" s="140" t="e">
        <f>DITP('Dados Geométricos'!$L$94,$E$39,'ESDU C04.01.01'!$B$15:$J$22)</f>
        <v>#NAME?</v>
      </c>
      <c r="J33" s="25" t="s">
        <v>388</v>
      </c>
      <c r="K33" s="222" t="e">
        <f>DITP('Dados Geométricos'!$L$94,$G$40,'ESDU C04.01.02'!$B$15:$J$24)</f>
        <v>#NAME?</v>
      </c>
      <c r="L33" s="695" t="s">
        <v>394</v>
      </c>
      <c r="M33" s="696"/>
      <c r="N33" s="25"/>
      <c r="O33" s="140"/>
      <c r="P33" s="25" t="s">
        <v>420</v>
      </c>
      <c r="Q33" s="163">
        <f>'Dados Geométricos'!$L$100</f>
        <v>0.12</v>
      </c>
      <c r="R33" s="699"/>
      <c r="S33" s="700"/>
    </row>
    <row r="34" spans="2:19" ht="12.75">
      <c r="B34" s="25" t="s">
        <v>501</v>
      </c>
      <c r="C34" s="140">
        <f>('Dados Geométricos'!$E$70+'Dados Geométricos'!$E$62)/('Dados Geométricos'!$E$70+'Dados Geométricos'!$E$62+2*Principal!$V$15)</f>
        <v>0.28628642452699904</v>
      </c>
      <c r="D34" s="20" t="s">
        <v>372</v>
      </c>
      <c r="E34" s="140">
        <f>2*PI()+(4.75+0.02*'Dados Geométricos'!$L$90)*'Dados Geométricos'!$L$89</f>
        <v>6.786185307179586</v>
      </c>
      <c r="F34" s="25" t="s">
        <v>376</v>
      </c>
      <c r="G34" s="140" t="e">
        <f>DITP($G$31,$G$32,'ESDU C01.01.03'!$B$4:$L$12)</f>
        <v>#NAME?</v>
      </c>
      <c r="H34" s="25"/>
      <c r="I34" s="150"/>
      <c r="J34" s="25"/>
      <c r="K34" s="222"/>
      <c r="L34" s="180" t="s">
        <v>402</v>
      </c>
      <c r="M34" s="162" t="e">
        <f>Interp1D(M31,'ESDU C04.01.03'!$G$6:$G$26,'ESDU C04.01.03'!$H$6:$H$26)</f>
        <v>#NAME?</v>
      </c>
      <c r="N34" s="25" t="s">
        <v>408</v>
      </c>
      <c r="O34" s="140" t="e">
        <f>Interp1D('Dados Geométricos'!$L$94,'ESDU 89009'!A38:A41,'ESDU 89009'!C39:C41)</f>
        <v>#NAME?</v>
      </c>
      <c r="P34" s="25" t="s">
        <v>536</v>
      </c>
      <c r="Q34" s="150">
        <f>'Dados Geométricos'!L103</f>
        <v>0</v>
      </c>
      <c r="R34" s="699"/>
      <c r="S34" s="700"/>
    </row>
    <row r="35" spans="2:19" ht="12.75">
      <c r="B35" s="25" t="s">
        <v>502</v>
      </c>
      <c r="C35" s="277" t="e">
        <f>DITP('Coeficientes Latero-Direcionais'!$K$6,'Coeficientes de Controle'!$C$34,'ESDU 87008'!$B$4:$F$13)</f>
        <v>#NAME?</v>
      </c>
      <c r="D35" s="20" t="s">
        <v>373</v>
      </c>
      <c r="E35" s="140">
        <f>$E$34*$E$32</f>
        <v>5.850768924097476</v>
      </c>
      <c r="F35" s="25" t="s">
        <v>377</v>
      </c>
      <c r="G35" s="140" t="e">
        <f>DITP($E$32,$G$31,'ESDU C01.01.03'!$B$15:$R$21)</f>
        <v>#NAME?</v>
      </c>
      <c r="H35" s="25" t="s">
        <v>382</v>
      </c>
      <c r="I35" s="140" t="e">
        <f>$I$31*$I$33</f>
        <v>#NAME?</v>
      </c>
      <c r="J35" s="25" t="s">
        <v>389</v>
      </c>
      <c r="K35" s="135" t="e">
        <f>$K$31*$K$33</f>
        <v>#NAME?</v>
      </c>
      <c r="L35" s="180" t="s">
        <v>403</v>
      </c>
      <c r="M35" s="140" t="e">
        <f>Interp1D($M$31,'ESDU C04.01.03'!$G$31:$G$51,'ESDU C04.01.03'!$H$31:$H$51)</f>
        <v>#NAME?</v>
      </c>
      <c r="N35" s="25" t="s">
        <v>424</v>
      </c>
      <c r="O35" s="140" t="e">
        <f>DITP('Dados Geométricos'!$L$100,'Dados Geométricos'!$L$94,'ESDU 89009'!$B$50:$H$54)</f>
        <v>#NAME?</v>
      </c>
      <c r="P35" s="25" t="s">
        <v>537</v>
      </c>
      <c r="Q35" s="163" t="e">
        <f>DITP($Q$33,$Q$34,'ESDU C04.01.08'!$B$4:$K$23)</f>
        <v>#NAME?</v>
      </c>
      <c r="R35" s="699"/>
      <c r="S35" s="700"/>
    </row>
    <row r="36" spans="2:19" ht="13.5" thickBot="1">
      <c r="B36" s="25" t="s">
        <v>503</v>
      </c>
      <c r="C36" s="140" t="e">
        <f>(0.8+0.25*(Principal!$V$18/Principal!$V$15))*$C$35</f>
        <v>#NAME?</v>
      </c>
      <c r="D36" s="20"/>
      <c r="E36" s="150"/>
      <c r="F36" s="25"/>
      <c r="G36" s="150"/>
      <c r="H36" s="25"/>
      <c r="I36" s="150"/>
      <c r="J36" s="25"/>
      <c r="K36" s="222"/>
      <c r="L36" s="180"/>
      <c r="M36" s="248"/>
      <c r="N36" s="25" t="s">
        <v>425</v>
      </c>
      <c r="O36" s="140" t="e">
        <f>$O$34*$O$35*$E$35*COS('Dados Geométricos'!$L$96*PI()/180)/(2*PI()*((1-Principal!$D$5^2)^0.5))</f>
        <v>#NAME?</v>
      </c>
      <c r="P36" s="270" t="s">
        <v>493</v>
      </c>
      <c r="Q36" s="257" t="e">
        <f>-Q35*'Coeficientes de Controle'!Q32*COS('Dados Geométricos'!L106/57.3)</f>
        <v>#NAME?</v>
      </c>
      <c r="R36" s="699"/>
      <c r="S36" s="700"/>
    </row>
    <row r="37" spans="2:19" ht="13.5" thickBot="1">
      <c r="B37" s="25" t="s">
        <v>29</v>
      </c>
      <c r="C37" s="140" t="e">
        <f>'Coeficientes Latero-Direcionais'!$K$20</f>
        <v>#NAME?</v>
      </c>
      <c r="D37" s="20" t="s">
        <v>371</v>
      </c>
      <c r="E37" s="140">
        <f>2*ATAN('Dados Geométricos'!$L$89)*180/PI()</f>
        <v>11.421186274999286</v>
      </c>
      <c r="F37" s="25" t="s">
        <v>378</v>
      </c>
      <c r="G37" s="140" t="e">
        <f>$G$34*$G$35</f>
        <v>#NAME?</v>
      </c>
      <c r="H37" s="27" t="s">
        <v>368</v>
      </c>
      <c r="I37" s="142" t="e">
        <f>$I$35+2*($E$40-$E$42)*(TAN(0.5*'Dados Geométricos'!$L$90*PI()/180)-'Dados Geométricos'!$L$89)</f>
        <v>#NAME?</v>
      </c>
      <c r="J37" s="27" t="s">
        <v>390</v>
      </c>
      <c r="K37" s="134" t="e">
        <f>$K$35+2*($G$39-$G$42)*(TAN(0.5*'Dados Geométricos'!$L$90*PI()/180)-'Dados Geométricos'!$L$89)</f>
        <v>#NAME?</v>
      </c>
      <c r="L37" s="695" t="s">
        <v>396</v>
      </c>
      <c r="M37" s="696"/>
      <c r="N37" s="25"/>
      <c r="O37" s="150"/>
      <c r="P37" s="602"/>
      <c r="Q37" s="602"/>
      <c r="R37" s="699"/>
      <c r="S37" s="700"/>
    </row>
    <row r="38" spans="2:19" ht="12.75">
      <c r="B38" s="25" t="s">
        <v>504</v>
      </c>
      <c r="C38" s="140" t="e">
        <f>-$C$36*$C$37*$C$33*'Coeficientes Latero-Direcionais'!$K$5/'Dados Geométricos'!$E$12</f>
        <v>#NAME?</v>
      </c>
      <c r="D38" s="20"/>
      <c r="E38" s="150"/>
      <c r="F38" s="25"/>
      <c r="G38" s="150"/>
      <c r="H38" s="599"/>
      <c r="I38" s="599"/>
      <c r="J38" s="599"/>
      <c r="K38" s="599"/>
      <c r="L38" s="180" t="s">
        <v>402</v>
      </c>
      <c r="M38" s="162" t="e">
        <f>Interp1D($M$31,'ESDU C04.01.03'!$G$6:$G$26,'ESDU C04.01.03'!$I$6:$I$26)</f>
        <v>#NAME?</v>
      </c>
      <c r="N38" s="25"/>
      <c r="O38" s="150"/>
      <c r="P38" s="602"/>
      <c r="Q38" s="602"/>
      <c r="R38" s="699"/>
      <c r="S38" s="700"/>
    </row>
    <row r="39" spans="2:19" ht="12.75">
      <c r="B39" s="25" t="s">
        <v>505</v>
      </c>
      <c r="C39" s="165" t="e">
        <f>$C$38*'Dados Geométricos'!$E$12/'Coeficientes Latero-Direcionais'!$K$5</f>
        <v>#NAME?</v>
      </c>
      <c r="D39" s="20" t="s">
        <v>374</v>
      </c>
      <c r="E39" s="140">
        <f>1-(0.1+(1.05-0.5*'Coeficientes de Controle'!$E$31)*TAN($E$37/2*PI()/180))/((LOG10(Principal!$D$6)-5)^(1-2.5*TAN(0.5*$E$37*PI()/180)))</f>
        <v>0.8816046627009387</v>
      </c>
      <c r="F39" s="25" t="s">
        <v>375</v>
      </c>
      <c r="G39" s="140" t="e">
        <f>DITP($G$31,$G$32,'ESDU C01.01.03'!$B$4:$L$12)</f>
        <v>#NAME?</v>
      </c>
      <c r="H39" s="602"/>
      <c r="I39" s="602"/>
      <c r="J39" s="602"/>
      <c r="K39" s="602"/>
      <c r="L39" s="180" t="s">
        <v>403</v>
      </c>
      <c r="M39" s="140" t="e">
        <f>Interp1D($M$31,'ESDU C04.01.03'!$G$31:$G$51,'ESDU C04.01.03'!$I$31:$I$51)</f>
        <v>#NAME?</v>
      </c>
      <c r="N39" s="25" t="s">
        <v>422</v>
      </c>
      <c r="O39" s="165">
        <f>'Dados Geométricos'!$L$98/('Dados Geométricos'!$L$83+'Dados Geométricos'!$L$86-'Dados Geométricos'!$L$97)</f>
        <v>0</v>
      </c>
      <c r="P39" s="602"/>
      <c r="Q39" s="602"/>
      <c r="R39" s="699"/>
      <c r="S39" s="700"/>
    </row>
    <row r="40" spans="2:19" ht="12.75">
      <c r="B40" s="25" t="s">
        <v>506</v>
      </c>
      <c r="C40" s="140" t="e">
        <f>-(PI()/(2*$C$39))*(1-($C$39/(2*PI()*COS(ATAN('Coeficientes Latero-Direcionais'!$K$10))))^2)</f>
        <v>#NAME?</v>
      </c>
      <c r="D40" s="20" t="s">
        <v>369</v>
      </c>
      <c r="E40" s="140">
        <f>2*PI()+(4.75+0.02*$E$37)*'Dados Geométricos'!$L$89</f>
        <v>6.7810276797295845</v>
      </c>
      <c r="F40" s="25" t="s">
        <v>379</v>
      </c>
      <c r="G40" s="140" t="e">
        <f>DITP($E$39,$G$31,'ESDU C01.01.03'!$B$15:$R$21)</f>
        <v>#NAME?</v>
      </c>
      <c r="H40" s="602"/>
      <c r="I40" s="602"/>
      <c r="J40" s="602"/>
      <c r="K40" s="602"/>
      <c r="L40" s="180"/>
      <c r="M40" s="248"/>
      <c r="N40" s="25" t="s">
        <v>109</v>
      </c>
      <c r="O40" s="140">
        <f>'Coeficientes Latero-Direcionais'!$K$14</f>
        <v>1.3966258786994856</v>
      </c>
      <c r="P40" s="602"/>
      <c r="Q40" s="602"/>
      <c r="R40" s="699"/>
      <c r="S40" s="700"/>
    </row>
    <row r="41" spans="2:19" ht="12.75">
      <c r="B41" s="25" t="s">
        <v>507</v>
      </c>
      <c r="C41" s="140" t="e">
        <f>1/$C$40</f>
        <v>#NAME?</v>
      </c>
      <c r="D41" s="20"/>
      <c r="E41" s="150"/>
      <c r="F41" s="25"/>
      <c r="G41" s="150"/>
      <c r="H41" s="602"/>
      <c r="I41" s="602"/>
      <c r="J41" s="602"/>
      <c r="K41" s="602"/>
      <c r="L41" s="695" t="s">
        <v>395</v>
      </c>
      <c r="M41" s="696"/>
      <c r="N41" s="25" t="s">
        <v>426</v>
      </c>
      <c r="O41" s="140" t="e">
        <f>DITP($O$40,$O$39,'ESDU 89009'!B57:F63)</f>
        <v>#NAME?</v>
      </c>
      <c r="P41" s="602"/>
      <c r="Q41" s="602"/>
      <c r="R41" s="699"/>
      <c r="S41" s="700"/>
    </row>
    <row r="42" spans="2:19" ht="14.25" customHeight="1" thickBot="1">
      <c r="B42" s="25" t="s">
        <v>514</v>
      </c>
      <c r="C42" s="140" t="e">
        <f>DITP($C$40,$G$31,'ESDU 87008'!$B$16:$K$24)</f>
        <v>#NAME?</v>
      </c>
      <c r="D42" s="22" t="s">
        <v>370</v>
      </c>
      <c r="E42" s="142">
        <f>$E$39*$E$40</f>
        <v>5.97818562035373</v>
      </c>
      <c r="F42" s="27" t="s">
        <v>391</v>
      </c>
      <c r="G42" s="142" t="e">
        <f>$G$39*$G$40</f>
        <v>#NAME?</v>
      </c>
      <c r="H42" s="602"/>
      <c r="I42" s="602"/>
      <c r="J42" s="602"/>
      <c r="K42" s="602"/>
      <c r="L42" s="180" t="s">
        <v>402</v>
      </c>
      <c r="M42" s="162" t="e">
        <f>Interp1D($M$31,'ESDU C04.01.03'!$G$6:$G$26,'ESDU C04.01.03'!$J$6:$J$26)</f>
        <v>#NAME?</v>
      </c>
      <c r="N42" s="25" t="s">
        <v>427</v>
      </c>
      <c r="O42" s="140" t="e">
        <f>$O$41*$O$35*$E$35*COS('Dados Geométricos'!$L$96*PI()/180)/(2*PI()*((1-Principal!$D$5^2)^0.5))</f>
        <v>#NAME?</v>
      </c>
      <c r="P42" s="602"/>
      <c r="Q42" s="602"/>
      <c r="R42" s="699"/>
      <c r="S42" s="700"/>
    </row>
    <row r="43" spans="2:40" ht="12.75">
      <c r="B43" s="25" t="s">
        <v>515</v>
      </c>
      <c r="C43" s="140">
        <f>$G$32*1/COS(('Coeficientes Latero-Direcionais'!$K$11)/57.3)</f>
        <v>0.13347490848542584</v>
      </c>
      <c r="D43" s="599"/>
      <c r="E43" s="599"/>
      <c r="F43" s="599"/>
      <c r="G43" s="599"/>
      <c r="H43" s="602"/>
      <c r="I43" s="602"/>
      <c r="J43" s="602"/>
      <c r="K43" s="602"/>
      <c r="L43" s="180" t="s">
        <v>403</v>
      </c>
      <c r="M43" s="140" t="e">
        <f>Interp1D($M$31,'ESDU C04.01.03'!$G$31:$G$51,'ESDU C04.01.03'!$J$31:$J$51)</f>
        <v>#NAME?</v>
      </c>
      <c r="N43" s="25"/>
      <c r="O43" s="150"/>
      <c r="P43" s="602"/>
      <c r="Q43" s="602"/>
      <c r="R43" s="699"/>
      <c r="S43" s="70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2:40" ht="12.75">
      <c r="B44" s="25" t="s">
        <v>479</v>
      </c>
      <c r="C44" s="140" t="e">
        <f>DITP($G$31,$C$43,'ESDU 87008'!B27:J32)</f>
        <v>#NAME?</v>
      </c>
      <c r="D44" s="602"/>
      <c r="E44" s="602"/>
      <c r="F44" s="602"/>
      <c r="G44" s="602"/>
      <c r="H44" s="602"/>
      <c r="I44" s="602"/>
      <c r="J44" s="602"/>
      <c r="K44" s="602"/>
      <c r="L44" s="180"/>
      <c r="M44" s="140"/>
      <c r="N44" s="25" t="s">
        <v>428</v>
      </c>
      <c r="O44" s="140" t="e">
        <f>$O$36+$O$42</f>
        <v>#NAME?</v>
      </c>
      <c r="P44" s="602"/>
      <c r="Q44" s="602"/>
      <c r="R44" s="699"/>
      <c r="S44" s="70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2:40" ht="12.75">
      <c r="B45" s="25" t="s">
        <v>480</v>
      </c>
      <c r="C45" s="140" t="e">
        <f>DITP(G31,LOG10(Principal!$D$6),'ESDU 87008'!$B$35:$J$41)</f>
        <v>#NAME?</v>
      </c>
      <c r="D45" s="602"/>
      <c r="E45" s="602"/>
      <c r="F45" s="602"/>
      <c r="G45" s="602"/>
      <c r="H45" s="602"/>
      <c r="I45" s="602"/>
      <c r="J45" s="602"/>
      <c r="K45" s="602"/>
      <c r="L45" s="194"/>
      <c r="M45" s="250"/>
      <c r="N45" s="268" t="s">
        <v>429</v>
      </c>
      <c r="O45" s="256" t="e">
        <f>(($M$49/$E$35*'Coeficientes Latero-Direcionais'!$K$15*COS('Dados Geométricos'!$L$96*PI()/180)+'Coeficientes de Controle'!$O$44))</f>
        <v>#NAME?</v>
      </c>
      <c r="P45" s="602"/>
      <c r="Q45" s="602"/>
      <c r="R45" s="699"/>
      <c r="S45" s="70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2:40" ht="12.75">
      <c r="B46" s="25" t="s">
        <v>520</v>
      </c>
      <c r="C46" s="140" t="e">
        <f>C42*(1-C44*C45)</f>
        <v>#NAME?</v>
      </c>
      <c r="D46" s="602"/>
      <c r="E46" s="602"/>
      <c r="F46" s="602"/>
      <c r="G46" s="602"/>
      <c r="H46" s="602"/>
      <c r="I46" s="602"/>
      <c r="J46" s="602"/>
      <c r="K46" s="602"/>
      <c r="L46" s="180" t="s">
        <v>402</v>
      </c>
      <c r="M46" s="140" t="e">
        <f>IF('Dados Geométricos'!$L$99=1,$M$34,IF('Dados Geométricos'!$L$99=2,$M$38,$M$42))</f>
        <v>#NAME?</v>
      </c>
      <c r="N46" s="25"/>
      <c r="O46" s="150"/>
      <c r="P46" s="602"/>
      <c r="Q46" s="602"/>
      <c r="R46" s="699"/>
      <c r="S46" s="70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2:40" ht="12.75">
      <c r="B47" s="25" t="s">
        <v>558</v>
      </c>
      <c r="C47" s="140" t="e">
        <f>$C$41*'Coeficientes Latero-Direcionais'!$K$10-8*'Coeficientes Latero-Direcionais'!$K$7</f>
        <v>#NAME?</v>
      </c>
      <c r="D47" s="602"/>
      <c r="E47" s="602"/>
      <c r="F47" s="602"/>
      <c r="G47" s="602"/>
      <c r="H47" s="602"/>
      <c r="I47" s="602"/>
      <c r="J47" s="602"/>
      <c r="K47" s="602"/>
      <c r="L47" s="180" t="s">
        <v>403</v>
      </c>
      <c r="M47" s="140" t="e">
        <f>IF('Dados Geométricos'!$L$99=1,$M$35,IF('Dados Geométricos'!$L$99=2,$M$39,$M$43))</f>
        <v>#NAME?</v>
      </c>
      <c r="N47" s="25" t="s">
        <v>430</v>
      </c>
      <c r="O47" s="140">
        <f>0.15*'Dados Geométricos'!$L$98/('Dados Geométricos'!$L$83+'Dados Geométricos'!$L$86-'Dados Geométricos'!$L$97)</f>
        <v>0</v>
      </c>
      <c r="P47" s="602"/>
      <c r="Q47" s="602"/>
      <c r="R47" s="699"/>
      <c r="S47" s="70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2:40" ht="12.75">
      <c r="B48" s="25" t="s">
        <v>422</v>
      </c>
      <c r="C48" s="140">
        <f>'Dados Geométricos'!$L$98/Principal!$V$15</f>
        <v>0</v>
      </c>
      <c r="D48" s="602"/>
      <c r="E48" s="602"/>
      <c r="F48" s="602"/>
      <c r="G48" s="602"/>
      <c r="H48" s="602"/>
      <c r="I48" s="602"/>
      <c r="J48" s="602"/>
      <c r="K48" s="602"/>
      <c r="L48" s="180"/>
      <c r="M48" s="140"/>
      <c r="N48" s="25" t="s">
        <v>431</v>
      </c>
      <c r="O48" s="140" t="e">
        <f>$O$47*$O$35*$E$35*COS('Dados Geométricos'!$L$96*PI()/180)/(2*PI()*((1-Principal!$D$5^2)^0.5))</f>
        <v>#NAME?</v>
      </c>
      <c r="P48" s="602"/>
      <c r="Q48" s="602"/>
      <c r="R48" s="699"/>
      <c r="S48" s="70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2:40" ht="12.75">
      <c r="B49" s="25" t="s">
        <v>521</v>
      </c>
      <c r="C49" s="140">
        <f>('Dados Geométricos'!$L$98+Principal!$V$16)/Principal!$V$15</f>
        <v>0.8452012383900931</v>
      </c>
      <c r="D49" s="602"/>
      <c r="E49" s="602"/>
      <c r="F49" s="602"/>
      <c r="G49" s="602"/>
      <c r="H49" s="602"/>
      <c r="I49" s="602"/>
      <c r="J49" s="602"/>
      <c r="K49" s="602"/>
      <c r="L49" s="180" t="s">
        <v>404</v>
      </c>
      <c r="M49" s="140" t="e">
        <f>-I37*M46</f>
        <v>#NAME?</v>
      </c>
      <c r="N49" s="25"/>
      <c r="O49" s="150"/>
      <c r="P49" s="602"/>
      <c r="Q49" s="602"/>
      <c r="R49" s="699"/>
      <c r="S49" s="70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2:40" ht="13.5" thickBot="1">
      <c r="B50" s="25"/>
      <c r="C50" s="140"/>
      <c r="D50" s="602"/>
      <c r="E50" s="602"/>
      <c r="F50" s="602"/>
      <c r="G50" s="602"/>
      <c r="H50" s="602"/>
      <c r="I50" s="602"/>
      <c r="J50" s="602"/>
      <c r="K50" s="602"/>
      <c r="L50" s="180"/>
      <c r="M50" s="140"/>
      <c r="N50" s="270" t="s">
        <v>432</v>
      </c>
      <c r="O50" s="263" t="e">
        <f>(('Coeficientes de Controle'!$M$51-'Coeficientes de Controle'!$G$37/'Coeficientes de Controle'!$E$35*'Coeficientes de Controle'!$M$49)*COS('Dados Geométricos'!$L$96*PI()/180)/((1-Principal!$D$5^2)+TAN(Principal!$V$13*PI()/180)^2)^0.5+'Coeficientes de Controle'!$G$37/'Coeficientes de Controle'!$E$35*('Coeficientes de Controle'!$O$45+'Coeficientes de Controle'!$O$48))*COS('Dados Geométricos'!L96/57.3)</f>
        <v>#NAME?</v>
      </c>
      <c r="P50" s="602"/>
      <c r="Q50" s="602"/>
      <c r="R50" s="699"/>
      <c r="S50" s="70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2:40" ht="13.5" thickBot="1">
      <c r="B51" s="268" t="s">
        <v>491</v>
      </c>
      <c r="C51" s="256" t="e">
        <f>-C39*C46*(C49-C48)*COS('Dados Geométricos'!L96/57.3)</f>
        <v>#NAME?</v>
      </c>
      <c r="D51" s="602"/>
      <c r="E51" s="602"/>
      <c r="F51" s="602"/>
      <c r="G51" s="602"/>
      <c r="H51" s="602"/>
      <c r="I51" s="602"/>
      <c r="J51" s="602"/>
      <c r="K51" s="602"/>
      <c r="L51" s="27" t="s">
        <v>405</v>
      </c>
      <c r="M51" s="142" t="e">
        <f>K37*M47</f>
        <v>#NAME?</v>
      </c>
      <c r="N51" s="599"/>
      <c r="O51" s="599"/>
      <c r="P51" s="602"/>
      <c r="Q51" s="602"/>
      <c r="R51" s="699"/>
      <c r="S51" s="70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2:40" ht="12.75">
      <c r="B52" s="268" t="s">
        <v>560</v>
      </c>
      <c r="C52" s="256" t="e">
        <f>-$C$38*$C$46*($C$49-$C$48)*COS('Dados Geométricos'!L96/57.3)</f>
        <v>#NAME?</v>
      </c>
      <c r="D52" s="602"/>
      <c r="E52" s="602"/>
      <c r="F52" s="602"/>
      <c r="G52" s="602"/>
      <c r="H52" s="602"/>
      <c r="I52" s="602"/>
      <c r="J52" s="602"/>
      <c r="K52" s="602"/>
      <c r="L52" s="692"/>
      <c r="M52" s="692"/>
      <c r="N52" s="602"/>
      <c r="O52" s="602"/>
      <c r="P52" s="602"/>
      <c r="Q52" s="602"/>
      <c r="R52" s="699"/>
      <c r="S52" s="70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2:40" ht="12.75">
      <c r="B53" s="522" t="s">
        <v>563</v>
      </c>
      <c r="C53" s="523" t="e">
        <f>(('Coeficientes Latero-Direcionais'!$K$31+0.7*'Coeficientes Latero-Direcionais'!K26*Principal!V14*TAN(Principal!$V$19/57.3))+0.25*('Dados Geométricos'!$L$81+'Dados Geométricos'!$L$82)/2)/'Dados Geométricos'!$E$13</f>
        <v>#NAME?</v>
      </c>
      <c r="D53" s="602"/>
      <c r="E53" s="602"/>
      <c r="F53" s="602"/>
      <c r="G53" s="602"/>
      <c r="H53" s="602"/>
      <c r="I53" s="602"/>
      <c r="J53" s="602"/>
      <c r="K53" s="602"/>
      <c r="L53" s="693"/>
      <c r="M53" s="693"/>
      <c r="N53" s="602"/>
      <c r="O53" s="602"/>
      <c r="P53" s="602"/>
      <c r="Q53" s="602"/>
      <c r="R53" s="699"/>
      <c r="S53" s="70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2:40" ht="12.75">
      <c r="B54" s="522" t="s">
        <v>564</v>
      </c>
      <c r="C54" s="523">
        <f>('Dados Geométricos'!$L$97+0.5*Principal!$V$16)/'Dados Geométricos'!$E$13</f>
        <v>0.09224683544303798</v>
      </c>
      <c r="D54" s="602"/>
      <c r="E54" s="602"/>
      <c r="F54" s="602"/>
      <c r="G54" s="602"/>
      <c r="H54" s="602"/>
      <c r="I54" s="602"/>
      <c r="J54" s="602"/>
      <c r="K54" s="602"/>
      <c r="L54" s="693"/>
      <c r="M54" s="693"/>
      <c r="N54" s="602"/>
      <c r="O54" s="602"/>
      <c r="P54" s="602"/>
      <c r="Q54" s="602"/>
      <c r="R54" s="699"/>
      <c r="S54" s="70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2:40" ht="12.75">
      <c r="B55" s="268" t="s">
        <v>561</v>
      </c>
      <c r="C55" s="256" t="e">
        <f>-$C$52*($C$53*COS(Principal!$D$4/57.3)+'Coeficientes de Controle'!$C$54*SIN(Principal!$D$4/57.3))</f>
        <v>#NAME?</v>
      </c>
      <c r="D55" s="602"/>
      <c r="E55" s="602"/>
      <c r="F55" s="602"/>
      <c r="G55" s="602"/>
      <c r="H55" s="602"/>
      <c r="I55" s="602"/>
      <c r="J55" s="602"/>
      <c r="K55" s="602"/>
      <c r="L55" s="693"/>
      <c r="M55" s="693"/>
      <c r="N55" s="602"/>
      <c r="O55" s="602"/>
      <c r="P55" s="602"/>
      <c r="Q55" s="602"/>
      <c r="R55" s="699"/>
      <c r="S55" s="70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2:40" ht="12.75">
      <c r="B56" s="268" t="s">
        <v>562</v>
      </c>
      <c r="C56" s="256" t="e">
        <f>$C$52*($C$54*COS(Principal!$D$4/57.3)-$C$53*SIN(Principal!$D$4/57.3))</f>
        <v>#NAME?</v>
      </c>
      <c r="D56" s="602"/>
      <c r="E56" s="602"/>
      <c r="F56" s="602"/>
      <c r="G56" s="602"/>
      <c r="H56" s="602"/>
      <c r="I56" s="602"/>
      <c r="J56" s="602"/>
      <c r="K56" s="602"/>
      <c r="L56" s="693"/>
      <c r="M56" s="693"/>
      <c r="N56" s="602"/>
      <c r="O56" s="602"/>
      <c r="P56" s="602"/>
      <c r="Q56" s="602"/>
      <c r="R56" s="699"/>
      <c r="S56" s="70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2:40" ht="12.75">
      <c r="B57" s="407" t="s">
        <v>535</v>
      </c>
      <c r="C57" s="408"/>
      <c r="D57" s="602"/>
      <c r="E57" s="602"/>
      <c r="F57" s="602"/>
      <c r="G57" s="602"/>
      <c r="H57" s="602"/>
      <c r="I57" s="602"/>
      <c r="J57" s="602"/>
      <c r="K57" s="602"/>
      <c r="L57" s="693"/>
      <c r="M57" s="693"/>
      <c r="N57" s="602"/>
      <c r="O57" s="602"/>
      <c r="P57" s="602"/>
      <c r="Q57" s="602"/>
      <c r="R57" s="699"/>
      <c r="S57" s="70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2:40" ht="12.75">
      <c r="B58" s="25" t="s">
        <v>514</v>
      </c>
      <c r="C58" s="140" t="e">
        <f>DITP($C$40,'Dados Geométricos'!L103,'ESDU 87008'!$B$16:$K$24)</f>
        <v>#NAME?</v>
      </c>
      <c r="D58" s="602"/>
      <c r="E58" s="602"/>
      <c r="F58" s="602"/>
      <c r="G58" s="602"/>
      <c r="H58" s="602"/>
      <c r="I58" s="602"/>
      <c r="J58" s="602"/>
      <c r="K58" s="602"/>
      <c r="L58" s="693"/>
      <c r="M58" s="693"/>
      <c r="N58" s="602"/>
      <c r="O58" s="602"/>
      <c r="P58" s="602"/>
      <c r="Q58" s="602"/>
      <c r="R58" s="699"/>
      <c r="S58" s="70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2:40" ht="12.75">
      <c r="B59" s="25" t="s">
        <v>515</v>
      </c>
      <c r="C59" s="140">
        <f>$G$32*1/COS(('Coeficientes Latero-Direcionais'!$K$11)/57.3)</f>
        <v>0.13347490848542584</v>
      </c>
      <c r="D59" s="602"/>
      <c r="E59" s="602"/>
      <c r="F59" s="602"/>
      <c r="G59" s="602"/>
      <c r="H59" s="602"/>
      <c r="I59" s="602"/>
      <c r="J59" s="602"/>
      <c r="K59" s="602"/>
      <c r="L59" s="693"/>
      <c r="M59" s="693"/>
      <c r="N59" s="602"/>
      <c r="O59" s="602"/>
      <c r="P59" s="602"/>
      <c r="Q59" s="602"/>
      <c r="R59" s="699"/>
      <c r="S59" s="70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2:40" ht="12.75">
      <c r="B60" s="25" t="s">
        <v>479</v>
      </c>
      <c r="C60" s="140" t="e">
        <f>DITP('Dados Geométricos'!$L$103,$C$43,'ESDU 87008'!$B$27:$J$32)</f>
        <v>#NAME?</v>
      </c>
      <c r="D60" s="602"/>
      <c r="E60" s="602"/>
      <c r="F60" s="602"/>
      <c r="G60" s="602"/>
      <c r="H60" s="602"/>
      <c r="I60" s="602"/>
      <c r="J60" s="602"/>
      <c r="K60" s="602"/>
      <c r="L60" s="693"/>
      <c r="M60" s="693"/>
      <c r="N60" s="602"/>
      <c r="O60" s="602"/>
      <c r="P60" s="602"/>
      <c r="Q60" s="602"/>
      <c r="R60" s="699"/>
      <c r="S60" s="70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2:40" ht="12.75">
      <c r="B61" s="25" t="s">
        <v>480</v>
      </c>
      <c r="C61" s="140" t="e">
        <f>DITP('Dados Geométricos'!$L$103,LOG10(Principal!$D$6),'ESDU 87008'!$B$35:$J$41)</f>
        <v>#NAME?</v>
      </c>
      <c r="D61" s="602"/>
      <c r="E61" s="602"/>
      <c r="F61" s="602"/>
      <c r="G61" s="602"/>
      <c r="H61" s="602"/>
      <c r="I61" s="602"/>
      <c r="J61" s="602"/>
      <c r="K61" s="602"/>
      <c r="L61" s="693"/>
      <c r="M61" s="693"/>
      <c r="N61" s="602"/>
      <c r="O61" s="602"/>
      <c r="P61" s="602"/>
      <c r="Q61" s="602"/>
      <c r="R61" s="699"/>
      <c r="S61" s="70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2:40" ht="12.75">
      <c r="B62" s="25" t="s">
        <v>520</v>
      </c>
      <c r="C62" s="140" t="e">
        <f>C58*(1-C60*C61)</f>
        <v>#NAME?</v>
      </c>
      <c r="D62" s="602"/>
      <c r="E62" s="602"/>
      <c r="F62" s="602"/>
      <c r="G62" s="602"/>
      <c r="H62" s="602"/>
      <c r="I62" s="602"/>
      <c r="J62" s="602"/>
      <c r="K62" s="602"/>
      <c r="L62" s="693"/>
      <c r="M62" s="693"/>
      <c r="N62" s="602"/>
      <c r="O62" s="602"/>
      <c r="P62" s="602"/>
      <c r="Q62" s="602"/>
      <c r="R62" s="699"/>
      <c r="S62" s="70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2:40" ht="12.75">
      <c r="B63" s="25" t="s">
        <v>558</v>
      </c>
      <c r="C63" s="140" t="e">
        <f>$C$40*'Coeficientes Latero-Direcionais'!$K$10-8*'Coeficientes Latero-Direcionais'!$K$7</f>
        <v>#NAME?</v>
      </c>
      <c r="D63" s="602"/>
      <c r="E63" s="602"/>
      <c r="F63" s="602"/>
      <c r="G63" s="602"/>
      <c r="H63" s="602"/>
      <c r="I63" s="602"/>
      <c r="J63" s="602"/>
      <c r="K63" s="602"/>
      <c r="L63" s="693"/>
      <c r="M63" s="693"/>
      <c r="N63" s="602"/>
      <c r="O63" s="602"/>
      <c r="P63" s="602"/>
      <c r="Q63" s="602"/>
      <c r="R63" s="699"/>
      <c r="S63" s="70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2:40" ht="12.75">
      <c r="B64" s="25" t="s">
        <v>422</v>
      </c>
      <c r="C64" s="140">
        <f>'Dados Geométricos'!$L$98/Principal!$V$15</f>
        <v>0</v>
      </c>
      <c r="D64" s="602"/>
      <c r="E64" s="602"/>
      <c r="F64" s="602"/>
      <c r="G64" s="602"/>
      <c r="H64" s="602"/>
      <c r="I64" s="602"/>
      <c r="J64" s="602"/>
      <c r="K64" s="602"/>
      <c r="L64" s="693"/>
      <c r="M64" s="693"/>
      <c r="N64" s="602"/>
      <c r="O64" s="602"/>
      <c r="P64" s="602"/>
      <c r="Q64" s="602"/>
      <c r="R64" s="699"/>
      <c r="S64" s="70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</row>
    <row r="65" spans="2:40" ht="12.75">
      <c r="B65" s="25" t="s">
        <v>521</v>
      </c>
      <c r="C65" s="140">
        <f>('Dados Geométricos'!$L$98+'Dados Geométricos'!$L$104)/Principal!$V$15</f>
        <v>0</v>
      </c>
      <c r="D65" s="602"/>
      <c r="E65" s="602"/>
      <c r="F65" s="602"/>
      <c r="G65" s="602"/>
      <c r="H65" s="602"/>
      <c r="I65" s="602"/>
      <c r="J65" s="602"/>
      <c r="K65" s="602"/>
      <c r="L65" s="693"/>
      <c r="M65" s="693"/>
      <c r="N65" s="602"/>
      <c r="O65" s="602"/>
      <c r="P65" s="602"/>
      <c r="Q65" s="602"/>
      <c r="R65" s="699"/>
      <c r="S65" s="70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</row>
    <row r="66" spans="2:40" ht="12.75">
      <c r="B66" s="25"/>
      <c r="C66" s="140"/>
      <c r="D66" s="602"/>
      <c r="E66" s="602"/>
      <c r="F66" s="602"/>
      <c r="G66" s="602"/>
      <c r="H66" s="602"/>
      <c r="I66" s="602"/>
      <c r="J66" s="602"/>
      <c r="K66" s="602"/>
      <c r="L66" s="693"/>
      <c r="M66" s="693"/>
      <c r="N66" s="602"/>
      <c r="O66" s="602"/>
      <c r="P66" s="602"/>
      <c r="Q66" s="602"/>
      <c r="R66" s="699"/>
      <c r="S66" s="70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</row>
    <row r="67" spans="2:40" ht="12.75">
      <c r="B67" s="268" t="s">
        <v>492</v>
      </c>
      <c r="C67" s="256" t="e">
        <f>-$C$39*$C$62*($C$65-$C$64)*COS('Dados Geométricos'!L106/57.3)</f>
        <v>#NAME?</v>
      </c>
      <c r="D67" s="602"/>
      <c r="E67" s="602"/>
      <c r="F67" s="602"/>
      <c r="G67" s="602"/>
      <c r="H67" s="602"/>
      <c r="I67" s="602"/>
      <c r="J67" s="602"/>
      <c r="K67" s="602"/>
      <c r="L67" s="693"/>
      <c r="M67" s="693"/>
      <c r="N67" s="602"/>
      <c r="O67" s="602"/>
      <c r="P67" s="602"/>
      <c r="Q67" s="602"/>
      <c r="R67" s="699"/>
      <c r="S67" s="70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</row>
    <row r="68" spans="2:40" ht="13.5" thickBot="1">
      <c r="B68" s="270" t="s">
        <v>642</v>
      </c>
      <c r="C68" s="257" t="e">
        <f>-$C$38*$C$62*($C$65-$C$64)</f>
        <v>#NAME?</v>
      </c>
      <c r="D68" s="605"/>
      <c r="E68" s="605"/>
      <c r="F68" s="605"/>
      <c r="G68" s="605"/>
      <c r="H68" s="605"/>
      <c r="I68" s="605"/>
      <c r="J68" s="605"/>
      <c r="K68" s="605"/>
      <c r="L68" s="694"/>
      <c r="M68" s="694"/>
      <c r="N68" s="605"/>
      <c r="O68" s="605"/>
      <c r="P68" s="605"/>
      <c r="Q68" s="605"/>
      <c r="R68" s="701"/>
      <c r="S68" s="702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</row>
    <row r="69" spans="2:42" ht="13.5" thickBot="1">
      <c r="B69" s="643" t="s">
        <v>433</v>
      </c>
      <c r="C69" s="688"/>
      <c r="D69" s="688"/>
      <c r="E69" s="688"/>
      <c r="F69" s="688"/>
      <c r="G69" s="688"/>
      <c r="H69" s="688"/>
      <c r="I69" s="688"/>
      <c r="J69" s="688"/>
      <c r="K69" s="688"/>
      <c r="L69" s="688"/>
      <c r="M69" s="688"/>
      <c r="N69" s="688"/>
      <c r="O69" s="688"/>
      <c r="P69" s="688"/>
      <c r="Q69" s="688"/>
      <c r="R69" s="688"/>
      <c r="S69" s="644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</row>
    <row r="70" spans="2:42" ht="13.5" thickBot="1">
      <c r="B70" s="709" t="s">
        <v>604</v>
      </c>
      <c r="C70" s="710"/>
      <c r="D70" s="691" t="s">
        <v>361</v>
      </c>
      <c r="E70" s="678"/>
      <c r="F70" s="691" t="s">
        <v>355</v>
      </c>
      <c r="G70" s="678"/>
      <c r="H70" s="691" t="s">
        <v>363</v>
      </c>
      <c r="I70" s="678"/>
      <c r="J70" s="691" t="s">
        <v>383</v>
      </c>
      <c r="K70" s="678"/>
      <c r="L70" s="691" t="s">
        <v>392</v>
      </c>
      <c r="M70" s="678"/>
      <c r="N70" s="677" t="s">
        <v>436</v>
      </c>
      <c r="O70" s="678"/>
      <c r="P70" s="704" t="s">
        <v>538</v>
      </c>
      <c r="Q70" s="705"/>
      <c r="R70" s="679" t="s">
        <v>607</v>
      </c>
      <c r="S70" s="703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</row>
    <row r="71" spans="2:42" ht="12.75">
      <c r="B71" s="38" t="s">
        <v>422</v>
      </c>
      <c r="C71" s="141">
        <f>2*'Dados Geométricos'!$E$40/'Dados Geométricos'!$E$13+Principal!D19</f>
        <v>0.7141350210970463</v>
      </c>
      <c r="D71" s="39" t="s">
        <v>437</v>
      </c>
      <c r="E71" s="265">
        <v>0</v>
      </c>
      <c r="F71" s="38" t="s">
        <v>356</v>
      </c>
      <c r="G71" s="264">
        <f>'Dados Geométricos'!$E$37</f>
        <v>0.25</v>
      </c>
      <c r="H71" s="38" t="s">
        <v>380</v>
      </c>
      <c r="I71" s="149" t="e">
        <f>-DITP($G$71,'Coeficientes de Controle'!$G$72,'ESDU C04.01.01'!$B$4:$J$12)</f>
        <v>#NAME?</v>
      </c>
      <c r="J71" s="38" t="s">
        <v>387</v>
      </c>
      <c r="K71" s="149" t="e">
        <f>-DITP('Dados Geométricos'!$E$37,'Coeficientes de Controle'!$G$72,'ESDU C04.01.02'!$B$4:$J$12)</f>
        <v>#NAME?</v>
      </c>
      <c r="L71" s="224" t="s">
        <v>393</v>
      </c>
      <c r="M71" s="141">
        <f>('Dados Geométricos'!$E$42^2-(0.5*'Dados Geométricos'!$E$43)^2)^0.5</f>
        <v>0</v>
      </c>
      <c r="N71" s="39" t="s">
        <v>409</v>
      </c>
      <c r="O71" s="141">
        <f>'Coeficientes Longitudinais'!$C$5*(1-Principal!$D$5^2)^0.5</f>
        <v>7.733955580245508</v>
      </c>
      <c r="P71" s="25" t="s">
        <v>86</v>
      </c>
      <c r="Q71" s="149" t="e">
        <f>Interp1D('Coeficientes de Controle'!$G$73,'ESDU C04.01.08'!$B$26:$B$33,'ESDU C04.01.08'!$C$26:$C$33)</f>
        <v>#NAME?</v>
      </c>
      <c r="R71" s="38" t="s">
        <v>610</v>
      </c>
      <c r="S71" s="141">
        <f>'Dados Geométricos'!$E$37*('Dados Geométricos'!$E$17+2*('Coeficientes Longitudinais'!$C$6-'Dados Geométricos'!$E$17)/'Dados Geométricos'!$E$13*('Dados Geométricos'!$E$40+'Dados Geométricos'!$E$38-'Dados Geométricos'!$E$47/2))</f>
        <v>0.2711254056962026</v>
      </c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</row>
    <row r="72" spans="2:42" ht="12.75">
      <c r="B72" s="25" t="s">
        <v>521</v>
      </c>
      <c r="C72" s="140">
        <f>2*('Dados Geométricos'!$E$40+'Dados Geométricos'!E38)/'Dados Geométricos'!$E$13</f>
        <v>0.9962025316455695</v>
      </c>
      <c r="D72" s="20" t="s">
        <v>367</v>
      </c>
      <c r="E72" s="140">
        <f>1-(0.1+(1.05-0.5*'Coeficientes de Controle'!$E$71)*TAN('Coeficientes de Controle'!$G$73/2*PI()/180))/((LOG10(Principal!$D$6)-5)^(1-2.5*TAN(0.5*'Coeficientes de Controle'!$G$73*PI()/180)))</f>
        <v>0.8621587326693736</v>
      </c>
      <c r="F72" s="25" t="s">
        <v>357</v>
      </c>
      <c r="G72" s="470">
        <f>'Dados Geométricos'!$E$26-('Dados Geométricos'!$E$40*2+'Dados Geométricos'!$E$38)/'Dados Geométricos'!$E$13*('Dados Geométricos'!$E$26-'Dados Geométricos'!$E$27)</f>
        <v>0.12434493670886076</v>
      </c>
      <c r="H72" s="25"/>
      <c r="I72" s="150"/>
      <c r="J72" s="25"/>
      <c r="K72" s="150"/>
      <c r="L72" s="180"/>
      <c r="M72" s="248"/>
      <c r="N72" s="20" t="s">
        <v>407</v>
      </c>
      <c r="O72" s="140">
        <f>TAN('Dados Geométricos'!E15*PI()/180)/((1-Principal!$D$5^2)^0.5)</f>
        <v>0.5112826769687226</v>
      </c>
      <c r="P72" s="25" t="s">
        <v>115</v>
      </c>
      <c r="Q72" s="140" t="e">
        <f>('Dados Geométricos'!$E$51/'Dados Geométricos'!$E$38)*'Coeficientes de Controle'!$Q$5*COS('Dados Geométricos'!$E$15*PI()/180)/((1-Principal!$D$5^2)^0.5)</f>
        <v>#NAME?</v>
      </c>
      <c r="R72" s="25" t="s">
        <v>611</v>
      </c>
      <c r="S72" s="140">
        <f>'Dados Geométricos'!$E$37*('Dados Geométricos'!$E$17+2*('Coeficientes Longitudinais'!$C$6-'Dados Geométricos'!$E$17)/'Dados Geométricos'!$E$13*('Dados Geométricos'!$E$40+'Dados Geométricos'!$E$38/2))</f>
        <v>0.3604037922468355</v>
      </c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</row>
    <row r="73" spans="2:42" ht="12.75">
      <c r="B73" s="25" t="s">
        <v>488</v>
      </c>
      <c r="C73" s="140" t="e">
        <f>DITP($G$71,1/$O$71,'ESDU 74011'!$B$4:$J$11)</f>
        <v>#NAME?</v>
      </c>
      <c r="D73" s="20"/>
      <c r="E73" s="150"/>
      <c r="F73" s="25" t="s">
        <v>638</v>
      </c>
      <c r="G73" s="471">
        <f>'Dados Geométricos'!$E$28-('Dados Geométricos'!$E$40*2+'Dados Geométricos'!$E$38)/'Dados Geométricos'!$E$13*('Dados Geométricos'!$E$28-'Dados Geométricos'!$E$29)</f>
        <v>14</v>
      </c>
      <c r="H73" s="25" t="s">
        <v>381</v>
      </c>
      <c r="I73" s="150" t="e">
        <f>DITP('Dados Geométricos'!$L$94,$E$79,'ESDU C04.01.01'!$B$15:$J$22)</f>
        <v>#NAME?</v>
      </c>
      <c r="J73" s="25" t="s">
        <v>388</v>
      </c>
      <c r="K73" s="150" t="e">
        <f>DITP('Dados Geométricos'!$E$37,$G$80,'ESDU C04.01.02'!$B$15:$J$24)</f>
        <v>#NAME?</v>
      </c>
      <c r="L73" s="695" t="s">
        <v>394</v>
      </c>
      <c r="M73" s="696"/>
      <c r="N73" s="20"/>
      <c r="O73" s="140"/>
      <c r="P73" s="25" t="s">
        <v>420</v>
      </c>
      <c r="Q73" s="163">
        <f>'Dados Geométricos'!$E$42</f>
        <v>0.12</v>
      </c>
      <c r="R73" s="25" t="s">
        <v>613</v>
      </c>
      <c r="S73" s="140">
        <f>('Dados Geométricos'!$E$46+1)*'Coeficientes de Controle'!S71</f>
        <v>0.5422508113924052</v>
      </c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</row>
    <row r="74" spans="2:42" ht="12.75">
      <c r="B74" s="25" t="s">
        <v>159</v>
      </c>
      <c r="C74" s="140" t="e">
        <f>'Coeficientes Longitudinais'!C13</f>
        <v>#NAME?</v>
      </c>
      <c r="D74" s="20" t="s">
        <v>372</v>
      </c>
      <c r="E74" s="140">
        <f>2*PI()+(4.75+0.02*'Coeficientes de Controle'!$G$73)*'Coeficientes de Controle'!$G$72</f>
        <v>6.908640338825156</v>
      </c>
      <c r="G74" s="150"/>
      <c r="H74" s="25"/>
      <c r="I74" s="150"/>
      <c r="J74" s="25"/>
      <c r="K74" s="150"/>
      <c r="L74" s="180" t="s">
        <v>402</v>
      </c>
      <c r="M74" s="162" t="e">
        <f>Interp1D(M71,'ESDU C04.01.03'!$G$6:$G$26,'ESDU C04.01.03'!$H$6:$H$26)</f>
        <v>#NAME?</v>
      </c>
      <c r="N74" s="20" t="s">
        <v>408</v>
      </c>
      <c r="O74" s="140" t="e">
        <f>Interp1D('Dados Geométricos'!$E$37,'ESDU 89009'!A44:A47,'ESDU 89009'!C45:C47)</f>
        <v>#NAME?</v>
      </c>
      <c r="P74" s="25" t="s">
        <v>536</v>
      </c>
      <c r="Q74" s="150">
        <f>'Dados Geométricos'!E50</f>
        <v>0.1</v>
      </c>
      <c r="R74" s="25" t="s">
        <v>615</v>
      </c>
      <c r="S74" s="165">
        <f>'Coeficientes de Controle'!S71/'Dados Geométricos'!$E$37</f>
        <v>1.0845016227848103</v>
      </c>
      <c r="AB74" s="20"/>
      <c r="AC74" s="20"/>
      <c r="AD74" s="20"/>
      <c r="AE74" s="20"/>
      <c r="AF74" s="20"/>
      <c r="AG74" s="20"/>
      <c r="AH74" s="18"/>
      <c r="AI74" s="18"/>
      <c r="AJ74" s="18"/>
      <c r="AK74" s="20"/>
      <c r="AL74" s="20"/>
      <c r="AM74" s="20"/>
      <c r="AN74" s="20"/>
      <c r="AO74" s="20"/>
      <c r="AP74" s="20"/>
    </row>
    <row r="75" spans="2:42" ht="12.75">
      <c r="B75" s="25" t="s">
        <v>489</v>
      </c>
      <c r="C75" s="140" t="e">
        <f>$C$73*$C$74</f>
        <v>#NAME?</v>
      </c>
      <c r="D75" s="20" t="s">
        <v>373</v>
      </c>
      <c r="E75" s="140">
        <f>$E$74*$E$72</f>
        <v>5.956344598990008</v>
      </c>
      <c r="F75" s="25" t="s">
        <v>376</v>
      </c>
      <c r="G75" s="140" t="e">
        <f>DITP($G$71,$G$72,'ESDU C01.01.03'!$B$4:$L$12)</f>
        <v>#NAME?</v>
      </c>
      <c r="H75" s="25" t="s">
        <v>382</v>
      </c>
      <c r="I75" s="150" t="e">
        <f>$I$71*$I$73</f>
        <v>#NAME?</v>
      </c>
      <c r="J75" s="25" t="s">
        <v>389</v>
      </c>
      <c r="K75" s="150" t="e">
        <f>$K$71*$K$73</f>
        <v>#NAME?</v>
      </c>
      <c r="L75" s="180" t="s">
        <v>403</v>
      </c>
      <c r="M75" s="140" t="e">
        <f>Interp1D($M$71,'ESDU C04.01.03'!$G$31:$G$51,'ESDU C04.01.03'!$H$31:$H$51)</f>
        <v>#NAME?</v>
      </c>
      <c r="N75" s="20" t="s">
        <v>424</v>
      </c>
      <c r="O75" s="140" t="e">
        <f>DITP('Dados Geométricos'!$E$42,'Dados Geométricos'!$E$37,'ESDU 89009'!$B$50:$H$54)</f>
        <v>#NAME?</v>
      </c>
      <c r="P75" s="25" t="s">
        <v>537</v>
      </c>
      <c r="Q75" s="163" t="e">
        <f>DITP($Q$73,$Q$74,'ESDU C04.01.08'!$B$4:$K$23)</f>
        <v>#NAME?</v>
      </c>
      <c r="R75" s="25" t="s">
        <v>612</v>
      </c>
      <c r="S75" s="165">
        <f>'Dados Geométricos'!$E$46*'Coeficientes de Controle'!S71</f>
        <v>0.2711254056962026</v>
      </c>
      <c r="AB75" s="20"/>
      <c r="AC75" s="20"/>
      <c r="AD75" s="20"/>
      <c r="AE75" s="20"/>
      <c r="AF75" s="20"/>
      <c r="AG75" s="20"/>
      <c r="AH75" s="20"/>
      <c r="AI75" s="20"/>
      <c r="AJ75" s="18"/>
      <c r="AK75" s="20"/>
      <c r="AL75" s="20"/>
      <c r="AM75" s="20"/>
      <c r="AN75" s="20"/>
      <c r="AO75" s="20"/>
      <c r="AP75" s="20"/>
    </row>
    <row r="76" spans="2:42" ht="13.5" thickBot="1">
      <c r="B76" s="25" t="s">
        <v>485</v>
      </c>
      <c r="C76" s="140">
        <f>'Coeficientes de Controle'!H78/COS('Coeficientes Longitudinais'!C8*PI()/180)</f>
        <v>0</v>
      </c>
      <c r="D76" s="20"/>
      <c r="E76" s="150"/>
      <c r="F76" s="25" t="s">
        <v>377</v>
      </c>
      <c r="G76" s="140" t="e">
        <f>DITP($E$72,$G$71,'ESDU C01.01.03'!$B$15:$R$21)</f>
        <v>#NAME?</v>
      </c>
      <c r="H76" s="25"/>
      <c r="I76" s="150"/>
      <c r="J76" s="25"/>
      <c r="K76" s="150"/>
      <c r="L76" s="180"/>
      <c r="M76" s="248"/>
      <c r="N76" s="20" t="s">
        <v>425</v>
      </c>
      <c r="O76" s="140" t="e">
        <f>$O$74*$O$75*$E$75*COS('Dados Geométricos'!$E$39*PI()/180)/(2*PI()*((1-Principal!$D$5^2)^0.5))</f>
        <v>#NAME?</v>
      </c>
      <c r="P76" s="270" t="s">
        <v>493</v>
      </c>
      <c r="Q76" s="257" t="e">
        <f>-Q75*'Coeficientes de Controle'!Q72*COS('Dados Geométricos'!E53/57.3)</f>
        <v>#NAME?</v>
      </c>
      <c r="R76" s="25"/>
      <c r="S76" s="150"/>
      <c r="AB76" s="20"/>
      <c r="AC76" s="20"/>
      <c r="AD76" s="20"/>
      <c r="AE76" s="20"/>
      <c r="AF76" s="20"/>
      <c r="AG76" s="20"/>
      <c r="AH76" s="20"/>
      <c r="AI76" s="20"/>
      <c r="AJ76" s="18"/>
      <c r="AK76" s="20"/>
      <c r="AL76" s="20"/>
      <c r="AM76" s="20"/>
      <c r="AN76" s="20"/>
      <c r="AO76" s="20"/>
      <c r="AP76" s="20"/>
    </row>
    <row r="77" spans="2:42" ht="13.5" thickBot="1">
      <c r="B77" s="25" t="s">
        <v>479</v>
      </c>
      <c r="C77" s="150" t="e">
        <f>DITP($C$76,$G$71,'ESDU 74011'!$B$14:$G$19)</f>
        <v>#NAME?</v>
      </c>
      <c r="D77" s="20" t="s">
        <v>371</v>
      </c>
      <c r="E77" s="165">
        <f>2*ATAN($G$72)*180/PI()</f>
        <v>14.176116866837356</v>
      </c>
      <c r="F77" s="25" t="s">
        <v>378</v>
      </c>
      <c r="G77" s="140" t="e">
        <f>$G$75*$G$76</f>
        <v>#NAME?</v>
      </c>
      <c r="H77" s="27" t="s">
        <v>368</v>
      </c>
      <c r="I77" s="142" t="e">
        <f>$I$75+2*($E$40-$E$42)*(TAN(0.5*'Coeficientes de Controle'!$G$73*PI()/180)-'Coeficientes de Controle'!$G$72)</f>
        <v>#NAME?</v>
      </c>
      <c r="J77" s="27" t="s">
        <v>390</v>
      </c>
      <c r="K77" s="142" t="e">
        <f>$K$75+2*($G$79-$G$82)*(TAN(0.5*'Coeficientes de Controle'!$G$73*PI()/180)-'Coeficientes de Controle'!$G$72)</f>
        <v>#NAME?</v>
      </c>
      <c r="L77" s="695" t="s">
        <v>396</v>
      </c>
      <c r="M77" s="696"/>
      <c r="N77" s="20"/>
      <c r="O77" s="150"/>
      <c r="P77" s="599"/>
      <c r="Q77" s="600"/>
      <c r="R77" s="25" t="s">
        <v>608</v>
      </c>
      <c r="S77" s="140">
        <f>('Dados Geométricos'!$E$47/'Dados Geométricos'!$E$38)</f>
        <v>0</v>
      </c>
      <c r="AB77" s="20"/>
      <c r="AC77" s="20"/>
      <c r="AD77" s="20"/>
      <c r="AE77" s="20"/>
      <c r="AF77" s="20"/>
      <c r="AG77" s="20"/>
      <c r="AH77" s="20"/>
      <c r="AI77" s="20"/>
      <c r="AJ77" s="18"/>
      <c r="AK77" s="20"/>
      <c r="AL77" s="20"/>
      <c r="AM77" s="20"/>
      <c r="AN77" s="20"/>
      <c r="AO77" s="20"/>
      <c r="AP77" s="20"/>
    </row>
    <row r="78" spans="2:42" ht="12.75">
      <c r="B78" s="25" t="s">
        <v>490</v>
      </c>
      <c r="C78" s="150">
        <f>LOG10(Principal!$D$6)</f>
        <v>7.079181246047625</v>
      </c>
      <c r="D78" s="20"/>
      <c r="E78" s="150"/>
      <c r="F78" s="25"/>
      <c r="G78" s="150"/>
      <c r="H78" s="674"/>
      <c r="I78" s="674"/>
      <c r="J78" s="599"/>
      <c r="K78" s="599"/>
      <c r="L78" s="180" t="s">
        <v>402</v>
      </c>
      <c r="M78" s="162" t="e">
        <f>Interp1D($M$71,'ESDU C04.01.03'!$G$6:$G$26,'ESDU C04.01.03'!$I$6:$I$26)</f>
        <v>#NAME?</v>
      </c>
      <c r="N78" s="20"/>
      <c r="O78" s="150"/>
      <c r="P78" s="602"/>
      <c r="Q78" s="603"/>
      <c r="R78" s="25" t="s">
        <v>609</v>
      </c>
      <c r="S78" s="140">
        <f>'Coeficientes de Controle'!S75/'Coeficientes de Controle'!S72</f>
        <v>0.7522823331184945</v>
      </c>
      <c r="AB78" s="20"/>
      <c r="AC78" s="20"/>
      <c r="AD78" s="20"/>
      <c r="AE78" s="20"/>
      <c r="AF78" s="20"/>
      <c r="AG78" s="20"/>
      <c r="AH78" s="20"/>
      <c r="AI78" s="20"/>
      <c r="AJ78" s="18"/>
      <c r="AK78" s="20"/>
      <c r="AL78" s="20"/>
      <c r="AM78" s="20"/>
      <c r="AN78" s="20"/>
      <c r="AO78" s="20"/>
      <c r="AP78" s="20"/>
    </row>
    <row r="79" spans="2:42" ht="12.75">
      <c r="B79" s="25" t="s">
        <v>480</v>
      </c>
      <c r="C79" s="150" t="e">
        <f>DITP($G$71,$C$78,'ESDU 74011'!$B$22:$G$27)</f>
        <v>#NAME?</v>
      </c>
      <c r="D79" s="20" t="s">
        <v>374</v>
      </c>
      <c r="E79" s="140">
        <f>1-(0.1+(1.05-0.5*'Coeficientes de Controle'!$E$71)*TAN($E$77/2*PI()/180))/((LOG10(Principal!$D$6)-5)^(1-2.5*TAN(0.5*$E$37*PI()/180)))</f>
        <v>0.8668415244432395</v>
      </c>
      <c r="F79" s="25" t="s">
        <v>375</v>
      </c>
      <c r="G79" s="140" t="e">
        <f>DITP($G$71,$G$72,'ESDU C01.01.03'!$B$4:$L$12)</f>
        <v>#NAME?</v>
      </c>
      <c r="H79" s="675"/>
      <c r="I79" s="675"/>
      <c r="J79" s="602"/>
      <c r="K79" s="602"/>
      <c r="L79" s="180" t="s">
        <v>403</v>
      </c>
      <c r="M79" s="140" t="e">
        <f>Interp1D($M$71,'ESDU C04.01.03'!$G$31:$G$51,'ESDU C04.01.03'!$I$31:$I$51)</f>
        <v>#NAME?</v>
      </c>
      <c r="N79" s="20" t="s">
        <v>422</v>
      </c>
      <c r="O79" s="165">
        <f>2*'Dados Geométricos'!$E$40/'Dados Geométricos'!$E$13</f>
        <v>0.7141350210970463</v>
      </c>
      <c r="P79" s="602"/>
      <c r="Q79" s="603"/>
      <c r="R79" s="25" t="s">
        <v>614</v>
      </c>
      <c r="S79" s="140">
        <f>'Dados Geométricos'!$E$42/'Dados Geométricos'!$E$46</f>
        <v>0.12</v>
      </c>
      <c r="AB79" s="20"/>
      <c r="AC79" s="20"/>
      <c r="AD79" s="20"/>
      <c r="AE79" s="20"/>
      <c r="AF79" s="20"/>
      <c r="AG79" s="20"/>
      <c r="AH79" s="20"/>
      <c r="AI79" s="20"/>
      <c r="AJ79" s="18"/>
      <c r="AK79" s="20"/>
      <c r="AL79" s="20"/>
      <c r="AM79" s="20"/>
      <c r="AN79" s="20"/>
      <c r="AO79" s="20"/>
      <c r="AP79" s="20"/>
    </row>
    <row r="80" spans="2:42" ht="12.75">
      <c r="B80" s="25"/>
      <c r="C80" s="150"/>
      <c r="D80" s="20" t="s">
        <v>369</v>
      </c>
      <c r="E80" s="140">
        <f>2*PI()+(4.75+0.02*$E$77)*'Coeficientes de Controle'!$G$72</f>
        <v>6.9090783236383615</v>
      </c>
      <c r="F80" s="25" t="s">
        <v>379</v>
      </c>
      <c r="G80" s="140" t="e">
        <f>DITP($E$79,$G$71,'ESDU C01.01.03'!$B$15:$R$21)</f>
        <v>#NAME?</v>
      </c>
      <c r="H80" s="675"/>
      <c r="I80" s="675"/>
      <c r="J80" s="602"/>
      <c r="K80" s="602"/>
      <c r="L80" s="180"/>
      <c r="M80" s="248"/>
      <c r="N80" s="20" t="s">
        <v>109</v>
      </c>
      <c r="O80" s="140">
        <f>'Coeficientes Longitudinais'!C10</f>
        <v>3.4134054633184876</v>
      </c>
      <c r="P80" s="602"/>
      <c r="Q80" s="603"/>
      <c r="R80" s="25" t="s">
        <v>68</v>
      </c>
      <c r="S80" s="140">
        <f>'Coeficientes de Controle'!S77*S78^2*(1-'Coeficientes de Controle'!S79^2)</f>
        <v>0</v>
      </c>
      <c r="AB80" s="20"/>
      <c r="AC80" s="20"/>
      <c r="AD80" s="20"/>
      <c r="AE80" s="20"/>
      <c r="AF80" s="20"/>
      <c r="AG80" s="20"/>
      <c r="AH80" s="20"/>
      <c r="AI80" s="20"/>
      <c r="AJ80" s="18"/>
      <c r="AK80" s="20"/>
      <c r="AL80" s="20"/>
      <c r="AM80" s="20"/>
      <c r="AN80" s="20"/>
      <c r="AO80" s="20"/>
      <c r="AP80" s="20"/>
    </row>
    <row r="81" spans="2:42" ht="12.75">
      <c r="B81" s="268" t="s">
        <v>491</v>
      </c>
      <c r="C81" s="260" t="e">
        <f>C75*(1-C79*C77)*COS('Dados Geométricos'!E39/57.3)</f>
        <v>#NAME?</v>
      </c>
      <c r="D81" s="20"/>
      <c r="E81" s="150"/>
      <c r="F81" s="25"/>
      <c r="G81" s="150"/>
      <c r="H81" s="675"/>
      <c r="I81" s="675"/>
      <c r="J81" s="602"/>
      <c r="K81" s="602"/>
      <c r="L81" s="695" t="s">
        <v>395</v>
      </c>
      <c r="M81" s="696"/>
      <c r="N81" s="20" t="s">
        <v>426</v>
      </c>
      <c r="O81" s="140" t="e">
        <f>DITP($O$80,$O$79,'ESDU 89009'!B57:F63)</f>
        <v>#NAME?</v>
      </c>
      <c r="P81" s="602"/>
      <c r="Q81" s="603"/>
      <c r="R81" s="25" t="s">
        <v>616</v>
      </c>
      <c r="S81" s="165">
        <f>'Dados Geométricos'!$E$47/'Coeficientes de Controle'!S75</f>
        <v>0</v>
      </c>
      <c r="AB81" s="20"/>
      <c r="AC81" s="20"/>
      <c r="AD81" s="20"/>
      <c r="AE81" s="20"/>
      <c r="AF81" s="20"/>
      <c r="AG81" s="20"/>
      <c r="AH81" s="20"/>
      <c r="AI81" s="20"/>
      <c r="AJ81" s="18"/>
      <c r="AK81" s="20"/>
      <c r="AL81" s="20"/>
      <c r="AM81" s="20"/>
      <c r="AN81" s="20"/>
      <c r="AO81" s="20"/>
      <c r="AP81" s="20"/>
    </row>
    <row r="82" spans="2:42" ht="13.5" thickBot="1">
      <c r="B82" s="25" t="s">
        <v>525</v>
      </c>
      <c r="C82" s="140" t="e">
        <f>DITP('Coeficientes de Controle'!C71,1/'Coeficientes Longitudinais'!C7,'ESDU 74011'!B29:M44)</f>
        <v>#NAME?</v>
      </c>
      <c r="D82" s="22" t="s">
        <v>370</v>
      </c>
      <c r="E82" s="142">
        <f>$E$79*$E$80</f>
        <v>5.989075986560419</v>
      </c>
      <c r="F82" s="27" t="s">
        <v>391</v>
      </c>
      <c r="G82" s="142" t="e">
        <f>$G$79*$G$80</f>
        <v>#NAME?</v>
      </c>
      <c r="H82" s="675"/>
      <c r="I82" s="675"/>
      <c r="J82" s="602"/>
      <c r="K82" s="602"/>
      <c r="L82" s="180" t="s">
        <v>402</v>
      </c>
      <c r="M82" s="162" t="e">
        <f>Interp1D($M$71,'ESDU C04.01.03'!$G$6:$G$26,'ESDU C04.01.03'!$J$6:$J$26)</f>
        <v>#NAME?</v>
      </c>
      <c r="N82" s="20" t="s">
        <v>427</v>
      </c>
      <c r="O82" s="140" t="e">
        <f>$O$81*$O$75*$E$75*COS('Dados Geométricos'!$E$39*PI()/180)/(2*PI()*((1-Principal!$D$5^2)^0.5))</f>
        <v>#NAME?</v>
      </c>
      <c r="P82" s="602"/>
      <c r="Q82" s="603"/>
      <c r="R82" s="25" t="s">
        <v>624</v>
      </c>
      <c r="S82" s="165">
        <f>'Coeficientes de Controle'!S73/'Coeficientes de Controle'!S74</f>
        <v>0.5</v>
      </c>
      <c r="AB82" s="20"/>
      <c r="AC82" s="20"/>
      <c r="AD82" s="20"/>
      <c r="AE82" s="20"/>
      <c r="AF82" s="20"/>
      <c r="AG82" s="20"/>
      <c r="AH82" s="20"/>
      <c r="AI82" s="20"/>
      <c r="AJ82" s="18"/>
      <c r="AK82" s="20"/>
      <c r="AL82" s="20"/>
      <c r="AM82" s="20"/>
      <c r="AN82" s="20"/>
      <c r="AO82" s="20"/>
      <c r="AP82" s="20"/>
    </row>
    <row r="83" spans="2:42" ht="12.75">
      <c r="B83" s="25" t="s">
        <v>526</v>
      </c>
      <c r="C83" s="140" t="e">
        <f>DITP('Coeficientes de Controle'!C72,1/'Coeficientes Longitudinais'!C7,'ESDU 74011'!B29:M44)</f>
        <v>#NAME?</v>
      </c>
      <c r="D83" s="599"/>
      <c r="E83" s="599"/>
      <c r="F83" s="599"/>
      <c r="G83" s="599"/>
      <c r="H83" s="675"/>
      <c r="I83" s="675"/>
      <c r="J83" s="602"/>
      <c r="K83" s="602"/>
      <c r="L83" s="180" t="s">
        <v>403</v>
      </c>
      <c r="M83" s="140" t="e">
        <f>Interp1D($M$71,'ESDU C04.01.03'!$G$31:$G$51,'ESDU C04.01.03'!$J$31:$J$51)</f>
        <v>#NAME?</v>
      </c>
      <c r="N83" s="20"/>
      <c r="O83" s="150"/>
      <c r="P83" s="602"/>
      <c r="Q83" s="603"/>
      <c r="R83" s="25"/>
      <c r="S83" s="150"/>
      <c r="AB83" s="20"/>
      <c r="AC83" s="20"/>
      <c r="AD83" s="20"/>
      <c r="AE83" s="20"/>
      <c r="AF83" s="20"/>
      <c r="AG83" s="20"/>
      <c r="AH83" s="20"/>
      <c r="AI83" s="20"/>
      <c r="AJ83" s="18"/>
      <c r="AK83" s="20"/>
      <c r="AL83" s="20"/>
      <c r="AM83" s="20"/>
      <c r="AN83" s="20"/>
      <c r="AO83" s="20"/>
      <c r="AP83" s="20"/>
    </row>
    <row r="84" spans="2:42" ht="12.75">
      <c r="B84" s="25" t="s">
        <v>527</v>
      </c>
      <c r="C84" s="140">
        <f>'Coeficientes Longitudinais'!C10-8*'Dados Geométricos'!E16</f>
        <v>1.0294054633184877</v>
      </c>
      <c r="D84" s="602"/>
      <c r="E84" s="602"/>
      <c r="F84" s="602"/>
      <c r="G84" s="602"/>
      <c r="H84" s="675"/>
      <c r="I84" s="675"/>
      <c r="J84" s="602"/>
      <c r="K84" s="602"/>
      <c r="L84" s="180"/>
      <c r="M84" s="140"/>
      <c r="N84" s="20" t="s">
        <v>428</v>
      </c>
      <c r="O84" s="140" t="e">
        <f>$O$76+$O$82</f>
        <v>#NAME?</v>
      </c>
      <c r="P84" s="602"/>
      <c r="Q84" s="603"/>
      <c r="R84" s="25" t="s">
        <v>90</v>
      </c>
      <c r="S84" s="140">
        <f>5.48-17.5*'Coeficientes de Controle'!$G$72</f>
        <v>3.303963607594937</v>
      </c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</row>
    <row r="85" spans="2:42" ht="12.75">
      <c r="B85" s="25" t="s">
        <v>528</v>
      </c>
      <c r="C85" s="140" t="e">
        <f>DITP('Coeficientes de Controle'!$C$84,'Coeficientes de Controle'!C71,'ESDU 74011'!$B$48:$N$59)</f>
        <v>#NAME?</v>
      </c>
      <c r="D85" s="602"/>
      <c r="E85" s="602"/>
      <c r="F85" s="602"/>
      <c r="G85" s="602"/>
      <c r="H85" s="675"/>
      <c r="I85" s="675"/>
      <c r="J85" s="602"/>
      <c r="K85" s="602"/>
      <c r="L85" s="194"/>
      <c r="M85" s="250"/>
      <c r="N85" s="219" t="s">
        <v>429</v>
      </c>
      <c r="O85" s="256" t="e">
        <f>$M$89/$E$75*'Coeficientes Longitudinais'!$C$13*COS('Dados Geométricos'!$E$39*PI()/180)+'Coeficientes de Controle'!$O$84</f>
        <v>#NAME?</v>
      </c>
      <c r="P85" s="602"/>
      <c r="Q85" s="603"/>
      <c r="R85" s="25" t="s">
        <v>91</v>
      </c>
      <c r="S85" s="140">
        <f>4.12-12.3*'Coeficientes de Controle'!$G$72</f>
        <v>2.590557278481013</v>
      </c>
      <c r="AB85" s="20"/>
      <c r="AC85" s="20"/>
      <c r="AD85" s="20"/>
      <c r="AE85" s="20"/>
      <c r="AF85" s="20"/>
      <c r="AG85" s="20"/>
      <c r="AH85" s="18"/>
      <c r="AI85" s="18"/>
      <c r="AJ85" s="18"/>
      <c r="AK85" s="20"/>
      <c r="AL85" s="20"/>
      <c r="AM85" s="20"/>
      <c r="AN85" s="20"/>
      <c r="AO85" s="20"/>
      <c r="AP85" s="20"/>
    </row>
    <row r="86" spans="2:42" ht="12.75">
      <c r="B86" s="25" t="s">
        <v>529</v>
      </c>
      <c r="C86" s="140" t="e">
        <f>DITP('Coeficientes de Controle'!$C$84,'Coeficientes de Controle'!C72,'ESDU 74011'!$B$48:$N$59)</f>
        <v>#NAME?</v>
      </c>
      <c r="D86" s="602"/>
      <c r="E86" s="602"/>
      <c r="F86" s="602"/>
      <c r="G86" s="602"/>
      <c r="H86" s="675"/>
      <c r="I86" s="675"/>
      <c r="J86" s="602"/>
      <c r="K86" s="602"/>
      <c r="L86" s="180" t="s">
        <v>402</v>
      </c>
      <c r="M86" s="140" t="e">
        <f>IF('Dados Geométricos'!$E$41=1,$M$74,IF('Dados Geométricos'!$E$41=2,$M$78,$M$82))</f>
        <v>#NAME?</v>
      </c>
      <c r="N86" s="20"/>
      <c r="O86" s="150"/>
      <c r="P86" s="602"/>
      <c r="Q86" s="603"/>
      <c r="R86" s="25" t="s">
        <v>617</v>
      </c>
      <c r="S86" s="163">
        <v>1</v>
      </c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</row>
    <row r="87" spans="2:42" ht="12.75">
      <c r="B87" s="25" t="s">
        <v>530</v>
      </c>
      <c r="C87" s="140" t="e">
        <f>C82-C85</f>
        <v>#NAME?</v>
      </c>
      <c r="D87" s="602"/>
      <c r="E87" s="602"/>
      <c r="F87" s="602"/>
      <c r="G87" s="602"/>
      <c r="H87" s="675"/>
      <c r="I87" s="675"/>
      <c r="J87" s="602"/>
      <c r="K87" s="602"/>
      <c r="L87" s="180" t="s">
        <v>403</v>
      </c>
      <c r="M87" s="140" t="e">
        <f>IF('Dados Geométricos'!$L$99=1,$M$75,IF('Dados Geométricos'!$L$99=2,$M$79,$M$83))</f>
        <v>#NAME?</v>
      </c>
      <c r="N87" s="20" t="s">
        <v>430</v>
      </c>
      <c r="O87" s="140">
        <f>0.15*2*'Dados Geométricos'!$E$40/'Dados Geométricos'!$E$13</f>
        <v>0.10712025316455694</v>
      </c>
      <c r="P87" s="602"/>
      <c r="Q87" s="603"/>
      <c r="R87" s="25" t="s">
        <v>621</v>
      </c>
      <c r="S87" s="165">
        <f>'Coeficientes de Controle'!$G$72-TAN(0.5*'Coeficientes de Controle'!$G$73/57.3)</f>
        <v>0.001569510235799293</v>
      </c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</row>
    <row r="88" spans="2:42" ht="12.75">
      <c r="B88" s="25" t="s">
        <v>531</v>
      </c>
      <c r="C88" s="140" t="e">
        <f>C83-C86</f>
        <v>#NAME?</v>
      </c>
      <c r="D88" s="602"/>
      <c r="E88" s="602"/>
      <c r="F88" s="602"/>
      <c r="G88" s="602"/>
      <c r="H88" s="675"/>
      <c r="I88" s="675"/>
      <c r="J88" s="602"/>
      <c r="K88" s="602"/>
      <c r="L88" s="180"/>
      <c r="M88" s="140"/>
      <c r="N88" s="20" t="s">
        <v>431</v>
      </c>
      <c r="O88" s="140" t="e">
        <f>$O$87*$O$75*$E$75*COS('Dados Geométricos'!$E$39*PI()/180)/(2*PI()*((1-Principal!$D$5^2)^0.5))</f>
        <v>#NAME?</v>
      </c>
      <c r="P88" s="602"/>
      <c r="Q88" s="603"/>
      <c r="R88" s="25" t="s">
        <v>618</v>
      </c>
      <c r="S88" s="165" t="e">
        <f>Interp1D('Coeficientes de Controle'!S87,'ESDU 88003'!$B$48:$B$53,'ESDU 88003'!$C$48:$C$53)</f>
        <v>#NAME?</v>
      </c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</row>
    <row r="89" spans="2:42" ht="12.75">
      <c r="B89" s="25"/>
      <c r="C89" s="150"/>
      <c r="D89" s="602"/>
      <c r="E89" s="602"/>
      <c r="F89" s="602"/>
      <c r="G89" s="602"/>
      <c r="H89" s="675"/>
      <c r="I89" s="675"/>
      <c r="J89" s="602"/>
      <c r="K89" s="602"/>
      <c r="L89" s="180" t="s">
        <v>404</v>
      </c>
      <c r="M89" s="140" t="e">
        <f>I77*M86</f>
        <v>#NAME?</v>
      </c>
      <c r="N89" s="20"/>
      <c r="O89" s="150"/>
      <c r="P89" s="602"/>
      <c r="Q89" s="603"/>
      <c r="R89" s="25"/>
      <c r="S89" s="14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</row>
    <row r="90" spans="2:42" ht="13.5" thickBot="1">
      <c r="B90" s="270" t="s">
        <v>556</v>
      </c>
      <c r="C90" s="286" t="e">
        <f>-0.25*('Coeficientes de Controle'!C71+'Coeficientes de Controle'!C72)*C81*(C87-C88)*COS(ATAN('Coeficientes Longitudinais'!C9))</f>
        <v>#NAME?</v>
      </c>
      <c r="D90" s="602"/>
      <c r="E90" s="602"/>
      <c r="F90" s="602"/>
      <c r="G90" s="602"/>
      <c r="H90" s="675"/>
      <c r="I90" s="675"/>
      <c r="J90" s="602"/>
      <c r="K90" s="602"/>
      <c r="L90" s="27" t="s">
        <v>405</v>
      </c>
      <c r="M90" s="142" t="e">
        <f>K77*M87</f>
        <v>#NAME?</v>
      </c>
      <c r="N90" s="220" t="s">
        <v>432</v>
      </c>
      <c r="O90" s="263" t="e">
        <f>((('Coeficientes de Controle'!$M$90-'Coeficientes de Controle'!$G$77/'Coeficientes de Controle'!$E$75*'Coeficientes de Controle'!$M$89)*COS('Dados Geométricos'!$E$39*PI()/180)/((1-Principal!$D$5^2)+TAN('Dados Geométricos'!E15*PI()/180)^2)^0.5+'Coeficientes de Controle'!$G$77/'Coeficientes de Controle'!$E$75*('Coeficientes de Controle'!$O$85+'Coeficientes de Controle'!$O$88)))*COS('Dados Geométricos'!E39/57.3)</f>
        <v>#NAME?</v>
      </c>
      <c r="P90" s="602"/>
      <c r="Q90" s="603"/>
      <c r="R90" s="25" t="s">
        <v>622</v>
      </c>
      <c r="S90" s="140" t="e">
        <f>DITP('Coeficientes de Controle'!S82,'Coeficientes de Controle'!S77,'ESDU 88003'!$B$4:$G$23)</f>
        <v>#NAME?</v>
      </c>
      <c r="AB90" s="20"/>
      <c r="AC90" s="20"/>
      <c r="AD90" s="20"/>
      <c r="AE90" s="668"/>
      <c r="AF90" s="668"/>
      <c r="AG90" s="668"/>
      <c r="AH90" s="668"/>
      <c r="AI90" s="668"/>
      <c r="AJ90" s="668"/>
      <c r="AK90" s="668"/>
      <c r="AL90" s="668"/>
      <c r="AM90" s="18"/>
      <c r="AN90" s="18"/>
      <c r="AO90" s="18"/>
      <c r="AP90" s="20"/>
    </row>
    <row r="91" spans="2:42" ht="12.75">
      <c r="B91" s="598"/>
      <c r="C91" s="599"/>
      <c r="D91" s="602"/>
      <c r="E91" s="602"/>
      <c r="F91" s="602"/>
      <c r="G91" s="602"/>
      <c r="H91" s="675"/>
      <c r="I91" s="675"/>
      <c r="J91" s="602"/>
      <c r="K91" s="602"/>
      <c r="L91" s="599"/>
      <c r="M91" s="599"/>
      <c r="N91" s="599"/>
      <c r="O91" s="599"/>
      <c r="P91" s="602"/>
      <c r="Q91" s="603"/>
      <c r="R91" s="25" t="s">
        <v>623</v>
      </c>
      <c r="S91" s="140" t="e">
        <f>DITP('Coeficientes de Controle'!S82,'Coeficientes de Controle'!S77,'ESDU 88003'!$B$26:$G$45)</f>
        <v>#NAME?</v>
      </c>
      <c r="AB91" s="20"/>
      <c r="AC91" s="20"/>
      <c r="AD91" s="20"/>
      <c r="AE91" s="668"/>
      <c r="AF91" s="668"/>
      <c r="AG91" s="668"/>
      <c r="AH91" s="668"/>
      <c r="AI91" s="668"/>
      <c r="AJ91" s="668"/>
      <c r="AK91" s="668"/>
      <c r="AL91" s="668"/>
      <c r="AM91" s="18"/>
      <c r="AN91" s="18"/>
      <c r="AO91" s="18"/>
      <c r="AP91" s="20"/>
    </row>
    <row r="92" spans="2:42" ht="12.75">
      <c r="B92" s="601"/>
      <c r="C92" s="602"/>
      <c r="D92" s="602"/>
      <c r="E92" s="602"/>
      <c r="F92" s="602"/>
      <c r="G92" s="602"/>
      <c r="H92" s="675"/>
      <c r="I92" s="675"/>
      <c r="J92" s="602"/>
      <c r="K92" s="602"/>
      <c r="L92" s="602"/>
      <c r="M92" s="602"/>
      <c r="N92" s="602"/>
      <c r="O92" s="602"/>
      <c r="P92" s="602"/>
      <c r="Q92" s="603"/>
      <c r="R92" s="268" t="s">
        <v>619</v>
      </c>
      <c r="S92" s="256" t="e">
        <f>'Coeficientes de Controle'!S90*'Coeficientes de Controle'!S84*S80*'Coeficientes de Controle'!S81</f>
        <v>#NAME?</v>
      </c>
      <c r="AB92" s="20"/>
      <c r="AC92" s="20"/>
      <c r="AD92" s="20"/>
      <c r="AE92" s="18"/>
      <c r="AF92" s="18"/>
      <c r="AG92" s="18"/>
      <c r="AH92" s="18"/>
      <c r="AI92" s="18"/>
      <c r="AJ92" s="18"/>
      <c r="AK92" s="18"/>
      <c r="AL92" s="18"/>
      <c r="AM92" s="18"/>
      <c r="AN92" s="20"/>
      <c r="AO92" s="20"/>
      <c r="AP92" s="20"/>
    </row>
    <row r="93" spans="2:42" ht="13.5" thickBot="1">
      <c r="B93" s="604"/>
      <c r="C93" s="605"/>
      <c r="D93" s="605"/>
      <c r="E93" s="605"/>
      <c r="F93" s="605"/>
      <c r="G93" s="605"/>
      <c r="H93" s="676"/>
      <c r="I93" s="676"/>
      <c r="J93" s="605"/>
      <c r="K93" s="605"/>
      <c r="L93" s="605"/>
      <c r="M93" s="605"/>
      <c r="N93" s="605"/>
      <c r="O93" s="605"/>
      <c r="P93" s="605"/>
      <c r="Q93" s="606"/>
      <c r="R93" s="270" t="s">
        <v>620</v>
      </c>
      <c r="S93" s="257" t="e">
        <f>'Coeficientes de Controle'!S91*'Coeficientes de Controle'!S85*S80*'Coeficientes de Controle'!S81*S86*S88</f>
        <v>#NAME?</v>
      </c>
      <c r="AB93" s="20"/>
      <c r="AC93" s="20"/>
      <c r="AD93" s="20"/>
      <c r="AE93" s="18"/>
      <c r="AF93" s="18"/>
      <c r="AG93" s="18"/>
      <c r="AH93" s="18"/>
      <c r="AI93" s="18"/>
      <c r="AJ93" s="18"/>
      <c r="AK93" s="18"/>
      <c r="AL93" s="18"/>
      <c r="AM93" s="18"/>
      <c r="AN93" s="20"/>
      <c r="AO93" s="20"/>
      <c r="AP93" s="20"/>
    </row>
    <row r="103" spans="10:11" ht="12.75">
      <c r="J103" s="389"/>
      <c r="K103" s="390"/>
    </row>
    <row r="105" ht="12.75">
      <c r="K105" s="377"/>
    </row>
    <row r="106" ht="12.75">
      <c r="K106" s="377"/>
    </row>
  </sheetData>
  <sheetProtection/>
  <mergeCells count="69">
    <mergeCell ref="R4:S4"/>
    <mergeCell ref="B70:C70"/>
    <mergeCell ref="H38:I68"/>
    <mergeCell ref="L11:M11"/>
    <mergeCell ref="N25:O28"/>
    <mergeCell ref="N30:O30"/>
    <mergeCell ref="L37:M37"/>
    <mergeCell ref="N51:O68"/>
    <mergeCell ref="J30:K30"/>
    <mergeCell ref="H30:I30"/>
    <mergeCell ref="H12:I28"/>
    <mergeCell ref="R28:S28"/>
    <mergeCell ref="F43:G68"/>
    <mergeCell ref="P11:Q28"/>
    <mergeCell ref="L25:M28"/>
    <mergeCell ref="J38:K68"/>
    <mergeCell ref="L41:M41"/>
    <mergeCell ref="P30:Q30"/>
    <mergeCell ref="L33:M33"/>
    <mergeCell ref="J12:K28"/>
    <mergeCell ref="F4:G4"/>
    <mergeCell ref="B29:S29"/>
    <mergeCell ref="B4:C4"/>
    <mergeCell ref="H4:I4"/>
    <mergeCell ref="F17:G28"/>
    <mergeCell ref="N4:O4"/>
    <mergeCell ref="L15:M15"/>
    <mergeCell ref="L4:M4"/>
    <mergeCell ref="J4:K4"/>
    <mergeCell ref="L7:M7"/>
    <mergeCell ref="AE91:AF91"/>
    <mergeCell ref="AG91:AH91"/>
    <mergeCell ref="J70:K70"/>
    <mergeCell ref="P77:Q93"/>
    <mergeCell ref="P37:Q68"/>
    <mergeCell ref="N91:O93"/>
    <mergeCell ref="R30:S68"/>
    <mergeCell ref="R70:S70"/>
    <mergeCell ref="P70:Q70"/>
    <mergeCell ref="F70:G70"/>
    <mergeCell ref="H70:I70"/>
    <mergeCell ref="D70:E70"/>
    <mergeCell ref="AI91:AJ91"/>
    <mergeCell ref="J78:K93"/>
    <mergeCell ref="AE90:AL90"/>
    <mergeCell ref="L70:M70"/>
    <mergeCell ref="L77:M77"/>
    <mergeCell ref="L73:M73"/>
    <mergeCell ref="AK91:AL91"/>
    <mergeCell ref="F30:G30"/>
    <mergeCell ref="B69:S69"/>
    <mergeCell ref="L30:M30"/>
    <mergeCell ref="L52:M68"/>
    <mergeCell ref="D43:E68"/>
    <mergeCell ref="L91:M93"/>
    <mergeCell ref="L81:M81"/>
    <mergeCell ref="N70:O70"/>
    <mergeCell ref="B91:C93"/>
    <mergeCell ref="D83:E93"/>
    <mergeCell ref="D4:E4"/>
    <mergeCell ref="F83:G93"/>
    <mergeCell ref="H78:I93"/>
    <mergeCell ref="B2:S2"/>
    <mergeCell ref="D30:E30"/>
    <mergeCell ref="P4:Q4"/>
    <mergeCell ref="B13:C13"/>
    <mergeCell ref="D17:E28"/>
    <mergeCell ref="B3:S3"/>
    <mergeCell ref="B30:C3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2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35">
    <pageSetUpPr fitToPage="1"/>
  </sheetPr>
  <dimension ref="B2:AJ61"/>
  <sheetViews>
    <sheetView zoomScale="85" zoomScaleNormal="85" zoomScalePageLayoutView="0" workbookViewId="0" topLeftCell="A1">
      <selection activeCell="S24" sqref="S24"/>
    </sheetView>
  </sheetViews>
  <sheetFormatPr defaultColWidth="9.140625" defaultRowHeight="12.75"/>
  <cols>
    <col min="1" max="1" width="2.140625" style="154" bestFit="1" customWidth="1"/>
    <col min="2" max="2" width="20.00390625" style="154" bestFit="1" customWidth="1"/>
    <col min="3" max="3" width="9.140625" style="154" customWidth="1"/>
    <col min="4" max="4" width="12.28125" style="154" bestFit="1" customWidth="1"/>
    <col min="5" max="5" width="10.421875" style="154" customWidth="1"/>
    <col min="6" max="6" width="12.57421875" style="154" bestFit="1" customWidth="1"/>
    <col min="7" max="7" width="10.00390625" style="154" customWidth="1"/>
    <col min="8" max="8" width="13.00390625" style="154" customWidth="1"/>
    <col min="9" max="9" width="8.28125" style="154" customWidth="1"/>
    <col min="10" max="10" width="12.8515625" style="154" customWidth="1"/>
    <col min="11" max="11" width="8.421875" style="154" customWidth="1"/>
    <col min="12" max="12" width="14.140625" style="154" customWidth="1"/>
    <col min="13" max="13" width="8.00390625" style="154" customWidth="1"/>
    <col min="14" max="14" width="9.140625" style="154" customWidth="1"/>
    <col min="15" max="15" width="9.57421875" style="154" bestFit="1" customWidth="1"/>
    <col min="16" max="16384" width="9.140625" style="154" customWidth="1"/>
  </cols>
  <sheetData>
    <row r="1" ht="13.5" thickBot="1"/>
    <row r="2" spans="2:13" ht="13.5" thickBot="1">
      <c r="B2" s="632" t="s">
        <v>963</v>
      </c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4"/>
    </row>
    <row r="3" spans="2:36" ht="13.5" thickBot="1">
      <c r="B3" s="713" t="s">
        <v>712</v>
      </c>
      <c r="C3" s="714"/>
      <c r="D3" s="713" t="s">
        <v>713</v>
      </c>
      <c r="E3" s="714"/>
      <c r="F3" s="713" t="s">
        <v>745</v>
      </c>
      <c r="G3" s="714"/>
      <c r="H3" s="599"/>
      <c r="I3" s="599"/>
      <c r="J3" s="599"/>
      <c r="K3" s="599"/>
      <c r="L3" s="409"/>
      <c r="M3" s="41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 spans="2:13" ht="12.75">
      <c r="B4" s="711" t="s">
        <v>699</v>
      </c>
      <c r="C4" s="712"/>
      <c r="D4" s="711" t="s">
        <v>699</v>
      </c>
      <c r="E4" s="712"/>
      <c r="F4" s="25" t="s">
        <v>741</v>
      </c>
      <c r="G4" s="264" t="e">
        <f>'Coeficientes Longitudinais'!$I$6*2/'Dados Geométricos'!$E$13</f>
        <v>#NAME?</v>
      </c>
      <c r="H4" s="274"/>
      <c r="I4" s="274"/>
      <c r="J4" s="274"/>
      <c r="K4" s="274"/>
      <c r="L4" s="274"/>
      <c r="M4" s="287"/>
    </row>
    <row r="5" spans="2:13" ht="12.75">
      <c r="B5" s="25" t="s">
        <v>679</v>
      </c>
      <c r="C5" s="402">
        <f>'Dados Geométricos'!L17+'Coeficientes de Flapes e Slats'!E12</f>
        <v>0.2697</v>
      </c>
      <c r="D5" s="25" t="s">
        <v>685</v>
      </c>
      <c r="E5" s="169">
        <f>(0.25*((1-(2*'Coeficientes de Flapes e Slats'!$C$7-1)^2)^0.5)*(1-(2*'Coeficientes de Flapes e Slats'!$C$7-1)))/(PI()-ACOS(2*'Coeficientes de Flapes e Slats'!$C$7-1)+(1-(2*'Coeficientes de Flapes e Slats'!$C$7-1)^2)^0.5)</f>
        <v>0.17120638050911868</v>
      </c>
      <c r="F5" s="25" t="s">
        <v>742</v>
      </c>
      <c r="G5" s="165" t="e">
        <f>Interp1D($G$4,'Roskam Downwash'!B5:B16,'Roskam Downwash'!C5:C16)</f>
        <v>#NAME?</v>
      </c>
      <c r="H5" s="274"/>
      <c r="I5" s="274"/>
      <c r="J5" s="274"/>
      <c r="K5" s="274"/>
      <c r="L5" s="274"/>
      <c r="M5" s="287"/>
    </row>
    <row r="6" spans="2:13" ht="12.75">
      <c r="B6" s="25" t="s">
        <v>680</v>
      </c>
      <c r="C6" s="150">
        <f>'Dados Geométricos'!L16+C5</f>
        <v>1.0997</v>
      </c>
      <c r="D6" s="25" t="s">
        <v>686</v>
      </c>
      <c r="E6" s="165">
        <f>$E$5-4*('Dados Geométricos'!$L$15^1.5)*('Dados Geométricos'!$L$16-1)</f>
        <v>0.18517330572550042</v>
      </c>
      <c r="F6" s="25"/>
      <c r="G6" s="165"/>
      <c r="H6" s="274"/>
      <c r="I6" s="274"/>
      <c r="J6" s="274"/>
      <c r="K6" s="274"/>
      <c r="L6" s="274"/>
      <c r="M6" s="287"/>
    </row>
    <row r="7" spans="2:13" ht="12.75">
      <c r="B7" s="25" t="s">
        <v>681</v>
      </c>
      <c r="C7" s="403">
        <f>C5/C6</f>
        <v>0.24524870419205239</v>
      </c>
      <c r="D7" s="25" t="s">
        <v>675</v>
      </c>
      <c r="E7" s="163">
        <f>-('Dados Geométricos'!E30*'Dados Geométricos'!E34+'Dados Geométricos'!E31*'Dados Geométricos'!E35)/2/57.3</f>
        <v>0.2931823734729494</v>
      </c>
      <c r="F7" s="25" t="s">
        <v>741</v>
      </c>
      <c r="G7" s="165">
        <f>('Dados Geométricos'!$L$67-'Dados Geométricos'!$E$24)*2/'Dados Geométricos'!$E$13</f>
        <v>0.19103375527426159</v>
      </c>
      <c r="H7" s="274"/>
      <c r="I7" s="274"/>
      <c r="J7" s="274"/>
      <c r="K7" s="274"/>
      <c r="L7" s="274"/>
      <c r="M7" s="287"/>
    </row>
    <row r="8" spans="2:13" ht="12.75">
      <c r="B8" s="25" t="s">
        <v>682</v>
      </c>
      <c r="C8" s="165">
        <f>IF('Coeficientes de Flapes e Slats'!E13&lt;23.5,1.17*(SIN(3.83*'Coeficientes de Flapes e Slats'!E13/57.3))^0.5,1.17)</f>
        <v>1.17</v>
      </c>
      <c r="D8" s="25" t="s">
        <v>676</v>
      </c>
      <c r="E8" s="163">
        <f>('Dados Geométricos'!E32+'Dados Geométricos'!E33)/2</f>
        <v>-0.0702</v>
      </c>
      <c r="F8" s="25" t="s">
        <v>742</v>
      </c>
      <c r="G8" s="165" t="e">
        <f>Interp1D($G$7,'Roskam Downwash'!B8:B19,'Roskam Downwash'!C8:C19)</f>
        <v>#NAME?</v>
      </c>
      <c r="H8" s="274"/>
      <c r="I8" s="274"/>
      <c r="J8" s="274"/>
      <c r="K8" s="274"/>
      <c r="L8" s="274"/>
      <c r="M8" s="287"/>
    </row>
    <row r="9" spans="2:13" ht="12.75">
      <c r="B9" s="25" t="s">
        <v>683</v>
      </c>
      <c r="C9" s="165" t="e">
        <f>DITP('Coeficientes de Flapes e Slats'!E13,C7,'ESDU 99004'!$B$4:$Q$11)</f>
        <v>#NAME?</v>
      </c>
      <c r="D9" s="25" t="s">
        <v>687</v>
      </c>
      <c r="E9" s="165" t="e">
        <f>-'Coeficientes de Flapes e Slats'!$C$10*$E$6*('Coeficientes de Flapes e Slats'!$C$6)^2-'Coeficientes de Flapes e Slats'!$C$10*'Coeficientes de Flapes e Slats'!$C$6*('Coeficientes de Flapes e Slats'!$C$6-1)/4-'Coeficientes de Flapes e Slats'!$E$7*('Coeficientes de Flapes e Slats'!$C$6-1)/4+'Coeficientes de Flapes e Slats'!$E$8*('Coeficientes de Flapes e Slats'!$C$6-1)</f>
        <v>#NAME?</v>
      </c>
      <c r="F9" s="25"/>
      <c r="G9" s="423"/>
      <c r="H9" s="274"/>
      <c r="I9" s="274"/>
      <c r="J9" s="274"/>
      <c r="K9" s="274"/>
      <c r="L9" s="274"/>
      <c r="M9" s="287"/>
    </row>
    <row r="10" spans="2:13" ht="12.75">
      <c r="B10" s="25" t="s">
        <v>684</v>
      </c>
      <c r="C10" s="165" t="e">
        <f>$C$8*$C$9*('Dados Geométricos'!$E$30+'Dados Geométricos'!$E$31)/2/(2*PI())</f>
        <v>#NAME?</v>
      </c>
      <c r="D10" s="25" t="s">
        <v>688</v>
      </c>
      <c r="E10" s="165" t="e">
        <f>-$E$9/('Coeficientes de Flapes e Slats'!$C$10*'Coeficientes de Flapes e Slats'!$C$6)</f>
        <v>#NAME?</v>
      </c>
      <c r="F10" s="681" t="s">
        <v>699</v>
      </c>
      <c r="G10" s="682"/>
      <c r="H10" s="274"/>
      <c r="I10" s="274"/>
      <c r="J10" s="274"/>
      <c r="K10" s="274"/>
      <c r="L10" s="274"/>
      <c r="M10" s="287"/>
    </row>
    <row r="11" spans="2:13" ht="12.75">
      <c r="B11" s="25"/>
      <c r="C11" s="150"/>
      <c r="D11" s="25"/>
      <c r="E11" s="150"/>
      <c r="F11" s="25" t="s">
        <v>272</v>
      </c>
      <c r="G11" s="169">
        <f>2*('Dados Geométricos'!$L$13-'Dados Geométricos'!$L$12)/'Dados Geométricos'!$E$13</f>
        <v>0.23723628691983123</v>
      </c>
      <c r="H11" s="274"/>
      <c r="I11" s="274"/>
      <c r="J11" s="274"/>
      <c r="K11" s="274"/>
      <c r="L11" s="274"/>
      <c r="M11" s="287"/>
    </row>
    <row r="12" spans="2:13" ht="12.75">
      <c r="B12" s="25" t="s">
        <v>422</v>
      </c>
      <c r="C12" s="150">
        <f>2*'Dados Geométricos'!L12/'Dados Geométricos'!$E$13</f>
        <v>0.12035864978902953</v>
      </c>
      <c r="D12" s="25" t="s">
        <v>735</v>
      </c>
      <c r="E12" s="150">
        <f>IF(Principal!$D$9=1,'Dados Geométricos'!I33,IF(Principal!$D$9=2,'Dados Geométricos'!J33,IF(Principal!$D$9=3,'Dados Geométricos'!K33,'Dados Geométricos'!L33)))</f>
        <v>-0.0003</v>
      </c>
      <c r="F12" s="25" t="s">
        <v>748</v>
      </c>
      <c r="G12" s="165" t="e">
        <f>$G$5*$C$21/('Coeficientes Longitudinais'!$C$5*$G$11)</f>
        <v>#NAME?</v>
      </c>
      <c r="H12" s="274"/>
      <c r="I12" s="274"/>
      <c r="J12" s="274"/>
      <c r="K12" s="274"/>
      <c r="L12" s="274"/>
      <c r="M12" s="287"/>
    </row>
    <row r="13" spans="2:13" ht="12.75">
      <c r="B13" s="25" t="s">
        <v>521</v>
      </c>
      <c r="C13" s="150">
        <f>2*'Dados Geométricos'!L13/'Dados Geométricos'!$E$13</f>
        <v>0.3575949367088608</v>
      </c>
      <c r="D13" s="25" t="s">
        <v>734</v>
      </c>
      <c r="E13" s="150">
        <f>IF(Principal!$D$9=1,'Dados Geométricos'!I32,IF(Principal!$D$9=2,'Dados Geométricos'!J32,IF(Principal!$D$9=3,'Dados Geométricos'!K32,'Dados Geométricos'!L32)))</f>
        <v>35</v>
      </c>
      <c r="F13" s="25" t="s">
        <v>747</v>
      </c>
      <c r="G13" s="165" t="e">
        <f>$G$8*$C$21/('Coeficientes Longitudinais'!$C$5*$G$11)</f>
        <v>#NAME?</v>
      </c>
      <c r="H13" s="274"/>
      <c r="I13" s="274"/>
      <c r="J13" s="274"/>
      <c r="K13" s="274"/>
      <c r="L13" s="274"/>
      <c r="M13" s="287"/>
    </row>
    <row r="14" spans="2:13" ht="12.75">
      <c r="B14" s="25"/>
      <c r="C14" s="150"/>
      <c r="D14" s="25"/>
      <c r="E14" s="150"/>
      <c r="F14" s="25"/>
      <c r="G14" s="423"/>
      <c r="H14" s="274"/>
      <c r="I14" s="274"/>
      <c r="J14" s="274"/>
      <c r="K14" s="274"/>
      <c r="L14" s="274"/>
      <c r="M14" s="287"/>
    </row>
    <row r="15" spans="2:13" ht="12.75">
      <c r="B15" s="25" t="s">
        <v>65</v>
      </c>
      <c r="C15" s="165">
        <f>(1+2*'Dados Geométricos'!$E$16)/(3*(1+'Dados Geométricos'!$E$16))</f>
        <v>0.4098613251155624</v>
      </c>
      <c r="D15" s="25" t="s">
        <v>689</v>
      </c>
      <c r="E15" s="150">
        <v>1</v>
      </c>
      <c r="F15" s="681" t="s">
        <v>703</v>
      </c>
      <c r="G15" s="682"/>
      <c r="H15" s="274"/>
      <c r="I15" s="274"/>
      <c r="J15" s="274"/>
      <c r="K15" s="274"/>
      <c r="L15" s="274"/>
      <c r="M15" s="287"/>
    </row>
    <row r="16" spans="2:13" ht="12.75">
      <c r="B16" s="25" t="s">
        <v>704</v>
      </c>
      <c r="C16" s="165" t="e">
        <f>Interp1D('Coeficientes Longitudinais'!$C$7,'ESDU 83040'!$A$39:$A$43,'ESDU 83040'!$B$39:$B$43)</f>
        <v>#NAME?</v>
      </c>
      <c r="D16" s="25" t="s">
        <v>690</v>
      </c>
      <c r="E16" s="150">
        <v>1</v>
      </c>
      <c r="F16" s="25" t="s">
        <v>272</v>
      </c>
      <c r="G16" s="169">
        <f>2*('Dados Geométricos'!$L$22-'Dados Geométricos'!$L$21)/'Dados Geométricos'!$E$13</f>
        <v>0.3227848101265823</v>
      </c>
      <c r="H16" s="274"/>
      <c r="I16" s="274"/>
      <c r="J16" s="274"/>
      <c r="K16" s="274"/>
      <c r="L16" s="274"/>
      <c r="M16" s="287"/>
    </row>
    <row r="17" spans="2:13" ht="12.75">
      <c r="B17" s="25"/>
      <c r="C17" s="150"/>
      <c r="D17" s="25" t="s">
        <v>691</v>
      </c>
      <c r="E17" s="150" t="e">
        <f>DITP('Dados Geométricos'!$E$16,'Coeficientes de Flapes e Slats'!$C$12,'ESDU 99004'!$B$14:$G$24)</f>
        <v>#NAME?</v>
      </c>
      <c r="F17" s="25" t="s">
        <v>748</v>
      </c>
      <c r="G17" s="165" t="e">
        <f>$G$5*$C$39/('Coeficientes Longitudinais'!$C$5*$G$11)</f>
        <v>#NAME?</v>
      </c>
      <c r="H17" s="274"/>
      <c r="I17" s="274"/>
      <c r="J17" s="274"/>
      <c r="K17" s="274"/>
      <c r="L17" s="274"/>
      <c r="M17" s="287"/>
    </row>
    <row r="18" spans="2:13" ht="12.75">
      <c r="B18" s="25" t="s">
        <v>700</v>
      </c>
      <c r="C18" s="165" t="e">
        <f>DITP($C$16,$C$12,'ESDU 93019'!$B$4:$H$15)</f>
        <v>#NAME?</v>
      </c>
      <c r="D18" s="25" t="s">
        <v>692</v>
      </c>
      <c r="E18" s="165" t="e">
        <f>DITP('Dados Geométricos'!$E$16,'Coeficientes de Flapes e Slats'!$C$13,'ESDU 99004'!$B$14:$G$24)</f>
        <v>#NAME?</v>
      </c>
      <c r="F18" s="25" t="s">
        <v>747</v>
      </c>
      <c r="G18" s="165" t="e">
        <f>$G$8*$C$39/('Coeficientes Longitudinais'!$C$5*$G$11)</f>
        <v>#NAME?</v>
      </c>
      <c r="H18" s="274"/>
      <c r="I18" s="274"/>
      <c r="J18" s="274"/>
      <c r="K18" s="274"/>
      <c r="L18" s="274"/>
      <c r="M18" s="287"/>
    </row>
    <row r="19" spans="2:13" ht="12.75">
      <c r="B19" s="25" t="s">
        <v>701</v>
      </c>
      <c r="C19" s="165" t="e">
        <f>DITP($C$16,$C$13,'ESDU 93019'!$B$4:$H$15)</f>
        <v>#NAME?</v>
      </c>
      <c r="D19" s="25" t="s">
        <v>693</v>
      </c>
      <c r="E19" s="165">
        <f>'Coeficientes de Flapes e Slats'!$C$6*('Coeficientes de Flapes e Slats'!$C$12-0.5*(1-'Dados Geométricos'!$E$16)*'Coeficientes de Flapes e Slats'!$C$12^2)/(0.5*(1+'Dados Geométricos'!$E$16)-('Coeficientes de Flapes e Slats'!$C$12-0.5*(1-'Dados Geométricos'!$E$16)*'Coeficientes de Flapes e Slats'!$C$12^2)*(1-'Coeficientes de Flapes e Slats'!$C$6))</f>
        <v>0.1919276118066537</v>
      </c>
      <c r="F19" s="25"/>
      <c r="G19" s="423"/>
      <c r="H19" s="274"/>
      <c r="I19" s="274"/>
      <c r="J19" s="274"/>
      <c r="K19" s="274"/>
      <c r="L19" s="274"/>
      <c r="M19" s="287"/>
    </row>
    <row r="20" spans="2:13" ht="12.75">
      <c r="B20" s="25"/>
      <c r="C20" s="150"/>
      <c r="D20" s="25" t="s">
        <v>694</v>
      </c>
      <c r="E20" s="165">
        <f>'Coeficientes de Flapes e Slats'!$C$6*('Coeficientes de Flapes e Slats'!$C$13-0.5*(1-'Dados Geométricos'!$E$16)*'Coeficientes de Flapes e Slats'!$C$13^2)/(0.5*(1+'Dados Geométricos'!$E$16)-('Coeficientes de Flapes e Slats'!$C$13-0.5*(1-'Dados Geométricos'!$E$16)*'Coeficientes de Flapes e Slats'!$C$13^2)*(1-'Coeficientes de Flapes e Slats'!$C$6))</f>
        <v>0.505586430255871</v>
      </c>
      <c r="F20" s="681" t="s">
        <v>7</v>
      </c>
      <c r="G20" s="682"/>
      <c r="H20" s="274"/>
      <c r="I20" s="274"/>
      <c r="J20" s="274"/>
      <c r="K20" s="274"/>
      <c r="L20" s="274"/>
      <c r="M20" s="287"/>
    </row>
    <row r="21" spans="2:13" ht="12.75">
      <c r="B21" s="268" t="s">
        <v>702</v>
      </c>
      <c r="C21" s="366" t="e">
        <f>$C$6*1.05*$C$8*$C$9*'Coeficientes Longitudinais'!$C$13/(2*PI())*($C$19-$C$18)</f>
        <v>#NAME?</v>
      </c>
      <c r="D21" s="25" t="s">
        <v>695</v>
      </c>
      <c r="E21" s="165">
        <f>-3*(1+'Dados Geométricos'!$E$16)/(4*(1+'Dados Geométricos'!$E$16+'Dados Geométricos'!$E$16^2))*((0.5*'Coeficientes de Flapes e Slats'!$C$12^2-0.333*(1-'Dados Geométricos'!$E$16)*'Coeficientes de Flapes e Slats'!$C$12^3)*('Coeficientes de Flapes e Slats'!$C$6*(1-$E$19)+$E$19)-$E$19*(0.5-0.333*(1-'Dados Geométricos'!$E$16)))</f>
        <v>0.03068427722073953</v>
      </c>
      <c r="F21" s="25" t="s">
        <v>748</v>
      </c>
      <c r="G21" s="169" t="e">
        <f>(G12+G17)/2</f>
        <v>#NAME?</v>
      </c>
      <c r="H21" s="274"/>
      <c r="I21" s="274"/>
      <c r="J21" s="274"/>
      <c r="K21" s="274"/>
      <c r="L21" s="274"/>
      <c r="M21" s="287"/>
    </row>
    <row r="22" spans="2:13" ht="13.5" thickBot="1">
      <c r="B22" s="407" t="s">
        <v>703</v>
      </c>
      <c r="C22" s="408"/>
      <c r="D22" s="25" t="s">
        <v>696</v>
      </c>
      <c r="E22" s="165">
        <f>-3*(1+'Dados Geométricos'!$E$16)/(4*(1+'Dados Geométricos'!$E$16+'Dados Geométricos'!$E$16^2))*((0.5*'Coeficientes de Flapes e Slats'!$C$13^2-0.333*(1-'Dados Geométricos'!$E$16)*'Coeficientes de Flapes e Slats'!$C$13^3)*('Coeficientes de Flapes e Slats'!$C$6*(1-$E$20)+$E$20)-$E$20*(0.5-0.333*(1-'Dados Geométricos'!$E$16)))</f>
        <v>0.05526775730071324</v>
      </c>
      <c r="F22" s="27" t="s">
        <v>747</v>
      </c>
      <c r="G22" s="293" t="e">
        <f>(G13+G18)/2</f>
        <v>#NAME?</v>
      </c>
      <c r="H22" s="274"/>
      <c r="I22" s="274"/>
      <c r="J22" s="274"/>
      <c r="K22" s="274"/>
      <c r="L22" s="274"/>
      <c r="M22" s="287"/>
    </row>
    <row r="23" spans="2:13" ht="12.75">
      <c r="B23" s="25" t="s">
        <v>679</v>
      </c>
      <c r="C23" s="402">
        <f>'Dados Geométricos'!L26+'Coeficientes de Flapes e Slats'!E33</f>
        <v>0.2497</v>
      </c>
      <c r="D23" s="25"/>
      <c r="E23" s="150"/>
      <c r="F23" s="419"/>
      <c r="G23" s="274"/>
      <c r="H23" s="274"/>
      <c r="I23" s="274"/>
      <c r="J23" s="274"/>
      <c r="K23" s="274"/>
      <c r="L23" s="274"/>
      <c r="M23" s="287"/>
    </row>
    <row r="24" spans="2:13" ht="12.75">
      <c r="B24" s="25" t="s">
        <v>680</v>
      </c>
      <c r="C24" s="150">
        <f>'Dados Geométricos'!L25+C23</f>
        <v>1.1197</v>
      </c>
      <c r="D24" s="268" t="s">
        <v>697</v>
      </c>
      <c r="E24" s="260" t="e">
        <f>$E$15*($E$18-$E$17)*$E$9+$E$16*($E$22-$E$21)*'Coeficientes Longitudinais'!$C$5/2*'Coeficientes de Flapes e Slats'!$C$10*'Coeficientes de Flapes e Slats'!$C$6*TAN('Dados Geométricos'!$E$15/57.3)</f>
        <v>#NAME?</v>
      </c>
      <c r="F24" s="419"/>
      <c r="G24" s="274"/>
      <c r="H24" s="274"/>
      <c r="I24" s="274"/>
      <c r="J24" s="274"/>
      <c r="K24" s="274"/>
      <c r="L24" s="274"/>
      <c r="M24" s="287"/>
    </row>
    <row r="25" spans="2:13" ht="12.75">
      <c r="B25" s="25" t="s">
        <v>681</v>
      </c>
      <c r="C25" s="403">
        <f>C23/C24</f>
        <v>0.22300616236491919</v>
      </c>
      <c r="D25" s="681" t="s">
        <v>703</v>
      </c>
      <c r="E25" s="682"/>
      <c r="F25" s="419"/>
      <c r="G25" s="274"/>
      <c r="H25" s="274"/>
      <c r="I25" s="274"/>
      <c r="J25" s="274"/>
      <c r="K25" s="274"/>
      <c r="L25" s="274"/>
      <c r="M25" s="287"/>
    </row>
    <row r="26" spans="2:13" ht="12.75">
      <c r="B26" s="25" t="s">
        <v>682</v>
      </c>
      <c r="C26" s="165">
        <f>IF('Coeficientes de Flapes e Slats'!E34&lt;23.5,1.17*(SIN(3.83*'Coeficientes de Flapes e Slats'!E34/57.3))^0.5,1.17)</f>
        <v>1.17</v>
      </c>
      <c r="D26" s="25" t="s">
        <v>685</v>
      </c>
      <c r="E26" s="169">
        <f>(0.25*((1-(2*'Coeficientes de Flapes e Slats'!$C$25-1)^2)^0.5)*(1-(2*'Coeficientes de Flapes e Slats'!$C$25-1)))/(PI()-ACOS(2*'Coeficientes de Flapes e Slats'!$C$25-1)+(1-(2*'Coeficientes de Flapes e Slats'!$C$25-1)^2)^0.5)</f>
        <v>0.17808493186027652</v>
      </c>
      <c r="F26" s="419"/>
      <c r="G26" s="274"/>
      <c r="H26" s="274"/>
      <c r="I26" s="274"/>
      <c r="J26" s="274"/>
      <c r="K26" s="274"/>
      <c r="L26" s="274"/>
      <c r="M26" s="287"/>
    </row>
    <row r="27" spans="2:13" ht="12.75">
      <c r="B27" s="25" t="s">
        <v>683</v>
      </c>
      <c r="C27" s="165" t="e">
        <f>DITP('Coeficientes de Flapes e Slats'!E34,C25,'ESDU 99004'!$B$4:$Q$11)</f>
        <v>#NAME?</v>
      </c>
      <c r="D27" s="25" t="s">
        <v>686</v>
      </c>
      <c r="E27" s="165">
        <f>$E$26-4*('Dados Geométricos'!$L$24^1.5)*('Dados Geométricos'!$L$25-1)</f>
        <v>0.18670227483824833</v>
      </c>
      <c r="F27" s="419"/>
      <c r="G27" s="274"/>
      <c r="H27" s="274"/>
      <c r="I27" s="274"/>
      <c r="J27" s="274"/>
      <c r="K27" s="274"/>
      <c r="L27" s="274"/>
      <c r="M27" s="287"/>
    </row>
    <row r="28" spans="2:13" ht="12.75">
      <c r="B28" s="25" t="s">
        <v>684</v>
      </c>
      <c r="C28" s="165" t="e">
        <f>$C$26*$C$27*('Dados Geométricos'!$E$30+'Dados Geométricos'!$E$31)/2/(2*PI())</f>
        <v>#NAME?</v>
      </c>
      <c r="D28" s="25" t="s">
        <v>675</v>
      </c>
      <c r="E28" s="163">
        <f>E7</f>
        <v>0.2931823734729494</v>
      </c>
      <c r="F28" s="419"/>
      <c r="G28" s="274"/>
      <c r="H28" s="274"/>
      <c r="I28" s="274"/>
      <c r="J28" s="274"/>
      <c r="K28" s="274"/>
      <c r="L28" s="274"/>
      <c r="M28" s="287"/>
    </row>
    <row r="29" spans="2:13" ht="12.75">
      <c r="B29" s="25"/>
      <c r="C29" s="165"/>
      <c r="D29" s="25" t="s">
        <v>676</v>
      </c>
      <c r="E29" s="163">
        <f>E8</f>
        <v>-0.0702</v>
      </c>
      <c r="F29" s="419"/>
      <c r="G29" s="274"/>
      <c r="H29" s="274"/>
      <c r="I29" s="274"/>
      <c r="J29" s="274"/>
      <c r="K29" s="274"/>
      <c r="L29" s="274"/>
      <c r="M29" s="287"/>
    </row>
    <row r="30" spans="2:13" ht="12.75">
      <c r="B30" s="25" t="s">
        <v>422</v>
      </c>
      <c r="C30" s="150">
        <f>2*'Dados Geométricos'!L21/'Dados Geométricos'!$E$13</f>
        <v>0.38080168776371304</v>
      </c>
      <c r="D30" s="25" t="s">
        <v>687</v>
      </c>
      <c r="E30" s="165" t="e">
        <f>-'Coeficientes de Flapes e Slats'!$C$28*$E$27*('Coeficientes de Flapes e Slats'!$C$24)^2-'Coeficientes de Flapes e Slats'!$C$28*'Coeficientes de Flapes e Slats'!$C$24*('Coeficientes de Flapes e Slats'!$C$24-1)/4-'Coeficientes de Flapes e Slats'!$E$28*('Coeficientes de Flapes e Slats'!$C$24-1)/4+'Coeficientes de Flapes e Slats'!$E$29*('Coeficientes de Flapes e Slats'!$C$24-1)</f>
        <v>#NAME?</v>
      </c>
      <c r="F30" s="419"/>
      <c r="G30" s="274"/>
      <c r="H30" s="274"/>
      <c r="I30" s="274"/>
      <c r="J30" s="274"/>
      <c r="K30" s="274"/>
      <c r="L30" s="274"/>
      <c r="M30" s="287"/>
    </row>
    <row r="31" spans="2:13" ht="12.75">
      <c r="B31" s="25" t="s">
        <v>521</v>
      </c>
      <c r="C31" s="150">
        <f>2*'Dados Geométricos'!L22/'Dados Geométricos'!$E$13</f>
        <v>0.7035864978902954</v>
      </c>
      <c r="D31" s="25" t="s">
        <v>688</v>
      </c>
      <c r="E31" s="165" t="e">
        <f>-$E$30/('Coeficientes de Flapes e Slats'!$C$28*'Coeficientes de Flapes e Slats'!$C$24)</f>
        <v>#NAME?</v>
      </c>
      <c r="F31" s="419"/>
      <c r="G31" s="274"/>
      <c r="H31" s="274"/>
      <c r="I31" s="274"/>
      <c r="J31" s="274"/>
      <c r="K31" s="274"/>
      <c r="L31" s="274"/>
      <c r="M31" s="287"/>
    </row>
    <row r="32" spans="2:13" ht="12.75">
      <c r="B32" s="25"/>
      <c r="C32" s="150"/>
      <c r="D32" s="25"/>
      <c r="E32" s="165"/>
      <c r="F32" s="419"/>
      <c r="G32" s="274"/>
      <c r="H32" s="274"/>
      <c r="I32" s="274"/>
      <c r="J32" s="274"/>
      <c r="K32" s="274"/>
      <c r="L32" s="274"/>
      <c r="M32" s="287"/>
    </row>
    <row r="33" spans="2:13" ht="12.75">
      <c r="B33" s="25" t="s">
        <v>65</v>
      </c>
      <c r="C33" s="165">
        <f>(1+2*'Dados Geométricos'!$E$16)/(3*(1+'Dados Geométricos'!$E$16))</f>
        <v>0.4098613251155624</v>
      </c>
      <c r="D33" s="25" t="s">
        <v>735</v>
      </c>
      <c r="E33" s="150">
        <f>IF(Principal!$D$9=1,'Dados Geométricos'!I41,IF(Principal!$D$9=2,'Dados Geométricos'!J41,IF(Principal!$D$9=3,'Dados Geométricos'!K41,'Dados Geométricos'!L41)))</f>
        <v>-0.0003</v>
      </c>
      <c r="F33" s="419"/>
      <c r="G33" s="274"/>
      <c r="H33" s="274"/>
      <c r="I33" s="274"/>
      <c r="J33" s="274"/>
      <c r="K33" s="274"/>
      <c r="L33" s="274"/>
      <c r="M33" s="287"/>
    </row>
    <row r="34" spans="2:13" ht="12.75">
      <c r="B34" s="25" t="s">
        <v>704</v>
      </c>
      <c r="C34" s="165" t="e">
        <f>Interp1D('Coeficientes Longitudinais'!$C$7,'ESDU 83040'!$A$39:$A$43,'ESDU 83040'!$B$39:$B$43)</f>
        <v>#NAME?</v>
      </c>
      <c r="D34" s="25" t="s">
        <v>734</v>
      </c>
      <c r="E34" s="150">
        <f>IF(Principal!$D$9=1,'Dados Geométricos'!I40,IF(Principal!$D$9=2,'Dados Geométricos'!J40,IF(Principal!$D$9=3,'Dados Geométricos'!K40,'Dados Geométricos'!L40)))</f>
        <v>35</v>
      </c>
      <c r="F34" s="419"/>
      <c r="G34" s="274"/>
      <c r="H34" s="274"/>
      <c r="I34" s="274"/>
      <c r="J34" s="274"/>
      <c r="K34" s="274"/>
      <c r="L34" s="274"/>
      <c r="M34" s="287"/>
    </row>
    <row r="35" spans="2:13" ht="12.75">
      <c r="B35" s="25"/>
      <c r="C35" s="150"/>
      <c r="D35" s="25"/>
      <c r="E35" s="165"/>
      <c r="F35" s="419"/>
      <c r="G35" s="274"/>
      <c r="H35" s="274"/>
      <c r="I35" s="274"/>
      <c r="J35" s="274"/>
      <c r="K35" s="274"/>
      <c r="L35" s="274"/>
      <c r="M35" s="287"/>
    </row>
    <row r="36" spans="2:13" ht="12.75">
      <c r="B36" s="25" t="s">
        <v>700</v>
      </c>
      <c r="C36" s="165" t="e">
        <f>DITP($C$34,$C$30,'ESDU 93019'!$B$4:$H$15)</f>
        <v>#NAME?</v>
      </c>
      <c r="D36" s="25" t="s">
        <v>689</v>
      </c>
      <c r="E36" s="150">
        <v>1.5</v>
      </c>
      <c r="F36" s="419"/>
      <c r="G36" s="274"/>
      <c r="H36" s="274"/>
      <c r="I36" s="274"/>
      <c r="J36" s="274"/>
      <c r="K36" s="274"/>
      <c r="L36" s="274"/>
      <c r="M36" s="287"/>
    </row>
    <row r="37" spans="2:13" ht="12.75">
      <c r="B37" s="25" t="s">
        <v>701</v>
      </c>
      <c r="C37" s="165" t="e">
        <f>DITP($C$34,$C$31,'ESDU 93019'!$B$4:$H$15)</f>
        <v>#NAME?</v>
      </c>
      <c r="D37" s="25" t="s">
        <v>690</v>
      </c>
      <c r="E37" s="150">
        <v>1</v>
      </c>
      <c r="F37" s="419"/>
      <c r="G37" s="274"/>
      <c r="H37" s="274"/>
      <c r="I37" s="274"/>
      <c r="J37" s="274"/>
      <c r="K37" s="274"/>
      <c r="L37" s="274"/>
      <c r="M37" s="287"/>
    </row>
    <row r="38" spans="2:13" ht="12.75">
      <c r="B38" s="25"/>
      <c r="C38" s="150"/>
      <c r="D38" s="25"/>
      <c r="E38" s="150"/>
      <c r="F38" s="419"/>
      <c r="G38" s="274"/>
      <c r="H38" s="274"/>
      <c r="I38" s="274"/>
      <c r="J38" s="274"/>
      <c r="K38" s="274"/>
      <c r="L38" s="274"/>
      <c r="M38" s="287"/>
    </row>
    <row r="39" spans="2:13" ht="12.75">
      <c r="B39" s="268" t="s">
        <v>702</v>
      </c>
      <c r="C39" s="366" t="e">
        <f>$C$24*1.05*$C$26*$C$27*'Coeficientes Longitudinais'!$C$13/(2*PI())*($C$37-$C$36)</f>
        <v>#NAME?</v>
      </c>
      <c r="D39" s="25" t="s">
        <v>691</v>
      </c>
      <c r="E39" s="150" t="e">
        <f>DITP('Dados Geométricos'!$E$16,'Coeficientes de Flapes e Slats'!$C$30,'ESDU 99004'!$B$14:$G$24)</f>
        <v>#NAME?</v>
      </c>
      <c r="F39" s="419"/>
      <c r="G39" s="274"/>
      <c r="H39" s="274"/>
      <c r="I39" s="274"/>
      <c r="J39" s="274"/>
      <c r="K39" s="274"/>
      <c r="L39" s="274"/>
      <c r="M39" s="287"/>
    </row>
    <row r="40" spans="2:13" ht="12.75">
      <c r="B40" s="681" t="s">
        <v>7</v>
      </c>
      <c r="C40" s="682"/>
      <c r="D40" s="25" t="s">
        <v>692</v>
      </c>
      <c r="E40" s="165" t="e">
        <f>DITP('Dados Geométricos'!$E$16,'Coeficientes de Flapes e Slats'!$C$31,'ESDU 99004'!$B$14:$G$24)</f>
        <v>#NAME?</v>
      </c>
      <c r="F40" s="419"/>
      <c r="G40" s="274"/>
      <c r="H40" s="274"/>
      <c r="I40" s="274"/>
      <c r="J40" s="274"/>
      <c r="K40" s="274"/>
      <c r="L40" s="274"/>
      <c r="M40" s="287"/>
    </row>
    <row r="41" spans="2:13" ht="12.75">
      <c r="B41" s="268" t="s">
        <v>702</v>
      </c>
      <c r="C41" s="411" t="e">
        <f>C21+C39</f>
        <v>#NAME?</v>
      </c>
      <c r="D41" s="25" t="s">
        <v>693</v>
      </c>
      <c r="E41" s="165">
        <f>'Coeficientes de Flapes e Slats'!$C$24*('Coeficientes de Flapes e Slats'!$C$30-0.5*(1-'Dados Geométricos'!$E$16)*'Coeficientes de Flapes e Slats'!$C$30^2)/(0.5*(1+'Dados Geométricos'!$E$16)-('Coeficientes de Flapes e Slats'!$C$30-0.5*(1-'Dados Geométricos'!$E$16)*'Coeficientes de Flapes e Slats'!$C$30^2)*(1-'Coeficientes de Flapes e Slats'!$C$24))</f>
        <v>0.5365262126180693</v>
      </c>
      <c r="F41" s="419"/>
      <c r="G41" s="274"/>
      <c r="H41" s="274"/>
      <c r="I41" s="274"/>
      <c r="J41" s="274"/>
      <c r="K41" s="274"/>
      <c r="L41" s="274"/>
      <c r="M41" s="287"/>
    </row>
    <row r="42" spans="2:13" ht="13.5" thickBot="1">
      <c r="B42" s="270" t="s">
        <v>726</v>
      </c>
      <c r="C42" s="412" t="e">
        <f>-C41/'Coeficientes Longitudinais'!C13*57.3</f>
        <v>#NAME?</v>
      </c>
      <c r="D42" s="25" t="s">
        <v>694</v>
      </c>
      <c r="E42" s="165">
        <f>'Coeficientes de Flapes e Slats'!$C$24*('Coeficientes de Flapes e Slats'!$C$31-0.5*(1-'Dados Geométricos'!$E$16)*'Coeficientes de Flapes e Slats'!$C$31^2)/(0.5*(1+'Dados Geométricos'!$E$16)-('Coeficientes de Flapes e Slats'!$C$31-0.5*(1-'Dados Geométricos'!$E$16)*'Coeficientes de Flapes e Slats'!$C$31^2)*(1-'Coeficientes de Flapes e Slats'!$C$24))</f>
        <v>0.8327246264432157</v>
      </c>
      <c r="F42" s="419"/>
      <c r="G42" s="274"/>
      <c r="H42" s="274"/>
      <c r="I42" s="274"/>
      <c r="J42" s="274"/>
      <c r="K42" s="274"/>
      <c r="L42" s="274"/>
      <c r="M42" s="287"/>
    </row>
    <row r="43" spans="2:13" ht="12.75">
      <c r="B43" s="598"/>
      <c r="C43" s="600"/>
      <c r="D43" s="25" t="s">
        <v>695</v>
      </c>
      <c r="E43" s="165">
        <f>-3*(1+'Dados Geométricos'!$E$16)/(4*(1+'Dados Geométricos'!$E$16+'Dados Geométricos'!$E$16^2))*((0.5*'Coeficientes de Flapes e Slats'!$C$30^2-0.333*(1-'Dados Geométricos'!$E$16)*'Coeficientes de Flapes e Slats'!$C$30^3)*('Coeficientes de Flapes e Slats'!$C$24*(1-$E$41)+$E$41)-$E$41*(0.5-0.333*(1-'Dados Geométricos'!$E$16)))</f>
        <v>0.05611496940828712</v>
      </c>
      <c r="F43" s="419"/>
      <c r="G43" s="274"/>
      <c r="H43" s="274"/>
      <c r="I43" s="274"/>
      <c r="J43" s="274"/>
      <c r="K43" s="274"/>
      <c r="L43" s="274"/>
      <c r="M43" s="287"/>
    </row>
    <row r="44" spans="2:13" ht="12.75">
      <c r="B44" s="601"/>
      <c r="C44" s="603"/>
      <c r="D44" s="25" t="s">
        <v>696</v>
      </c>
      <c r="E44" s="165">
        <f>-3*(1+'Dados Geométricos'!$E$16)/(4*(1+'Dados Geométricos'!$E$16+'Dados Geométricos'!$E$16^2))*((0.5*'Coeficientes de Flapes e Slats'!$C$31^2-0.333*(1-'Dados Geométricos'!$E$16)*'Coeficientes de Flapes e Slats'!$C$31^3)*('Coeficientes de Flapes e Slats'!$C$24*(1-$E$42)+$E$42)-$E$42*(0.5-0.333*(1-'Dados Geométricos'!$E$16)))</f>
        <v>0.03669737267613844</v>
      </c>
      <c r="F44" s="419"/>
      <c r="G44" s="274"/>
      <c r="H44" s="274"/>
      <c r="I44" s="274"/>
      <c r="J44" s="274"/>
      <c r="K44" s="274"/>
      <c r="L44" s="274"/>
      <c r="M44" s="287"/>
    </row>
    <row r="45" spans="2:13" ht="12.75">
      <c r="B45" s="601"/>
      <c r="C45" s="603"/>
      <c r="D45" s="25"/>
      <c r="E45" s="150"/>
      <c r="F45" s="419"/>
      <c r="G45" s="274"/>
      <c r="H45" s="274"/>
      <c r="I45" s="274"/>
      <c r="J45" s="274"/>
      <c r="K45" s="274"/>
      <c r="L45" s="274"/>
      <c r="M45" s="287"/>
    </row>
    <row r="46" spans="2:13" ht="12.75">
      <c r="B46" s="601"/>
      <c r="C46" s="603"/>
      <c r="D46" s="268" t="s">
        <v>697</v>
      </c>
      <c r="E46" s="260" t="e">
        <f>$E$36*($E$40-$E$39)*$E$30+$E$37*($E$44-$E$43)*'Coeficientes Longitudinais'!$C$5/2*'Coeficientes de Flapes e Slats'!$C$28*'Coeficientes de Flapes e Slats'!$C$24*TAN('Dados Geométricos'!$E$15/57.3)</f>
        <v>#NAME?</v>
      </c>
      <c r="F46" s="419"/>
      <c r="G46" s="274"/>
      <c r="H46" s="274"/>
      <c r="I46" s="274"/>
      <c r="J46" s="274"/>
      <c r="K46" s="274"/>
      <c r="L46" s="274"/>
      <c r="M46" s="287"/>
    </row>
    <row r="47" spans="2:13" ht="12.75">
      <c r="B47" s="601"/>
      <c r="C47" s="603"/>
      <c r="D47" s="681" t="s">
        <v>7</v>
      </c>
      <c r="E47" s="682"/>
      <c r="F47" s="419"/>
      <c r="G47" s="274"/>
      <c r="H47" s="274"/>
      <c r="I47" s="274"/>
      <c r="J47" s="274"/>
      <c r="K47" s="274"/>
      <c r="L47" s="274"/>
      <c r="M47" s="287"/>
    </row>
    <row r="48" spans="2:13" ht="13.5" thickBot="1">
      <c r="B48" s="604"/>
      <c r="C48" s="606"/>
      <c r="D48" s="270" t="s">
        <v>697</v>
      </c>
      <c r="E48" s="415" t="e">
        <f>E24+E46</f>
        <v>#NAME?</v>
      </c>
      <c r="F48" s="420"/>
      <c r="G48" s="275"/>
      <c r="H48" s="275"/>
      <c r="I48" s="275"/>
      <c r="J48" s="275"/>
      <c r="K48" s="275"/>
      <c r="L48" s="275"/>
      <c r="M48" s="288"/>
    </row>
    <row r="58" spans="10:11" ht="12.75">
      <c r="J58" s="389"/>
      <c r="K58" s="390"/>
    </row>
    <row r="60" ht="12.75">
      <c r="K60" s="377"/>
    </row>
    <row r="61" ht="12.75">
      <c r="K61" s="377"/>
    </row>
  </sheetData>
  <sheetProtection/>
  <mergeCells count="15">
    <mergeCell ref="B4:C4"/>
    <mergeCell ref="D4:E4"/>
    <mergeCell ref="B2:M2"/>
    <mergeCell ref="B3:C3"/>
    <mergeCell ref="D3:E3"/>
    <mergeCell ref="H3:I3"/>
    <mergeCell ref="J3:K3"/>
    <mergeCell ref="F3:G3"/>
    <mergeCell ref="B43:C48"/>
    <mergeCell ref="F10:G10"/>
    <mergeCell ref="F15:G15"/>
    <mergeCell ref="F20:G20"/>
    <mergeCell ref="B40:C40"/>
    <mergeCell ref="D47:E47"/>
    <mergeCell ref="D25:E2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2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4"/>
  <dimension ref="B2:O27"/>
  <sheetViews>
    <sheetView zoomScalePageLayoutView="0" workbookViewId="0" topLeftCell="A1">
      <selection activeCell="Q15" sqref="Q15"/>
    </sheetView>
  </sheetViews>
  <sheetFormatPr defaultColWidth="9.140625" defaultRowHeight="12.75"/>
  <cols>
    <col min="1" max="1" width="3.7109375" style="152" customWidth="1"/>
    <col min="2" max="9" width="9.140625" style="152" customWidth="1"/>
    <col min="10" max="10" width="9.57421875" style="152" bestFit="1" customWidth="1"/>
    <col min="11" max="16384" width="9.140625" style="152" customWidth="1"/>
  </cols>
  <sheetData>
    <row r="1" ht="13.5" thickBot="1"/>
    <row r="2" spans="2:15" ht="13.5" thickBot="1">
      <c r="B2" s="632" t="s">
        <v>439</v>
      </c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4"/>
    </row>
    <row r="3" spans="2:15" ht="13.5" thickBot="1">
      <c r="B3" s="643" t="s">
        <v>334</v>
      </c>
      <c r="C3" s="688"/>
      <c r="D3" s="688"/>
      <c r="E3" s="644"/>
      <c r="F3" s="643" t="s">
        <v>60</v>
      </c>
      <c r="G3" s="688"/>
      <c r="H3" s="688"/>
      <c r="I3" s="644"/>
      <c r="J3" s="716" t="s">
        <v>59</v>
      </c>
      <c r="K3" s="716"/>
      <c r="L3" s="567"/>
      <c r="M3" s="643" t="s">
        <v>964</v>
      </c>
      <c r="N3" s="688"/>
      <c r="O3" s="644"/>
    </row>
    <row r="4" spans="2:15" ht="13.5" thickBot="1">
      <c r="B4" s="203" t="s">
        <v>333</v>
      </c>
      <c r="C4" s="204" t="s">
        <v>336</v>
      </c>
      <c r="D4" s="204" t="s">
        <v>337</v>
      </c>
      <c r="E4" s="225" t="s">
        <v>338</v>
      </c>
      <c r="F4" s="203" t="s">
        <v>333</v>
      </c>
      <c r="G4" s="204" t="s">
        <v>335</v>
      </c>
      <c r="H4" s="204" t="s">
        <v>337</v>
      </c>
      <c r="I4" s="225" t="s">
        <v>338</v>
      </c>
      <c r="J4" s="202" t="s">
        <v>333</v>
      </c>
      <c r="K4" s="204" t="s">
        <v>343</v>
      </c>
      <c r="L4" s="225" t="s">
        <v>336</v>
      </c>
      <c r="M4" s="203" t="s">
        <v>333</v>
      </c>
      <c r="N4" s="204" t="s">
        <v>343</v>
      </c>
      <c r="O4" s="225" t="s">
        <v>336</v>
      </c>
    </row>
    <row r="5" spans="2:15" ht="12.75">
      <c r="B5" s="25">
        <f>0-Principal!D10</f>
        <v>0</v>
      </c>
      <c r="C5" s="222">
        <v>0</v>
      </c>
      <c r="D5" s="222">
        <v>-0.551</v>
      </c>
      <c r="E5" s="150">
        <v>-0.551</v>
      </c>
      <c r="F5" s="25">
        <f>B5</f>
        <v>0</v>
      </c>
      <c r="G5" s="315">
        <f>C5*'Dados Geométricos'!$E$58/2/0.8</f>
        <v>0</v>
      </c>
      <c r="H5" s="223">
        <f>D5*'Dados Geométricos'!$E$58/2/0.8</f>
        <v>-0.785175</v>
      </c>
      <c r="I5" s="316">
        <f>E5*'Dados Geométricos'!$E$58/2/0.8</f>
        <v>-0.785175</v>
      </c>
      <c r="J5" s="138">
        <f>Principal!V8</f>
        <v>13.595</v>
      </c>
      <c r="K5" s="222">
        <f>'Dados Geométricos'!L86</f>
        <v>0.833</v>
      </c>
      <c r="L5" s="150">
        <v>0</v>
      </c>
      <c r="M5" s="25">
        <f>'Dados Geométricos'!$L$65-'Dados Geométricos'!L63/4</f>
        <v>11.628</v>
      </c>
      <c r="N5" s="222">
        <f>'Dados Geométricos'!$L$67-'Dados Geométricos'!$L$64/2</f>
        <v>-0.008000000000000007</v>
      </c>
      <c r="O5" s="150">
        <f>'Dados Geométricos'!L66+'Dados Geométricos'!L64/2-'Dados Geométricos'!L64/2-'Dados Geométricos'!$L$64/2</f>
        <v>1.3970000000000002</v>
      </c>
    </row>
    <row r="6" spans="2:15" ht="12.75">
      <c r="B6" s="25">
        <f>0.5-Principal!D10</f>
        <v>0.5</v>
      </c>
      <c r="C6" s="222">
        <v>0.38830000000000003</v>
      </c>
      <c r="D6" s="222">
        <v>-0.7396000000000003</v>
      </c>
      <c r="E6" s="150">
        <v>-0.22080000000000044</v>
      </c>
      <c r="F6" s="25">
        <f aca="true" t="shared" si="0" ref="F6:F11">B6</f>
        <v>0.5</v>
      </c>
      <c r="G6" s="315">
        <f>C6*'Dados Geométricos'!$E$58/2/0.8</f>
        <v>0.5533275</v>
      </c>
      <c r="H6" s="223">
        <f>D6*'Dados Geométricos'!$E$58/2/0.8</f>
        <v>-1.0539300000000003</v>
      </c>
      <c r="I6" s="163">
        <f>E6*'Dados Geométricos'!$E$58/2/0.8</f>
        <v>-0.3146400000000006</v>
      </c>
      <c r="J6" s="138">
        <f>J5+'Dados Geométricos'!L81</f>
        <v>17.373</v>
      </c>
      <c r="K6" s="222">
        <f>K5</f>
        <v>0.833</v>
      </c>
      <c r="L6" s="150">
        <v>0</v>
      </c>
      <c r="M6" s="25">
        <f>$M$5</f>
        <v>11.628</v>
      </c>
      <c r="N6" s="222">
        <f>$N$5+'Dados Geométricos'!$L$64</f>
        <v>1.178</v>
      </c>
      <c r="O6" s="150">
        <f>$O$5+'Dados Geométricos'!$L$64</f>
        <v>2.583</v>
      </c>
    </row>
    <row r="7" spans="2:15" ht="12.75">
      <c r="B7" s="25">
        <f>1-Principal!D10</f>
        <v>1</v>
      </c>
      <c r="C7" s="222">
        <v>0.57055</v>
      </c>
      <c r="D7" s="222">
        <v>-0.7794000000000002</v>
      </c>
      <c r="E7" s="150">
        <v>-0.008900000000000241</v>
      </c>
      <c r="F7" s="25">
        <f t="shared" si="0"/>
        <v>1</v>
      </c>
      <c r="G7" s="315">
        <f>C7*'Dados Geométricos'!$E$58/2/0.8</f>
        <v>0.8130337499999999</v>
      </c>
      <c r="H7" s="223">
        <f>D7*'Dados Geométricos'!$E$58/2/0.8</f>
        <v>-1.110645</v>
      </c>
      <c r="I7" s="163">
        <f>E7*'Dados Geométricos'!$E$58/2/0.8</f>
        <v>-0.012682500000000343</v>
      </c>
      <c r="J7" s="138">
        <f>J8+'Dados Geométricos'!L82</f>
        <v>18.77230699560769</v>
      </c>
      <c r="K7" s="223">
        <f>K8</f>
        <v>3.2409999999999997</v>
      </c>
      <c r="L7" s="150">
        <v>0</v>
      </c>
      <c r="M7" s="25">
        <f>$M$6+'Dados Geométricos'!$L$63</f>
        <v>14.848</v>
      </c>
      <c r="N7" s="222">
        <f>$N$6</f>
        <v>1.178</v>
      </c>
      <c r="O7" s="150">
        <f>$O$6</f>
        <v>2.583</v>
      </c>
    </row>
    <row r="8" spans="2:15" ht="12.75">
      <c r="B8" s="25">
        <f>1.5-Principal!D10</f>
        <v>1.5</v>
      </c>
      <c r="C8" s="222">
        <v>0.7001000000000001</v>
      </c>
      <c r="D8" s="222">
        <v>-0.8025</v>
      </c>
      <c r="E8" s="150">
        <v>0.21979999999999988</v>
      </c>
      <c r="F8" s="25">
        <f t="shared" si="0"/>
        <v>1.5</v>
      </c>
      <c r="G8" s="315">
        <f>C8*'Dados Geométricos'!$E$58/2/0.8</f>
        <v>0.9976425</v>
      </c>
      <c r="H8" s="223">
        <f>D8*'Dados Geométricos'!$E$58/2/0.8</f>
        <v>-1.1435624999999998</v>
      </c>
      <c r="I8" s="163">
        <f>E8*'Dados Geométricos'!$E$58/2/0.8</f>
        <v>0.3132149999999998</v>
      </c>
      <c r="J8" s="138">
        <f>J5+'Dados Geométricos'!L81/4+Principal!V14*TAN(Principal!V13*PI()/180)-'Dados Geométricos'!L82/4</f>
        <v>16.45330699560769</v>
      </c>
      <c r="K8" s="223">
        <f>K6+Principal!V14</f>
        <v>3.2409999999999997</v>
      </c>
      <c r="L8" s="150">
        <v>0</v>
      </c>
      <c r="M8" s="25">
        <f>$M$7</f>
        <v>14.848</v>
      </c>
      <c r="N8" s="222">
        <f>$N$7-'Dados Geométricos'!$L$64</f>
        <v>-0.008000000000000007</v>
      </c>
      <c r="O8" s="150">
        <f>$O$7-'Dados Geométricos'!$L$64</f>
        <v>1.3970000000000002</v>
      </c>
    </row>
    <row r="9" spans="2:15" ht="13.5" thickBot="1">
      <c r="B9" s="25">
        <f>2-Principal!D10</f>
        <v>2</v>
      </c>
      <c r="C9" s="222">
        <v>0.7762</v>
      </c>
      <c r="D9" s="222">
        <v>-0.8099000000000002</v>
      </c>
      <c r="E9" s="150">
        <v>0.4723999999999996</v>
      </c>
      <c r="F9" s="25">
        <f t="shared" si="0"/>
        <v>2</v>
      </c>
      <c r="G9" s="315">
        <f>C9*'Dados Geométricos'!$E$58/2/0.8</f>
        <v>1.1060849999999998</v>
      </c>
      <c r="H9" s="223">
        <f>D9*'Dados Geométricos'!$E$58/2/0.8</f>
        <v>-1.1541075</v>
      </c>
      <c r="I9" s="163">
        <f>E9*'Dados Geométricos'!$E$58/2/0.8</f>
        <v>0.6731699999999993</v>
      </c>
      <c r="J9" s="138">
        <f>J5</f>
        <v>13.595</v>
      </c>
      <c r="K9" s="222">
        <f>K5</f>
        <v>0.833</v>
      </c>
      <c r="L9" s="150">
        <v>0</v>
      </c>
      <c r="M9" s="27">
        <f>$M$5</f>
        <v>11.628</v>
      </c>
      <c r="N9" s="227">
        <f>$N$5</f>
        <v>-0.008000000000000007</v>
      </c>
      <c r="O9" s="151">
        <f>$O$5</f>
        <v>1.3970000000000002</v>
      </c>
    </row>
    <row r="10" spans="2:15" ht="13.5" thickBot="1">
      <c r="B10" s="25">
        <f>2.5-Principal!D10</f>
        <v>2.5</v>
      </c>
      <c r="C10" s="222">
        <v>0.80035</v>
      </c>
      <c r="D10" s="222">
        <v>-0.8177000000000002</v>
      </c>
      <c r="E10" s="150">
        <v>0.7087999999999998</v>
      </c>
      <c r="F10" s="25">
        <f t="shared" si="0"/>
        <v>2.5</v>
      </c>
      <c r="G10" s="315">
        <f>C10*'Dados Geométricos'!$E$58/2/0.8</f>
        <v>1.14049875</v>
      </c>
      <c r="H10" s="223">
        <f>D10*'Dados Geométricos'!$E$58/2/0.8</f>
        <v>-1.1652225</v>
      </c>
      <c r="I10" s="163">
        <f>E10*'Dados Geométricos'!$E$58/2/0.8</f>
        <v>1.0100399999999994</v>
      </c>
      <c r="J10" s="22"/>
      <c r="K10" s="227"/>
      <c r="L10" s="151"/>
      <c r="M10" s="643" t="s">
        <v>965</v>
      </c>
      <c r="N10" s="688"/>
      <c r="O10" s="644"/>
    </row>
    <row r="11" spans="2:15" ht="13.5" thickBot="1">
      <c r="B11" s="25">
        <f>3-Principal!D10</f>
        <v>3</v>
      </c>
      <c r="C11" s="222">
        <v>0.80035</v>
      </c>
      <c r="D11" s="222">
        <v>-0.86</v>
      </c>
      <c r="E11" s="150">
        <v>0.7832999999999998</v>
      </c>
      <c r="F11" s="25">
        <f t="shared" si="0"/>
        <v>3</v>
      </c>
      <c r="G11" s="315">
        <f>C11*'Dados Geométricos'!$E$58/2/0.8</f>
        <v>1.14049875</v>
      </c>
      <c r="H11" s="223">
        <f>D11*'Dados Geométricos'!$E$58/2/0.8</f>
        <v>-1.2254999999999998</v>
      </c>
      <c r="I11" s="163">
        <f>E11*'Dados Geométricos'!$E$58/2/0.8</f>
        <v>1.1162024999999995</v>
      </c>
      <c r="J11" s="688" t="s">
        <v>156</v>
      </c>
      <c r="K11" s="688"/>
      <c r="L11" s="644"/>
      <c r="M11" s="203" t="s">
        <v>333</v>
      </c>
      <c r="N11" s="204" t="s">
        <v>343</v>
      </c>
      <c r="O11" s="225" t="s">
        <v>336</v>
      </c>
    </row>
    <row r="12" spans="2:15" ht="13.5" thickBot="1">
      <c r="B12" s="25"/>
      <c r="C12" s="227"/>
      <c r="D12" s="227"/>
      <c r="E12" s="151"/>
      <c r="F12" s="228">
        <f aca="true" t="shared" si="1" ref="F12:F22">B15</f>
        <v>12.951</v>
      </c>
      <c r="G12" s="315">
        <f>C15*'Dados Geométricos'!$E$58/2/0.8</f>
        <v>1.1334449999999998</v>
      </c>
      <c r="H12" s="223">
        <f>D15*'Dados Geométricos'!$E$58/2/0.8</f>
        <v>-1.3275300000000003</v>
      </c>
      <c r="I12" s="163">
        <f>E15*'Dados Geométricos'!$E$58/2/0.8</f>
        <v>1.1107874999999994</v>
      </c>
      <c r="J12" s="202" t="s">
        <v>333</v>
      </c>
      <c r="K12" s="204" t="s">
        <v>343</v>
      </c>
      <c r="L12" s="225" t="s">
        <v>336</v>
      </c>
      <c r="M12" s="228">
        <f>'Dados Geométricos'!$L$60</f>
        <v>11.955</v>
      </c>
      <c r="N12" s="222">
        <f>'Dados Geométricos'!L67</f>
        <v>0.585</v>
      </c>
      <c r="O12" s="150">
        <v>0</v>
      </c>
    </row>
    <row r="13" spans="2:15" ht="13.5" thickBot="1">
      <c r="B13" s="628" t="s">
        <v>339</v>
      </c>
      <c r="C13" s="629"/>
      <c r="D13" s="629"/>
      <c r="E13" s="715"/>
      <c r="F13" s="228">
        <f t="shared" si="1"/>
        <v>13.451</v>
      </c>
      <c r="G13" s="315">
        <f>C16*'Dados Geométricos'!$E$58/2/0.8</f>
        <v>1.0982474999999998</v>
      </c>
      <c r="H13" s="223">
        <f>D16*'Dados Geométricos'!$E$58/2/0.8</f>
        <v>-1.2825</v>
      </c>
      <c r="I13" s="163">
        <f>E16*'Dados Geométricos'!$E$58/2/0.8</f>
        <v>1.0791524999999997</v>
      </c>
      <c r="J13" s="138">
        <f>Principal!V7</f>
        <v>16.513</v>
      </c>
      <c r="K13" s="222">
        <f>'Dados Geométricos'!$L$86+Principal!$V$17</f>
        <v>3.24</v>
      </c>
      <c r="L13" s="150">
        <v>0</v>
      </c>
      <c r="M13" s="228">
        <f>M12+'Dados Geométricos'!$L$56</f>
        <v>15.373000000000001</v>
      </c>
      <c r="N13" s="222">
        <f>N12</f>
        <v>0.585</v>
      </c>
      <c r="O13" s="150">
        <v>0</v>
      </c>
    </row>
    <row r="14" spans="2:15" ht="13.5" thickBot="1">
      <c r="B14" s="203" t="s">
        <v>333</v>
      </c>
      <c r="C14" s="226" t="s">
        <v>336</v>
      </c>
      <c r="D14" s="226" t="s">
        <v>337</v>
      </c>
      <c r="E14" s="225" t="s">
        <v>338</v>
      </c>
      <c r="F14" s="228">
        <f t="shared" si="1"/>
        <v>13.951</v>
      </c>
      <c r="G14" s="315">
        <f>C17*'Dados Geométricos'!$E$58/2/0.8</f>
        <v>1.0346212499999998</v>
      </c>
      <c r="H14" s="223">
        <f>D17*'Dados Geométricos'!$E$58/2/0.8</f>
        <v>-1.2317700000000003</v>
      </c>
      <c r="I14" s="163">
        <f>E17*'Dados Geométricos'!$E$58/2/0.8</f>
        <v>1.0281374999999997</v>
      </c>
      <c r="J14" s="138">
        <f>J13+Principal!V5</f>
        <v>18.605</v>
      </c>
      <c r="K14" s="222">
        <f>'Dados Geométricos'!$L$86+Principal!$V$17</f>
        <v>3.24</v>
      </c>
      <c r="L14" s="150">
        <v>0</v>
      </c>
      <c r="M14" s="228">
        <f>Partes!M12+'Dados Geométricos'!L56/4+'Dados Geométricos'!L58/2*TAN('Dados Geométricos'!L59*PI()/180)+3*'Dados Geométricos'!L57/4</f>
        <v>14.792029470701692</v>
      </c>
      <c r="N14" s="222">
        <f>N13</f>
        <v>0.585</v>
      </c>
      <c r="O14" s="150">
        <f>'Dados Geométricos'!$L$58/2</f>
        <v>1.497</v>
      </c>
    </row>
    <row r="15" spans="2:15" ht="12.75">
      <c r="B15" s="25">
        <f>(4+Principal!V10-10.75)+2</f>
        <v>12.951</v>
      </c>
      <c r="C15" s="144">
        <v>0.7954</v>
      </c>
      <c r="D15" s="144">
        <v>-0.9316000000000003</v>
      </c>
      <c r="E15" s="150">
        <v>0.7794999999999997</v>
      </c>
      <c r="F15" s="228">
        <f t="shared" si="1"/>
        <v>14.451</v>
      </c>
      <c r="G15" s="315">
        <f>C18*'Dados Geométricos'!$E$58/2/0.8</f>
        <v>0.9454874999999998</v>
      </c>
      <c r="H15" s="223">
        <f>D18*'Dados Geométricos'!$E$58/2/0.8</f>
        <v>-1.1273175000000002</v>
      </c>
      <c r="I15" s="163">
        <f>E18*'Dados Geométricos'!$E$58/2/0.8</f>
        <v>0.9577424999999993</v>
      </c>
      <c r="J15" s="138">
        <f>Partes!J13+Principal!V5/4+Principal!V6/2*TAN('Dados Geométricos'!E84*PI()/180)+3*Principal!V4/4</f>
        <v>19.612908089690105</v>
      </c>
      <c r="K15" s="222">
        <f>'Dados Geométricos'!$L$86+Principal!$V$17</f>
        <v>3.24</v>
      </c>
      <c r="L15" s="150">
        <f>Principal!V6/2</f>
        <v>3.481</v>
      </c>
      <c r="M15" s="228">
        <f>M14-'Dados Geométricos'!L57</f>
        <v>11.974029470701693</v>
      </c>
      <c r="N15" s="222">
        <f>N14</f>
        <v>0.585</v>
      </c>
      <c r="O15" s="150">
        <f>O14</f>
        <v>1.497</v>
      </c>
    </row>
    <row r="16" spans="2:15" ht="13.5" thickBot="1">
      <c r="B16" s="25">
        <f>(4.5+Principal!V10-10.75)+2</f>
        <v>13.451</v>
      </c>
      <c r="C16" s="144">
        <v>0.7707</v>
      </c>
      <c r="D16" s="144">
        <v>-0.9</v>
      </c>
      <c r="E16" s="150">
        <v>0.7573</v>
      </c>
      <c r="F16" s="228">
        <f t="shared" si="1"/>
        <v>14.951</v>
      </c>
      <c r="G16" s="315">
        <f>C19*'Dados Geométricos'!$E$58/2/0.8</f>
        <v>0.8311312499999999</v>
      </c>
      <c r="H16" s="223">
        <f>D19*'Dados Geométricos'!$E$58/2/0.8</f>
        <v>-1.0259999999999998</v>
      </c>
      <c r="I16" s="163">
        <f>E19*'Dados Geométricos'!$E$58/2/0.8</f>
        <v>0.8873474999999994</v>
      </c>
      <c r="J16" s="138">
        <f>Partes!J15-Principal!V4</f>
        <v>18.541908089690104</v>
      </c>
      <c r="K16" s="222">
        <f>'Dados Geométricos'!$L$86+Principal!$V$17</f>
        <v>3.24</v>
      </c>
      <c r="L16" s="150">
        <f>L15</f>
        <v>3.481</v>
      </c>
      <c r="M16" s="485">
        <f>M12</f>
        <v>11.955</v>
      </c>
      <c r="N16" s="486">
        <f>N12</f>
        <v>0.585</v>
      </c>
      <c r="O16" s="458">
        <f>O12</f>
        <v>0</v>
      </c>
    </row>
    <row r="17" spans="2:15" ht="12.75">
      <c r="B17" s="25">
        <f>(5+Principal!V10-10.75)+2</f>
        <v>13.951</v>
      </c>
      <c r="C17" s="144">
        <v>0.72605</v>
      </c>
      <c r="D17" s="144">
        <v>-0.8644000000000003</v>
      </c>
      <c r="E17" s="150">
        <v>0.7214999999999999</v>
      </c>
      <c r="F17" s="228">
        <f t="shared" si="1"/>
        <v>15.451</v>
      </c>
      <c r="G17" s="315">
        <f>C20*'Dados Geométricos'!$E$58/2/0.8</f>
        <v>0.6914099999999999</v>
      </c>
      <c r="H17" s="223">
        <f>D20*'Dados Geométricos'!$E$58/2/0.8</f>
        <v>-0.8950425000000003</v>
      </c>
      <c r="I17" s="163">
        <f>E20*'Dados Geométricos'!$E$58/2/0.8</f>
        <v>0.7861724999999993</v>
      </c>
      <c r="J17" s="138">
        <f>J13</f>
        <v>16.513</v>
      </c>
      <c r="K17" s="135">
        <f>K13</f>
        <v>3.24</v>
      </c>
      <c r="L17" s="163">
        <f>L13</f>
        <v>0</v>
      </c>
      <c r="M17" s="598"/>
      <c r="N17" s="599"/>
      <c r="O17" s="600"/>
    </row>
    <row r="18" spans="2:15" ht="13.5" thickBot="1">
      <c r="B18" s="25">
        <f>(5.5+Principal!V10-10.75)+2</f>
        <v>14.451</v>
      </c>
      <c r="C18" s="144">
        <v>0.6635</v>
      </c>
      <c r="D18" s="144">
        <v>-0.7911000000000002</v>
      </c>
      <c r="E18" s="150">
        <v>0.6720999999999996</v>
      </c>
      <c r="F18" s="228">
        <f t="shared" si="1"/>
        <v>15.951</v>
      </c>
      <c r="G18" s="315">
        <f>C21*'Dados Geométricos'!$E$58/2/0.8</f>
        <v>0.5375812499999999</v>
      </c>
      <c r="H18" s="223">
        <f>D21*'Dados Geométricos'!$E$58/2/0.8</f>
        <v>-0.7459875000000001</v>
      </c>
      <c r="I18" s="163">
        <f>E21*'Dados Geométricos'!$E$58/2/0.8</f>
        <v>0.6854249999999998</v>
      </c>
      <c r="J18" s="22"/>
      <c r="K18" s="227"/>
      <c r="L18" s="151"/>
      <c r="M18" s="601"/>
      <c r="N18" s="602"/>
      <c r="O18" s="603"/>
    </row>
    <row r="19" spans="2:15" ht="13.5" thickBot="1">
      <c r="B19" s="25">
        <f>(6+Principal!V10-10.75)+2</f>
        <v>14.951</v>
      </c>
      <c r="C19" s="144">
        <v>0.58325</v>
      </c>
      <c r="D19" s="144">
        <v>-0.72</v>
      </c>
      <c r="E19" s="150">
        <v>0.6226999999999997</v>
      </c>
      <c r="F19" s="228">
        <f t="shared" si="1"/>
        <v>16.451</v>
      </c>
      <c r="G19" s="315">
        <f>C22*'Dados Geométricos'!$E$58/2/0.8</f>
        <v>0.36544124999999994</v>
      </c>
      <c r="H19" s="223">
        <f>D22*'Dados Geométricos'!$E$58/2/0.8</f>
        <v>-0.6020625</v>
      </c>
      <c r="I19" s="163">
        <f>E22*'Dados Geométricos'!$E$58/2/0.8</f>
        <v>0.5681474999999999</v>
      </c>
      <c r="J19" s="688" t="s">
        <v>201</v>
      </c>
      <c r="K19" s="688"/>
      <c r="L19" s="644"/>
      <c r="M19" s="601"/>
      <c r="N19" s="602"/>
      <c r="O19" s="603"/>
    </row>
    <row r="20" spans="2:15" ht="13.5" thickBot="1">
      <c r="B20" s="25">
        <f>(6.5+Principal!V10-10.75)+2</f>
        <v>15.451</v>
      </c>
      <c r="C20" s="144">
        <v>0.48519999999999996</v>
      </c>
      <c r="D20" s="144">
        <v>-0.6281000000000003</v>
      </c>
      <c r="E20" s="150">
        <v>0.5516999999999995</v>
      </c>
      <c r="F20" s="228">
        <f t="shared" si="1"/>
        <v>16.951</v>
      </c>
      <c r="G20" s="315">
        <f>C23*'Dados Geométricos'!$E$58/2/0.8</f>
        <v>0.17969249999999995</v>
      </c>
      <c r="H20" s="223">
        <f>D23*'Dados Geométricos'!$E$58/2/0.8</f>
        <v>-0.44303250000000033</v>
      </c>
      <c r="I20" s="163">
        <f>E23*'Dados Geométricos'!$E$58/2/0.8</f>
        <v>0.5024549999999994</v>
      </c>
      <c r="J20" s="202" t="s">
        <v>333</v>
      </c>
      <c r="K20" s="204" t="s">
        <v>343</v>
      </c>
      <c r="L20" s="225" t="s">
        <v>336</v>
      </c>
      <c r="M20" s="601"/>
      <c r="N20" s="602"/>
      <c r="O20" s="603"/>
    </row>
    <row r="21" spans="2:15" ht="12.75">
      <c r="B21" s="25">
        <f>(7+Principal!V10-10.75)+2</f>
        <v>15.951</v>
      </c>
      <c r="C21" s="144">
        <v>0.37725</v>
      </c>
      <c r="D21" s="144">
        <v>-0.5235000000000002</v>
      </c>
      <c r="E21" s="150">
        <v>0.481</v>
      </c>
      <c r="F21" s="228">
        <f t="shared" si="1"/>
        <v>17.701</v>
      </c>
      <c r="G21" s="315">
        <f>C24*'Dados Geométricos'!$E$58/2/0.8</f>
        <v>0</v>
      </c>
      <c r="H21" s="223">
        <f>D24*'Dados Geométricos'!$E$58/2/0.8</f>
        <v>0.17384999999999964</v>
      </c>
      <c r="I21" s="163">
        <f>E24*'Dados Geométricos'!$E$58/2/0.8</f>
        <v>0.4413224999999996</v>
      </c>
      <c r="J21" s="138">
        <f>Principal!V9</f>
        <v>6.646</v>
      </c>
      <c r="K21" s="223">
        <f>'Dados Geométricos'!E24</f>
        <v>-1.226</v>
      </c>
      <c r="L21" s="150">
        <v>0</v>
      </c>
      <c r="M21" s="601"/>
      <c r="N21" s="602"/>
      <c r="O21" s="603"/>
    </row>
    <row r="22" spans="2:15" ht="12.75">
      <c r="B22" s="25">
        <f>(7.5+Principal!V10-10.75)+2</f>
        <v>16.451</v>
      </c>
      <c r="C22" s="144">
        <v>0.25645</v>
      </c>
      <c r="D22" s="144">
        <v>-0.4225</v>
      </c>
      <c r="E22" s="150">
        <v>0.39869999999999994</v>
      </c>
      <c r="F22" s="228">
        <f t="shared" si="1"/>
        <v>17.701</v>
      </c>
      <c r="G22" s="315">
        <f>C25*'Dados Geométricos'!$E$58/2/0.8</f>
        <v>0</v>
      </c>
      <c r="H22" s="223">
        <f>D25*'Dados Geométricos'!$E$58/2/0.8</f>
        <v>0.4413224999999999</v>
      </c>
      <c r="I22" s="163">
        <f>E25*'Dados Geométricos'!$E$58/2/0.8</f>
        <v>0.4413224999999999</v>
      </c>
      <c r="J22" s="138">
        <f>J21+'Dados Geométricos'!E17</f>
        <v>10.253</v>
      </c>
      <c r="K22" s="223">
        <f>K21</f>
        <v>-1.226</v>
      </c>
      <c r="L22" s="150">
        <v>0</v>
      </c>
      <c r="M22" s="601"/>
      <c r="N22" s="602"/>
      <c r="O22" s="603"/>
    </row>
    <row r="23" spans="2:15" ht="12.75">
      <c r="B23" s="25">
        <f>(8+Principal!V10-10.75)+2</f>
        <v>16.951</v>
      </c>
      <c r="C23" s="144">
        <v>0.1261</v>
      </c>
      <c r="D23" s="144">
        <v>-0.3109000000000003</v>
      </c>
      <c r="E23" s="150">
        <v>0.3525999999999997</v>
      </c>
      <c r="F23" s="25"/>
      <c r="G23" s="144"/>
      <c r="H23" s="222"/>
      <c r="I23" s="150"/>
      <c r="J23" s="138">
        <f>J21+'Dados Geométricos'!E17/4+TAN('Dados Geométricos'!E15*PI()/180)*'Dados Geométricos'!E13/2+3*'Dados Geométricos'!E16*'Dados Geométricos'!E17/4</f>
        <v>12.977619439604366</v>
      </c>
      <c r="K23" s="222">
        <f>'Dados Geométricos'!E24+'Dados Geométricos'!E13/2*SIN('Dados Geométricos'!E19*PI()/180)</f>
        <v>-0.8951527712602908</v>
      </c>
      <c r="L23" s="150">
        <f>'Dados Geométricos'!E13/2</f>
        <v>9.48</v>
      </c>
      <c r="M23" s="601"/>
      <c r="N23" s="602"/>
      <c r="O23" s="603"/>
    </row>
    <row r="24" spans="2:15" ht="12.75">
      <c r="B24" s="25">
        <f>(8.5+Principal!V10-10.75)+2.25</f>
        <v>17.701</v>
      </c>
      <c r="C24" s="144"/>
      <c r="D24" s="144">
        <v>0.12199999999999978</v>
      </c>
      <c r="E24" s="150">
        <v>0.30969999999999975</v>
      </c>
      <c r="F24" s="25"/>
      <c r="G24" s="144"/>
      <c r="H24" s="222"/>
      <c r="I24" s="150"/>
      <c r="J24" s="138">
        <f>J23-'Dados Geométricos'!E17*'Dados Geométricos'!E16</f>
        <v>11.902733439604367</v>
      </c>
      <c r="K24" s="222">
        <f>K23</f>
        <v>-0.8951527712602908</v>
      </c>
      <c r="L24" s="150">
        <f>'Dados Geométricos'!E13/2</f>
        <v>9.48</v>
      </c>
      <c r="M24" s="601"/>
      <c r="N24" s="602"/>
      <c r="O24" s="603"/>
    </row>
    <row r="25" spans="2:15" ht="13.5" thickBot="1">
      <c r="B25" s="27">
        <f>(8.5+Principal!V10-10.75)+2.25</f>
        <v>17.701</v>
      </c>
      <c r="C25" s="229"/>
      <c r="D25" s="229">
        <v>0.3097</v>
      </c>
      <c r="E25" s="151">
        <v>0.3097</v>
      </c>
      <c r="F25" s="27"/>
      <c r="G25" s="229"/>
      <c r="H25" s="227"/>
      <c r="I25" s="151"/>
      <c r="J25" s="230">
        <f>J21</f>
        <v>6.646</v>
      </c>
      <c r="K25" s="227">
        <f>K21</f>
        <v>-1.226</v>
      </c>
      <c r="L25" s="151">
        <f>L21</f>
        <v>0</v>
      </c>
      <c r="M25" s="604"/>
      <c r="N25" s="605"/>
      <c r="O25" s="606"/>
    </row>
    <row r="27" ht="12.75">
      <c r="B27" s="363"/>
    </row>
  </sheetData>
  <sheetProtection/>
  <mergeCells count="10">
    <mergeCell ref="J19:L19"/>
    <mergeCell ref="B3:E3"/>
    <mergeCell ref="B2:O2"/>
    <mergeCell ref="B13:E13"/>
    <mergeCell ref="F3:I3"/>
    <mergeCell ref="J3:L3"/>
    <mergeCell ref="M3:O3"/>
    <mergeCell ref="J11:L11"/>
    <mergeCell ref="M10:O10"/>
    <mergeCell ref="M17:O25"/>
  </mergeCells>
  <printOptions/>
  <pageMargins left="0.787401575" right="0.787401575" top="0.984251969" bottom="0.984251969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">
    <tabColor indexed="19"/>
  </sheetPr>
  <dimension ref="B2:D16"/>
  <sheetViews>
    <sheetView zoomScalePageLayoutView="0" workbookViewId="0" topLeftCell="A1">
      <selection activeCell="B10" sqref="B10:L10"/>
    </sheetView>
  </sheetViews>
  <sheetFormatPr defaultColWidth="9.140625" defaultRowHeight="12.75"/>
  <cols>
    <col min="1" max="1" width="2.00390625" style="152" bestFit="1" customWidth="1"/>
    <col min="2" max="16384" width="9.140625" style="152" customWidth="1"/>
  </cols>
  <sheetData>
    <row r="1" ht="13.5" thickBot="1"/>
    <row r="2" spans="2:4" ht="13.5" thickBot="1">
      <c r="B2" s="632" t="s">
        <v>975</v>
      </c>
      <c r="C2" s="633"/>
      <c r="D2" s="634"/>
    </row>
    <row r="3" spans="2:4" ht="13.5" thickBot="1">
      <c r="B3" s="628" t="s">
        <v>746</v>
      </c>
      <c r="C3" s="629"/>
      <c r="D3" s="715"/>
    </row>
    <row r="4" spans="2:4" ht="12.75">
      <c r="B4" s="34" t="s">
        <v>743</v>
      </c>
      <c r="C4" s="717" t="s">
        <v>744</v>
      </c>
      <c r="D4" s="712"/>
    </row>
    <row r="5" spans="2:4" ht="12.75">
      <c r="B5" s="92">
        <v>-0.040925</v>
      </c>
      <c r="C5" s="422">
        <v>32.67</v>
      </c>
      <c r="D5" s="421"/>
    </row>
    <row r="6" spans="2:4" ht="12.75">
      <c r="B6" s="92">
        <v>0.008912</v>
      </c>
      <c r="C6" s="196">
        <v>28.083</v>
      </c>
      <c r="D6" s="197"/>
    </row>
    <row r="7" spans="2:4" ht="12.75">
      <c r="B7" s="92">
        <v>0.058846</v>
      </c>
      <c r="C7" s="196">
        <v>23.844</v>
      </c>
      <c r="D7" s="197"/>
    </row>
    <row r="8" spans="2:4" ht="12.75">
      <c r="B8" s="92">
        <v>0.10692</v>
      </c>
      <c r="C8" s="196">
        <v>20.91</v>
      </c>
      <c r="D8" s="197"/>
    </row>
    <row r="9" spans="2:4" ht="12.75">
      <c r="B9" s="92">
        <v>0.15732</v>
      </c>
      <c r="C9" s="196">
        <v>18.366</v>
      </c>
      <c r="D9" s="197"/>
    </row>
    <row r="10" spans="2:4" ht="12.75">
      <c r="B10" s="92">
        <v>0.20787</v>
      </c>
      <c r="C10" s="196">
        <v>16.344</v>
      </c>
      <c r="D10" s="197"/>
    </row>
    <row r="11" spans="2:4" ht="12.75">
      <c r="B11" s="92">
        <v>0.25632</v>
      </c>
      <c r="C11" s="196">
        <v>14.758</v>
      </c>
      <c r="D11" s="197"/>
    </row>
    <row r="12" spans="2:4" ht="12.75">
      <c r="B12" s="92">
        <v>0.30594</v>
      </c>
      <c r="C12" s="196">
        <v>13.389</v>
      </c>
      <c r="D12" s="197"/>
    </row>
    <row r="13" spans="2:4" ht="12.75">
      <c r="B13" s="92">
        <v>0.35674</v>
      </c>
      <c r="C13" s="196">
        <v>12.28</v>
      </c>
      <c r="D13" s="197"/>
    </row>
    <row r="14" spans="2:4" ht="12.75">
      <c r="B14" s="92">
        <v>0.40647</v>
      </c>
      <c r="C14" s="196">
        <v>11.302</v>
      </c>
      <c r="D14" s="197"/>
    </row>
    <row r="15" spans="2:4" ht="12.75">
      <c r="B15" s="92">
        <v>0.45629</v>
      </c>
      <c r="C15" s="196">
        <v>10.628</v>
      </c>
      <c r="D15" s="197"/>
    </row>
    <row r="16" spans="2:4" ht="13.5" thickBot="1">
      <c r="B16" s="93">
        <v>0.50611</v>
      </c>
      <c r="C16" s="198">
        <v>9.954</v>
      </c>
      <c r="D16" s="199"/>
    </row>
  </sheetData>
  <sheetProtection/>
  <mergeCells count="3">
    <mergeCell ref="B2:D2"/>
    <mergeCell ref="C4:D4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2">
    <tabColor indexed="60"/>
  </sheetPr>
  <dimension ref="A1:R104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10.8515625" style="152" customWidth="1"/>
    <col min="2" max="16384" width="9.140625" style="152" customWidth="1"/>
  </cols>
  <sheetData>
    <row r="1" spans="1:18" ht="13.5" thickBot="1">
      <c r="A1" s="723" t="s">
        <v>358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724"/>
      <c r="Q1" s="724"/>
      <c r="R1" s="725"/>
    </row>
    <row r="2" spans="1:18" ht="13.5" thickBot="1">
      <c r="A2" s="720" t="s">
        <v>359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2"/>
      <c r="M2" s="601"/>
      <c r="N2" s="602"/>
      <c r="O2" s="602"/>
      <c r="P2" s="602"/>
      <c r="Q2" s="602"/>
      <c r="R2" s="603"/>
    </row>
    <row r="3" spans="1:18" ht="13.5" thickBot="1">
      <c r="A3" s="19"/>
      <c r="B3" s="629" t="s">
        <v>356</v>
      </c>
      <c r="C3" s="629"/>
      <c r="D3" s="629"/>
      <c r="E3" s="629"/>
      <c r="F3" s="629"/>
      <c r="G3" s="629"/>
      <c r="H3" s="629"/>
      <c r="I3" s="629"/>
      <c r="J3" s="629"/>
      <c r="K3" s="629"/>
      <c r="L3" s="715"/>
      <c r="M3" s="601"/>
      <c r="N3" s="602"/>
      <c r="O3" s="602"/>
      <c r="P3" s="602"/>
      <c r="Q3" s="602"/>
      <c r="R3" s="603"/>
    </row>
    <row r="4" spans="1:18" ht="12.75">
      <c r="A4" s="718" t="s">
        <v>357</v>
      </c>
      <c r="B4" s="34"/>
      <c r="C4" s="30">
        <v>0.05</v>
      </c>
      <c r="D4" s="30">
        <v>0.1</v>
      </c>
      <c r="E4" s="30">
        <v>0.15</v>
      </c>
      <c r="F4" s="30">
        <v>0.2</v>
      </c>
      <c r="G4" s="30">
        <v>0.25</v>
      </c>
      <c r="H4" s="30">
        <v>0.3</v>
      </c>
      <c r="I4" s="30">
        <v>0.35</v>
      </c>
      <c r="J4" s="30">
        <v>0.4</v>
      </c>
      <c r="K4" s="30">
        <v>0.45</v>
      </c>
      <c r="L4" s="31">
        <v>0.5</v>
      </c>
      <c r="M4" s="601"/>
      <c r="N4" s="602"/>
      <c r="O4" s="602"/>
      <c r="P4" s="602"/>
      <c r="Q4" s="602"/>
      <c r="R4" s="603"/>
    </row>
    <row r="5" spans="1:18" ht="12.75">
      <c r="A5" s="718"/>
      <c r="B5" s="35">
        <v>0</v>
      </c>
      <c r="C5" s="33">
        <v>1.7839</v>
      </c>
      <c r="D5" s="33">
        <v>2.4935</v>
      </c>
      <c r="E5" s="33">
        <v>3.0278</v>
      </c>
      <c r="F5" s="33">
        <v>3.462</v>
      </c>
      <c r="G5" s="33">
        <v>3.8293</v>
      </c>
      <c r="H5" s="33">
        <v>4.1549</v>
      </c>
      <c r="I5" s="33">
        <v>4.4555</v>
      </c>
      <c r="J5" s="33">
        <v>4.6976</v>
      </c>
      <c r="K5" s="33">
        <v>4.9314</v>
      </c>
      <c r="L5" s="26">
        <v>5.1401</v>
      </c>
      <c r="M5" s="601"/>
      <c r="N5" s="602"/>
      <c r="O5" s="602"/>
      <c r="P5" s="602"/>
      <c r="Q5" s="602"/>
      <c r="R5" s="603"/>
    </row>
    <row r="6" spans="1:18" ht="12.75">
      <c r="A6" s="718"/>
      <c r="B6" s="35">
        <v>0.02</v>
      </c>
      <c r="C6" s="33">
        <v>1.7755</v>
      </c>
      <c r="D6" s="33">
        <v>2.5102</v>
      </c>
      <c r="E6" s="33">
        <v>3.0445</v>
      </c>
      <c r="F6" s="33">
        <v>3.4954</v>
      </c>
      <c r="G6" s="33">
        <v>3.8878</v>
      </c>
      <c r="H6" s="33">
        <v>4.2217</v>
      </c>
      <c r="I6" s="33">
        <v>4.5139</v>
      </c>
      <c r="J6" s="33">
        <v>4.7811</v>
      </c>
      <c r="K6" s="33">
        <v>5.0315</v>
      </c>
      <c r="L6" s="26">
        <v>5.2486</v>
      </c>
      <c r="M6" s="601"/>
      <c r="N6" s="602"/>
      <c r="O6" s="602"/>
      <c r="P6" s="602"/>
      <c r="Q6" s="602"/>
      <c r="R6" s="603"/>
    </row>
    <row r="7" spans="1:18" ht="12.75">
      <c r="A7" s="718"/>
      <c r="B7" s="35">
        <v>0.04</v>
      </c>
      <c r="C7" s="33">
        <v>1.7839</v>
      </c>
      <c r="D7" s="33">
        <v>2.5186</v>
      </c>
      <c r="E7" s="33">
        <v>3.0779</v>
      </c>
      <c r="F7" s="33">
        <v>3.5371</v>
      </c>
      <c r="G7" s="33">
        <v>3.9295</v>
      </c>
      <c r="H7" s="33">
        <v>4.2801</v>
      </c>
      <c r="I7" s="33">
        <v>4.5807</v>
      </c>
      <c r="J7" s="33">
        <v>4.8562</v>
      </c>
      <c r="K7" s="33">
        <v>5.115</v>
      </c>
      <c r="L7" s="26">
        <v>5.3488</v>
      </c>
      <c r="M7" s="601"/>
      <c r="N7" s="602"/>
      <c r="O7" s="602"/>
      <c r="P7" s="602"/>
      <c r="Q7" s="602"/>
      <c r="R7" s="603"/>
    </row>
    <row r="8" spans="1:18" ht="12.75">
      <c r="A8" s="718"/>
      <c r="B8" s="35">
        <v>0.06</v>
      </c>
      <c r="C8" s="33">
        <v>1.7839</v>
      </c>
      <c r="D8" s="33">
        <v>2.5269</v>
      </c>
      <c r="E8" s="33">
        <v>3.0946</v>
      </c>
      <c r="F8" s="33">
        <v>3.5705</v>
      </c>
      <c r="G8" s="33">
        <v>3.9796</v>
      </c>
      <c r="H8" s="33">
        <v>4.3386</v>
      </c>
      <c r="I8" s="33">
        <v>4.6558</v>
      </c>
      <c r="J8" s="33">
        <v>4.9481</v>
      </c>
      <c r="K8" s="33">
        <v>5.2152</v>
      </c>
      <c r="L8" s="26">
        <v>5.4573</v>
      </c>
      <c r="M8" s="601"/>
      <c r="N8" s="602"/>
      <c r="O8" s="602"/>
      <c r="P8" s="602"/>
      <c r="Q8" s="602"/>
      <c r="R8" s="603"/>
    </row>
    <row r="9" spans="1:18" ht="12.75">
      <c r="A9" s="718"/>
      <c r="B9" s="35">
        <v>0.08</v>
      </c>
      <c r="C9" s="33">
        <v>1.7755</v>
      </c>
      <c r="D9" s="33">
        <v>2.5436</v>
      </c>
      <c r="E9" s="33">
        <v>3.1197</v>
      </c>
      <c r="F9" s="33">
        <v>3.6122</v>
      </c>
      <c r="G9" s="33">
        <v>4.0297</v>
      </c>
      <c r="H9" s="33">
        <v>4.397</v>
      </c>
      <c r="I9" s="33">
        <v>4.731</v>
      </c>
      <c r="J9" s="33">
        <v>5.0315</v>
      </c>
      <c r="K9" s="33">
        <v>5.3071</v>
      </c>
      <c r="L9" s="26">
        <v>5.5659</v>
      </c>
      <c r="M9" s="601"/>
      <c r="N9" s="602"/>
      <c r="O9" s="602"/>
      <c r="P9" s="602"/>
      <c r="Q9" s="602"/>
      <c r="R9" s="603"/>
    </row>
    <row r="10" spans="1:18" ht="12.75">
      <c r="A10" s="718"/>
      <c r="B10" s="35">
        <v>0.1</v>
      </c>
      <c r="C10" s="33">
        <v>1.7839</v>
      </c>
      <c r="D10" s="33">
        <v>2.5603</v>
      </c>
      <c r="E10" s="33">
        <v>3.1531</v>
      </c>
      <c r="F10" s="33">
        <v>3.6456</v>
      </c>
      <c r="G10" s="33">
        <v>4.0714</v>
      </c>
      <c r="H10" s="33">
        <v>4.4555</v>
      </c>
      <c r="I10" s="33">
        <v>4.7978</v>
      </c>
      <c r="J10" s="33">
        <v>5.115</v>
      </c>
      <c r="K10" s="33">
        <v>5.3989</v>
      </c>
      <c r="L10" s="26">
        <v>5.666</v>
      </c>
      <c r="M10" s="601"/>
      <c r="N10" s="602"/>
      <c r="O10" s="602"/>
      <c r="P10" s="602"/>
      <c r="Q10" s="602"/>
      <c r="R10" s="603"/>
    </row>
    <row r="11" spans="1:18" ht="12.75">
      <c r="A11" s="718"/>
      <c r="B11" s="35">
        <v>0.12</v>
      </c>
      <c r="C11" s="33">
        <v>1.7839</v>
      </c>
      <c r="D11" s="33">
        <v>2.5686</v>
      </c>
      <c r="E11" s="33">
        <v>3.1781</v>
      </c>
      <c r="F11" s="33">
        <v>3.6874</v>
      </c>
      <c r="G11" s="33">
        <v>4.1382</v>
      </c>
      <c r="H11" s="33">
        <v>4.5223</v>
      </c>
      <c r="I11" s="33">
        <v>4.8729</v>
      </c>
      <c r="J11" s="33">
        <v>5.1985</v>
      </c>
      <c r="K11" s="33">
        <v>5.4907</v>
      </c>
      <c r="L11" s="26">
        <v>5.7746</v>
      </c>
      <c r="M11" s="601"/>
      <c r="N11" s="602"/>
      <c r="O11" s="602"/>
      <c r="P11" s="602"/>
      <c r="Q11" s="602"/>
      <c r="R11" s="603"/>
    </row>
    <row r="12" spans="1:18" ht="13.5" thickBot="1">
      <c r="A12" s="718"/>
      <c r="B12" s="35">
        <v>0.15</v>
      </c>
      <c r="C12" s="33">
        <v>1.7839</v>
      </c>
      <c r="D12" s="33">
        <v>2.5853</v>
      </c>
      <c r="E12" s="33">
        <v>3.2115</v>
      </c>
      <c r="F12" s="33">
        <v>3.7375</v>
      </c>
      <c r="G12" s="33">
        <v>4.205</v>
      </c>
      <c r="H12" s="33">
        <v>4.6141</v>
      </c>
      <c r="I12" s="33">
        <v>4.9814</v>
      </c>
      <c r="J12" s="33">
        <v>5.3237</v>
      </c>
      <c r="K12" s="33">
        <v>5.6327</v>
      </c>
      <c r="L12" s="26">
        <v>5.9332</v>
      </c>
      <c r="M12" s="604"/>
      <c r="N12" s="605"/>
      <c r="O12" s="605"/>
      <c r="P12" s="605"/>
      <c r="Q12" s="605"/>
      <c r="R12" s="606"/>
    </row>
    <row r="13" spans="1:18" ht="13.5" thickBot="1">
      <c r="A13" s="720" t="s">
        <v>360</v>
      </c>
      <c r="B13" s="721"/>
      <c r="C13" s="721"/>
      <c r="D13" s="721"/>
      <c r="E13" s="721"/>
      <c r="F13" s="721"/>
      <c r="G13" s="721"/>
      <c r="H13" s="721"/>
      <c r="I13" s="721"/>
      <c r="J13" s="721"/>
      <c r="K13" s="721"/>
      <c r="L13" s="721"/>
      <c r="M13" s="721"/>
      <c r="N13" s="721"/>
      <c r="O13" s="721"/>
      <c r="P13" s="721"/>
      <c r="Q13" s="721"/>
      <c r="R13" s="722"/>
    </row>
    <row r="14" spans="1:18" ht="13.5" thickBot="1">
      <c r="A14" s="19"/>
      <c r="B14" s="629" t="s">
        <v>367</v>
      </c>
      <c r="C14" s="629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715"/>
    </row>
    <row r="15" spans="1:18" ht="12.75" customHeight="1">
      <c r="A15" s="718" t="s">
        <v>356</v>
      </c>
      <c r="B15" s="122"/>
      <c r="C15" s="101">
        <v>0.7</v>
      </c>
      <c r="D15" s="101">
        <v>0.72</v>
      </c>
      <c r="E15" s="101">
        <v>0.74</v>
      </c>
      <c r="F15" s="101">
        <v>0.76</v>
      </c>
      <c r="G15" s="101">
        <v>0.78</v>
      </c>
      <c r="H15" s="101">
        <v>0.8</v>
      </c>
      <c r="I15" s="101">
        <v>0.82</v>
      </c>
      <c r="J15" s="101">
        <v>0.84</v>
      </c>
      <c r="K15" s="101">
        <v>0.86</v>
      </c>
      <c r="L15" s="101">
        <v>0.88</v>
      </c>
      <c r="M15" s="101">
        <v>0.9</v>
      </c>
      <c r="N15" s="101">
        <v>0.92</v>
      </c>
      <c r="O15" s="101">
        <v>0.94</v>
      </c>
      <c r="P15" s="101">
        <v>0.96</v>
      </c>
      <c r="Q15" s="101">
        <v>0.98</v>
      </c>
      <c r="R15" s="102">
        <v>1</v>
      </c>
    </row>
    <row r="16" spans="1:18" ht="12.75">
      <c r="A16" s="718"/>
      <c r="B16" s="35">
        <v>0.05</v>
      </c>
      <c r="C16" s="33">
        <v>0.35743</v>
      </c>
      <c r="D16" s="33">
        <v>0.4008</v>
      </c>
      <c r="E16" s="33">
        <v>0.44096</v>
      </c>
      <c r="F16" s="33">
        <v>0.48755</v>
      </c>
      <c r="G16" s="33">
        <v>0.53092</v>
      </c>
      <c r="H16" s="33">
        <v>0.5759</v>
      </c>
      <c r="I16" s="33">
        <v>0.61767</v>
      </c>
      <c r="J16" s="33">
        <v>0.66104</v>
      </c>
      <c r="K16" s="33">
        <v>0.6996</v>
      </c>
      <c r="L16" s="33">
        <v>0.74137</v>
      </c>
      <c r="M16" s="33">
        <v>0.78313</v>
      </c>
      <c r="N16" s="33">
        <v>0.8249</v>
      </c>
      <c r="O16" s="33">
        <v>0.86827</v>
      </c>
      <c r="P16" s="33">
        <v>0.91004</v>
      </c>
      <c r="Q16" s="33">
        <v>0.95502</v>
      </c>
      <c r="R16" s="26">
        <v>1</v>
      </c>
    </row>
    <row r="17" spans="1:18" ht="12.75">
      <c r="A17" s="718"/>
      <c r="B17" s="35">
        <v>0.1</v>
      </c>
      <c r="C17" s="33">
        <v>0.38635</v>
      </c>
      <c r="D17" s="33">
        <v>0.42972</v>
      </c>
      <c r="E17" s="33">
        <v>0.47631</v>
      </c>
      <c r="F17" s="33">
        <v>0.52289</v>
      </c>
      <c r="G17" s="33">
        <v>0.56948</v>
      </c>
      <c r="H17" s="33">
        <v>0.61606</v>
      </c>
      <c r="I17" s="33">
        <v>0.65622</v>
      </c>
      <c r="J17" s="33">
        <v>0.69639</v>
      </c>
      <c r="K17" s="33">
        <v>0.73494</v>
      </c>
      <c r="L17" s="33">
        <v>0.7751</v>
      </c>
      <c r="M17" s="33">
        <v>0.81044</v>
      </c>
      <c r="N17" s="33">
        <v>0.84578</v>
      </c>
      <c r="O17" s="33">
        <v>0.88594</v>
      </c>
      <c r="P17" s="33">
        <v>0.92289</v>
      </c>
      <c r="Q17" s="33">
        <v>0.95984</v>
      </c>
      <c r="R17" s="26">
        <v>1</v>
      </c>
    </row>
    <row r="18" spans="1:18" ht="12.75">
      <c r="A18" s="718"/>
      <c r="B18" s="35">
        <v>0.2</v>
      </c>
      <c r="C18" s="33">
        <v>0.43293</v>
      </c>
      <c r="D18" s="33">
        <v>0.47952</v>
      </c>
      <c r="E18" s="33">
        <v>0.5245</v>
      </c>
      <c r="F18" s="33">
        <v>0.57108</v>
      </c>
      <c r="G18" s="33">
        <v>0.61446</v>
      </c>
      <c r="H18" s="33">
        <v>0.65622</v>
      </c>
      <c r="I18" s="33">
        <v>0.69478</v>
      </c>
      <c r="J18" s="33">
        <v>0.73173</v>
      </c>
      <c r="K18" s="33">
        <v>0.76867</v>
      </c>
      <c r="L18" s="33">
        <v>0.8008</v>
      </c>
      <c r="M18" s="33">
        <v>0.83293</v>
      </c>
      <c r="N18" s="33">
        <v>0.86827</v>
      </c>
      <c r="O18" s="33">
        <v>0.9004</v>
      </c>
      <c r="P18" s="33">
        <v>0.93574</v>
      </c>
      <c r="Q18" s="33">
        <v>0.96627</v>
      </c>
      <c r="R18" s="26">
        <v>1</v>
      </c>
    </row>
    <row r="19" spans="1:18" ht="12.75">
      <c r="A19" s="718"/>
      <c r="B19" s="35">
        <v>0.3</v>
      </c>
      <c r="C19" s="33">
        <v>0.4747</v>
      </c>
      <c r="D19" s="33">
        <v>0.51807</v>
      </c>
      <c r="E19" s="33">
        <v>0.55984</v>
      </c>
      <c r="F19" s="33">
        <v>0.60321</v>
      </c>
      <c r="G19" s="33">
        <v>0.64498</v>
      </c>
      <c r="H19" s="33">
        <v>0.68514</v>
      </c>
      <c r="I19" s="33">
        <v>0.72209</v>
      </c>
      <c r="J19" s="33">
        <v>0.75422</v>
      </c>
      <c r="K19" s="33">
        <v>0.78956</v>
      </c>
      <c r="L19" s="33">
        <v>0.82008</v>
      </c>
      <c r="M19" s="33">
        <v>0.8506</v>
      </c>
      <c r="N19" s="33">
        <v>0.87952</v>
      </c>
      <c r="O19" s="33">
        <v>0.91004</v>
      </c>
      <c r="P19" s="33">
        <v>0.94056</v>
      </c>
      <c r="Q19" s="33">
        <v>0.96948</v>
      </c>
      <c r="R19" s="26">
        <v>1</v>
      </c>
    </row>
    <row r="20" spans="1:18" ht="12.75">
      <c r="A20" s="718"/>
      <c r="B20" s="35">
        <v>0.4</v>
      </c>
      <c r="C20" s="33">
        <v>0.51165</v>
      </c>
      <c r="D20" s="33">
        <v>0.55181</v>
      </c>
      <c r="E20" s="33">
        <v>0.59357</v>
      </c>
      <c r="F20" s="33">
        <v>0.63213</v>
      </c>
      <c r="G20" s="33">
        <v>0.67229</v>
      </c>
      <c r="H20" s="33">
        <v>0.71084</v>
      </c>
      <c r="I20" s="33">
        <v>0.74458</v>
      </c>
      <c r="J20" s="33">
        <v>0.7751</v>
      </c>
      <c r="K20" s="33">
        <v>0.80562</v>
      </c>
      <c r="L20" s="33">
        <v>0.83454</v>
      </c>
      <c r="M20" s="33">
        <v>0.86345</v>
      </c>
      <c r="N20" s="33">
        <v>0.89076</v>
      </c>
      <c r="O20" s="33">
        <v>0.91807</v>
      </c>
      <c r="P20" s="33">
        <v>0.94538</v>
      </c>
      <c r="Q20" s="33">
        <v>0.97269</v>
      </c>
      <c r="R20" s="26">
        <v>1</v>
      </c>
    </row>
    <row r="21" spans="1:18" ht="13.5" thickBot="1">
      <c r="A21" s="719"/>
      <c r="B21" s="36">
        <v>0.5</v>
      </c>
      <c r="C21" s="97">
        <v>0.54859</v>
      </c>
      <c r="D21" s="97">
        <v>0.58554</v>
      </c>
      <c r="E21" s="97">
        <v>0.62249</v>
      </c>
      <c r="F21" s="97">
        <v>0.66104</v>
      </c>
      <c r="G21" s="97">
        <v>0.6996</v>
      </c>
      <c r="H21" s="97">
        <v>0.73333</v>
      </c>
      <c r="I21" s="97">
        <v>0.76386</v>
      </c>
      <c r="J21" s="97">
        <v>0.79438</v>
      </c>
      <c r="K21" s="97">
        <v>0.82169</v>
      </c>
      <c r="L21" s="97">
        <v>0.849</v>
      </c>
      <c r="M21" s="97">
        <v>0.8747</v>
      </c>
      <c r="N21" s="97">
        <v>0.9004</v>
      </c>
      <c r="O21" s="97">
        <v>0.92771</v>
      </c>
      <c r="P21" s="97">
        <v>0.9502</v>
      </c>
      <c r="Q21" s="97">
        <v>0.97751</v>
      </c>
      <c r="R21" s="28">
        <v>1</v>
      </c>
    </row>
    <row r="22" spans="1:15" ht="12.75">
      <c r="A22" s="172"/>
      <c r="O22" s="33"/>
    </row>
    <row r="23" spans="1:16" ht="12.75">
      <c r="A23" s="172"/>
      <c r="O23" s="33"/>
      <c r="P23" s="171"/>
    </row>
    <row r="24" spans="15:16" ht="12.75">
      <c r="O24" s="33"/>
      <c r="P24" s="171"/>
    </row>
    <row r="25" ht="12.75">
      <c r="O25" s="33"/>
    </row>
    <row r="26" ht="12.75">
      <c r="O26" s="33"/>
    </row>
    <row r="27" ht="12.75">
      <c r="O27" s="33"/>
    </row>
    <row r="28" ht="12.75">
      <c r="O28" s="33"/>
    </row>
    <row r="29" spans="15:16" ht="12.75">
      <c r="O29" s="33"/>
      <c r="P29" s="171"/>
    </row>
    <row r="30" spans="15:16" ht="12.75">
      <c r="O30" s="33"/>
      <c r="P30" s="171"/>
    </row>
    <row r="31" ht="12.75">
      <c r="O31" s="33"/>
    </row>
    <row r="32" ht="12.75">
      <c r="O32" s="33"/>
    </row>
    <row r="33" ht="12.75">
      <c r="O33" s="33"/>
    </row>
    <row r="34" ht="12.75">
      <c r="O34" s="33"/>
    </row>
    <row r="35" spans="7:16" ht="12.75">
      <c r="G35" s="171"/>
      <c r="H35" s="171"/>
      <c r="I35" s="171"/>
      <c r="J35" s="171"/>
      <c r="K35" s="171"/>
      <c r="O35" s="33"/>
      <c r="P35" s="171"/>
    </row>
    <row r="36" spans="7:16" ht="12.75">
      <c r="G36" s="171"/>
      <c r="H36" s="171"/>
      <c r="I36" s="171"/>
      <c r="J36" s="171"/>
      <c r="K36" s="171"/>
      <c r="O36" s="33"/>
      <c r="P36" s="171"/>
    </row>
    <row r="37" spans="7:15" ht="12.75">
      <c r="G37" s="171"/>
      <c r="H37" s="171"/>
      <c r="I37" s="171"/>
      <c r="J37" s="171"/>
      <c r="K37" s="171"/>
      <c r="O37" s="33"/>
    </row>
    <row r="38" spans="7:15" ht="12.75">
      <c r="G38" s="171"/>
      <c r="H38" s="171"/>
      <c r="I38" s="171"/>
      <c r="J38" s="171"/>
      <c r="K38" s="171"/>
      <c r="O38" s="33"/>
    </row>
    <row r="39" spans="7:15" ht="12.75">
      <c r="G39" s="171"/>
      <c r="H39" s="171"/>
      <c r="I39" s="171"/>
      <c r="J39" s="171"/>
      <c r="K39" s="171"/>
      <c r="O39" s="33"/>
    </row>
    <row r="40" spans="7:15" ht="12.75">
      <c r="G40" s="171"/>
      <c r="H40" s="171"/>
      <c r="I40" s="171"/>
      <c r="J40" s="171"/>
      <c r="K40" s="171"/>
      <c r="O40" s="33"/>
    </row>
    <row r="41" spans="10:16" ht="12.75">
      <c r="J41" s="171"/>
      <c r="M41" s="171"/>
      <c r="O41" s="33"/>
      <c r="P41" s="171"/>
    </row>
    <row r="42" spans="15:16" ht="12.75">
      <c r="O42" s="33"/>
      <c r="P42" s="171"/>
    </row>
    <row r="43" ht="12.75">
      <c r="O43" s="33"/>
    </row>
    <row r="44" ht="12.75">
      <c r="O44" s="33"/>
    </row>
    <row r="45" ht="12.75">
      <c r="O45" s="33"/>
    </row>
    <row r="46" ht="12.75">
      <c r="O46" s="33"/>
    </row>
    <row r="47" spans="15:16" ht="12.75">
      <c r="O47" s="33"/>
      <c r="P47" s="171"/>
    </row>
    <row r="48" spans="15:16" ht="12.75">
      <c r="O48" s="33"/>
      <c r="P48" s="171"/>
    </row>
    <row r="49" spans="10:15" ht="12.75">
      <c r="J49" s="171"/>
      <c r="M49" s="171"/>
      <c r="O49" s="33"/>
    </row>
    <row r="50" spans="10:15" ht="12.75">
      <c r="J50" s="171"/>
      <c r="M50" s="171"/>
      <c r="O50" s="33"/>
    </row>
    <row r="51" spans="10:15" ht="12.75">
      <c r="J51" s="171"/>
      <c r="M51" s="171"/>
      <c r="O51" s="33"/>
    </row>
    <row r="52" ht="12.75">
      <c r="O52" s="33"/>
    </row>
    <row r="53" spans="15:16" ht="12.75">
      <c r="O53" s="33"/>
      <c r="P53" s="171"/>
    </row>
    <row r="54" spans="15:16" ht="12.75">
      <c r="O54" s="33"/>
      <c r="P54" s="171"/>
    </row>
    <row r="55" ht="12.75">
      <c r="O55" s="33"/>
    </row>
    <row r="56" ht="12.75">
      <c r="O56" s="33"/>
    </row>
    <row r="57" spans="10:15" ht="12.75">
      <c r="J57" s="171"/>
      <c r="M57" s="171"/>
      <c r="O57" s="33"/>
    </row>
    <row r="58" spans="10:15" ht="12.75">
      <c r="J58" s="171"/>
      <c r="M58" s="171"/>
      <c r="O58" s="33"/>
    </row>
    <row r="59" spans="10:16" ht="12.75">
      <c r="J59" s="171"/>
      <c r="M59" s="171"/>
      <c r="O59" s="33"/>
      <c r="P59" s="171"/>
    </row>
    <row r="60" spans="10:16" ht="12.75">
      <c r="J60" s="171"/>
      <c r="M60" s="171"/>
      <c r="O60" s="33"/>
      <c r="P60" s="171"/>
    </row>
    <row r="61" ht="12.75">
      <c r="O61" s="33"/>
    </row>
    <row r="62" ht="12.75">
      <c r="O62" s="33"/>
    </row>
    <row r="63" ht="12.75">
      <c r="O63" s="33"/>
    </row>
    <row r="64" ht="12.75">
      <c r="O64" s="33"/>
    </row>
    <row r="65" spans="15:16" ht="12.75">
      <c r="O65" s="33"/>
      <c r="P65" s="171"/>
    </row>
    <row r="66" spans="15:16" ht="12.75">
      <c r="O66" s="33"/>
      <c r="P66" s="171"/>
    </row>
    <row r="67" spans="10:15" ht="12.75">
      <c r="J67" s="171"/>
      <c r="M67" s="171"/>
      <c r="O67" s="33"/>
    </row>
    <row r="68" spans="10:15" ht="12.75">
      <c r="J68" s="171"/>
      <c r="M68" s="171"/>
      <c r="O68" s="33"/>
    </row>
    <row r="69" ht="12.75">
      <c r="O69" s="33"/>
    </row>
    <row r="70" ht="12.75">
      <c r="O70" s="33"/>
    </row>
    <row r="71" ht="12.75">
      <c r="O71" s="33"/>
    </row>
    <row r="72" spans="15:16" ht="12.75">
      <c r="O72" s="33"/>
      <c r="P72" s="171"/>
    </row>
    <row r="73" ht="12.75">
      <c r="O73" s="33"/>
    </row>
    <row r="74" ht="12.75">
      <c r="O74" s="33"/>
    </row>
    <row r="75" spans="10:15" ht="12.75">
      <c r="J75" s="171"/>
      <c r="M75" s="171"/>
      <c r="O75" s="33"/>
    </row>
    <row r="76" spans="10:15" ht="12.75">
      <c r="J76" s="171"/>
      <c r="M76" s="171"/>
      <c r="O76" s="33"/>
    </row>
    <row r="77" spans="10:15" ht="12.75">
      <c r="J77" s="171"/>
      <c r="M77" s="171"/>
      <c r="O77" s="33"/>
    </row>
    <row r="78" spans="10:16" ht="12.75">
      <c r="J78" s="171"/>
      <c r="M78" s="171"/>
      <c r="O78" s="33"/>
      <c r="P78" s="171"/>
    </row>
    <row r="79" spans="10:15" ht="12.75">
      <c r="J79" s="171"/>
      <c r="M79" s="171"/>
      <c r="O79" s="33"/>
    </row>
    <row r="80" spans="10:15" ht="12.75">
      <c r="J80" s="171"/>
      <c r="M80" s="171"/>
      <c r="O80" s="33"/>
    </row>
    <row r="81" ht="12.75">
      <c r="O81" s="33"/>
    </row>
    <row r="82" ht="12.75">
      <c r="O82" s="33"/>
    </row>
    <row r="83" ht="12.75">
      <c r="O83" s="33"/>
    </row>
    <row r="84" spans="15:16" ht="12.75">
      <c r="O84" s="33"/>
      <c r="P84" s="171"/>
    </row>
    <row r="85" ht="12.75">
      <c r="O85" s="33"/>
    </row>
    <row r="86" ht="12.75">
      <c r="O86" s="33"/>
    </row>
    <row r="87" ht="12.75">
      <c r="O87" s="33"/>
    </row>
    <row r="88" ht="12.75">
      <c r="O88" s="33"/>
    </row>
    <row r="89" ht="12.75">
      <c r="O89" s="33"/>
    </row>
    <row r="90" spans="15:16" ht="12.75">
      <c r="O90" s="33"/>
      <c r="P90" s="171"/>
    </row>
    <row r="91" ht="12.75">
      <c r="O91" s="33"/>
    </row>
    <row r="92" ht="12.75">
      <c r="O92" s="33"/>
    </row>
    <row r="93" ht="12.75">
      <c r="O93" s="33"/>
    </row>
    <row r="94" ht="12.75">
      <c r="O94" s="33"/>
    </row>
    <row r="95" ht="12.75">
      <c r="O95" s="33"/>
    </row>
    <row r="96" spans="15:16" ht="12.75">
      <c r="O96" s="33"/>
      <c r="P96" s="171"/>
    </row>
    <row r="97" ht="12.75">
      <c r="O97" s="33"/>
    </row>
    <row r="98" ht="12.75">
      <c r="O98" s="33"/>
    </row>
    <row r="99" ht="12.75">
      <c r="O99" s="33"/>
    </row>
    <row r="100" ht="12.75">
      <c r="O100" s="33"/>
    </row>
    <row r="101" ht="12.75">
      <c r="O101" s="33"/>
    </row>
    <row r="102" ht="12.75">
      <c r="O102" s="33"/>
    </row>
    <row r="103" ht="12.75">
      <c r="O103" s="33"/>
    </row>
    <row r="104" ht="12.75">
      <c r="O104" s="33"/>
    </row>
  </sheetData>
  <sheetProtection/>
  <mergeCells count="8">
    <mergeCell ref="A1:R1"/>
    <mergeCell ref="M2:R12"/>
    <mergeCell ref="B14:R14"/>
    <mergeCell ref="A15:A21"/>
    <mergeCell ref="B3:L3"/>
    <mergeCell ref="A4:A12"/>
    <mergeCell ref="A2:L2"/>
    <mergeCell ref="A13:R13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EMBRAER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RSMELLO</dc:creator>
  <cp:keywords/>
  <dc:description/>
  <cp:lastModifiedBy>Cliente</cp:lastModifiedBy>
  <cp:lastPrinted>2005-07-19T18:55:51Z</cp:lastPrinted>
  <dcterms:created xsi:type="dcterms:W3CDTF">2004-04-20T13:36:57Z</dcterms:created>
  <dcterms:modified xsi:type="dcterms:W3CDTF">2009-06-17T16:28:15Z</dcterms:modified>
  <cp:category/>
  <cp:version/>
  <cp:contentType/>
  <cp:contentStatus/>
</cp:coreProperties>
</file>