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308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rpcosta/Library/Mobile Documents/com~apple~CloudDocs/PRO 3470 financas cont ger valor etc/3470 2020/AULAS RPC/"/>
    </mc:Choice>
  </mc:AlternateContent>
  <xr:revisionPtr revIDLastSave="0" documentId="8_{7AB8CB28-EC80-8A48-955B-38BE191B6062}" xr6:coauthVersionLast="45" xr6:coauthVersionMax="45" xr10:uidLastSave="{00000000-0000-0000-0000-000000000000}"/>
  <bookViews>
    <workbookView xWindow="0" yWindow="0" windowWidth="28800" windowHeight="18000" tabRatio="500" xr2:uid="{00000000-000D-0000-FFFF-FFFF00000000}"/>
  </bookViews>
  <sheets>
    <sheet name="RODANT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S7" i="1" l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S43" i="1"/>
  <c r="S44" i="1"/>
  <c r="S45" i="1"/>
  <c r="S46" i="1"/>
  <c r="S47" i="1"/>
  <c r="S48" i="1"/>
  <c r="S49" i="1"/>
  <c r="S50" i="1"/>
  <c r="S51" i="1"/>
  <c r="S52" i="1"/>
  <c r="S53" i="1"/>
  <c r="S54" i="1"/>
  <c r="S55" i="1"/>
  <c r="S56" i="1"/>
  <c r="S57" i="1"/>
  <c r="S58" i="1"/>
  <c r="S59" i="1"/>
  <c r="S60" i="1"/>
  <c r="S61" i="1"/>
  <c r="S62" i="1"/>
  <c r="S63" i="1"/>
  <c r="S64" i="1"/>
  <c r="S65" i="1"/>
  <c r="S66" i="1"/>
  <c r="S67" i="1"/>
  <c r="S68" i="1"/>
  <c r="S69" i="1"/>
  <c r="S70" i="1"/>
  <c r="S71" i="1"/>
  <c r="S72" i="1"/>
  <c r="S73" i="1"/>
  <c r="S74" i="1"/>
  <c r="S75" i="1"/>
  <c r="S76" i="1"/>
  <c r="S77" i="1"/>
  <c r="S78" i="1"/>
  <c r="S79" i="1"/>
  <c r="S80" i="1"/>
  <c r="S81" i="1"/>
  <c r="S82" i="1"/>
  <c r="S83" i="1"/>
  <c r="S84" i="1"/>
  <c r="S85" i="1"/>
  <c r="S86" i="1"/>
  <c r="S87" i="1"/>
  <c r="S88" i="1"/>
  <c r="S89" i="1"/>
  <c r="S90" i="1"/>
  <c r="S91" i="1"/>
  <c r="S92" i="1"/>
  <c r="S93" i="1"/>
  <c r="S94" i="1"/>
  <c r="S95" i="1"/>
  <c r="S96" i="1"/>
  <c r="S97" i="1"/>
  <c r="S98" i="1"/>
  <c r="S99" i="1"/>
  <c r="S100" i="1"/>
  <c r="S101" i="1"/>
  <c r="S102" i="1"/>
  <c r="S103" i="1"/>
  <c r="S104" i="1"/>
  <c r="S105" i="1"/>
  <c r="S106" i="1"/>
  <c r="S107" i="1"/>
  <c r="S108" i="1"/>
  <c r="S109" i="1"/>
  <c r="S110" i="1"/>
  <c r="S111" i="1"/>
  <c r="S112" i="1"/>
  <c r="S113" i="1"/>
  <c r="S114" i="1"/>
  <c r="S115" i="1"/>
  <c r="S116" i="1"/>
  <c r="S117" i="1"/>
  <c r="S118" i="1"/>
  <c r="S119" i="1"/>
  <c r="S120" i="1"/>
  <c r="S121" i="1"/>
  <c r="S122" i="1"/>
  <c r="S123" i="1"/>
  <c r="S124" i="1"/>
  <c r="S125" i="1"/>
  <c r="S126" i="1"/>
  <c r="S127" i="1"/>
  <c r="S128" i="1"/>
  <c r="S129" i="1"/>
  <c r="S130" i="1"/>
  <c r="S131" i="1"/>
  <c r="S132" i="1"/>
  <c r="S133" i="1"/>
  <c r="S134" i="1"/>
  <c r="S135" i="1"/>
  <c r="S136" i="1"/>
  <c r="S137" i="1"/>
  <c r="S138" i="1"/>
  <c r="S139" i="1"/>
  <c r="S140" i="1"/>
  <c r="S20" i="1"/>
  <c r="S12" i="1"/>
  <c r="S13" i="1"/>
  <c r="S14" i="1"/>
  <c r="S15" i="1"/>
  <c r="S16" i="1"/>
  <c r="S17" i="1"/>
  <c r="S18" i="1"/>
  <c r="S19" i="1"/>
  <c r="S11" i="1"/>
  <c r="O7" i="1"/>
  <c r="R19" i="1"/>
  <c r="R20" i="1"/>
  <c r="Q19" i="1"/>
  <c r="Q20" i="1"/>
  <c r="O19" i="1"/>
  <c r="O20" i="1"/>
  <c r="P12" i="1"/>
  <c r="P13" i="1"/>
  <c r="P14" i="1"/>
  <c r="P15" i="1"/>
  <c r="P16" i="1"/>
  <c r="P17" i="1"/>
  <c r="P18" i="1"/>
  <c r="P19" i="1"/>
  <c r="P20" i="1"/>
  <c r="P11" i="1"/>
  <c r="O12" i="1"/>
  <c r="O13" i="1"/>
  <c r="O14" i="1"/>
  <c r="O15" i="1"/>
  <c r="O16" i="1"/>
  <c r="O17" i="1"/>
  <c r="O18" i="1"/>
  <c r="O11" i="1"/>
  <c r="J39" i="1"/>
  <c r="J36" i="1"/>
  <c r="M4" i="1"/>
  <c r="J34" i="1"/>
  <c r="J35" i="1" s="1"/>
  <c r="J33" i="1"/>
  <c r="J37" i="1" s="1"/>
  <c r="J32" i="1"/>
  <c r="J27" i="1"/>
  <c r="H22" i="1"/>
  <c r="J22" i="1" s="1"/>
  <c r="E10" i="1"/>
  <c r="J38" i="1" l="1"/>
  <c r="Y13" i="1"/>
  <c r="Y10" i="1"/>
  <c r="V12" i="1"/>
  <c r="V11" i="1"/>
  <c r="W11" i="1" s="1"/>
  <c r="V13" i="1"/>
  <c r="V14" i="1"/>
  <c r="V15" i="1"/>
  <c r="W10" i="1"/>
  <c r="V10" i="1"/>
  <c r="H10" i="1"/>
  <c r="H20" i="1" s="1"/>
  <c r="H14" i="1"/>
  <c r="H18" i="1"/>
  <c r="F10" i="1"/>
  <c r="F14" i="1"/>
  <c r="F18" i="1"/>
  <c r="F20" i="1" s="1"/>
  <c r="F22" i="1" s="1"/>
  <c r="D10" i="1"/>
  <c r="D20" i="1" s="1"/>
  <c r="D14" i="1"/>
  <c r="D18" i="1"/>
  <c r="K5" i="1"/>
  <c r="D25" i="1"/>
  <c r="F25" i="1"/>
  <c r="H25" i="1"/>
  <c r="I25" i="1"/>
  <c r="J21" i="1"/>
  <c r="S10" i="1"/>
  <c r="Q11" i="1"/>
  <c r="R11" i="1" s="1"/>
  <c r="Q12" i="1"/>
  <c r="R12" i="1" s="1"/>
  <c r="Q13" i="1"/>
  <c r="R13" i="1" s="1"/>
  <c r="Q14" i="1"/>
  <c r="R14" i="1" s="1"/>
  <c r="Q15" i="1"/>
  <c r="R15" i="1" s="1"/>
  <c r="Q16" i="1"/>
  <c r="R16" i="1" s="1"/>
  <c r="Q17" i="1"/>
  <c r="R17" i="1" s="1"/>
  <c r="Q18" i="1"/>
  <c r="R18" i="1" s="1"/>
  <c r="J18" i="1"/>
  <c r="K18" i="1" s="1"/>
  <c r="J16" i="1"/>
  <c r="I18" i="1"/>
  <c r="G18" i="1"/>
  <c r="E18" i="1"/>
  <c r="J14" i="1"/>
  <c r="J12" i="1"/>
  <c r="K14" i="1"/>
  <c r="I14" i="1"/>
  <c r="G14" i="1"/>
  <c r="E14" i="1"/>
  <c r="J10" i="1"/>
  <c r="K10" i="1" s="1"/>
  <c r="J8" i="1"/>
  <c r="I10" i="1"/>
  <c r="G10" i="1"/>
  <c r="F28" i="1" l="1"/>
  <c r="F27" i="1"/>
  <c r="F26" i="1"/>
  <c r="F30" i="1"/>
  <c r="G22" i="1"/>
  <c r="H27" i="1"/>
  <c r="H26" i="1"/>
  <c r="H30" i="1"/>
  <c r="I22" i="1"/>
  <c r="H28" i="1"/>
  <c r="W12" i="1"/>
  <c r="W13" i="1" s="1"/>
  <c r="W14" i="1"/>
  <c r="W15" i="1" s="1"/>
  <c r="J20" i="1"/>
  <c r="D22" i="1"/>
  <c r="D30" i="1" l="1"/>
  <c r="D27" i="1"/>
  <c r="D26" i="1"/>
  <c r="D28" i="1"/>
  <c r="E22" i="1"/>
  <c r="J24" i="1" l="1"/>
  <c r="J26" i="1"/>
  <c r="J25" i="1" l="1"/>
  <c r="L25" i="1"/>
</calcChain>
</file>

<file path=xl/sharedStrings.xml><?xml version="1.0" encoding="utf-8"?>
<sst xmlns="http://schemas.openxmlformats.org/spreadsheetml/2006/main" count="56" uniqueCount="44">
  <si>
    <t>INV</t>
  </si>
  <si>
    <t xml:space="preserve"> </t>
  </si>
  <si>
    <t>loja1</t>
  </si>
  <si>
    <t>loja2</t>
  </si>
  <si>
    <t>loja3</t>
  </si>
  <si>
    <t>R</t>
  </si>
  <si>
    <t>PNEUS</t>
  </si>
  <si>
    <t>C/D</t>
  </si>
  <si>
    <t>DEP</t>
  </si>
  <si>
    <t>LT</t>
  </si>
  <si>
    <t>IR</t>
  </si>
  <si>
    <t>FCF</t>
  </si>
  <si>
    <t>MC</t>
  </si>
  <si>
    <t>SOM</t>
  </si>
  <si>
    <t>PEÇAS</t>
  </si>
  <si>
    <t>tir</t>
  </si>
  <si>
    <t>MC1</t>
  </si>
  <si>
    <t>CF</t>
  </si>
  <si>
    <t>MC2</t>
  </si>
  <si>
    <t>CF SEDE</t>
  </si>
  <si>
    <t>LUCRO</t>
  </si>
  <si>
    <t>RT</t>
  </si>
  <si>
    <t>MC2/REC</t>
  </si>
  <si>
    <t>MC2/INV</t>
  </si>
  <si>
    <t>roi</t>
  </si>
  <si>
    <t>MC2/AREA</t>
  </si>
  <si>
    <t>EMPRESA</t>
  </si>
  <si>
    <t>VPL Loja</t>
  </si>
  <si>
    <t xml:space="preserve">i [%aa)= </t>
  </si>
  <si>
    <t>n [anos) =</t>
  </si>
  <si>
    <t>teste</t>
  </si>
  <si>
    <t>selic</t>
  </si>
  <si>
    <t>ebit</t>
  </si>
  <si>
    <t>dep</t>
  </si>
  <si>
    <t>lucro tribut</t>
  </si>
  <si>
    <t>IR 30%</t>
  </si>
  <si>
    <t>lucro final</t>
  </si>
  <si>
    <t>lucro contabil</t>
  </si>
  <si>
    <t>EBITDA</t>
  </si>
  <si>
    <t>TRCONT</t>
  </si>
  <si>
    <t>EBITda</t>
  </si>
  <si>
    <t>lajirda</t>
  </si>
  <si>
    <t>contabilidade financeira</t>
  </si>
  <si>
    <t>contabilidade gerencial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</si>
</sst>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R$&quot;#,##0.00_);[Red]\(&quot;R$&quot;#,##0.00\)"/>
    <numFmt numFmtId="43" formatCode="_(* #,##0.00_);_(* \(#,##0.00\);_(* &quot;-&quot;??_);_(@_)"/>
  </numFmts>
  <fonts count="6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name val="Arial"/>
      <family val="2"/>
    </font>
    <font>
      <b/>
      <sz val="14"/>
      <name val="Arial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2" fillId="0" borderId="6" xfId="0" applyFont="1" applyBorder="1"/>
    <xf numFmtId="0" fontId="2" fillId="2" borderId="7" xfId="0" applyFont="1" applyFill="1" applyBorder="1"/>
    <xf numFmtId="0" fontId="2" fillId="0" borderId="8" xfId="0" applyFont="1" applyBorder="1"/>
    <xf numFmtId="0" fontId="3" fillId="2" borderId="9" xfId="0" applyFont="1" applyFill="1" applyBorder="1"/>
    <xf numFmtId="0" fontId="2" fillId="0" borderId="10" xfId="0" applyFont="1" applyBorder="1"/>
    <xf numFmtId="0" fontId="0" fillId="0" borderId="0" xfId="0" applyAlignment="1">
      <alignment horizontal="center"/>
    </xf>
    <xf numFmtId="0" fontId="2" fillId="0" borderId="9" xfId="0" applyFont="1" applyBorder="1"/>
    <xf numFmtId="9" fontId="0" fillId="0" borderId="0" xfId="2" applyFont="1"/>
    <xf numFmtId="0" fontId="2" fillId="0" borderId="7" xfId="0" applyFont="1" applyBorder="1"/>
    <xf numFmtId="43" fontId="0" fillId="0" borderId="0" xfId="1" applyFont="1"/>
    <xf numFmtId="0" fontId="3" fillId="2" borderId="11" xfId="0" applyFont="1" applyFill="1" applyBorder="1"/>
    <xf numFmtId="0" fontId="2" fillId="2" borderId="10" xfId="0" applyFont="1" applyFill="1" applyBorder="1"/>
    <xf numFmtId="9" fontId="2" fillId="0" borderId="0" xfId="2" applyFont="1"/>
    <xf numFmtId="9" fontId="0" fillId="0" borderId="0" xfId="0" applyNumberFormat="1" applyAlignment="1">
      <alignment horizontal="right"/>
    </xf>
    <xf numFmtId="0" fontId="2" fillId="2" borderId="0" xfId="0" applyFont="1" applyFill="1" applyBorder="1"/>
    <xf numFmtId="8" fontId="0" fillId="0" borderId="0" xfId="0" applyNumberFormat="1"/>
    <xf numFmtId="9" fontId="0" fillId="0" borderId="0" xfId="0" applyNumberFormat="1"/>
    <xf numFmtId="43" fontId="0" fillId="0" borderId="0" xfId="0" applyNumberFormat="1"/>
    <xf numFmtId="8" fontId="0" fillId="4" borderId="0" xfId="0" applyNumberFormat="1" applyFill="1"/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3" borderId="0" xfId="0" applyFont="1" applyFill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0" xfId="0" applyFont="1" applyAlignment="1">
      <alignment horizontal="center"/>
    </xf>
    <xf numFmtId="9" fontId="2" fillId="0" borderId="10" xfId="2" applyFont="1" applyBorder="1" applyAlignment="1">
      <alignment horizontal="center"/>
    </xf>
    <xf numFmtId="9" fontId="2" fillId="3" borderId="10" xfId="2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9" fontId="2" fillId="0" borderId="0" xfId="2" applyFont="1" applyAlignment="1">
      <alignment horizontal="center"/>
    </xf>
    <xf numFmtId="9" fontId="2" fillId="3" borderId="0" xfId="2" applyFont="1" applyFill="1" applyAlignment="1">
      <alignment horizontal="center"/>
    </xf>
    <xf numFmtId="43" fontId="2" fillId="0" borderId="10" xfId="1" applyFont="1" applyBorder="1" applyAlignment="1">
      <alignment horizontal="center"/>
    </xf>
    <xf numFmtId="0" fontId="2" fillId="4" borderId="10" xfId="0" applyFont="1" applyFill="1" applyBorder="1" applyAlignment="1">
      <alignment horizontal="center"/>
    </xf>
    <xf numFmtId="0" fontId="2" fillId="4" borderId="0" xfId="0" applyFont="1" applyFill="1" applyAlignment="1">
      <alignment horizontal="center"/>
    </xf>
    <xf numFmtId="10" fontId="0" fillId="0" borderId="0" xfId="0" applyNumberFormat="1"/>
    <xf numFmtId="0" fontId="0" fillId="4" borderId="0" xfId="0" applyFill="1"/>
    <xf numFmtId="10" fontId="0" fillId="0" borderId="0" xfId="2" applyNumberFormat="1" applyFont="1"/>
    <xf numFmtId="9" fontId="0" fillId="0" borderId="0" xfId="2" applyFont="1" applyAlignment="1">
      <alignment horizontal="right"/>
    </xf>
  </cellXfs>
  <cellStyles count="9">
    <cellStyle name="Comma" xfId="1" builtinId="3"/>
    <cellStyle name="Followed Hyperlink" xfId="4" builtinId="9" hidden="1"/>
    <cellStyle name="Followed Hyperlink" xfId="6" builtinId="9" hidden="1"/>
    <cellStyle name="Followed Hyperlink" xfId="8" builtinId="9" hidden="1"/>
    <cellStyle name="Hyperlink" xfId="3" builtinId="8" hidden="1"/>
    <cellStyle name="Hyperlink" xfId="5" builtinId="8" hidden="1"/>
    <cellStyle name="Hyperlink" xfId="7" builtinId="8" hidden="1"/>
    <cellStyle name="Normal" xfId="0" builtinId="0"/>
    <cellStyle name="Percent" xfId="2" builtinId="5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4:Y140"/>
  <sheetViews>
    <sheetView tabSelected="1" topLeftCell="C18" zoomScale="150" zoomScaleNormal="150" zoomScalePageLayoutView="125" workbookViewId="0">
      <selection activeCell="N18" sqref="N18"/>
    </sheetView>
  </sheetViews>
  <sheetFormatPr baseColWidth="10" defaultColWidth="8.83203125" defaultRowHeight="16" x14ac:dyDescent="0.2"/>
  <cols>
    <col min="2" max="2" width="10.5" bestFit="1" customWidth="1"/>
    <col min="4" max="4" width="8.5" bestFit="1" customWidth="1"/>
    <col min="5" max="5" width="5.83203125" customWidth="1"/>
    <col min="6" max="6" width="8.5" bestFit="1" customWidth="1"/>
    <col min="7" max="7" width="5.1640625" bestFit="1" customWidth="1"/>
    <col min="8" max="8" width="9.5" customWidth="1"/>
    <col min="9" max="9" width="8" bestFit="1" customWidth="1"/>
    <col min="10" max="11" width="9.33203125" bestFit="1" customWidth="1"/>
    <col min="13" max="13" width="10.1640625" bestFit="1" customWidth="1"/>
    <col min="25" max="25" width="9.1640625" bestFit="1" customWidth="1"/>
  </cols>
  <sheetData>
    <row r="4" spans="2:25" x14ac:dyDescent="0.2">
      <c r="L4" t="s">
        <v>33</v>
      </c>
      <c r="M4">
        <f>K5/10</f>
        <v>1.55</v>
      </c>
    </row>
    <row r="5" spans="2:25" x14ac:dyDescent="0.2">
      <c r="B5" s="1" t="s">
        <v>0</v>
      </c>
      <c r="C5" s="1"/>
      <c r="D5" s="1">
        <v>3</v>
      </c>
      <c r="E5" s="1"/>
      <c r="F5" s="1">
        <v>5.5</v>
      </c>
      <c r="G5" s="1"/>
      <c r="H5" s="1">
        <v>4</v>
      </c>
      <c r="I5" s="1"/>
      <c r="J5" s="1">
        <v>3</v>
      </c>
      <c r="K5">
        <f>J5+H5+F5+D5</f>
        <v>15.5</v>
      </c>
      <c r="O5" t="s">
        <v>43</v>
      </c>
    </row>
    <row r="6" spans="2:25" ht="17" thickBot="1" x14ac:dyDescent="0.25">
      <c r="B6" s="1"/>
      <c r="C6" s="1"/>
      <c r="D6" s="1">
        <v>100</v>
      </c>
      <c r="E6" s="1"/>
      <c r="F6" s="1">
        <v>120</v>
      </c>
      <c r="G6" s="1" t="s">
        <v>1</v>
      </c>
      <c r="H6" s="1">
        <v>80</v>
      </c>
      <c r="I6" s="1"/>
      <c r="J6" s="1"/>
    </row>
    <row r="7" spans="2:25" ht="19" thickBot="1" x14ac:dyDescent="0.25">
      <c r="B7" s="2"/>
      <c r="C7" s="3"/>
      <c r="D7" s="23" t="s">
        <v>2</v>
      </c>
      <c r="E7" s="24"/>
      <c r="F7" s="24" t="s">
        <v>3</v>
      </c>
      <c r="G7" s="24"/>
      <c r="H7" s="24" t="s">
        <v>4</v>
      </c>
      <c r="I7" s="25"/>
      <c r="J7" s="1"/>
      <c r="N7" t="s">
        <v>15</v>
      </c>
      <c r="O7" s="17">
        <f>IRR(O10:O18)</f>
        <v>0.22141317407643801</v>
      </c>
      <c r="S7" s="41">
        <f>IRR(S10:S130)</f>
        <v>0.13306447506065644</v>
      </c>
    </row>
    <row r="8" spans="2:25" x14ac:dyDescent="0.2">
      <c r="B8" s="4"/>
      <c r="C8" s="5" t="s">
        <v>5</v>
      </c>
      <c r="D8" s="26">
        <v>30</v>
      </c>
      <c r="E8" s="26" t="s">
        <v>1</v>
      </c>
      <c r="F8" s="26">
        <v>15</v>
      </c>
      <c r="G8" s="26"/>
      <c r="H8" s="26">
        <v>20</v>
      </c>
      <c r="I8" s="26"/>
      <c r="J8" s="27">
        <f>D8+F8+H8</f>
        <v>65</v>
      </c>
      <c r="P8">
        <v>5</v>
      </c>
      <c r="Q8">
        <v>0.25</v>
      </c>
      <c r="U8" t="s">
        <v>30</v>
      </c>
    </row>
    <row r="9" spans="2:25" ht="18" x14ac:dyDescent="0.2">
      <c r="B9" s="7" t="s">
        <v>6</v>
      </c>
      <c r="C9" s="5" t="s">
        <v>7</v>
      </c>
      <c r="D9" s="28">
        <v>24</v>
      </c>
      <c r="E9" s="28" t="s">
        <v>1</v>
      </c>
      <c r="F9" s="28">
        <v>12</v>
      </c>
      <c r="G9" s="28"/>
      <c r="H9" s="28">
        <v>17</v>
      </c>
      <c r="I9" s="28"/>
      <c r="J9" s="29"/>
      <c r="P9" s="9" t="s">
        <v>8</v>
      </c>
      <c r="Q9" s="9" t="s">
        <v>9</v>
      </c>
      <c r="R9" s="9" t="s">
        <v>10</v>
      </c>
      <c r="S9" s="9" t="s">
        <v>11</v>
      </c>
      <c r="U9" s="20">
        <v>0.1</v>
      </c>
    </row>
    <row r="10" spans="2:25" x14ac:dyDescent="0.2">
      <c r="B10" s="10"/>
      <c r="C10" s="5" t="s">
        <v>12</v>
      </c>
      <c r="D10" s="28">
        <f>D8-D9</f>
        <v>6</v>
      </c>
      <c r="E10" s="30">
        <f>D10/D8</f>
        <v>0.2</v>
      </c>
      <c r="F10" s="28">
        <f>F8-F9</f>
        <v>3</v>
      </c>
      <c r="G10" s="30">
        <f>F10/F8</f>
        <v>0.2</v>
      </c>
      <c r="H10" s="28">
        <f>H8-H9</f>
        <v>3</v>
      </c>
      <c r="I10" s="30">
        <f>H10/H8</f>
        <v>0.15</v>
      </c>
      <c r="J10" s="27">
        <f>D10+F10+H10</f>
        <v>12</v>
      </c>
      <c r="K10" s="11">
        <f>J10/J8</f>
        <v>0.18461538461538463</v>
      </c>
      <c r="N10">
        <v>0</v>
      </c>
      <c r="O10">
        <v>-15.5</v>
      </c>
      <c r="S10">
        <f>O10-R10</f>
        <v>-15.5</v>
      </c>
      <c r="U10">
        <v>-5.5</v>
      </c>
      <c r="V10">
        <f>U10</f>
        <v>-5.5</v>
      </c>
      <c r="W10">
        <f>V10</f>
        <v>-5.5</v>
      </c>
      <c r="Y10" s="19">
        <f>NPV(U9,U10,U11:U15)</f>
        <v>13.953933847042233</v>
      </c>
    </row>
    <row r="11" spans="2:25" x14ac:dyDescent="0.2">
      <c r="B11" s="10"/>
      <c r="C11" s="12"/>
      <c r="D11" s="28"/>
      <c r="E11" s="28"/>
      <c r="F11" s="28"/>
      <c r="G11" s="28"/>
      <c r="H11" s="28"/>
      <c r="I11" s="28"/>
      <c r="J11" s="29"/>
      <c r="N11">
        <v>1</v>
      </c>
      <c r="O11">
        <f>$J$24</f>
        <v>4.3000000000000007</v>
      </c>
      <c r="P11">
        <f>-$M$4</f>
        <v>-1.55</v>
      </c>
      <c r="Q11">
        <f>O11+P11</f>
        <v>2.7500000000000009</v>
      </c>
      <c r="R11">
        <f>Q11*$Q$8</f>
        <v>0.68750000000000022</v>
      </c>
      <c r="S11" s="13">
        <f>O11-R11+P11</f>
        <v>2.0625000000000009</v>
      </c>
      <c r="U11">
        <v>5.5</v>
      </c>
      <c r="V11" s="13">
        <f>U11/POWER((1+$U$9),N11)</f>
        <v>5</v>
      </c>
      <c r="W11" s="21">
        <f>V11+W10</f>
        <v>-0.5</v>
      </c>
    </row>
    <row r="12" spans="2:25" x14ac:dyDescent="0.2">
      <c r="B12" s="10"/>
      <c r="C12" s="5" t="s">
        <v>5</v>
      </c>
      <c r="D12" s="28">
        <v>10</v>
      </c>
      <c r="E12" s="28"/>
      <c r="F12" s="28">
        <v>15</v>
      </c>
      <c r="G12" s="28"/>
      <c r="H12" s="28">
        <v>8</v>
      </c>
      <c r="I12" s="28"/>
      <c r="J12" s="27">
        <f>D12+F12+H12</f>
        <v>33</v>
      </c>
      <c r="N12">
        <v>2</v>
      </c>
      <c r="O12">
        <f t="shared" ref="O12:O75" si="0">$J$24</f>
        <v>4.3000000000000007</v>
      </c>
      <c r="P12">
        <f t="shared" ref="P12:P20" si="1">-$M$4</f>
        <v>-1.55</v>
      </c>
      <c r="Q12">
        <f t="shared" ref="Q12:Q20" si="2">O12+P12</f>
        <v>2.7500000000000009</v>
      </c>
      <c r="R12">
        <f t="shared" ref="R12:R20" si="3">Q12*$Q$8</f>
        <v>0.68750000000000022</v>
      </c>
      <c r="S12" s="13">
        <f t="shared" ref="S12:S20" si="4">O12-R12+P12</f>
        <v>2.0625000000000009</v>
      </c>
      <c r="U12">
        <v>5.5</v>
      </c>
      <c r="V12" s="13">
        <f t="shared" ref="V12:V15" si="5">U12/POWER((1+$U$9),N12)</f>
        <v>4.545454545454545</v>
      </c>
      <c r="W12" s="21">
        <f t="shared" ref="W12:W15" si="6">V12+W11</f>
        <v>4.045454545454545</v>
      </c>
    </row>
    <row r="13" spans="2:25" ht="18" x14ac:dyDescent="0.2">
      <c r="B13" s="7" t="s">
        <v>13</v>
      </c>
      <c r="C13" s="5" t="s">
        <v>7</v>
      </c>
      <c r="D13" s="28">
        <v>7</v>
      </c>
      <c r="E13" s="28"/>
      <c r="F13" s="28">
        <v>8.8000000000000007</v>
      </c>
      <c r="G13" s="28"/>
      <c r="H13" s="28">
        <v>5.5</v>
      </c>
      <c r="I13" s="28"/>
      <c r="J13" s="29"/>
      <c r="N13">
        <v>3</v>
      </c>
      <c r="O13">
        <f t="shared" si="0"/>
        <v>4.3000000000000007</v>
      </c>
      <c r="P13">
        <f t="shared" si="1"/>
        <v>-1.55</v>
      </c>
      <c r="Q13">
        <f t="shared" si="2"/>
        <v>2.7500000000000009</v>
      </c>
      <c r="R13">
        <f t="shared" si="3"/>
        <v>0.68750000000000022</v>
      </c>
      <c r="S13" s="13">
        <f t="shared" si="4"/>
        <v>2.0625000000000009</v>
      </c>
      <c r="U13">
        <v>5.5</v>
      </c>
      <c r="V13" s="13">
        <f t="shared" si="5"/>
        <v>4.1322314049586764</v>
      </c>
      <c r="W13" s="21">
        <f t="shared" si="6"/>
        <v>8.1776859504132204</v>
      </c>
      <c r="Y13" s="19">
        <f>-PV(U9,5,U11)+U10</f>
        <v>15.349327231746479</v>
      </c>
    </row>
    <row r="14" spans="2:25" x14ac:dyDescent="0.2">
      <c r="B14" s="10"/>
      <c r="C14" s="5" t="s">
        <v>12</v>
      </c>
      <c r="D14" s="28">
        <f>D12-D13</f>
        <v>3</v>
      </c>
      <c r="E14" s="30">
        <f>D14/D12</f>
        <v>0.3</v>
      </c>
      <c r="F14" s="28">
        <f>F12-F13</f>
        <v>6.1999999999999993</v>
      </c>
      <c r="G14" s="31">
        <f>F14/F12</f>
        <v>0.41333333333333327</v>
      </c>
      <c r="H14" s="28">
        <f>H12-H13</f>
        <v>2.5</v>
      </c>
      <c r="I14" s="30">
        <f>H14/H12</f>
        <v>0.3125</v>
      </c>
      <c r="J14" s="29">
        <f>D14+F14+H14</f>
        <v>11.7</v>
      </c>
      <c r="K14" s="11">
        <f>J14/J12</f>
        <v>0.3545454545454545</v>
      </c>
      <c r="N14">
        <v>4</v>
      </c>
      <c r="O14">
        <f t="shared" si="0"/>
        <v>4.3000000000000007</v>
      </c>
      <c r="P14">
        <f t="shared" si="1"/>
        <v>-1.55</v>
      </c>
      <c r="Q14">
        <f t="shared" si="2"/>
        <v>2.7500000000000009</v>
      </c>
      <c r="R14">
        <f t="shared" si="3"/>
        <v>0.68750000000000022</v>
      </c>
      <c r="S14" s="13">
        <f t="shared" si="4"/>
        <v>2.0625000000000009</v>
      </c>
      <c r="U14">
        <v>5.5</v>
      </c>
      <c r="V14" s="13">
        <f t="shared" si="5"/>
        <v>3.7565740045078879</v>
      </c>
      <c r="W14" s="21">
        <f t="shared" si="6"/>
        <v>11.934259954921108</v>
      </c>
    </row>
    <row r="15" spans="2:25" x14ac:dyDescent="0.2">
      <c r="B15" s="10"/>
      <c r="C15" s="12"/>
      <c r="D15" s="28"/>
      <c r="E15" s="28"/>
      <c r="F15" s="28"/>
      <c r="G15" s="28"/>
      <c r="H15" s="28"/>
      <c r="I15" s="28"/>
      <c r="J15" s="29"/>
      <c r="N15">
        <v>5</v>
      </c>
      <c r="O15">
        <f t="shared" si="0"/>
        <v>4.3000000000000007</v>
      </c>
      <c r="P15">
        <f t="shared" si="1"/>
        <v>-1.55</v>
      </c>
      <c r="Q15">
        <f t="shared" si="2"/>
        <v>2.7500000000000009</v>
      </c>
      <c r="R15">
        <f t="shared" si="3"/>
        <v>0.68750000000000022</v>
      </c>
      <c r="S15" s="13">
        <f t="shared" si="4"/>
        <v>2.0625000000000009</v>
      </c>
      <c r="U15">
        <v>5.5</v>
      </c>
      <c r="V15" s="13">
        <f t="shared" si="5"/>
        <v>3.4150672768253525</v>
      </c>
      <c r="W15" s="21">
        <f t="shared" si="6"/>
        <v>15.349327231746461</v>
      </c>
    </row>
    <row r="16" spans="2:25" x14ac:dyDescent="0.2">
      <c r="B16" s="10"/>
      <c r="C16" s="5" t="s">
        <v>5</v>
      </c>
      <c r="D16" s="28">
        <v>8.5</v>
      </c>
      <c r="E16" s="28"/>
      <c r="F16" s="28">
        <v>6</v>
      </c>
      <c r="G16" s="28"/>
      <c r="H16" s="28">
        <v>4</v>
      </c>
      <c r="I16" s="28"/>
      <c r="J16" s="29">
        <f>D16+F16+H16</f>
        <v>18.5</v>
      </c>
      <c r="K16" s="11" t="s">
        <v>1</v>
      </c>
      <c r="N16">
        <v>6</v>
      </c>
      <c r="O16">
        <f t="shared" si="0"/>
        <v>4.3000000000000007</v>
      </c>
      <c r="P16">
        <f t="shared" si="1"/>
        <v>-1.55</v>
      </c>
      <c r="Q16">
        <f t="shared" si="2"/>
        <v>2.7500000000000009</v>
      </c>
      <c r="R16">
        <f t="shared" si="3"/>
        <v>0.68750000000000022</v>
      </c>
      <c r="S16" s="13">
        <f t="shared" si="4"/>
        <v>2.0625000000000009</v>
      </c>
    </row>
    <row r="17" spans="2:19" ht="19" thickBot="1" x14ac:dyDescent="0.25">
      <c r="B17" s="14" t="s">
        <v>14</v>
      </c>
      <c r="C17" s="5" t="s">
        <v>7</v>
      </c>
      <c r="D17" s="28">
        <v>5.5</v>
      </c>
      <c r="E17" s="28"/>
      <c r="F17" s="28">
        <v>4.5</v>
      </c>
      <c r="G17" s="28"/>
      <c r="H17" s="28">
        <v>3.2</v>
      </c>
      <c r="I17" s="28"/>
      <c r="J17" s="29"/>
      <c r="N17">
        <v>7</v>
      </c>
      <c r="O17">
        <f t="shared" si="0"/>
        <v>4.3000000000000007</v>
      </c>
      <c r="P17">
        <f t="shared" si="1"/>
        <v>-1.55</v>
      </c>
      <c r="Q17">
        <f t="shared" si="2"/>
        <v>2.7500000000000009</v>
      </c>
      <c r="R17">
        <f t="shared" si="3"/>
        <v>0.68750000000000022</v>
      </c>
      <c r="S17" s="13">
        <f t="shared" si="4"/>
        <v>2.0625000000000009</v>
      </c>
    </row>
    <row r="18" spans="2:19" x14ac:dyDescent="0.2">
      <c r="B18" s="6"/>
      <c r="C18" s="15" t="s">
        <v>12</v>
      </c>
      <c r="D18" s="28">
        <f>D16-D17</f>
        <v>3</v>
      </c>
      <c r="E18" s="30">
        <f>D18/D16</f>
        <v>0.35294117647058826</v>
      </c>
      <c r="F18" s="28">
        <f>F16-F17</f>
        <v>1.5</v>
      </c>
      <c r="G18" s="30">
        <f>F18/F16</f>
        <v>0.25</v>
      </c>
      <c r="H18" s="28">
        <f>H16-H17</f>
        <v>0.79999999999999982</v>
      </c>
      <c r="I18" s="30">
        <f>H18/H16</f>
        <v>0.19999999999999996</v>
      </c>
      <c r="J18" s="29">
        <f>D18+F18+H18</f>
        <v>5.3</v>
      </c>
      <c r="K18" s="16">
        <f>J18/J16</f>
        <v>0.2864864864864865</v>
      </c>
      <c r="N18">
        <v>8</v>
      </c>
      <c r="O18">
        <f t="shared" si="0"/>
        <v>4.3000000000000007</v>
      </c>
      <c r="P18">
        <f t="shared" si="1"/>
        <v>-1.55</v>
      </c>
      <c r="Q18">
        <f t="shared" si="2"/>
        <v>2.7500000000000009</v>
      </c>
      <c r="R18">
        <f t="shared" si="3"/>
        <v>0.68750000000000022</v>
      </c>
      <c r="S18" s="13">
        <f t="shared" si="4"/>
        <v>2.0625000000000009</v>
      </c>
    </row>
    <row r="19" spans="2:19" x14ac:dyDescent="0.2">
      <c r="B19" s="8"/>
      <c r="C19" s="8"/>
      <c r="D19" s="28"/>
      <c r="E19" s="28"/>
      <c r="F19" s="28"/>
      <c r="G19" s="28"/>
      <c r="H19" s="28"/>
      <c r="I19" s="28"/>
      <c r="J19" s="29"/>
      <c r="N19">
        <v>9</v>
      </c>
      <c r="O19">
        <f t="shared" si="0"/>
        <v>4.3000000000000007</v>
      </c>
      <c r="P19">
        <f t="shared" si="1"/>
        <v>-1.55</v>
      </c>
      <c r="Q19">
        <f t="shared" si="2"/>
        <v>2.7500000000000009</v>
      </c>
      <c r="R19">
        <f t="shared" si="3"/>
        <v>0.68750000000000022</v>
      </c>
      <c r="S19" s="13">
        <f t="shared" si="4"/>
        <v>2.0625000000000009</v>
      </c>
    </row>
    <row r="20" spans="2:19" x14ac:dyDescent="0.2">
      <c r="B20" s="15" t="s">
        <v>16</v>
      </c>
      <c r="C20" s="8"/>
      <c r="D20" s="36">
        <f>D10+D14+D18</f>
        <v>12</v>
      </c>
      <c r="E20" s="28"/>
      <c r="F20" s="28">
        <f>F10+F14+F18</f>
        <v>10.7</v>
      </c>
      <c r="G20" s="28"/>
      <c r="H20" s="28">
        <f>H10+H14+H18</f>
        <v>6.3</v>
      </c>
      <c r="I20" s="28"/>
      <c r="J20" s="29">
        <f>D20+F20+H20</f>
        <v>29</v>
      </c>
      <c r="N20">
        <v>10</v>
      </c>
      <c r="O20">
        <f t="shared" si="0"/>
        <v>4.3000000000000007</v>
      </c>
      <c r="P20">
        <f t="shared" si="1"/>
        <v>-1.55</v>
      </c>
      <c r="Q20">
        <f t="shared" si="2"/>
        <v>2.7500000000000009</v>
      </c>
      <c r="R20">
        <f t="shared" si="3"/>
        <v>0.68750000000000022</v>
      </c>
      <c r="S20" s="13">
        <f>$O$20-$R$20+$P$20</f>
        <v>2.0625000000000009</v>
      </c>
    </row>
    <row r="21" spans="2:19" x14ac:dyDescent="0.2">
      <c r="B21" s="15" t="s">
        <v>17</v>
      </c>
      <c r="C21" s="8"/>
      <c r="D21" s="28">
        <v>8.5</v>
      </c>
      <c r="E21" s="28"/>
      <c r="F21" s="28">
        <v>5.2</v>
      </c>
      <c r="G21" s="28"/>
      <c r="H21" s="28">
        <v>7</v>
      </c>
      <c r="I21" s="28"/>
      <c r="J21" s="29">
        <f>D21+F21+H21</f>
        <v>20.7</v>
      </c>
      <c r="S21" s="13">
        <f t="shared" ref="S21:S84" si="7">$O$20-$R$20+$P$20</f>
        <v>2.0625000000000009</v>
      </c>
    </row>
    <row r="22" spans="2:19" x14ac:dyDescent="0.2">
      <c r="B22" s="15" t="s">
        <v>18</v>
      </c>
      <c r="C22" s="8"/>
      <c r="D22" s="28">
        <f>D20-D21</f>
        <v>3.5</v>
      </c>
      <c r="E22" s="30">
        <f>D22/D20</f>
        <v>0.29166666666666669</v>
      </c>
      <c r="F22" s="32">
        <f>F20-F21</f>
        <v>5.4999999999999991</v>
      </c>
      <c r="G22" s="30">
        <f>F22/F20</f>
        <v>0.51401869158878499</v>
      </c>
      <c r="H22" s="28">
        <f>H20-H21</f>
        <v>-0.70000000000000018</v>
      </c>
      <c r="I22" s="30">
        <f>H22/H20</f>
        <v>-0.11111111111111115</v>
      </c>
      <c r="J22" s="29">
        <f>D22+F22+H22</f>
        <v>8.3000000000000007</v>
      </c>
      <c r="K22" s="11" t="s">
        <v>1</v>
      </c>
      <c r="S22" s="13">
        <f t="shared" si="7"/>
        <v>2.0625000000000009</v>
      </c>
    </row>
    <row r="23" spans="2:19" x14ac:dyDescent="0.2">
      <c r="B23" s="15" t="s">
        <v>19</v>
      </c>
      <c r="C23" s="8"/>
      <c r="D23" s="28"/>
      <c r="E23" s="28"/>
      <c r="F23" s="28"/>
      <c r="G23" s="28"/>
      <c r="H23" s="28"/>
      <c r="I23" s="28"/>
      <c r="J23" s="29">
        <v>4</v>
      </c>
      <c r="S23" s="13">
        <f t="shared" si="7"/>
        <v>2.0625000000000009</v>
      </c>
    </row>
    <row r="24" spans="2:19" x14ac:dyDescent="0.2">
      <c r="B24" s="8"/>
      <c r="C24" s="8"/>
      <c r="D24" s="28"/>
      <c r="E24" s="28"/>
      <c r="F24" s="28"/>
      <c r="G24" s="28"/>
      <c r="H24" s="28"/>
      <c r="I24" s="28" t="s">
        <v>20</v>
      </c>
      <c r="J24" s="37">
        <f>J22-J23</f>
        <v>4.3000000000000007</v>
      </c>
      <c r="K24" t="s">
        <v>41</v>
      </c>
      <c r="L24" t="s">
        <v>40</v>
      </c>
      <c r="O24" s="19"/>
      <c r="S24" s="13">
        <f t="shared" si="7"/>
        <v>2.0625000000000009</v>
      </c>
    </row>
    <row r="25" spans="2:19" x14ac:dyDescent="0.2">
      <c r="B25" s="15" t="s">
        <v>21</v>
      </c>
      <c r="C25" s="8"/>
      <c r="D25" s="28">
        <f>D8+D12+D16</f>
        <v>48.5</v>
      </c>
      <c r="E25" s="28"/>
      <c r="F25" s="28">
        <f>F8+F12+F16</f>
        <v>36</v>
      </c>
      <c r="G25" s="28"/>
      <c r="H25" s="28">
        <f>H8+H12+H16</f>
        <v>32</v>
      </c>
      <c r="I25" s="28">
        <f>D25+F25+H25</f>
        <v>116.5</v>
      </c>
      <c r="J25" s="33">
        <f>J24/I25</f>
        <v>3.6909871244635198E-2</v>
      </c>
      <c r="L25" s="11">
        <f>J24/K5</f>
        <v>0.27741935483870972</v>
      </c>
      <c r="S25" s="13">
        <f t="shared" si="7"/>
        <v>2.0625000000000009</v>
      </c>
    </row>
    <row r="26" spans="2:19" x14ac:dyDescent="0.2">
      <c r="B26" s="15" t="s">
        <v>22</v>
      </c>
      <c r="C26" s="8"/>
      <c r="D26" s="30">
        <f>D22/D25</f>
        <v>7.2164948453608241E-2</v>
      </c>
      <c r="E26" s="28"/>
      <c r="F26" s="30">
        <f>F22/F25</f>
        <v>0.15277777777777776</v>
      </c>
      <c r="G26" s="28"/>
      <c r="H26" s="30">
        <f>H22/H25</f>
        <v>-2.1875000000000006E-2</v>
      </c>
      <c r="I26" s="28"/>
      <c r="J26" s="33">
        <f>J22/I25</f>
        <v>7.1244635193133052E-2</v>
      </c>
      <c r="S26" s="13">
        <f t="shared" si="7"/>
        <v>2.0625000000000009</v>
      </c>
    </row>
    <row r="27" spans="2:19" x14ac:dyDescent="0.2">
      <c r="B27" s="15" t="s">
        <v>23</v>
      </c>
      <c r="C27" s="8"/>
      <c r="D27" s="31">
        <f>D22/D5</f>
        <v>1.1666666666666667</v>
      </c>
      <c r="E27" s="28"/>
      <c r="F27" s="30">
        <f>F22/F5</f>
        <v>0.99999999999999989</v>
      </c>
      <c r="G27" s="28"/>
      <c r="H27" s="30">
        <f>H22/H5</f>
        <v>-0.17500000000000004</v>
      </c>
      <c r="I27" s="28"/>
      <c r="J27" s="34">
        <f>J24/K5</f>
        <v>0.27741935483870972</v>
      </c>
      <c r="K27" t="s">
        <v>24</v>
      </c>
      <c r="S27" s="13">
        <f t="shared" si="7"/>
        <v>2.0625000000000009</v>
      </c>
    </row>
    <row r="28" spans="2:19" x14ac:dyDescent="0.2">
      <c r="B28" s="15" t="s">
        <v>25</v>
      </c>
      <c r="C28" s="8"/>
      <c r="D28" s="28">
        <f>D22/D6*1000</f>
        <v>35</v>
      </c>
      <c r="E28" s="28"/>
      <c r="F28" s="35">
        <f>F22/F6*1000</f>
        <v>45.833333333333321</v>
      </c>
      <c r="G28" s="28"/>
      <c r="H28" s="28">
        <f>H22/H6*1000</f>
        <v>-8.7500000000000018</v>
      </c>
      <c r="I28" s="28"/>
      <c r="J28" s="29"/>
      <c r="K28" t="s">
        <v>26</v>
      </c>
      <c r="S28" s="13">
        <f t="shared" si="7"/>
        <v>2.0625000000000009</v>
      </c>
    </row>
    <row r="29" spans="2:19" x14ac:dyDescent="0.2">
      <c r="S29" s="13">
        <f t="shared" si="7"/>
        <v>2.0625000000000009</v>
      </c>
    </row>
    <row r="30" spans="2:19" x14ac:dyDescent="0.2">
      <c r="B30" s="18" t="s">
        <v>27</v>
      </c>
      <c r="D30" s="19">
        <f>-PV(C31,C32,D22)-D5</f>
        <v>10.267753692929576</v>
      </c>
      <c r="F30" s="22">
        <f>-PV(C31,C32,F22)-F5</f>
        <v>15.349327231746475</v>
      </c>
      <c r="H30" s="19">
        <f>-PV(C31,C32,H22)-H5</f>
        <v>-6.6535507385859152</v>
      </c>
      <c r="J30" s="38">
        <v>3.5000000000000003E-2</v>
      </c>
      <c r="K30" t="s">
        <v>31</v>
      </c>
      <c r="S30" s="13">
        <f t="shared" si="7"/>
        <v>2.0625000000000009</v>
      </c>
    </row>
    <row r="31" spans="2:19" x14ac:dyDescent="0.2">
      <c r="B31" s="18" t="s">
        <v>28</v>
      </c>
      <c r="C31" s="20">
        <v>0.1</v>
      </c>
      <c r="S31" s="13">
        <f t="shared" si="7"/>
        <v>2.0625000000000009</v>
      </c>
    </row>
    <row r="32" spans="2:19" x14ac:dyDescent="0.2">
      <c r="B32" s="18" t="s">
        <v>29</v>
      </c>
      <c r="C32">
        <v>5</v>
      </c>
      <c r="I32" t="s">
        <v>32</v>
      </c>
      <c r="J32">
        <f>$J$24</f>
        <v>4.3000000000000007</v>
      </c>
      <c r="S32" s="13">
        <f t="shared" si="7"/>
        <v>2.0625000000000009</v>
      </c>
    </row>
    <row r="33" spans="9:19" x14ac:dyDescent="0.2">
      <c r="I33" t="s">
        <v>33</v>
      </c>
      <c r="J33">
        <f>M4</f>
        <v>1.55</v>
      </c>
      <c r="S33" s="13">
        <f t="shared" si="7"/>
        <v>2.0625000000000009</v>
      </c>
    </row>
    <row r="34" spans="9:19" x14ac:dyDescent="0.2">
      <c r="I34" t="s">
        <v>34</v>
      </c>
      <c r="J34">
        <f>J32-J33</f>
        <v>2.7500000000000009</v>
      </c>
      <c r="S34" s="13">
        <f t="shared" si="7"/>
        <v>2.0625000000000009</v>
      </c>
    </row>
    <row r="35" spans="9:19" x14ac:dyDescent="0.2">
      <c r="I35" s="19" t="s">
        <v>35</v>
      </c>
      <c r="J35">
        <f>J34*0.3</f>
        <v>0.82500000000000029</v>
      </c>
      <c r="S35" s="13">
        <f t="shared" si="7"/>
        <v>2.0625000000000009</v>
      </c>
    </row>
    <row r="36" spans="9:19" x14ac:dyDescent="0.2">
      <c r="I36" t="s">
        <v>36</v>
      </c>
      <c r="J36">
        <f>J32-J35</f>
        <v>3.4750000000000005</v>
      </c>
      <c r="K36" t="s">
        <v>38</v>
      </c>
      <c r="S36" s="13">
        <f t="shared" si="7"/>
        <v>2.0625000000000009</v>
      </c>
    </row>
    <row r="37" spans="9:19" x14ac:dyDescent="0.2">
      <c r="I37" t="s">
        <v>33</v>
      </c>
      <c r="J37">
        <f>J33</f>
        <v>1.55</v>
      </c>
      <c r="S37" s="13">
        <f t="shared" si="7"/>
        <v>2.0625000000000009</v>
      </c>
    </row>
    <row r="38" spans="9:19" x14ac:dyDescent="0.2">
      <c r="I38" s="39" t="s">
        <v>37</v>
      </c>
      <c r="J38" s="39">
        <f>J36-J37</f>
        <v>1.9250000000000005</v>
      </c>
      <c r="S38" s="13">
        <f t="shared" si="7"/>
        <v>2.0625000000000009</v>
      </c>
    </row>
    <row r="39" spans="9:19" x14ac:dyDescent="0.2">
      <c r="I39" t="s">
        <v>39</v>
      </c>
      <c r="J39" s="40">
        <f>J38/K5</f>
        <v>0.1241935483870968</v>
      </c>
      <c r="S39" s="13">
        <f t="shared" si="7"/>
        <v>2.0625000000000009</v>
      </c>
    </row>
    <row r="40" spans="9:19" x14ac:dyDescent="0.2">
      <c r="I40" t="s">
        <v>42</v>
      </c>
      <c r="S40" s="13">
        <f t="shared" si="7"/>
        <v>2.0625000000000009</v>
      </c>
    </row>
    <row r="41" spans="9:19" x14ac:dyDescent="0.2">
      <c r="S41" s="13">
        <f t="shared" si="7"/>
        <v>2.0625000000000009</v>
      </c>
    </row>
    <row r="42" spans="9:19" x14ac:dyDescent="0.2">
      <c r="S42" s="13">
        <f t="shared" si="7"/>
        <v>2.0625000000000009</v>
      </c>
    </row>
    <row r="43" spans="9:19" x14ac:dyDescent="0.2">
      <c r="S43" s="13">
        <f t="shared" si="7"/>
        <v>2.0625000000000009</v>
      </c>
    </row>
    <row r="44" spans="9:19" x14ac:dyDescent="0.2">
      <c r="S44" s="13">
        <f t="shared" si="7"/>
        <v>2.0625000000000009</v>
      </c>
    </row>
    <row r="45" spans="9:19" x14ac:dyDescent="0.2">
      <c r="S45" s="13">
        <f t="shared" si="7"/>
        <v>2.0625000000000009</v>
      </c>
    </row>
    <row r="46" spans="9:19" x14ac:dyDescent="0.2">
      <c r="S46" s="13">
        <f t="shared" si="7"/>
        <v>2.0625000000000009</v>
      </c>
    </row>
    <row r="47" spans="9:19" x14ac:dyDescent="0.2">
      <c r="S47" s="13">
        <f t="shared" si="7"/>
        <v>2.0625000000000009</v>
      </c>
    </row>
    <row r="48" spans="9:19" x14ac:dyDescent="0.2">
      <c r="S48" s="13">
        <f t="shared" si="7"/>
        <v>2.0625000000000009</v>
      </c>
    </row>
    <row r="49" spans="19:19" x14ac:dyDescent="0.2">
      <c r="S49" s="13">
        <f t="shared" si="7"/>
        <v>2.0625000000000009</v>
      </c>
    </row>
    <row r="50" spans="19:19" x14ac:dyDescent="0.2">
      <c r="S50" s="13">
        <f t="shared" si="7"/>
        <v>2.0625000000000009</v>
      </c>
    </row>
    <row r="51" spans="19:19" x14ac:dyDescent="0.2">
      <c r="S51" s="13">
        <f t="shared" si="7"/>
        <v>2.0625000000000009</v>
      </c>
    </row>
    <row r="52" spans="19:19" x14ac:dyDescent="0.2">
      <c r="S52" s="13">
        <f t="shared" si="7"/>
        <v>2.0625000000000009</v>
      </c>
    </row>
    <row r="53" spans="19:19" x14ac:dyDescent="0.2">
      <c r="S53" s="13">
        <f t="shared" si="7"/>
        <v>2.0625000000000009</v>
      </c>
    </row>
    <row r="54" spans="19:19" x14ac:dyDescent="0.2">
      <c r="S54" s="13">
        <f t="shared" si="7"/>
        <v>2.0625000000000009</v>
      </c>
    </row>
    <row r="55" spans="19:19" x14ac:dyDescent="0.2">
      <c r="S55" s="13">
        <f t="shared" si="7"/>
        <v>2.0625000000000009</v>
      </c>
    </row>
    <row r="56" spans="19:19" x14ac:dyDescent="0.2">
      <c r="S56" s="13">
        <f t="shared" si="7"/>
        <v>2.0625000000000009</v>
      </c>
    </row>
    <row r="57" spans="19:19" x14ac:dyDescent="0.2">
      <c r="S57" s="13">
        <f t="shared" si="7"/>
        <v>2.0625000000000009</v>
      </c>
    </row>
    <row r="58" spans="19:19" x14ac:dyDescent="0.2">
      <c r="S58" s="13">
        <f t="shared" si="7"/>
        <v>2.0625000000000009</v>
      </c>
    </row>
    <row r="59" spans="19:19" x14ac:dyDescent="0.2">
      <c r="S59" s="13">
        <f t="shared" si="7"/>
        <v>2.0625000000000009</v>
      </c>
    </row>
    <row r="60" spans="19:19" x14ac:dyDescent="0.2">
      <c r="S60" s="13">
        <f t="shared" si="7"/>
        <v>2.0625000000000009</v>
      </c>
    </row>
    <row r="61" spans="19:19" x14ac:dyDescent="0.2">
      <c r="S61" s="13">
        <f t="shared" si="7"/>
        <v>2.0625000000000009</v>
      </c>
    </row>
    <row r="62" spans="19:19" x14ac:dyDescent="0.2">
      <c r="S62" s="13">
        <f t="shared" si="7"/>
        <v>2.0625000000000009</v>
      </c>
    </row>
    <row r="63" spans="19:19" x14ac:dyDescent="0.2">
      <c r="S63" s="13">
        <f t="shared" si="7"/>
        <v>2.0625000000000009</v>
      </c>
    </row>
    <row r="64" spans="19:19" x14ac:dyDescent="0.2">
      <c r="S64" s="13">
        <f t="shared" si="7"/>
        <v>2.0625000000000009</v>
      </c>
    </row>
    <row r="65" spans="19:19" x14ac:dyDescent="0.2">
      <c r="S65" s="13">
        <f t="shared" si="7"/>
        <v>2.0625000000000009</v>
      </c>
    </row>
    <row r="66" spans="19:19" x14ac:dyDescent="0.2">
      <c r="S66" s="13">
        <f t="shared" si="7"/>
        <v>2.0625000000000009</v>
      </c>
    </row>
    <row r="67" spans="19:19" x14ac:dyDescent="0.2">
      <c r="S67" s="13">
        <f t="shared" si="7"/>
        <v>2.0625000000000009</v>
      </c>
    </row>
    <row r="68" spans="19:19" x14ac:dyDescent="0.2">
      <c r="S68" s="13">
        <f t="shared" si="7"/>
        <v>2.0625000000000009</v>
      </c>
    </row>
    <row r="69" spans="19:19" x14ac:dyDescent="0.2">
      <c r="S69" s="13">
        <f t="shared" si="7"/>
        <v>2.0625000000000009</v>
      </c>
    </row>
    <row r="70" spans="19:19" x14ac:dyDescent="0.2">
      <c r="S70" s="13">
        <f t="shared" si="7"/>
        <v>2.0625000000000009</v>
      </c>
    </row>
    <row r="71" spans="19:19" x14ac:dyDescent="0.2">
      <c r="S71" s="13">
        <f t="shared" si="7"/>
        <v>2.0625000000000009</v>
      </c>
    </row>
    <row r="72" spans="19:19" x14ac:dyDescent="0.2">
      <c r="S72" s="13">
        <f t="shared" si="7"/>
        <v>2.0625000000000009</v>
      </c>
    </row>
    <row r="73" spans="19:19" x14ac:dyDescent="0.2">
      <c r="S73" s="13">
        <f t="shared" si="7"/>
        <v>2.0625000000000009</v>
      </c>
    </row>
    <row r="74" spans="19:19" x14ac:dyDescent="0.2">
      <c r="S74" s="13">
        <f t="shared" si="7"/>
        <v>2.0625000000000009</v>
      </c>
    </row>
    <row r="75" spans="19:19" x14ac:dyDescent="0.2">
      <c r="S75" s="13">
        <f t="shared" si="7"/>
        <v>2.0625000000000009</v>
      </c>
    </row>
    <row r="76" spans="19:19" x14ac:dyDescent="0.2">
      <c r="S76" s="13">
        <f t="shared" si="7"/>
        <v>2.0625000000000009</v>
      </c>
    </row>
    <row r="77" spans="19:19" x14ac:dyDescent="0.2">
      <c r="S77" s="13">
        <f t="shared" si="7"/>
        <v>2.0625000000000009</v>
      </c>
    </row>
    <row r="78" spans="19:19" x14ac:dyDescent="0.2">
      <c r="S78" s="13">
        <f t="shared" si="7"/>
        <v>2.0625000000000009</v>
      </c>
    </row>
    <row r="79" spans="19:19" x14ac:dyDescent="0.2">
      <c r="S79" s="13">
        <f t="shared" si="7"/>
        <v>2.0625000000000009</v>
      </c>
    </row>
    <row r="80" spans="19:19" x14ac:dyDescent="0.2">
      <c r="S80" s="13">
        <f t="shared" si="7"/>
        <v>2.0625000000000009</v>
      </c>
    </row>
    <row r="81" spans="19:19" x14ac:dyDescent="0.2">
      <c r="S81" s="13">
        <f t="shared" si="7"/>
        <v>2.0625000000000009</v>
      </c>
    </row>
    <row r="82" spans="19:19" x14ac:dyDescent="0.2">
      <c r="S82" s="13">
        <f t="shared" si="7"/>
        <v>2.0625000000000009</v>
      </c>
    </row>
    <row r="83" spans="19:19" x14ac:dyDescent="0.2">
      <c r="S83" s="13">
        <f t="shared" si="7"/>
        <v>2.0625000000000009</v>
      </c>
    </row>
    <row r="84" spans="19:19" x14ac:dyDescent="0.2">
      <c r="S84" s="13">
        <f t="shared" si="7"/>
        <v>2.0625000000000009</v>
      </c>
    </row>
    <row r="85" spans="19:19" x14ac:dyDescent="0.2">
      <c r="S85" s="13">
        <f t="shared" ref="S85:S140" si="8">$O$20-$R$20+$P$20</f>
        <v>2.0625000000000009</v>
      </c>
    </row>
    <row r="86" spans="19:19" x14ac:dyDescent="0.2">
      <c r="S86" s="13">
        <f t="shared" si="8"/>
        <v>2.0625000000000009</v>
      </c>
    </row>
    <row r="87" spans="19:19" x14ac:dyDescent="0.2">
      <c r="S87" s="13">
        <f t="shared" si="8"/>
        <v>2.0625000000000009</v>
      </c>
    </row>
    <row r="88" spans="19:19" x14ac:dyDescent="0.2">
      <c r="S88" s="13">
        <f t="shared" si="8"/>
        <v>2.0625000000000009</v>
      </c>
    </row>
    <row r="89" spans="19:19" x14ac:dyDescent="0.2">
      <c r="S89" s="13">
        <f t="shared" si="8"/>
        <v>2.0625000000000009</v>
      </c>
    </row>
    <row r="90" spans="19:19" x14ac:dyDescent="0.2">
      <c r="S90" s="13">
        <f t="shared" si="8"/>
        <v>2.0625000000000009</v>
      </c>
    </row>
    <row r="91" spans="19:19" x14ac:dyDescent="0.2">
      <c r="S91" s="13">
        <f t="shared" si="8"/>
        <v>2.0625000000000009</v>
      </c>
    </row>
    <row r="92" spans="19:19" x14ac:dyDescent="0.2">
      <c r="S92" s="13">
        <f t="shared" si="8"/>
        <v>2.0625000000000009</v>
      </c>
    </row>
    <row r="93" spans="19:19" x14ac:dyDescent="0.2">
      <c r="S93" s="13">
        <f t="shared" si="8"/>
        <v>2.0625000000000009</v>
      </c>
    </row>
    <row r="94" spans="19:19" x14ac:dyDescent="0.2">
      <c r="S94" s="13">
        <f t="shared" si="8"/>
        <v>2.0625000000000009</v>
      </c>
    </row>
    <row r="95" spans="19:19" x14ac:dyDescent="0.2">
      <c r="S95" s="13">
        <f t="shared" si="8"/>
        <v>2.0625000000000009</v>
      </c>
    </row>
    <row r="96" spans="19:19" x14ac:dyDescent="0.2">
      <c r="S96" s="13">
        <f t="shared" si="8"/>
        <v>2.0625000000000009</v>
      </c>
    </row>
    <row r="97" spans="19:19" x14ac:dyDescent="0.2">
      <c r="S97" s="13">
        <f t="shared" si="8"/>
        <v>2.0625000000000009</v>
      </c>
    </row>
    <row r="98" spans="19:19" x14ac:dyDescent="0.2">
      <c r="S98" s="13">
        <f t="shared" si="8"/>
        <v>2.0625000000000009</v>
      </c>
    </row>
    <row r="99" spans="19:19" x14ac:dyDescent="0.2">
      <c r="S99" s="13">
        <f t="shared" si="8"/>
        <v>2.0625000000000009</v>
      </c>
    </row>
    <row r="100" spans="19:19" x14ac:dyDescent="0.2">
      <c r="S100" s="13">
        <f t="shared" si="8"/>
        <v>2.0625000000000009</v>
      </c>
    </row>
    <row r="101" spans="19:19" x14ac:dyDescent="0.2">
      <c r="S101" s="13">
        <f t="shared" si="8"/>
        <v>2.0625000000000009</v>
      </c>
    </row>
    <row r="102" spans="19:19" x14ac:dyDescent="0.2">
      <c r="S102" s="13">
        <f t="shared" si="8"/>
        <v>2.0625000000000009</v>
      </c>
    </row>
    <row r="103" spans="19:19" x14ac:dyDescent="0.2">
      <c r="S103" s="13">
        <f t="shared" si="8"/>
        <v>2.0625000000000009</v>
      </c>
    </row>
    <row r="104" spans="19:19" x14ac:dyDescent="0.2">
      <c r="S104" s="13">
        <f t="shared" si="8"/>
        <v>2.0625000000000009</v>
      </c>
    </row>
    <row r="105" spans="19:19" x14ac:dyDescent="0.2">
      <c r="S105" s="13">
        <f t="shared" si="8"/>
        <v>2.0625000000000009</v>
      </c>
    </row>
    <row r="106" spans="19:19" x14ac:dyDescent="0.2">
      <c r="S106" s="13">
        <f t="shared" si="8"/>
        <v>2.0625000000000009</v>
      </c>
    </row>
    <row r="107" spans="19:19" x14ac:dyDescent="0.2">
      <c r="S107" s="13">
        <f t="shared" si="8"/>
        <v>2.0625000000000009</v>
      </c>
    </row>
    <row r="108" spans="19:19" x14ac:dyDescent="0.2">
      <c r="S108" s="13">
        <f t="shared" si="8"/>
        <v>2.0625000000000009</v>
      </c>
    </row>
    <row r="109" spans="19:19" x14ac:dyDescent="0.2">
      <c r="S109" s="13">
        <f t="shared" si="8"/>
        <v>2.0625000000000009</v>
      </c>
    </row>
    <row r="110" spans="19:19" x14ac:dyDescent="0.2">
      <c r="S110" s="13">
        <f t="shared" si="8"/>
        <v>2.0625000000000009</v>
      </c>
    </row>
    <row r="111" spans="19:19" x14ac:dyDescent="0.2">
      <c r="S111" s="13">
        <f t="shared" si="8"/>
        <v>2.0625000000000009</v>
      </c>
    </row>
    <row r="112" spans="19:19" x14ac:dyDescent="0.2">
      <c r="S112" s="13">
        <f t="shared" si="8"/>
        <v>2.0625000000000009</v>
      </c>
    </row>
    <row r="113" spans="19:19" x14ac:dyDescent="0.2">
      <c r="S113" s="13">
        <f t="shared" si="8"/>
        <v>2.0625000000000009</v>
      </c>
    </row>
    <row r="114" spans="19:19" x14ac:dyDescent="0.2">
      <c r="S114" s="13">
        <f t="shared" si="8"/>
        <v>2.0625000000000009</v>
      </c>
    </row>
    <row r="115" spans="19:19" x14ac:dyDescent="0.2">
      <c r="S115" s="13">
        <f t="shared" si="8"/>
        <v>2.0625000000000009</v>
      </c>
    </row>
    <row r="116" spans="19:19" x14ac:dyDescent="0.2">
      <c r="S116" s="13">
        <f t="shared" si="8"/>
        <v>2.0625000000000009</v>
      </c>
    </row>
    <row r="117" spans="19:19" x14ac:dyDescent="0.2">
      <c r="S117" s="13">
        <f t="shared" si="8"/>
        <v>2.0625000000000009</v>
      </c>
    </row>
    <row r="118" spans="19:19" x14ac:dyDescent="0.2">
      <c r="S118" s="13">
        <f t="shared" si="8"/>
        <v>2.0625000000000009</v>
      </c>
    </row>
    <row r="119" spans="19:19" x14ac:dyDescent="0.2">
      <c r="S119" s="13">
        <f t="shared" si="8"/>
        <v>2.0625000000000009</v>
      </c>
    </row>
    <row r="120" spans="19:19" x14ac:dyDescent="0.2">
      <c r="S120" s="13">
        <f t="shared" si="8"/>
        <v>2.0625000000000009</v>
      </c>
    </row>
    <row r="121" spans="19:19" x14ac:dyDescent="0.2">
      <c r="S121" s="13">
        <f t="shared" si="8"/>
        <v>2.0625000000000009</v>
      </c>
    </row>
    <row r="122" spans="19:19" x14ac:dyDescent="0.2">
      <c r="S122" s="13">
        <f t="shared" si="8"/>
        <v>2.0625000000000009</v>
      </c>
    </row>
    <row r="123" spans="19:19" x14ac:dyDescent="0.2">
      <c r="S123" s="13">
        <f t="shared" si="8"/>
        <v>2.0625000000000009</v>
      </c>
    </row>
    <row r="124" spans="19:19" x14ac:dyDescent="0.2">
      <c r="S124" s="13">
        <f t="shared" si="8"/>
        <v>2.0625000000000009</v>
      </c>
    </row>
    <row r="125" spans="19:19" x14ac:dyDescent="0.2">
      <c r="S125" s="13">
        <f t="shared" si="8"/>
        <v>2.0625000000000009</v>
      </c>
    </row>
    <row r="126" spans="19:19" x14ac:dyDescent="0.2">
      <c r="S126" s="13">
        <f t="shared" si="8"/>
        <v>2.0625000000000009</v>
      </c>
    </row>
    <row r="127" spans="19:19" x14ac:dyDescent="0.2">
      <c r="S127" s="13">
        <f t="shared" si="8"/>
        <v>2.0625000000000009</v>
      </c>
    </row>
    <row r="128" spans="19:19" x14ac:dyDescent="0.2">
      <c r="S128" s="13">
        <f t="shared" si="8"/>
        <v>2.0625000000000009</v>
      </c>
    </row>
    <row r="129" spans="19:19" x14ac:dyDescent="0.2">
      <c r="S129" s="13">
        <f t="shared" si="8"/>
        <v>2.0625000000000009</v>
      </c>
    </row>
    <row r="130" spans="19:19" x14ac:dyDescent="0.2">
      <c r="S130" s="13">
        <f t="shared" si="8"/>
        <v>2.0625000000000009</v>
      </c>
    </row>
    <row r="131" spans="19:19" x14ac:dyDescent="0.2">
      <c r="S131" s="13">
        <f t="shared" si="8"/>
        <v>2.0625000000000009</v>
      </c>
    </row>
    <row r="132" spans="19:19" x14ac:dyDescent="0.2">
      <c r="S132" s="13">
        <f t="shared" si="8"/>
        <v>2.0625000000000009</v>
      </c>
    </row>
    <row r="133" spans="19:19" x14ac:dyDescent="0.2">
      <c r="S133" s="13">
        <f t="shared" si="8"/>
        <v>2.0625000000000009</v>
      </c>
    </row>
    <row r="134" spans="19:19" x14ac:dyDescent="0.2">
      <c r="S134" s="13">
        <f t="shared" si="8"/>
        <v>2.0625000000000009</v>
      </c>
    </row>
    <row r="135" spans="19:19" x14ac:dyDescent="0.2">
      <c r="S135" s="13">
        <f t="shared" si="8"/>
        <v>2.0625000000000009</v>
      </c>
    </row>
    <row r="136" spans="19:19" x14ac:dyDescent="0.2">
      <c r="S136" s="13">
        <f t="shared" si="8"/>
        <v>2.0625000000000009</v>
      </c>
    </row>
    <row r="137" spans="19:19" x14ac:dyDescent="0.2">
      <c r="S137" s="13">
        <f t="shared" si="8"/>
        <v>2.0625000000000009</v>
      </c>
    </row>
    <row r="138" spans="19:19" x14ac:dyDescent="0.2">
      <c r="S138" s="13">
        <f t="shared" si="8"/>
        <v>2.0625000000000009</v>
      </c>
    </row>
    <row r="139" spans="19:19" x14ac:dyDescent="0.2">
      <c r="S139" s="13">
        <f t="shared" si="8"/>
        <v>2.0625000000000009</v>
      </c>
    </row>
    <row r="140" spans="19:19" x14ac:dyDescent="0.2">
      <c r="S140" s="13">
        <f t="shared" si="8"/>
        <v>2.0625000000000009</v>
      </c>
    </row>
  </sheetData>
  <mergeCells count="3">
    <mergeCell ref="D7:E7"/>
    <mergeCell ref="F7:G7"/>
    <mergeCell ref="H7:I7"/>
  </mergeCells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RODANTE</vt:lpstr>
    </vt:vector>
  </TitlesOfParts>
  <Company>Departamento de Engenharia de Produção da Escola Politecnica da USP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Reinaldo  Pacheco</dc:creator>
  <cp:lastModifiedBy>Microsoft Office User</cp:lastModifiedBy>
  <dcterms:created xsi:type="dcterms:W3CDTF">2015-02-20T17:51:21Z</dcterms:created>
  <dcterms:modified xsi:type="dcterms:W3CDTF">2020-07-16T14:58:56Z</dcterms:modified>
</cp:coreProperties>
</file>