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/>
  <mc:AlternateContent xmlns:mc="http://schemas.openxmlformats.org/markup-compatibility/2006">
    <mc:Choice Requires="x15">
      <x15ac:absPath xmlns:x15ac="http://schemas.microsoft.com/office/spreadsheetml/2010/11/ac" url="C:\Users\Waldemar\Desktop\PEF3405\"/>
    </mc:Choice>
  </mc:AlternateContent>
  <xr:revisionPtr revIDLastSave="0" documentId="8_{F7D321D6-8EDE-4943-B36E-7A536C0BF651}" xr6:coauthVersionLast="45" xr6:coauthVersionMax="45" xr10:uidLastSave="{00000000-0000-0000-0000-000000000000}"/>
  <bookViews>
    <workbookView xWindow="23868" yWindow="-108" windowWidth="14640" windowHeight="12504" tabRatio="599" xr2:uid="{00000000-000D-0000-FFFF-FFFF00000000}"/>
  </bookViews>
  <sheets>
    <sheet name="Resultados" sheetId="1" r:id="rId1"/>
    <sheet name="Linha 1" sheetId="3" r:id="rId2"/>
    <sheet name="Linha 2" sheetId="12" r:id="rId3"/>
    <sheet name="Linha 3" sheetId="13" r:id="rId4"/>
    <sheet name="Linha 4" sheetId="14" r:id="rId5"/>
    <sheet name="Linha 5" sheetId="15" r:id="rId6"/>
    <sheet name="Linha 6" sheetId="16" r:id="rId7"/>
    <sheet name="Antes" sheetId="6" r:id="rId8"/>
    <sheet name="Distr. Grampo" sheetId="8" r:id="rId9"/>
    <sheet name="Esf. do Grampo" sheetId="9" r:id="rId10"/>
  </sheets>
  <definedNames>
    <definedName name="solver_adj" localSheetId="0" hidden="1">Resultados!$B$15:$B$18</definedName>
    <definedName name="solver_cvg" localSheetId="0" hidden="1">0.0001</definedName>
    <definedName name="solver_drv" localSheetId="0" hidden="1">1</definedName>
    <definedName name="solver_est" localSheetId="0" hidden="1">2</definedName>
    <definedName name="solver_itr" localSheetId="0" hidden="1">1000</definedName>
    <definedName name="solver_lhs1" localSheetId="0" hidden="1">Resultados!$AI$31</definedName>
    <definedName name="solver_lhs2" localSheetId="0" hidden="1">Resultados!$B$16</definedName>
    <definedName name="solver_lhs3" localSheetId="0" hidden="1">Resultados!$B$15</definedName>
    <definedName name="solver_lhs4" localSheetId="0" hidden="1">Resultados!$B$15</definedName>
    <definedName name="solver_lhs5" localSheetId="0" hidden="1">Resultados!$B$16</definedName>
    <definedName name="solver_lhs6" localSheetId="0" hidden="1">Resultados!#REF!</definedName>
    <definedName name="solver_lin" localSheetId="0" hidden="1">2</definedName>
    <definedName name="solver_neg" localSheetId="0" hidden="1">2</definedName>
    <definedName name="solver_num" localSheetId="0" hidden="1">5</definedName>
    <definedName name="solver_nwt" localSheetId="0" hidden="1">2</definedName>
    <definedName name="solver_opt" localSheetId="0" hidden="1">Resultados!$Q$3</definedName>
    <definedName name="solver_pre" localSheetId="0" hidden="1">0.000001</definedName>
    <definedName name="solver_rel1" localSheetId="0" hidden="1">2</definedName>
    <definedName name="solver_rel2" localSheetId="0" hidden="1">1</definedName>
    <definedName name="solver_rel3" localSheetId="0" hidden="1">1</definedName>
    <definedName name="solver_rel4" localSheetId="0" hidden="1">3</definedName>
    <definedName name="solver_rel5" localSheetId="0" hidden="1">3</definedName>
    <definedName name="solver_rel6" localSheetId="0" hidden="1">2</definedName>
    <definedName name="solver_rhs1" localSheetId="0" hidden="1">Resultados!$AK$31</definedName>
    <definedName name="solver_rhs2" localSheetId="0" hidden="1">Resultados!$AI$28</definedName>
    <definedName name="solver_rhs3" localSheetId="0" hidden="1">Resultados!$AI$27</definedName>
    <definedName name="solver_rhs4" localSheetId="0" hidden="1">Resultados!$AH$27</definedName>
    <definedName name="solver_rhs5" localSheetId="0" hidden="1">Resultados!$AH$28</definedName>
    <definedName name="solver_rhs6" localSheetId="0" hidden="1">Resultados!$AI$31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0.02</definedName>
    <definedName name="solver_typ" localSheetId="0" hidden="1">2</definedName>
    <definedName name="solver_val" localSheetId="0" hidden="1">0</definedName>
  </definedNames>
  <calcPr calcId="191029" iterate="1"/>
  <customWorkbookViews>
    <customWorkbookView name="Bishop" guid="{65CB7F87-8B61-4450-8125-973C590B6FFE}" maximized="1" windowWidth="1276" windowHeight="883" tabRatio="599" activeSheetId="1"/>
    <customWorkbookView name="Solo e círculo" guid="{533BC808-3373-4EA5-8805-CE1614BAA043}" maximized="1" windowWidth="1276" windowHeight="883" tabRatio="599" activeSheetId="1"/>
    <customWorkbookView name="Grampos" guid="{3F34EFE4-6851-4D60-99E9-E35395341F53}" maximized="1" windowWidth="1276" windowHeight="883" tabRatio="599" activeSheetId="1"/>
    <customWorkbookView name="Solo, círculo e grampos" guid="{4A3C3A86-9336-4985-91DC-3DF49C5B2CFC}" maximized="1" windowWidth="1276" windowHeight="883" tabRatio="59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3" l="1"/>
  <c r="B4" i="3"/>
  <c r="B7" i="3"/>
  <c r="B8" i="3"/>
  <c r="B10" i="3" s="1"/>
  <c r="A15" i="3"/>
  <c r="H32" i="3"/>
  <c r="A16" i="3"/>
  <c r="H33" i="3"/>
  <c r="B3" i="12"/>
  <c r="B7" i="12"/>
  <c r="B8" i="12" s="1"/>
  <c r="B11" i="12" s="1"/>
  <c r="A15" i="12"/>
  <c r="A16" i="12"/>
  <c r="H32" i="12"/>
  <c r="H33" i="12"/>
  <c r="B3" i="13"/>
  <c r="B7" i="13"/>
  <c r="B8" i="13" s="1"/>
  <c r="A15" i="13"/>
  <c r="H32" i="13" s="1"/>
  <c r="A16" i="13"/>
  <c r="H33" i="13" s="1"/>
  <c r="B3" i="14"/>
  <c r="B7" i="14"/>
  <c r="B8" i="14"/>
  <c r="B9" i="14" s="1"/>
  <c r="I26" i="14" s="1"/>
  <c r="A15" i="14"/>
  <c r="H32" i="14"/>
  <c r="A16" i="14"/>
  <c r="H33" i="14" s="1"/>
  <c r="I25" i="14"/>
  <c r="B3" i="15"/>
  <c r="B7" i="15"/>
  <c r="B8" i="15" s="1"/>
  <c r="A15" i="15"/>
  <c r="H32" i="15" s="1"/>
  <c r="A16" i="15"/>
  <c r="H33" i="15" s="1"/>
  <c r="B3" i="16"/>
  <c r="B7" i="16"/>
  <c r="B8" i="16"/>
  <c r="B11" i="16" s="1"/>
  <c r="A15" i="16"/>
  <c r="H32" i="16" s="1"/>
  <c r="A16" i="16"/>
  <c r="H33" i="16" s="1"/>
  <c r="I25" i="16"/>
  <c r="AG3" i="1"/>
  <c r="AH3" i="1"/>
  <c r="AI3" i="1"/>
  <c r="AK3" i="1"/>
  <c r="AM3" i="1"/>
  <c r="AO3" i="1"/>
  <c r="AQ3" i="1"/>
  <c r="AH7" i="1"/>
  <c r="AG8" i="1"/>
  <c r="AH8" i="1"/>
  <c r="AG9" i="1"/>
  <c r="AH9" i="1"/>
  <c r="B11" i="1"/>
  <c r="D16" i="1"/>
  <c r="K16" i="1"/>
  <c r="B18" i="1"/>
  <c r="I25" i="12" s="1"/>
  <c r="A23" i="1"/>
  <c r="H23" i="1"/>
  <c r="B25" i="1"/>
  <c r="I25" i="1"/>
  <c r="L37" i="1" s="1"/>
  <c r="R27" i="1"/>
  <c r="AH27" i="1"/>
  <c r="AI27" i="1"/>
  <c r="AH28" i="1"/>
  <c r="AI28" i="1"/>
  <c r="V31" i="1"/>
  <c r="S32" i="1"/>
  <c r="B4" i="12" s="1"/>
  <c r="V32" i="1"/>
  <c r="B6" i="12" s="1"/>
  <c r="V33" i="1"/>
  <c r="B6" i="13" s="1"/>
  <c r="P34" i="1"/>
  <c r="V34" i="1"/>
  <c r="B6" i="14" s="1"/>
  <c r="V35" i="1"/>
  <c r="B6" i="15" s="1"/>
  <c r="C36" i="1"/>
  <c r="E36" i="1"/>
  <c r="B36" i="1" s="1"/>
  <c r="I36" i="1"/>
  <c r="J36" i="1"/>
  <c r="K36" i="1"/>
  <c r="L36" i="1"/>
  <c r="V36" i="1"/>
  <c r="B6" i="16" s="1"/>
  <c r="X51" i="1"/>
  <c r="Y51" i="1"/>
  <c r="AV51" i="1"/>
  <c r="AW51" i="1"/>
  <c r="Y76" i="1"/>
  <c r="AW76" i="1"/>
  <c r="E83" i="1"/>
  <c r="H83" i="1" s="1"/>
  <c r="C84" i="1"/>
  <c r="G84" i="1"/>
  <c r="E84" i="1"/>
  <c r="H84" i="1"/>
  <c r="C91" i="1"/>
  <c r="G91" i="1"/>
  <c r="E91" i="1"/>
  <c r="H91" i="1" s="1"/>
  <c r="C92" i="1"/>
  <c r="G92" i="1"/>
  <c r="I25" i="3"/>
  <c r="I25" i="13"/>
  <c r="I25" i="15"/>
  <c r="D36" i="1"/>
  <c r="AI31" i="1"/>
  <c r="AW50" i="1"/>
  <c r="AV50" i="1"/>
  <c r="K37" i="1" l="1"/>
  <c r="K38" i="1" s="1"/>
  <c r="J37" i="1"/>
  <c r="I37" i="1"/>
  <c r="I38" i="1" s="1"/>
  <c r="I41" i="1"/>
  <c r="E37" i="1"/>
  <c r="B37" i="1" s="1"/>
  <c r="B38" i="1" s="1"/>
  <c r="BA51" i="1"/>
  <c r="Y52" i="1"/>
  <c r="AA51" i="1" s="1"/>
  <c r="E92" i="1"/>
  <c r="H92" i="1" s="1"/>
  <c r="Y49" i="1"/>
  <c r="BB51" i="1"/>
  <c r="AW49" i="1"/>
  <c r="AW52" i="1" s="1"/>
  <c r="B9" i="3"/>
  <c r="I26" i="3" s="1"/>
  <c r="I27" i="3" s="1"/>
  <c r="AV76" i="1"/>
  <c r="AO4" i="1"/>
  <c r="B9" i="16"/>
  <c r="I26" i="16" s="1"/>
  <c r="I27" i="16" s="1"/>
  <c r="AI4" i="1"/>
  <c r="S33" i="1"/>
  <c r="AJ3" i="1"/>
  <c r="AJ4" i="1" s="1"/>
  <c r="B11" i="15"/>
  <c r="B9" i="15"/>
  <c r="I26" i="15" s="1"/>
  <c r="B10" i="15"/>
  <c r="B10" i="13"/>
  <c r="B11" i="13"/>
  <c r="B9" i="13"/>
  <c r="I26" i="13" s="1"/>
  <c r="I27" i="14"/>
  <c r="AQ4" i="1"/>
  <c r="AH4" i="1"/>
  <c r="AG4" i="1"/>
  <c r="B10" i="16"/>
  <c r="B11" i="14"/>
  <c r="B10" i="12"/>
  <c r="B11" i="3"/>
  <c r="B9" i="12"/>
  <c r="I26" i="12" s="1"/>
  <c r="B10" i="14"/>
  <c r="AK4" i="1"/>
  <c r="B6" i="3"/>
  <c r="AM4" i="1"/>
  <c r="D37" i="1" l="1"/>
  <c r="C37" i="1"/>
  <c r="AY51" i="1"/>
  <c r="AW53" i="1"/>
  <c r="AY52" i="1" s="1"/>
  <c r="AV52" i="1"/>
  <c r="BA52" i="1"/>
  <c r="BB52" i="1" s="1"/>
  <c r="Y53" i="1"/>
  <c r="AC51" i="1"/>
  <c r="AD51" i="1" s="1"/>
  <c r="I39" i="1"/>
  <c r="AL3" i="1"/>
  <c r="AL4" i="1" s="1"/>
  <c r="S34" i="1"/>
  <c r="B4" i="13"/>
  <c r="I27" i="12"/>
  <c r="I27" i="13"/>
  <c r="I27" i="15"/>
  <c r="AZ51" i="1" l="1"/>
  <c r="AX51" i="1"/>
  <c r="AZ52" i="1"/>
  <c r="J42" i="1"/>
  <c r="I42" i="1" s="1"/>
  <c r="K42" i="1"/>
  <c r="Y54" i="1"/>
  <c r="AC52" i="1"/>
  <c r="AD52" i="1" s="1"/>
  <c r="B41" i="1"/>
  <c r="D38" i="1"/>
  <c r="AY53" i="1"/>
  <c r="AV53" i="1"/>
  <c r="AX52" i="1" s="1"/>
  <c r="AW54" i="1"/>
  <c r="BA53" i="1"/>
  <c r="BB53" i="1" s="1"/>
  <c r="AA52" i="1"/>
  <c r="AN3" i="1"/>
  <c r="AN4" i="1" s="1"/>
  <c r="S35" i="1"/>
  <c r="B4" i="14"/>
  <c r="BC52" i="1" l="1"/>
  <c r="BF52" i="1"/>
  <c r="BJ52" i="1" s="1"/>
  <c r="BG52" i="1"/>
  <c r="BH52" i="1" s="1"/>
  <c r="I44" i="1"/>
  <c r="I43" i="1"/>
  <c r="I45" i="1" s="1"/>
  <c r="Y55" i="1"/>
  <c r="AC54" i="1" s="1"/>
  <c r="AD54" i="1" s="1"/>
  <c r="B39" i="1"/>
  <c r="BF51" i="1"/>
  <c r="BJ51" i="1" s="1"/>
  <c r="BG51" i="1"/>
  <c r="BH51" i="1" s="1"/>
  <c r="BG53" i="1"/>
  <c r="BH53" i="1" s="1"/>
  <c r="AC53" i="1"/>
  <c r="AD53" i="1" s="1"/>
  <c r="AV54" i="1"/>
  <c r="AY54" i="1"/>
  <c r="AW55" i="1"/>
  <c r="AA53" i="1"/>
  <c r="BC51" i="1"/>
  <c r="AZ53" i="1"/>
  <c r="AX53" i="1"/>
  <c r="BF53" i="1" s="1"/>
  <c r="BJ53" i="1" s="1"/>
  <c r="B4" i="15"/>
  <c r="AP3" i="1"/>
  <c r="AP4" i="1" s="1"/>
  <c r="S36" i="1"/>
  <c r="BE51" i="1" l="1"/>
  <c r="BD51" i="1"/>
  <c r="BK51" i="1" s="1"/>
  <c r="AW56" i="1"/>
  <c r="BA55" i="1"/>
  <c r="BB55" i="1" s="1"/>
  <c r="AY55" i="1"/>
  <c r="AV55" i="1"/>
  <c r="C42" i="1"/>
  <c r="B42" i="1" s="1"/>
  <c r="D42" i="1"/>
  <c r="BK52" i="1"/>
  <c r="BC53" i="1"/>
  <c r="Y56" i="1"/>
  <c r="AC55" i="1"/>
  <c r="AD55" i="1" s="1"/>
  <c r="BL51" i="1"/>
  <c r="BA54" i="1"/>
  <c r="BB54" i="1" s="1"/>
  <c r="AA54" i="1"/>
  <c r="BD52" i="1"/>
  <c r="BE52" i="1"/>
  <c r="BL52" i="1" s="1"/>
  <c r="BM52" i="1" s="1"/>
  <c r="AR3" i="1"/>
  <c r="AR4" i="1" s="1"/>
  <c r="B4" i="16"/>
  <c r="BM51" i="1" l="1"/>
  <c r="Y57" i="1"/>
  <c r="AA56" i="1"/>
  <c r="AC56" i="1"/>
  <c r="AD56" i="1" s="1"/>
  <c r="AY56" i="1"/>
  <c r="AV56" i="1"/>
  <c r="AW57" i="1"/>
  <c r="BA56" i="1"/>
  <c r="BB56" i="1" s="1"/>
  <c r="AZ55" i="1"/>
  <c r="AX55" i="1"/>
  <c r="BG54" i="1"/>
  <c r="BH54" i="1" s="1"/>
  <c r="BE53" i="1"/>
  <c r="BL53" i="1" s="1"/>
  <c r="BM53" i="1" s="1"/>
  <c r="BD53" i="1"/>
  <c r="BK53" i="1" s="1"/>
  <c r="B44" i="1"/>
  <c r="B15" i="1" s="1"/>
  <c r="B43" i="1"/>
  <c r="B45" i="1" s="1"/>
  <c r="B16" i="1" s="1"/>
  <c r="AX54" i="1"/>
  <c r="AA55" i="1"/>
  <c r="AZ54" i="1"/>
  <c r="B18" i="13"/>
  <c r="B18" i="12"/>
  <c r="BC55" i="1" l="1"/>
  <c r="BF55" i="1"/>
  <c r="BJ55" i="1" s="1"/>
  <c r="I24" i="13"/>
  <c r="AW77" i="1"/>
  <c r="Y50" i="1"/>
  <c r="F71" i="1" s="1"/>
  <c r="E82" i="1"/>
  <c r="I24" i="16"/>
  <c r="I24" i="15"/>
  <c r="I24" i="12"/>
  <c r="AK30" i="1"/>
  <c r="I24" i="14"/>
  <c r="Y77" i="1"/>
  <c r="E90" i="1"/>
  <c r="I24" i="3"/>
  <c r="AA57" i="1"/>
  <c r="Y58" i="1"/>
  <c r="AC57" i="1" s="1"/>
  <c r="AD57" i="1" s="1"/>
  <c r="X55" i="1"/>
  <c r="X52" i="1"/>
  <c r="X58" i="1"/>
  <c r="I23" i="12"/>
  <c r="C82" i="1"/>
  <c r="C90" i="1"/>
  <c r="I23" i="16"/>
  <c r="X56" i="1"/>
  <c r="X54" i="1"/>
  <c r="X50" i="1"/>
  <c r="I23" i="14"/>
  <c r="AK29" i="1"/>
  <c r="I23" i="3"/>
  <c r="AV77" i="1"/>
  <c r="X77" i="1"/>
  <c r="X57" i="1"/>
  <c r="I23" i="13"/>
  <c r="X53" i="1"/>
  <c r="I23" i="15"/>
  <c r="BI53" i="1"/>
  <c r="BI51" i="1"/>
  <c r="BI52" i="1"/>
  <c r="BF54" i="1"/>
  <c r="BJ54" i="1" s="1"/>
  <c r="BC54" i="1"/>
  <c r="BG55" i="1"/>
  <c r="BH55" i="1" s="1"/>
  <c r="AV57" i="1"/>
  <c r="AX56" i="1" s="1"/>
  <c r="AW58" i="1"/>
  <c r="AY57" i="1" s="1"/>
  <c r="BI54" i="1"/>
  <c r="B21" i="12"/>
  <c r="B19" i="12"/>
  <c r="B22" i="12" s="1"/>
  <c r="B19" i="13"/>
  <c r="B22" i="13" s="1"/>
  <c r="B21" i="13"/>
  <c r="B5" i="13" s="1"/>
  <c r="BC56" i="1" l="1"/>
  <c r="BF56" i="1"/>
  <c r="BJ56" i="1" s="1"/>
  <c r="BG56" i="1"/>
  <c r="BH56" i="1" s="1"/>
  <c r="Z56" i="1"/>
  <c r="AB56" i="1"/>
  <c r="I28" i="16"/>
  <c r="I29" i="16"/>
  <c r="G71" i="1"/>
  <c r="BA57" i="1"/>
  <c r="BB57" i="1" s="1"/>
  <c r="I29" i="3"/>
  <c r="I28" i="3"/>
  <c r="I29" i="13"/>
  <c r="I28" i="13"/>
  <c r="H90" i="1"/>
  <c r="E94" i="1"/>
  <c r="I29" i="15"/>
  <c r="I28" i="15"/>
  <c r="AB57" i="1"/>
  <c r="Z57" i="1"/>
  <c r="AH57" i="1" s="1"/>
  <c r="AL57" i="1" s="1"/>
  <c r="I29" i="12"/>
  <c r="I28" i="12"/>
  <c r="AB51" i="1"/>
  <c r="AB52" i="1"/>
  <c r="Z52" i="1"/>
  <c r="Z51" i="1"/>
  <c r="BI55" i="1"/>
  <c r="X76" i="1"/>
  <c r="F70" i="1" s="1"/>
  <c r="AB54" i="1"/>
  <c r="Z54" i="1"/>
  <c r="C94" i="1"/>
  <c r="G90" i="1"/>
  <c r="AK31" i="1"/>
  <c r="AB53" i="1"/>
  <c r="Z53" i="1"/>
  <c r="AE57" i="1"/>
  <c r="AW59" i="1"/>
  <c r="AV58" i="1"/>
  <c r="AX57" i="1" s="1"/>
  <c r="AY58" i="1"/>
  <c r="I28" i="14"/>
  <c r="I29" i="14"/>
  <c r="E86" i="1"/>
  <c r="H82" i="1"/>
  <c r="AZ56" i="1"/>
  <c r="AB55" i="1"/>
  <c r="Z55" i="1"/>
  <c r="BD54" i="1"/>
  <c r="BK54" i="1" s="1"/>
  <c r="BE54" i="1"/>
  <c r="BL54" i="1" s="1"/>
  <c r="G82" i="1"/>
  <c r="Y59" i="1"/>
  <c r="AC58" i="1"/>
  <c r="AD58" i="1" s="1"/>
  <c r="BE55" i="1"/>
  <c r="BL55" i="1" s="1"/>
  <c r="BM55" i="1" s="1"/>
  <c r="BD55" i="1"/>
  <c r="BK55" i="1" s="1"/>
  <c r="B5" i="12"/>
  <c r="E11" i="12" s="1"/>
  <c r="E10" i="13"/>
  <c r="J10" i="13" s="1"/>
  <c r="E11" i="13"/>
  <c r="J11" i="13" s="1"/>
  <c r="B18" i="14"/>
  <c r="BF57" i="1" l="1"/>
  <c r="BJ57" i="1" s="1"/>
  <c r="BC57" i="1"/>
  <c r="G70" i="1"/>
  <c r="F72" i="1"/>
  <c r="Y60" i="1"/>
  <c r="X59" i="1"/>
  <c r="AH54" i="1"/>
  <c r="AL54" i="1" s="1"/>
  <c r="AI54" i="1"/>
  <c r="AJ54" i="1" s="1"/>
  <c r="AE54" i="1"/>
  <c r="BG57" i="1"/>
  <c r="BH57" i="1" s="1"/>
  <c r="I30" i="12"/>
  <c r="I31" i="12"/>
  <c r="I32" i="12" s="1"/>
  <c r="AH53" i="1"/>
  <c r="AL53" i="1" s="1"/>
  <c r="AE53" i="1"/>
  <c r="AI53" i="1"/>
  <c r="AJ53" i="1" s="1"/>
  <c r="BI56" i="1"/>
  <c r="AH55" i="1"/>
  <c r="AL55" i="1" s="1"/>
  <c r="AI55" i="1"/>
  <c r="AJ55" i="1" s="1"/>
  <c r="AE55" i="1"/>
  <c r="AH56" i="1"/>
  <c r="AL56" i="1" s="1"/>
  <c r="AI56" i="1"/>
  <c r="AJ56" i="1" s="1"/>
  <c r="AE56" i="1"/>
  <c r="AA58" i="1"/>
  <c r="AF57" i="1"/>
  <c r="AG57" i="1"/>
  <c r="BC58" i="1"/>
  <c r="AZ57" i="1"/>
  <c r="AZ58" i="1"/>
  <c r="AX58" i="1"/>
  <c r="BF58" i="1" s="1"/>
  <c r="BJ58" i="1" s="1"/>
  <c r="AV59" i="1"/>
  <c r="AW60" i="1"/>
  <c r="BA59" i="1" s="1"/>
  <c r="BB59" i="1" s="1"/>
  <c r="I31" i="13"/>
  <c r="I32" i="13" s="1"/>
  <c r="I30" i="13"/>
  <c r="BM54" i="1"/>
  <c r="I30" i="14"/>
  <c r="I31" i="14"/>
  <c r="I32" i="14" s="1"/>
  <c r="AH51" i="1"/>
  <c r="AL51" i="1" s="1"/>
  <c r="AE51" i="1"/>
  <c r="AI51" i="1"/>
  <c r="AJ51" i="1" s="1"/>
  <c r="I31" i="16"/>
  <c r="I30" i="16"/>
  <c r="BD56" i="1"/>
  <c r="BK56" i="1" s="1"/>
  <c r="BE56" i="1"/>
  <c r="BL56" i="1" s="1"/>
  <c r="C83" i="1"/>
  <c r="F74" i="1"/>
  <c r="BA58" i="1"/>
  <c r="BB58" i="1" s="1"/>
  <c r="BG58" i="1" s="1"/>
  <c r="BH58" i="1" s="1"/>
  <c r="BI58" i="1" s="1"/>
  <c r="J91" i="1"/>
  <c r="F93" i="1" s="1"/>
  <c r="F95" i="1" s="1"/>
  <c r="AH52" i="1"/>
  <c r="AL52" i="1" s="1"/>
  <c r="AI52" i="1"/>
  <c r="AJ52" i="1" s="1"/>
  <c r="AE52" i="1"/>
  <c r="I31" i="15"/>
  <c r="I30" i="15"/>
  <c r="I30" i="3"/>
  <c r="I31" i="3"/>
  <c r="AI57" i="1"/>
  <c r="AJ57" i="1" s="1"/>
  <c r="E10" i="12"/>
  <c r="J10" i="12" s="1"/>
  <c r="B21" i="14"/>
  <c r="B19" i="14"/>
  <c r="B22" i="14" s="1"/>
  <c r="B18" i="15"/>
  <c r="J11" i="12"/>
  <c r="BM56" i="1" l="1"/>
  <c r="Y61" i="1"/>
  <c r="AC60" i="1"/>
  <c r="AD60" i="1" s="1"/>
  <c r="X60" i="1"/>
  <c r="AA59" i="1"/>
  <c r="G83" i="1"/>
  <c r="J83" i="1" s="1"/>
  <c r="F85" i="1" s="1"/>
  <c r="C86" i="1"/>
  <c r="AF52" i="1"/>
  <c r="AM52" i="1" s="1"/>
  <c r="AG52" i="1"/>
  <c r="AN52" i="1" s="1"/>
  <c r="AO52" i="1" s="1"/>
  <c r="AE58" i="1"/>
  <c r="BI57" i="1"/>
  <c r="BK57" i="1"/>
  <c r="AK52" i="1"/>
  <c r="AX59" i="1"/>
  <c r="AF56" i="1"/>
  <c r="AM56" i="1" s="1"/>
  <c r="AG56" i="1"/>
  <c r="AN56" i="1" s="1"/>
  <c r="AO56" i="1" s="1"/>
  <c r="AF54" i="1"/>
  <c r="AG54" i="1"/>
  <c r="G72" i="1"/>
  <c r="F76" i="1"/>
  <c r="F77" i="1"/>
  <c r="G77" i="1" s="1"/>
  <c r="F73" i="1"/>
  <c r="F102" i="1" s="1"/>
  <c r="F75" i="1"/>
  <c r="AN55" i="1"/>
  <c r="AO55" i="1" s="1"/>
  <c r="AK55" i="1"/>
  <c r="AW61" i="1"/>
  <c r="BA60" i="1"/>
  <c r="BB60" i="1" s="1"/>
  <c r="AV60" i="1"/>
  <c r="AZ59" i="1" s="1"/>
  <c r="AY60" i="1"/>
  <c r="I32" i="15"/>
  <c r="AY59" i="1"/>
  <c r="BC59" i="1" s="1"/>
  <c r="AK56" i="1"/>
  <c r="AK54" i="1"/>
  <c r="AM54" i="1"/>
  <c r="AN54" i="1"/>
  <c r="AO54" i="1" s="1"/>
  <c r="AG51" i="1"/>
  <c r="AF51" i="1"/>
  <c r="AM51" i="1" s="1"/>
  <c r="I32" i="16"/>
  <c r="AK53" i="1"/>
  <c r="AN53" i="1"/>
  <c r="AO53" i="1" s="1"/>
  <c r="BD57" i="1"/>
  <c r="BE57" i="1"/>
  <c r="BL57" i="1" s="1"/>
  <c r="BM57" i="1" s="1"/>
  <c r="B15" i="13"/>
  <c r="I33" i="13"/>
  <c r="B16" i="13" s="1"/>
  <c r="BD58" i="1"/>
  <c r="BK58" i="1" s="1"/>
  <c r="BE58" i="1"/>
  <c r="BL58" i="1" s="1"/>
  <c r="BM58" i="1" s="1"/>
  <c r="B15" i="12"/>
  <c r="I33" i="12"/>
  <c r="B16" i="12" s="1"/>
  <c r="I33" i="14"/>
  <c r="B16" i="14" s="1"/>
  <c r="B15" i="14"/>
  <c r="AC59" i="1"/>
  <c r="AD59" i="1" s="1"/>
  <c r="AK57" i="1"/>
  <c r="AM57" i="1"/>
  <c r="AN57" i="1"/>
  <c r="AO57" i="1" s="1"/>
  <c r="I32" i="3"/>
  <c r="AN51" i="1"/>
  <c r="AK51" i="1"/>
  <c r="AF55" i="1"/>
  <c r="AM55" i="1" s="1"/>
  <c r="AG55" i="1"/>
  <c r="AG53" i="1"/>
  <c r="AF53" i="1"/>
  <c r="AM53" i="1" s="1"/>
  <c r="AB58" i="1"/>
  <c r="Z58" i="1"/>
  <c r="B5" i="14"/>
  <c r="E10" i="14" s="1"/>
  <c r="J10" i="14" s="1"/>
  <c r="B19" i="15"/>
  <c r="B22" i="15" s="1"/>
  <c r="B21" i="15"/>
  <c r="B5" i="15" s="1"/>
  <c r="I4" i="14" l="1"/>
  <c r="I11" i="14" s="1"/>
  <c r="I16" i="14"/>
  <c r="BF59" i="1"/>
  <c r="BJ59" i="1" s="1"/>
  <c r="B15" i="3"/>
  <c r="I33" i="3"/>
  <c r="B16" i="3" s="1"/>
  <c r="E78" i="1"/>
  <c r="C78" i="1"/>
  <c r="I15" i="14"/>
  <c r="I3" i="14"/>
  <c r="I10" i="14" s="1"/>
  <c r="AO51" i="1"/>
  <c r="I4" i="12"/>
  <c r="I11" i="12" s="1"/>
  <c r="I16" i="12"/>
  <c r="Y62" i="1"/>
  <c r="AA61" i="1" s="1"/>
  <c r="X61" i="1"/>
  <c r="AV61" i="1"/>
  <c r="AZ60" i="1" s="1"/>
  <c r="AW62" i="1"/>
  <c r="BA61" i="1" s="1"/>
  <c r="BB61" i="1" s="1"/>
  <c r="BE59" i="1"/>
  <c r="BL59" i="1" s="1"/>
  <c r="BM59" i="1" s="1"/>
  <c r="BD59" i="1"/>
  <c r="BK59" i="1" s="1"/>
  <c r="AB60" i="1"/>
  <c r="AB59" i="1"/>
  <c r="B15" i="15"/>
  <c r="I33" i="15"/>
  <c r="B16" i="15" s="1"/>
  <c r="Z59" i="1"/>
  <c r="AH59" i="1" s="1"/>
  <c r="AL59" i="1" s="1"/>
  <c r="AF58" i="1"/>
  <c r="AG58" i="1"/>
  <c r="AX60" i="1"/>
  <c r="BF60" i="1" s="1"/>
  <c r="BJ60" i="1" s="1"/>
  <c r="I16" i="13"/>
  <c r="I4" i="13"/>
  <c r="I11" i="13" s="1"/>
  <c r="B15" i="16"/>
  <c r="I33" i="16"/>
  <c r="B16" i="16" s="1"/>
  <c r="F87" i="1"/>
  <c r="F97" i="1"/>
  <c r="F100" i="1" s="1"/>
  <c r="F79" i="1"/>
  <c r="F98" i="1" s="1"/>
  <c r="I3" i="12"/>
  <c r="I10" i="12" s="1"/>
  <c r="I15" i="12"/>
  <c r="AA60" i="1"/>
  <c r="AH58" i="1"/>
  <c r="AL58" i="1" s="1"/>
  <c r="AI58" i="1"/>
  <c r="AJ58" i="1" s="1"/>
  <c r="AI59" i="1"/>
  <c r="AJ59" i="1" s="1"/>
  <c r="I15" i="13"/>
  <c r="I3" i="13"/>
  <c r="I10" i="13" s="1"/>
  <c r="L12" i="13" s="1"/>
  <c r="Y33" i="1" s="1"/>
  <c r="AE59" i="1"/>
  <c r="BG59" i="1"/>
  <c r="BH59" i="1" s="1"/>
  <c r="E11" i="14"/>
  <c r="J11" i="14" s="1"/>
  <c r="L12" i="14" s="1"/>
  <c r="Y34" i="1" s="1"/>
  <c r="E10" i="15"/>
  <c r="J10" i="15" s="1"/>
  <c r="E11" i="15"/>
  <c r="J11" i="15" s="1"/>
  <c r="AG17" i="1" l="1"/>
  <c r="I18" i="13"/>
  <c r="J15" i="13"/>
  <c r="E19" i="13" s="1"/>
  <c r="F19" i="13" s="1"/>
  <c r="J19" i="13" s="1"/>
  <c r="I4" i="16"/>
  <c r="I11" i="16" s="1"/>
  <c r="I16" i="16"/>
  <c r="Z61" i="1"/>
  <c r="AH61" i="1" s="1"/>
  <c r="AL61" i="1" s="1"/>
  <c r="B18" i="16"/>
  <c r="I3" i="16"/>
  <c r="I10" i="16" s="1"/>
  <c r="I15" i="16"/>
  <c r="BC60" i="1"/>
  <c r="J15" i="14"/>
  <c r="E19" i="14" s="1"/>
  <c r="F19" i="14" s="1"/>
  <c r="J19" i="14" s="1"/>
  <c r="L20" i="14" s="1"/>
  <c r="AA34" i="1" s="1"/>
  <c r="I18" i="14"/>
  <c r="AW63" i="1"/>
  <c r="BA62" i="1" s="1"/>
  <c r="BB62" i="1" s="1"/>
  <c r="AV62" i="1"/>
  <c r="AG18" i="1"/>
  <c r="J16" i="14"/>
  <c r="E20" i="14" s="1"/>
  <c r="F20" i="14" s="1"/>
  <c r="J18" i="14" s="1"/>
  <c r="I19" i="14"/>
  <c r="AA62" i="1"/>
  <c r="Y63" i="1"/>
  <c r="X62" i="1"/>
  <c r="F101" i="1"/>
  <c r="Y30" i="1" s="1"/>
  <c r="C99" i="1"/>
  <c r="I15" i="15"/>
  <c r="I3" i="15"/>
  <c r="I10" i="15" s="1"/>
  <c r="L12" i="15" s="1"/>
  <c r="Y35" i="1" s="1"/>
  <c r="AN58" i="1"/>
  <c r="AK58" i="1"/>
  <c r="AM58" i="1"/>
  <c r="Z60" i="1"/>
  <c r="AE60" i="1"/>
  <c r="BI59" i="1"/>
  <c r="I18" i="12"/>
  <c r="J15" i="12"/>
  <c r="E19" i="12" s="1"/>
  <c r="F19" i="12" s="1"/>
  <c r="J19" i="12" s="1"/>
  <c r="J16" i="13"/>
  <c r="E20" i="13" s="1"/>
  <c r="F20" i="13" s="1"/>
  <c r="J18" i="13" s="1"/>
  <c r="I19" i="13"/>
  <c r="AC61" i="1"/>
  <c r="AD61" i="1" s="1"/>
  <c r="B18" i="3"/>
  <c r="I3" i="3"/>
  <c r="I10" i="3" s="1"/>
  <c r="I15" i="3"/>
  <c r="AZ61" i="1"/>
  <c r="AK59" i="1"/>
  <c r="AG59" i="1"/>
  <c r="AN59" i="1" s="1"/>
  <c r="AO59" i="1" s="1"/>
  <c r="AF59" i="1"/>
  <c r="AM59" i="1" s="1"/>
  <c r="L12" i="12"/>
  <c r="Y32" i="1" s="1"/>
  <c r="BG60" i="1"/>
  <c r="BH60" i="1" s="1"/>
  <c r="BI60" i="1" s="1"/>
  <c r="I16" i="15"/>
  <c r="I4" i="15"/>
  <c r="I11" i="15" s="1"/>
  <c r="AY61" i="1"/>
  <c r="J16" i="12"/>
  <c r="E20" i="12" s="1"/>
  <c r="F20" i="12" s="1"/>
  <c r="J18" i="12" s="1"/>
  <c r="I19" i="12"/>
  <c r="I4" i="3"/>
  <c r="I11" i="3" s="1"/>
  <c r="I16" i="3"/>
  <c r="AG19" i="1" l="1"/>
  <c r="AG16" i="1"/>
  <c r="I18" i="3"/>
  <c r="J15" i="3"/>
  <c r="J16" i="16"/>
  <c r="I19" i="16"/>
  <c r="B21" i="3"/>
  <c r="B19" i="3"/>
  <c r="B22" i="3" s="1"/>
  <c r="B5" i="3" s="1"/>
  <c r="AF60" i="1"/>
  <c r="AG60" i="1"/>
  <c r="J15" i="16"/>
  <c r="I18" i="16"/>
  <c r="L20" i="13"/>
  <c r="AA33" i="1" s="1"/>
  <c r="J16" i="3"/>
  <c r="I19" i="3"/>
  <c r="J15" i="15"/>
  <c r="E19" i="15" s="1"/>
  <c r="F19" i="15" s="1"/>
  <c r="J19" i="15" s="1"/>
  <c r="I18" i="15"/>
  <c r="BE60" i="1"/>
  <c r="BL60" i="1" s="1"/>
  <c r="BM60" i="1" s="1"/>
  <c r="BD60" i="1"/>
  <c r="BK60" i="1" s="1"/>
  <c r="BC61" i="1"/>
  <c r="AI61" i="1"/>
  <c r="AJ61" i="1" s="1"/>
  <c r="AH60" i="1"/>
  <c r="AL60" i="1" s="1"/>
  <c r="AI60" i="1"/>
  <c r="AJ60" i="1" s="1"/>
  <c r="AO58" i="1"/>
  <c r="B19" i="16"/>
  <c r="B22" i="16" s="1"/>
  <c r="B21" i="16"/>
  <c r="Y64" i="1"/>
  <c r="X63" i="1"/>
  <c r="Z62" i="1" s="1"/>
  <c r="AW64" i="1"/>
  <c r="AV63" i="1"/>
  <c r="AX62" i="1" s="1"/>
  <c r="I19" i="15"/>
  <c r="J16" i="15"/>
  <c r="E20" i="15" s="1"/>
  <c r="F20" i="15" s="1"/>
  <c r="J18" i="15" s="1"/>
  <c r="L20" i="15" s="1"/>
  <c r="AA35" i="1" s="1"/>
  <c r="AX61" i="1"/>
  <c r="L20" i="12"/>
  <c r="AA32" i="1" s="1"/>
  <c r="AC62" i="1"/>
  <c r="AD62" i="1" s="1"/>
  <c r="AY62" i="1"/>
  <c r="AB61" i="1"/>
  <c r="AE61" i="1"/>
  <c r="BC62" i="1" l="1"/>
  <c r="BF62" i="1"/>
  <c r="BJ62" i="1" s="1"/>
  <c r="BG62" i="1"/>
  <c r="BH62" i="1" s="1"/>
  <c r="AH62" i="1"/>
  <c r="AL62" i="1" s="1"/>
  <c r="AE62" i="1"/>
  <c r="AV64" i="1"/>
  <c r="AW65" i="1"/>
  <c r="Y65" i="1"/>
  <c r="AC64" i="1" s="1"/>
  <c r="AD64" i="1" s="1"/>
  <c r="X64" i="1"/>
  <c r="AI62" i="1"/>
  <c r="AJ62" i="1" s="1"/>
  <c r="AB62" i="1"/>
  <c r="AC63" i="1"/>
  <c r="AD63" i="1" s="1"/>
  <c r="AI63" i="1" s="1"/>
  <c r="AJ63" i="1" s="1"/>
  <c r="BE61" i="1"/>
  <c r="BD61" i="1"/>
  <c r="BK61" i="1" s="1"/>
  <c r="AA63" i="1"/>
  <c r="AE63" i="1" s="1"/>
  <c r="AN60" i="1"/>
  <c r="AM60" i="1"/>
  <c r="AK60" i="1"/>
  <c r="E10" i="3"/>
  <c r="J10" i="3" s="1"/>
  <c r="E11" i="3"/>
  <c r="J11" i="3" s="1"/>
  <c r="L12" i="3" s="1"/>
  <c r="Y31" i="1" s="1"/>
  <c r="E19" i="3"/>
  <c r="F19" i="3" s="1"/>
  <c r="J19" i="3" s="1"/>
  <c r="AB63" i="1"/>
  <c r="Z63" i="1"/>
  <c r="AY63" i="1"/>
  <c r="AZ63" i="1"/>
  <c r="AX63" i="1"/>
  <c r="AG61" i="1"/>
  <c r="AF61" i="1"/>
  <c r="AM61" i="1" s="1"/>
  <c r="AZ62" i="1"/>
  <c r="BF61" i="1"/>
  <c r="BJ61" i="1" s="1"/>
  <c r="BG61" i="1"/>
  <c r="BH61" i="1" s="1"/>
  <c r="BA63" i="1"/>
  <c r="BB63" i="1" s="1"/>
  <c r="B5" i="16"/>
  <c r="AK61" i="1"/>
  <c r="AA64" i="1" l="1"/>
  <c r="AW66" i="1"/>
  <c r="AY65" i="1"/>
  <c r="AV65" i="1"/>
  <c r="AZ64" i="1" s="1"/>
  <c r="AN63" i="1"/>
  <c r="AO63" i="1" s="1"/>
  <c r="AK63" i="1"/>
  <c r="BK62" i="1"/>
  <c r="BL62" i="1"/>
  <c r="BM62" i="1" s="1"/>
  <c r="BI62" i="1"/>
  <c r="AG62" i="1"/>
  <c r="AF62" i="1"/>
  <c r="AG15" i="1"/>
  <c r="AH18" i="1"/>
  <c r="AH19" i="1"/>
  <c r="AH16" i="1"/>
  <c r="AH17" i="1"/>
  <c r="AH15" i="1"/>
  <c r="BG63" i="1"/>
  <c r="BH63" i="1" s="1"/>
  <c r="BI61" i="1"/>
  <c r="BA64" i="1"/>
  <c r="BB64" i="1" s="1"/>
  <c r="AA65" i="1"/>
  <c r="Y66" i="1"/>
  <c r="AC65" i="1" s="1"/>
  <c r="AD65" i="1" s="1"/>
  <c r="X65" i="1"/>
  <c r="Z64" i="1" s="1"/>
  <c r="BF63" i="1"/>
  <c r="BJ63" i="1" s="1"/>
  <c r="BC63" i="1"/>
  <c r="AM62" i="1"/>
  <c r="AN62" i="1"/>
  <c r="AO62" i="1" s="1"/>
  <c r="AK62" i="1"/>
  <c r="AY64" i="1"/>
  <c r="AF63" i="1"/>
  <c r="AM63" i="1" s="1"/>
  <c r="AG63" i="1"/>
  <c r="AN61" i="1"/>
  <c r="AO61" i="1" s="1"/>
  <c r="E10" i="16"/>
  <c r="E11" i="16"/>
  <c r="BL61" i="1"/>
  <c r="BM61" i="1" s="1"/>
  <c r="E20" i="3"/>
  <c r="F20" i="3" s="1"/>
  <c r="J18" i="3" s="1"/>
  <c r="L20" i="3" s="1"/>
  <c r="AA31" i="1" s="1"/>
  <c r="AH63" i="1"/>
  <c r="AL63" i="1" s="1"/>
  <c r="AO60" i="1"/>
  <c r="AB64" i="1"/>
  <c r="BD62" i="1"/>
  <c r="BE62" i="1"/>
  <c r="AH64" i="1" l="1"/>
  <c r="AL64" i="1" s="1"/>
  <c r="AI64" i="1"/>
  <c r="AJ64" i="1" s="1"/>
  <c r="BC65" i="1"/>
  <c r="AW67" i="1"/>
  <c r="AV66" i="1"/>
  <c r="BC64" i="1"/>
  <c r="BI63" i="1"/>
  <c r="AX64" i="1"/>
  <c r="BA65" i="1"/>
  <c r="BB65" i="1" s="1"/>
  <c r="AE64" i="1"/>
  <c r="BG64" i="1"/>
  <c r="BH64" i="1" s="1"/>
  <c r="Z65" i="1"/>
  <c r="AE65" i="1" s="1"/>
  <c r="J11" i="16"/>
  <c r="E20" i="16"/>
  <c r="F20" i="16" s="1"/>
  <c r="J18" i="16" s="1"/>
  <c r="L20" i="16" s="1"/>
  <c r="AA36" i="1" s="1"/>
  <c r="AZ65" i="1"/>
  <c r="AX65" i="1"/>
  <c r="BD63" i="1"/>
  <c r="BK63" i="1" s="1"/>
  <c r="BE63" i="1"/>
  <c r="J10" i="16"/>
  <c r="E19" i="16"/>
  <c r="F19" i="16" s="1"/>
  <c r="J19" i="16" s="1"/>
  <c r="Y67" i="1"/>
  <c r="X66" i="1"/>
  <c r="AF65" i="1" l="1"/>
  <c r="AG65" i="1"/>
  <c r="AB66" i="1"/>
  <c r="Z66" i="1"/>
  <c r="Y68" i="1"/>
  <c r="AA67" i="1"/>
  <c r="X67" i="1"/>
  <c r="BI64" i="1"/>
  <c r="BK64" i="1"/>
  <c r="AC66" i="1"/>
  <c r="AD66" i="1" s="1"/>
  <c r="AI66" i="1" s="1"/>
  <c r="AJ66" i="1" s="1"/>
  <c r="AG64" i="1"/>
  <c r="AN64" i="1" s="1"/>
  <c r="AF64" i="1"/>
  <c r="AM64" i="1" s="1"/>
  <c r="BD64" i="1"/>
  <c r="BE64" i="1"/>
  <c r="BL64" i="1" s="1"/>
  <c r="BM64" i="1" s="1"/>
  <c r="AK64" i="1"/>
  <c r="AW68" i="1"/>
  <c r="AY67" i="1" s="1"/>
  <c r="AV67" i="1"/>
  <c r="AX66" i="1" s="1"/>
  <c r="AB65" i="1"/>
  <c r="BF65" i="1"/>
  <c r="BJ65" i="1" s="1"/>
  <c r="BL63" i="1"/>
  <c r="BM63" i="1" s="1"/>
  <c r="AA66" i="1"/>
  <c r="AE66" i="1" s="1"/>
  <c r="BG65" i="1"/>
  <c r="BH65" i="1" s="1"/>
  <c r="BA66" i="1"/>
  <c r="BB66" i="1" s="1"/>
  <c r="AH65" i="1"/>
  <c r="AL65" i="1" s="1"/>
  <c r="BE65" i="1"/>
  <c r="BD65" i="1"/>
  <c r="BK65" i="1" s="1"/>
  <c r="AY66" i="1"/>
  <c r="L12" i="16"/>
  <c r="Y36" i="1" s="1"/>
  <c r="BF64" i="1"/>
  <c r="BJ64" i="1" s="1"/>
  <c r="AZ66" i="1"/>
  <c r="AI65" i="1"/>
  <c r="AJ65" i="1" s="1"/>
  <c r="AO64" i="1" l="1"/>
  <c r="BF66" i="1"/>
  <c r="BJ66" i="1" s="1"/>
  <c r="AN66" i="1"/>
  <c r="AO66" i="1" s="1"/>
  <c r="AK66" i="1"/>
  <c r="AM66" i="1"/>
  <c r="AH66" i="1"/>
  <c r="AL66" i="1" s="1"/>
  <c r="AG66" i="1"/>
  <c r="AF66" i="1"/>
  <c r="Y69" i="1"/>
  <c r="AC68" i="1" s="1"/>
  <c r="AD68" i="1" s="1"/>
  <c r="X68" i="1"/>
  <c r="BC66" i="1"/>
  <c r="AM65" i="1"/>
  <c r="AN65" i="1"/>
  <c r="AO65" i="1" s="1"/>
  <c r="AK65" i="1"/>
  <c r="BG66" i="1"/>
  <c r="BH66" i="1" s="1"/>
  <c r="AV68" i="1"/>
  <c r="AX67" i="1" s="1"/>
  <c r="AW69" i="1"/>
  <c r="AY68" i="1"/>
  <c r="BA68" i="1"/>
  <c r="BB68" i="1" s="1"/>
  <c r="AC67" i="1"/>
  <c r="AD67" i="1" s="1"/>
  <c r="AI67" i="1" s="1"/>
  <c r="AJ67" i="1" s="1"/>
  <c r="BL65" i="1"/>
  <c r="BM65" i="1" s="1"/>
  <c r="BI65" i="1"/>
  <c r="AG20" i="1"/>
  <c r="Y37" i="1"/>
  <c r="AH20" i="1"/>
  <c r="BA67" i="1"/>
  <c r="BB67" i="1" s="1"/>
  <c r="AB67" i="1"/>
  <c r="Z67" i="1"/>
  <c r="BF67" i="1" l="1"/>
  <c r="BJ67" i="1" s="1"/>
  <c r="BC67" i="1"/>
  <c r="AK67" i="1"/>
  <c r="AH67" i="1"/>
  <c r="AL67" i="1" s="1"/>
  <c r="AV69" i="1"/>
  <c r="AZ68" i="1" s="1"/>
  <c r="AW70" i="1"/>
  <c r="AY69" i="1" s="1"/>
  <c r="BA69" i="1"/>
  <c r="BB69" i="1" s="1"/>
  <c r="AZ67" i="1"/>
  <c r="AE67" i="1"/>
  <c r="Y70" i="1"/>
  <c r="AC69" i="1" s="1"/>
  <c r="AD69" i="1" s="1"/>
  <c r="X69" i="1"/>
  <c r="AB68" i="1" s="1"/>
  <c r="AA68" i="1"/>
  <c r="BG67" i="1"/>
  <c r="BH67" i="1" s="1"/>
  <c r="BE66" i="1"/>
  <c r="BD66" i="1"/>
  <c r="BK66" i="1" s="1"/>
  <c r="BI66" i="1"/>
  <c r="AF67" i="1" l="1"/>
  <c r="AM67" i="1" s="1"/>
  <c r="AG67" i="1"/>
  <c r="AW71" i="1"/>
  <c r="AV70" i="1"/>
  <c r="AX69" i="1" s="1"/>
  <c r="Y71" i="1"/>
  <c r="X70" i="1"/>
  <c r="AB69" i="1" s="1"/>
  <c r="BL66" i="1"/>
  <c r="BM66" i="1" s="1"/>
  <c r="BE67" i="1"/>
  <c r="BD67" i="1"/>
  <c r="BK67" i="1" s="1"/>
  <c r="BI67" i="1"/>
  <c r="Z69" i="1"/>
  <c r="AA69" i="1"/>
  <c r="AE69" i="1" s="1"/>
  <c r="AX68" i="1"/>
  <c r="Z68" i="1"/>
  <c r="AE68" i="1"/>
  <c r="BF69" i="1" l="1"/>
  <c r="BJ69" i="1" s="1"/>
  <c r="BC69" i="1"/>
  <c r="BG69" i="1"/>
  <c r="BH69" i="1" s="1"/>
  <c r="AW72" i="1"/>
  <c r="BA71" i="1"/>
  <c r="BB71" i="1" s="1"/>
  <c r="AV71" i="1"/>
  <c r="AY71" i="1"/>
  <c r="BA70" i="1"/>
  <c r="BB70" i="1" s="1"/>
  <c r="AZ69" i="1"/>
  <c r="Y72" i="1"/>
  <c r="AC71" i="1"/>
  <c r="AD71" i="1" s="1"/>
  <c r="AA71" i="1"/>
  <c r="X71" i="1"/>
  <c r="Z70" i="1" s="1"/>
  <c r="AC70" i="1"/>
  <c r="AD70" i="1" s="1"/>
  <c r="AH68" i="1"/>
  <c r="AL68" i="1" s="1"/>
  <c r="AI68" i="1"/>
  <c r="AJ68" i="1" s="1"/>
  <c r="BL67" i="1"/>
  <c r="BM67" i="1" s="1"/>
  <c r="AA70" i="1"/>
  <c r="AG69" i="1"/>
  <c r="AF69" i="1"/>
  <c r="AH69" i="1"/>
  <c r="AL69" i="1" s="1"/>
  <c r="AN67" i="1"/>
  <c r="AO67" i="1" s="1"/>
  <c r="AF68" i="1"/>
  <c r="AG68" i="1"/>
  <c r="BF68" i="1"/>
  <c r="BJ68" i="1" s="1"/>
  <c r="BC68" i="1"/>
  <c r="BG68" i="1"/>
  <c r="BH68" i="1" s="1"/>
  <c r="AY70" i="1"/>
  <c r="AI69" i="1"/>
  <c r="AJ69" i="1" s="1"/>
  <c r="AH70" i="1" l="1"/>
  <c r="AL70" i="1" s="1"/>
  <c r="AB70" i="1"/>
  <c r="AV72" i="1"/>
  <c r="AW73" i="1"/>
  <c r="AY72" i="1" s="1"/>
  <c r="BD68" i="1"/>
  <c r="BK68" i="1" s="1"/>
  <c r="BE68" i="1"/>
  <c r="AK68" i="1"/>
  <c r="AM68" i="1"/>
  <c r="AN68" i="1"/>
  <c r="AO68" i="1" s="1"/>
  <c r="BI69" i="1"/>
  <c r="BI68" i="1"/>
  <c r="BE69" i="1"/>
  <c r="BD69" i="1"/>
  <c r="BK69" i="1" s="1"/>
  <c r="BC70" i="1"/>
  <c r="BG70" i="1"/>
  <c r="BH70" i="1" s="1"/>
  <c r="AZ70" i="1"/>
  <c r="AM69" i="1"/>
  <c r="AK69" i="1"/>
  <c r="AN69" i="1"/>
  <c r="AO69" i="1" s="1"/>
  <c r="AE70" i="1"/>
  <c r="Y73" i="1"/>
  <c r="AC72" i="1"/>
  <c r="AD72" i="1" s="1"/>
  <c r="AA72" i="1"/>
  <c r="X72" i="1"/>
  <c r="Z71" i="1" s="1"/>
  <c r="AI70" i="1"/>
  <c r="AJ70" i="1" s="1"/>
  <c r="AX70" i="1"/>
  <c r="AH71" i="1" l="1"/>
  <c r="AL71" i="1" s="1"/>
  <c r="AI71" i="1"/>
  <c r="AJ71" i="1" s="1"/>
  <c r="AE71" i="1"/>
  <c r="BL69" i="1"/>
  <c r="BM69" i="1" s="1"/>
  <c r="AX72" i="1"/>
  <c r="AZ72" i="1"/>
  <c r="AZ71" i="1"/>
  <c r="BI70" i="1"/>
  <c r="BL70" i="1"/>
  <c r="BM70" i="1" s="1"/>
  <c r="BK70" i="1"/>
  <c r="BL68" i="1"/>
  <c r="BM68" i="1" s="1"/>
  <c r="AX71" i="1"/>
  <c r="Y74" i="1"/>
  <c r="X73" i="1"/>
  <c r="AB72" i="1" s="1"/>
  <c r="BD70" i="1"/>
  <c r="BE70" i="1"/>
  <c r="AB71" i="1"/>
  <c r="BF70" i="1"/>
  <c r="BJ70" i="1" s="1"/>
  <c r="AF70" i="1"/>
  <c r="AM70" i="1" s="1"/>
  <c r="AG70" i="1"/>
  <c r="BA73" i="1"/>
  <c r="BB73" i="1" s="1"/>
  <c r="AV73" i="1"/>
  <c r="AW74" i="1"/>
  <c r="AY73" i="1"/>
  <c r="AK70" i="1"/>
  <c r="BA72" i="1"/>
  <c r="BB72" i="1" s="1"/>
  <c r="BG72" i="1" s="1"/>
  <c r="BH72" i="1" s="1"/>
  <c r="BI72" i="1" l="1"/>
  <c r="AC74" i="1"/>
  <c r="AD74" i="1" s="1"/>
  <c r="Y75" i="1"/>
  <c r="AA74" i="1"/>
  <c r="X74" i="1"/>
  <c r="AB73" i="1" s="1"/>
  <c r="AF71" i="1"/>
  <c r="AM71" i="1" s="1"/>
  <c r="AG71" i="1"/>
  <c r="AC73" i="1"/>
  <c r="AD73" i="1" s="1"/>
  <c r="AK71" i="1"/>
  <c r="Z73" i="1"/>
  <c r="AA73" i="1"/>
  <c r="AN70" i="1"/>
  <c r="AO70" i="1" s="1"/>
  <c r="Z72" i="1"/>
  <c r="AW75" i="1"/>
  <c r="AV74" i="1"/>
  <c r="AZ73" i="1" s="1"/>
  <c r="AY74" i="1"/>
  <c r="BA74" i="1"/>
  <c r="BB74" i="1" s="1"/>
  <c r="BC72" i="1"/>
  <c r="BF72" i="1"/>
  <c r="BJ72" i="1" s="1"/>
  <c r="BG71" i="1"/>
  <c r="BH71" i="1" s="1"/>
  <c r="BF71" i="1"/>
  <c r="BJ71" i="1" s="1"/>
  <c r="BC71" i="1"/>
  <c r="BI71" i="1" l="1"/>
  <c r="BA75" i="1"/>
  <c r="BB75" i="1" s="1"/>
  <c r="AV75" i="1"/>
  <c r="AY75" i="1"/>
  <c r="AA75" i="1"/>
  <c r="AC75" i="1"/>
  <c r="AD75" i="1" s="1"/>
  <c r="X75" i="1"/>
  <c r="AH73" i="1"/>
  <c r="AL73" i="1" s="1"/>
  <c r="AB74" i="1"/>
  <c r="Z74" i="1"/>
  <c r="AE74" i="1" s="1"/>
  <c r="AX73" i="1"/>
  <c r="BE71" i="1"/>
  <c r="BD71" i="1"/>
  <c r="BK71" i="1" s="1"/>
  <c r="AI73" i="1"/>
  <c r="AJ73" i="1" s="1"/>
  <c r="AX74" i="1"/>
  <c r="BC74" i="1" s="1"/>
  <c r="AN71" i="1"/>
  <c r="AO71" i="1" s="1"/>
  <c r="AH72" i="1"/>
  <c r="AL72" i="1" s="1"/>
  <c r="AI72" i="1"/>
  <c r="AJ72" i="1" s="1"/>
  <c r="AE72" i="1"/>
  <c r="BE72" i="1"/>
  <c r="BD72" i="1"/>
  <c r="BK72" i="1" s="1"/>
  <c r="AE73" i="1"/>
  <c r="BE74" i="1" l="1"/>
  <c r="BD74" i="1"/>
  <c r="AF74" i="1"/>
  <c r="AG74" i="1"/>
  <c r="AF73" i="1"/>
  <c r="AM73" i="1" s="1"/>
  <c r="AG73" i="1"/>
  <c r="AN73" i="1" s="1"/>
  <c r="AO73" i="1" s="1"/>
  <c r="AX75" i="1"/>
  <c r="AZ75" i="1"/>
  <c r="AG72" i="1"/>
  <c r="AF72" i="1"/>
  <c r="AK73" i="1"/>
  <c r="BG74" i="1"/>
  <c r="BH74" i="1" s="1"/>
  <c r="AE75" i="1"/>
  <c r="AH74" i="1"/>
  <c r="AL74" i="1" s="1"/>
  <c r="AK72" i="1"/>
  <c r="AN72" i="1"/>
  <c r="AO72" i="1" s="1"/>
  <c r="AM72" i="1"/>
  <c r="BL71" i="1"/>
  <c r="BM71" i="1" s="1"/>
  <c r="AB75" i="1"/>
  <c r="Z75" i="1"/>
  <c r="BG73" i="1"/>
  <c r="BH73" i="1" s="1"/>
  <c r="BF73" i="1"/>
  <c r="BJ73" i="1" s="1"/>
  <c r="BC73" i="1"/>
  <c r="BF74" i="1"/>
  <c r="BJ74" i="1" s="1"/>
  <c r="AZ74" i="1"/>
  <c r="BL72" i="1"/>
  <c r="BM72" i="1" s="1"/>
  <c r="AI74" i="1"/>
  <c r="AJ74" i="1" s="1"/>
  <c r="AI75" i="1"/>
  <c r="AJ75" i="1" s="1"/>
  <c r="BE73" i="1" l="1"/>
  <c r="BD73" i="1"/>
  <c r="BK73" i="1" s="1"/>
  <c r="BG75" i="1"/>
  <c r="BH75" i="1" s="1"/>
  <c r="BF75" i="1"/>
  <c r="BJ75" i="1" s="1"/>
  <c r="BJ76" i="1" s="1"/>
  <c r="BI73" i="1"/>
  <c r="AK75" i="1"/>
  <c r="AJ76" i="1"/>
  <c r="AH75" i="1"/>
  <c r="AL75" i="1" s="1"/>
  <c r="AL76" i="1" s="1"/>
  <c r="BK74" i="1"/>
  <c r="AF75" i="1"/>
  <c r="AM75" i="1" s="1"/>
  <c r="AM76" i="1" s="1"/>
  <c r="AG75" i="1"/>
  <c r="BI74" i="1"/>
  <c r="AM74" i="1"/>
  <c r="AK74" i="1"/>
  <c r="AN74" i="1"/>
  <c r="AO74" i="1" s="1"/>
  <c r="BC75" i="1"/>
  <c r="BL74" i="1"/>
  <c r="BM74" i="1" s="1"/>
  <c r="AK76" i="1" l="1"/>
  <c r="H99" i="1" s="1"/>
  <c r="G99" i="1" s="1"/>
  <c r="BE75" i="1"/>
  <c r="BD75" i="1"/>
  <c r="BK75" i="1" s="1"/>
  <c r="BK76" i="1" s="1"/>
  <c r="AN75" i="1"/>
  <c r="BH76" i="1"/>
  <c r="BI75" i="1"/>
  <c r="BI76" i="1" s="1"/>
  <c r="BL73" i="1"/>
  <c r="BM73" i="1" s="1"/>
  <c r="AO75" i="1" l="1"/>
  <c r="AO76" i="1" s="1"/>
  <c r="AO77" i="1" s="1"/>
  <c r="AN76" i="1"/>
  <c r="BL75" i="1"/>
  <c r="BM75" i="1" l="1"/>
  <c r="BM76" i="1" s="1"/>
  <c r="BM77" i="1" s="1"/>
  <c r="BL76" i="1"/>
  <c r="Q2" i="1"/>
  <c r="Q3" i="1"/>
  <c r="B13" i="1"/>
  <c r="I13" i="1"/>
  <c r="AJ15" i="1"/>
  <c r="AK15" i="1"/>
  <c r="AM15" i="1"/>
  <c r="AN15" i="1"/>
  <c r="AJ16" i="1"/>
  <c r="AK16" i="1"/>
  <c r="AM16" i="1"/>
  <c r="AN16" i="1"/>
  <c r="AJ17" i="1"/>
  <c r="AK17" i="1"/>
  <c r="AM17" i="1"/>
  <c r="AN17" i="1"/>
  <c r="AJ18" i="1"/>
  <c r="AK18" i="1"/>
  <c r="AM18" i="1"/>
  <c r="AN18" i="1"/>
  <c r="AJ19" i="1"/>
  <c r="AK19" i="1"/>
  <c r="AM19" i="1"/>
  <c r="AN19" i="1"/>
  <c r="AJ20" i="1"/>
  <c r="AK20" i="1"/>
  <c r="AM20" i="1"/>
  <c r="AN20" i="1"/>
  <c r="AA30" i="1"/>
  <c r="AA37" i="1"/>
  <c r="AP49" i="1"/>
  <c r="BN49" i="1"/>
  <c r="AP51" i="1"/>
  <c r="AQ51" i="1"/>
  <c r="AR51" i="1"/>
  <c r="BN51" i="1"/>
  <c r="BO51" i="1"/>
  <c r="BP51" i="1"/>
  <c r="AP52" i="1"/>
  <c r="AQ52" i="1"/>
  <c r="AR52" i="1"/>
  <c r="BN52" i="1"/>
  <c r="BO52" i="1"/>
  <c r="BP52" i="1"/>
  <c r="AP53" i="1"/>
  <c r="AQ53" i="1"/>
  <c r="AR53" i="1"/>
  <c r="BN53" i="1"/>
  <c r="BO53" i="1"/>
  <c r="BP53" i="1"/>
  <c r="AP54" i="1"/>
  <c r="AQ54" i="1"/>
  <c r="AR54" i="1"/>
  <c r="BN54" i="1"/>
  <c r="BO54" i="1"/>
  <c r="BP54" i="1"/>
  <c r="AP55" i="1"/>
  <c r="AQ55" i="1"/>
  <c r="AR55" i="1"/>
  <c r="BN55" i="1"/>
  <c r="BO55" i="1"/>
  <c r="BP55" i="1"/>
  <c r="AP56" i="1"/>
  <c r="AQ56" i="1"/>
  <c r="AR56" i="1"/>
  <c r="BN56" i="1"/>
  <c r="BO56" i="1"/>
  <c r="BP56" i="1"/>
  <c r="AP57" i="1"/>
  <c r="AQ57" i="1"/>
  <c r="AR57" i="1"/>
  <c r="BN57" i="1"/>
  <c r="BO57" i="1"/>
  <c r="BP57" i="1"/>
  <c r="AP58" i="1"/>
  <c r="AQ58" i="1"/>
  <c r="AR58" i="1"/>
  <c r="BN58" i="1"/>
  <c r="BO58" i="1"/>
  <c r="BP58" i="1"/>
  <c r="AP59" i="1"/>
  <c r="AQ59" i="1"/>
  <c r="AR59" i="1"/>
  <c r="BN59" i="1"/>
  <c r="BO59" i="1"/>
  <c r="BP59" i="1"/>
  <c r="AP60" i="1"/>
  <c r="AQ60" i="1"/>
  <c r="AR60" i="1"/>
  <c r="BN60" i="1"/>
  <c r="BO60" i="1"/>
  <c r="BP60" i="1"/>
  <c r="AP61" i="1"/>
  <c r="AQ61" i="1"/>
  <c r="AR61" i="1"/>
  <c r="BN61" i="1"/>
  <c r="BO61" i="1"/>
  <c r="BP61" i="1"/>
  <c r="AP62" i="1"/>
  <c r="AQ62" i="1"/>
  <c r="AR62" i="1"/>
  <c r="BN62" i="1"/>
  <c r="BO62" i="1"/>
  <c r="BP62" i="1"/>
  <c r="AP63" i="1"/>
  <c r="AQ63" i="1"/>
  <c r="AR63" i="1"/>
  <c r="BN63" i="1"/>
  <c r="BO63" i="1"/>
  <c r="BP63" i="1"/>
  <c r="AP64" i="1"/>
  <c r="AQ64" i="1"/>
  <c r="AR64" i="1"/>
  <c r="BN64" i="1"/>
  <c r="BO64" i="1"/>
  <c r="BP64" i="1"/>
  <c r="AP65" i="1"/>
  <c r="AQ65" i="1"/>
  <c r="AR65" i="1"/>
  <c r="BN65" i="1"/>
  <c r="BO65" i="1"/>
  <c r="BP65" i="1"/>
  <c r="AP66" i="1"/>
  <c r="AQ66" i="1"/>
  <c r="AR66" i="1"/>
  <c r="BN66" i="1"/>
  <c r="BO66" i="1"/>
  <c r="BP66" i="1"/>
  <c r="AP67" i="1"/>
  <c r="AQ67" i="1"/>
  <c r="AR67" i="1"/>
  <c r="BN67" i="1"/>
  <c r="BO67" i="1"/>
  <c r="BP67" i="1"/>
  <c r="AP68" i="1"/>
  <c r="AQ68" i="1"/>
  <c r="AR68" i="1"/>
  <c r="BN68" i="1"/>
  <c r="BO68" i="1"/>
  <c r="BP68" i="1"/>
  <c r="AP69" i="1"/>
  <c r="AQ69" i="1"/>
  <c r="AR69" i="1"/>
  <c r="BN69" i="1"/>
  <c r="BO69" i="1"/>
  <c r="BP69" i="1"/>
  <c r="AP70" i="1"/>
  <c r="AQ70" i="1"/>
  <c r="AR70" i="1"/>
  <c r="BN70" i="1"/>
  <c r="BO70" i="1"/>
  <c r="BP70" i="1"/>
  <c r="AP71" i="1"/>
  <c r="AQ71" i="1"/>
  <c r="AR71" i="1"/>
  <c r="BN71" i="1"/>
  <c r="BO71" i="1"/>
  <c r="BP71" i="1"/>
  <c r="AP72" i="1"/>
  <c r="AQ72" i="1"/>
  <c r="AR72" i="1"/>
  <c r="BN72" i="1"/>
  <c r="BO72" i="1"/>
  <c r="BP72" i="1"/>
  <c r="AP73" i="1"/>
  <c r="AQ73" i="1"/>
  <c r="AR73" i="1"/>
  <c r="BN73" i="1"/>
  <c r="BO73" i="1"/>
  <c r="BP73" i="1"/>
  <c r="AP74" i="1"/>
  <c r="AQ74" i="1"/>
  <c r="AR74" i="1"/>
  <c r="BN74" i="1"/>
  <c r="BO74" i="1"/>
  <c r="BP74" i="1"/>
  <c r="AP75" i="1"/>
  <c r="AQ75" i="1"/>
  <c r="AR75" i="1"/>
  <c r="BN75" i="1"/>
  <c r="BO75" i="1"/>
  <c r="BP75" i="1"/>
  <c r="AQ76" i="1"/>
  <c r="AR76" i="1"/>
  <c r="BO76" i="1"/>
  <c r="BP76" i="1"/>
  <c r="AR77" i="1"/>
  <c r="BP7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Waldemar Hachich</author>
  </authors>
  <commentList>
    <comment ref="B14" authorId="0" shapeId="0" xr:uid="{00000000-0006-0000-0000-000001000000}">
      <text>
        <r>
          <rPr>
            <b/>
            <sz val="10"/>
            <color indexed="9"/>
            <rFont val="Tahoma"/>
            <family val="2"/>
          </rPr>
          <t>Escolhido para passar, com raio R escolhido, pelo pé da contenção (Xp, Yp) e por outro ponto especificado (X2, Y2).
Objetivo: aumentar para F = 1,5 com o uso de grampos</t>
        </r>
      </text>
    </comment>
    <comment ref="I14" authorId="0" shapeId="0" xr:uid="{00000000-0006-0000-0000-000002000000}">
      <text>
        <r>
          <rPr>
            <b/>
            <sz val="10"/>
            <color indexed="9"/>
            <rFont val="Tahoma"/>
            <family val="2"/>
          </rPr>
          <t>Escolhido para passar, com raio R escolhido, pelo pé da contenção (Xp, Yp) e por outro ponto especificado (X3, Y3).
Objetivo : 
F = 1,5 SEM grampos</t>
        </r>
      </text>
    </comment>
    <comment ref="O29" authorId="0" shapeId="0" xr:uid="{00000000-0006-0000-0000-000003000000}">
      <text>
        <r>
          <rPr>
            <b/>
            <sz val="10"/>
            <color indexed="9"/>
            <rFont val="Tahoma"/>
            <family val="2"/>
          </rPr>
          <t>Escolher comprimento, inclinação, espaçamentos e demais características do sistema de grampos.</t>
        </r>
      </text>
    </comment>
    <comment ref="Y29" authorId="0" shapeId="0" xr:uid="{00000000-0006-0000-0000-000004000000}">
      <text>
        <r>
          <rPr>
            <b/>
            <sz val="10"/>
            <color indexed="9"/>
            <rFont val="Tahoma"/>
            <family val="2"/>
          </rPr>
          <t xml:space="preserve">Momentos para o círculo analisado </t>
        </r>
      </text>
    </comment>
    <comment ref="S31" authorId="0" shapeId="0" xr:uid="{00000000-0006-0000-0000-000005000000}">
      <text>
        <r>
          <rPr>
            <b/>
            <sz val="10"/>
            <color indexed="9"/>
            <rFont val="Tahoma"/>
            <family val="2"/>
          </rPr>
          <t>Escolher a posição (Y) do primeiro grampo</t>
        </r>
      </text>
    </comment>
    <comment ref="V33" authorId="0" shapeId="0" xr:uid="{00000000-0006-0000-0000-000006000000}">
      <text>
        <r>
          <rPr>
            <b/>
            <sz val="10"/>
            <color indexed="9"/>
            <rFont val="Tahoma"/>
            <family val="2"/>
          </rPr>
          <t>Se desejar, faça aqui a "sintonia fina" dos comprimentos das linhas de grampos.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Waldemar Hachich</author>
  </authors>
  <commentList>
    <comment ref="G10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Cálculo dos momentos utilizando produto vetorial (</t>
        </r>
        <r>
          <rPr>
            <b/>
            <u/>
            <sz val="8"/>
            <color indexed="81"/>
            <rFont val="Tahoma"/>
            <family val="2"/>
          </rPr>
          <t>r</t>
        </r>
        <r>
          <rPr>
            <b/>
            <sz val="8"/>
            <color indexed="81"/>
            <rFont val="Tahoma"/>
            <family val="2"/>
          </rPr>
          <t xml:space="preserve"> x </t>
        </r>
        <r>
          <rPr>
            <b/>
            <u/>
            <sz val="8"/>
            <color indexed="81"/>
            <rFont val="Tahoma"/>
            <family val="2"/>
          </rPr>
          <t>T)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Waldemar Hachich</author>
  </authors>
  <commentList>
    <comment ref="G10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Cálculo dos momentos utilizando produto vetorial (</t>
        </r>
        <r>
          <rPr>
            <b/>
            <u/>
            <sz val="8"/>
            <color indexed="81"/>
            <rFont val="Tahoma"/>
            <family val="2"/>
          </rPr>
          <t>r</t>
        </r>
        <r>
          <rPr>
            <b/>
            <sz val="8"/>
            <color indexed="81"/>
            <rFont val="Tahoma"/>
            <family val="2"/>
          </rPr>
          <t xml:space="preserve"> x </t>
        </r>
        <r>
          <rPr>
            <b/>
            <u/>
            <sz val="8"/>
            <color indexed="81"/>
            <rFont val="Tahoma"/>
            <family val="2"/>
          </rPr>
          <t>T)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Waldemar Hachich</author>
  </authors>
  <commentList>
    <comment ref="G10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Cálculo dos momentos utilizando produto vetorial (</t>
        </r>
        <r>
          <rPr>
            <b/>
            <u/>
            <sz val="8"/>
            <color indexed="81"/>
            <rFont val="Tahoma"/>
            <family val="2"/>
          </rPr>
          <t>r</t>
        </r>
        <r>
          <rPr>
            <b/>
            <sz val="8"/>
            <color indexed="81"/>
            <rFont val="Tahoma"/>
            <family val="2"/>
          </rPr>
          <t xml:space="preserve"> x </t>
        </r>
        <r>
          <rPr>
            <b/>
            <u/>
            <sz val="8"/>
            <color indexed="81"/>
            <rFont val="Tahoma"/>
            <family val="2"/>
          </rPr>
          <t>T)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Waldemar Hachich</author>
  </authors>
  <commentList>
    <comment ref="G10" authorId="0" shapeId="0" xr:uid="{00000000-0006-0000-0400-000001000000}">
      <text>
        <r>
          <rPr>
            <b/>
            <sz val="8"/>
            <color indexed="81"/>
            <rFont val="Tahoma"/>
            <family val="2"/>
          </rPr>
          <t>Cálculo dos momentos utilizando produto vetorial (</t>
        </r>
        <r>
          <rPr>
            <b/>
            <u/>
            <sz val="8"/>
            <color indexed="81"/>
            <rFont val="Tahoma"/>
            <family val="2"/>
          </rPr>
          <t>r</t>
        </r>
        <r>
          <rPr>
            <b/>
            <sz val="8"/>
            <color indexed="81"/>
            <rFont val="Tahoma"/>
            <family val="2"/>
          </rPr>
          <t xml:space="preserve"> x </t>
        </r>
        <r>
          <rPr>
            <b/>
            <u/>
            <sz val="8"/>
            <color indexed="81"/>
            <rFont val="Tahoma"/>
            <family val="2"/>
          </rPr>
          <t>T)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Waldemar Hachich</author>
  </authors>
  <commentList>
    <comment ref="G10" authorId="0" shapeId="0" xr:uid="{00000000-0006-0000-0500-000001000000}">
      <text>
        <r>
          <rPr>
            <b/>
            <sz val="8"/>
            <color indexed="81"/>
            <rFont val="Tahoma"/>
            <family val="2"/>
          </rPr>
          <t>Cálculo dos momentos utilizando produto vetorial (</t>
        </r>
        <r>
          <rPr>
            <b/>
            <u/>
            <sz val="8"/>
            <color indexed="81"/>
            <rFont val="Tahoma"/>
            <family val="2"/>
          </rPr>
          <t>r</t>
        </r>
        <r>
          <rPr>
            <b/>
            <sz val="8"/>
            <color indexed="81"/>
            <rFont val="Tahoma"/>
            <family val="2"/>
          </rPr>
          <t xml:space="preserve"> x </t>
        </r>
        <r>
          <rPr>
            <b/>
            <u/>
            <sz val="8"/>
            <color indexed="81"/>
            <rFont val="Tahoma"/>
            <family val="2"/>
          </rPr>
          <t>T)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Waldemar Hachich</author>
  </authors>
  <commentList>
    <comment ref="G10" authorId="0" shapeId="0" xr:uid="{00000000-0006-0000-0600-000001000000}">
      <text>
        <r>
          <rPr>
            <b/>
            <sz val="8"/>
            <color indexed="81"/>
            <rFont val="Tahoma"/>
            <family val="2"/>
          </rPr>
          <t>Cálculo dos momentos utilizando produto vetorial (</t>
        </r>
        <r>
          <rPr>
            <b/>
            <u/>
            <sz val="8"/>
            <color indexed="81"/>
            <rFont val="Tahoma"/>
            <family val="2"/>
          </rPr>
          <t>r</t>
        </r>
        <r>
          <rPr>
            <b/>
            <sz val="8"/>
            <color indexed="81"/>
            <rFont val="Tahoma"/>
            <family val="2"/>
          </rPr>
          <t xml:space="preserve"> x </t>
        </r>
        <r>
          <rPr>
            <b/>
            <u/>
            <sz val="8"/>
            <color indexed="81"/>
            <rFont val="Tahoma"/>
            <family val="2"/>
          </rPr>
          <t>T)</t>
        </r>
      </text>
    </comment>
  </commentList>
</comments>
</file>

<file path=xl/sharedStrings.xml><?xml version="1.0" encoding="utf-8"?>
<sst xmlns="http://schemas.openxmlformats.org/spreadsheetml/2006/main" count="503" uniqueCount="221">
  <si>
    <t>Xc =</t>
  </si>
  <si>
    <t>Yc =</t>
  </si>
  <si>
    <t>Xp =</t>
  </si>
  <si>
    <t>Yp =</t>
  </si>
  <si>
    <t>Topo da conteção</t>
  </si>
  <si>
    <t>Pé da contenção</t>
  </si>
  <si>
    <t>Xt =</t>
  </si>
  <si>
    <t>Yt =</t>
  </si>
  <si>
    <t>Linha 1</t>
  </si>
  <si>
    <t>Cabeça</t>
  </si>
  <si>
    <t>X1 =</t>
  </si>
  <si>
    <t>Y1 =</t>
  </si>
  <si>
    <t>Linha 2</t>
  </si>
  <si>
    <t>Inclinação</t>
  </si>
  <si>
    <t>graus</t>
  </si>
  <si>
    <t>rd</t>
  </si>
  <si>
    <t>tangente</t>
  </si>
  <si>
    <t>seno</t>
  </si>
  <si>
    <t>cosseno</t>
  </si>
  <si>
    <t>Carga/m</t>
  </si>
  <si>
    <t>kN/m</t>
  </si>
  <si>
    <t xml:space="preserve">Ms = </t>
  </si>
  <si>
    <r>
      <t>D</t>
    </r>
    <r>
      <rPr>
        <sz val="10"/>
        <rFont val="Arial"/>
        <family val="2"/>
      </rPr>
      <t xml:space="preserve">Ms1 = </t>
    </r>
  </si>
  <si>
    <r>
      <t>D</t>
    </r>
    <r>
      <rPr>
        <sz val="10"/>
        <rFont val="Arial"/>
        <family val="2"/>
      </rPr>
      <t xml:space="preserve">Ms2 = </t>
    </r>
  </si>
  <si>
    <t xml:space="preserve">Mr = </t>
  </si>
  <si>
    <t xml:space="preserve">F = </t>
  </si>
  <si>
    <t xml:space="preserve">R = </t>
  </si>
  <si>
    <r>
      <t>D</t>
    </r>
    <r>
      <rPr>
        <sz val="10"/>
        <rFont val="Arial"/>
        <family val="2"/>
      </rPr>
      <t xml:space="preserve">Ms3 = </t>
    </r>
  </si>
  <si>
    <r>
      <t>f</t>
    </r>
    <r>
      <rPr>
        <b/>
        <sz val="10"/>
        <rFont val="Arial"/>
        <family val="2"/>
      </rPr>
      <t xml:space="preserve"> = </t>
    </r>
  </si>
  <si>
    <r>
      <t>tan</t>
    </r>
    <r>
      <rPr>
        <b/>
        <sz val="10"/>
        <rFont val="Symbol"/>
        <family val="1"/>
        <charset val="2"/>
      </rPr>
      <t>f</t>
    </r>
    <r>
      <rPr>
        <b/>
        <sz val="10"/>
        <rFont val="Arial"/>
        <family val="2"/>
      </rPr>
      <t xml:space="preserve"> = </t>
    </r>
  </si>
  <si>
    <r>
      <t>D</t>
    </r>
    <r>
      <rPr>
        <sz val="10"/>
        <rFont val="Arial"/>
        <family val="2"/>
      </rPr>
      <t xml:space="preserve">Mr1 = </t>
    </r>
  </si>
  <si>
    <r>
      <t>D</t>
    </r>
    <r>
      <rPr>
        <sz val="10"/>
        <rFont val="Arial"/>
        <family val="2"/>
      </rPr>
      <t xml:space="preserve">Mr2 = </t>
    </r>
  </si>
  <si>
    <r>
      <t>D</t>
    </r>
    <r>
      <rPr>
        <sz val="10"/>
        <rFont val="Arial"/>
        <family val="2"/>
      </rPr>
      <t xml:space="preserve">Mr3 = </t>
    </r>
  </si>
  <si>
    <t>r</t>
  </si>
  <si>
    <t xml:space="preserve">rx = </t>
  </si>
  <si>
    <t xml:space="preserve">ry = </t>
  </si>
  <si>
    <t xml:space="preserve">Th = Tx = </t>
  </si>
  <si>
    <t xml:space="preserve">i </t>
  </si>
  <si>
    <t xml:space="preserve">Tv = Ty = </t>
  </si>
  <si>
    <t>j</t>
  </si>
  <si>
    <t>k</t>
  </si>
  <si>
    <r>
      <t>D</t>
    </r>
    <r>
      <rPr>
        <b/>
        <sz val="10"/>
        <rFont val="Arial"/>
        <family val="2"/>
      </rPr>
      <t xml:space="preserve">Ms1 = </t>
    </r>
  </si>
  <si>
    <r>
      <t xml:space="preserve">N x tg </t>
    </r>
    <r>
      <rPr>
        <sz val="10"/>
        <rFont val="Symbol"/>
        <family val="1"/>
        <charset val="2"/>
      </rPr>
      <t>f</t>
    </r>
  </si>
  <si>
    <t>i</t>
  </si>
  <si>
    <t xml:space="preserve">Nx = </t>
  </si>
  <si>
    <t xml:space="preserve">Ny = </t>
  </si>
  <si>
    <r>
      <t>D</t>
    </r>
    <r>
      <rPr>
        <b/>
        <sz val="10"/>
        <rFont val="Arial"/>
        <family val="2"/>
      </rPr>
      <t xml:space="preserve">Mr1 = </t>
    </r>
  </si>
  <si>
    <t>X2 =</t>
  </si>
  <si>
    <t>Y2 =</t>
  </si>
  <si>
    <t>Linha 3</t>
  </si>
  <si>
    <t>X3 =</t>
  </si>
  <si>
    <t>Y3 =</t>
  </si>
  <si>
    <t>Solo</t>
  </si>
  <si>
    <r>
      <t>f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 </t>
    </r>
  </si>
  <si>
    <t>m</t>
  </si>
  <si>
    <r>
      <t>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MAX</t>
    </r>
    <r>
      <rPr>
        <sz val="10"/>
        <rFont val="Arial"/>
        <family val="2"/>
      </rPr>
      <t xml:space="preserve"> = </t>
    </r>
  </si>
  <si>
    <r>
      <t>L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 </t>
    </r>
  </si>
  <si>
    <r>
      <t>L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 </t>
    </r>
  </si>
  <si>
    <r>
      <t>L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</t>
    </r>
  </si>
  <si>
    <t>Grampo x círculo</t>
  </si>
  <si>
    <r>
      <t>T</t>
    </r>
    <r>
      <rPr>
        <vertAlign val="subscript"/>
        <sz val="10"/>
        <rFont val="Arial"/>
        <family val="2"/>
      </rPr>
      <t>A</t>
    </r>
    <r>
      <rPr>
        <sz val="10"/>
        <rFont val="Arial"/>
        <family val="2"/>
      </rPr>
      <t xml:space="preserve"> = </t>
    </r>
  </si>
  <si>
    <r>
      <t>T</t>
    </r>
    <r>
      <rPr>
        <vertAlign val="subscript"/>
        <sz val="10"/>
        <rFont val="Arial"/>
        <family val="2"/>
      </rPr>
      <t>B</t>
    </r>
    <r>
      <rPr>
        <sz val="10"/>
        <rFont val="Arial"/>
        <family val="2"/>
      </rPr>
      <t xml:space="preserve"> = </t>
    </r>
  </si>
  <si>
    <r>
      <t>F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= </t>
    </r>
  </si>
  <si>
    <t>Linha 4</t>
  </si>
  <si>
    <t>Linha 5</t>
  </si>
  <si>
    <t>Linha 6</t>
  </si>
  <si>
    <r>
      <t>D</t>
    </r>
    <r>
      <rPr>
        <sz val="10"/>
        <rFont val="Arial"/>
        <family val="2"/>
      </rPr>
      <t xml:space="preserve">Ms4 = </t>
    </r>
  </si>
  <si>
    <r>
      <t>D</t>
    </r>
    <r>
      <rPr>
        <sz val="10"/>
        <rFont val="Arial"/>
        <family val="2"/>
      </rPr>
      <t xml:space="preserve">Ms5 = </t>
    </r>
  </si>
  <si>
    <r>
      <t>D</t>
    </r>
    <r>
      <rPr>
        <sz val="10"/>
        <rFont val="Arial"/>
        <family val="2"/>
      </rPr>
      <t xml:space="preserve">Ms6 = </t>
    </r>
  </si>
  <si>
    <r>
      <t>D</t>
    </r>
    <r>
      <rPr>
        <sz val="10"/>
        <rFont val="Arial"/>
        <family val="2"/>
      </rPr>
      <t xml:space="preserve">Mr4 = </t>
    </r>
  </si>
  <si>
    <r>
      <t>D</t>
    </r>
    <r>
      <rPr>
        <sz val="10"/>
        <rFont val="Arial"/>
        <family val="2"/>
      </rPr>
      <t xml:space="preserve">Mr6 = </t>
    </r>
  </si>
  <si>
    <r>
      <t>D</t>
    </r>
    <r>
      <rPr>
        <sz val="10"/>
        <rFont val="Arial"/>
        <family val="2"/>
      </rPr>
      <t>Mr5 =</t>
    </r>
  </si>
  <si>
    <t>Y4 =</t>
  </si>
  <si>
    <t>X4 =</t>
  </si>
  <si>
    <t>X5 =</t>
  </si>
  <si>
    <t>Y5 =</t>
  </si>
  <si>
    <t>X6 =</t>
  </si>
  <si>
    <t>Y6 =</t>
  </si>
  <si>
    <t>Y</t>
  </si>
  <si>
    <t xml:space="preserve">Sh = </t>
  </si>
  <si>
    <t xml:space="preserve">Sv = </t>
  </si>
  <si>
    <t>kN/m/grampo</t>
  </si>
  <si>
    <t>kN/m/m</t>
  </si>
  <si>
    <r>
      <t>f</t>
    </r>
    <r>
      <rPr>
        <vertAlign val="subscript"/>
        <sz val="10"/>
        <rFont val="Arial"/>
        <family val="2"/>
      </rPr>
      <t>Gm</t>
    </r>
    <r>
      <rPr>
        <sz val="10"/>
        <rFont val="Arial"/>
        <family val="2"/>
      </rPr>
      <t xml:space="preserve"> = </t>
    </r>
  </si>
  <si>
    <r>
      <t>D</t>
    </r>
    <r>
      <rPr>
        <b/>
        <sz val="10"/>
        <rFont val="Arial"/>
        <family val="2"/>
      </rPr>
      <t xml:space="preserve">Ms6 = </t>
    </r>
  </si>
  <si>
    <r>
      <t>D</t>
    </r>
    <r>
      <rPr>
        <b/>
        <sz val="10"/>
        <rFont val="Arial"/>
        <family val="2"/>
      </rPr>
      <t xml:space="preserve">Mr6 = </t>
    </r>
  </si>
  <si>
    <r>
      <t>D</t>
    </r>
    <r>
      <rPr>
        <b/>
        <sz val="10"/>
        <rFont val="Arial"/>
        <family val="2"/>
      </rPr>
      <t xml:space="preserve">Ms5 = </t>
    </r>
  </si>
  <si>
    <r>
      <t>D</t>
    </r>
    <r>
      <rPr>
        <b/>
        <sz val="10"/>
        <rFont val="Arial"/>
        <family val="2"/>
      </rPr>
      <t xml:space="preserve">Mr5 = </t>
    </r>
  </si>
  <si>
    <r>
      <t>D</t>
    </r>
    <r>
      <rPr>
        <b/>
        <sz val="10"/>
        <rFont val="Arial"/>
        <family val="2"/>
      </rPr>
      <t xml:space="preserve">Ms4 = </t>
    </r>
  </si>
  <si>
    <r>
      <t>D</t>
    </r>
    <r>
      <rPr>
        <b/>
        <sz val="10"/>
        <rFont val="Arial"/>
        <family val="2"/>
      </rPr>
      <t xml:space="preserve">Mr4 = </t>
    </r>
  </si>
  <si>
    <r>
      <t>D</t>
    </r>
    <r>
      <rPr>
        <b/>
        <sz val="10"/>
        <rFont val="Arial"/>
        <family val="2"/>
      </rPr>
      <t xml:space="preserve">Ms3 = </t>
    </r>
  </si>
  <si>
    <r>
      <t>D</t>
    </r>
    <r>
      <rPr>
        <b/>
        <sz val="10"/>
        <rFont val="Arial"/>
        <family val="2"/>
      </rPr>
      <t xml:space="preserve">Mr3 = </t>
    </r>
  </si>
  <si>
    <r>
      <t>D</t>
    </r>
    <r>
      <rPr>
        <b/>
        <sz val="10"/>
        <rFont val="Arial"/>
        <family val="2"/>
      </rPr>
      <t xml:space="preserve">Ms2 = </t>
    </r>
  </si>
  <si>
    <r>
      <t>D</t>
    </r>
    <r>
      <rPr>
        <b/>
        <sz val="10"/>
        <rFont val="Arial"/>
        <family val="2"/>
      </rPr>
      <t xml:space="preserve">Mr2 = </t>
    </r>
  </si>
  <si>
    <r>
      <t>Ms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= </t>
    </r>
  </si>
  <si>
    <r>
      <t>Mr</t>
    </r>
    <r>
      <rPr>
        <b/>
        <vertAlign val="subscript"/>
        <sz val="10"/>
        <rFont val="Arial"/>
        <family val="2"/>
      </rPr>
      <t>G</t>
    </r>
    <r>
      <rPr>
        <b/>
        <sz val="10"/>
        <rFont val="Arial"/>
        <family val="2"/>
      </rPr>
      <t xml:space="preserve"> = </t>
    </r>
  </si>
  <si>
    <t>Linha</t>
  </si>
  <si>
    <t>Terreno</t>
  </si>
  <si>
    <t>Centro</t>
  </si>
  <si>
    <t>Dados</t>
  </si>
  <si>
    <t>específicos</t>
  </si>
  <si>
    <t>(por linha)</t>
  </si>
  <si>
    <r>
      <t>L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específico</t>
    </r>
  </si>
  <si>
    <r>
      <t>L</t>
    </r>
    <r>
      <rPr>
        <vertAlign val="subscript"/>
        <sz val="10"/>
        <rFont val="Arial"/>
        <family val="2"/>
      </rPr>
      <t>G</t>
    </r>
    <r>
      <rPr>
        <sz val="10"/>
        <rFont val="Arial"/>
        <family val="2"/>
      </rPr>
      <t xml:space="preserve"> final</t>
    </r>
  </si>
  <si>
    <t xml:space="preserve">c = </t>
  </si>
  <si>
    <t>kPa</t>
  </si>
  <si>
    <t>g =</t>
  </si>
  <si>
    <r>
      <t>kN/m</t>
    </r>
    <r>
      <rPr>
        <vertAlign val="superscript"/>
        <sz val="10"/>
        <rFont val="Arial"/>
        <family val="2"/>
      </rPr>
      <t>3</t>
    </r>
  </si>
  <si>
    <t>ângulo central</t>
  </si>
  <si>
    <t>ângulo do raio superior com a horizontal</t>
  </si>
  <si>
    <t>ângulo do raio inferior com a horizontal</t>
  </si>
  <si>
    <t>comprimento do arco</t>
  </si>
  <si>
    <t>comprimento da corda</t>
  </si>
  <si>
    <t>área do arco</t>
  </si>
  <si>
    <t>xCG arco</t>
  </si>
  <si>
    <t>yCG arco</t>
  </si>
  <si>
    <t>ângulo da bissetriz com a horizontal</t>
  </si>
  <si>
    <t>xCGsup</t>
  </si>
  <si>
    <t>yCGsup</t>
  </si>
  <si>
    <t>xCGinf</t>
  </si>
  <si>
    <t>yCGinf</t>
  </si>
  <si>
    <t>triângulo superior</t>
  </si>
  <si>
    <t>triângulo inferior</t>
  </si>
  <si>
    <t>área sup</t>
  </si>
  <si>
    <t>área inf</t>
  </si>
  <si>
    <t>CG do arco (a partir do centro, na bissetriz)</t>
  </si>
  <si>
    <t>x1sup =</t>
  </si>
  <si>
    <t>x2sup =</t>
  </si>
  <si>
    <t>x3sup =</t>
  </si>
  <si>
    <t>y1sup =</t>
  </si>
  <si>
    <t>y2sup =</t>
  </si>
  <si>
    <t>y3sup =</t>
  </si>
  <si>
    <t>y1inf =</t>
  </si>
  <si>
    <t>x2inf =</t>
  </si>
  <si>
    <t>y2inf =</t>
  </si>
  <si>
    <t>x3inf =</t>
  </si>
  <si>
    <t>y3inf =</t>
  </si>
  <si>
    <t>x1inf =</t>
  </si>
  <si>
    <r>
      <t xml:space="preserve">tg 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= </t>
    </r>
  </si>
  <si>
    <t xml:space="preserve">A = </t>
  </si>
  <si>
    <t xml:space="preserve">B = </t>
  </si>
  <si>
    <t xml:space="preserve">C = </t>
  </si>
  <si>
    <t xml:space="preserve">Yc = </t>
  </si>
  <si>
    <t xml:space="preserve">Xc = </t>
  </si>
  <si>
    <t>setor</t>
  </si>
  <si>
    <t>área da cunha</t>
  </si>
  <si>
    <t>momento do arco</t>
  </si>
  <si>
    <t>momento sup</t>
  </si>
  <si>
    <t>momento inf</t>
  </si>
  <si>
    <t>xCGcunha</t>
  </si>
  <si>
    <t>peso da cunha</t>
  </si>
  <si>
    <t>x</t>
  </si>
  <si>
    <t>y</t>
  </si>
  <si>
    <t>h</t>
  </si>
  <si>
    <t>a</t>
  </si>
  <si>
    <t>dl</t>
  </si>
  <si>
    <t>A</t>
  </si>
  <si>
    <t>momento da cunha (1)</t>
  </si>
  <si>
    <r>
      <t xml:space="preserve">momento da cunha (com </t>
    </r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>)</t>
    </r>
  </si>
  <si>
    <t>coesão total</t>
  </si>
  <si>
    <t>w e</t>
  </si>
  <si>
    <t>w</t>
  </si>
  <si>
    <t>dy</t>
  </si>
  <si>
    <t>dx</t>
  </si>
  <si>
    <r>
      <t>m</t>
    </r>
    <r>
      <rPr>
        <sz val="10"/>
        <rFont val="Symbol"/>
        <family val="1"/>
        <charset val="2"/>
      </rPr>
      <t>a</t>
    </r>
  </si>
  <si>
    <r>
      <t>c dx / m</t>
    </r>
    <r>
      <rPr>
        <sz val="10"/>
        <rFont val="Symbol"/>
        <family val="1"/>
        <charset val="2"/>
      </rPr>
      <t>a</t>
    </r>
  </si>
  <si>
    <r>
      <t>w tg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/ m</t>
    </r>
    <r>
      <rPr>
        <sz val="10"/>
        <rFont val="Symbol"/>
        <family val="1"/>
        <charset val="2"/>
      </rPr>
      <t>a</t>
    </r>
  </si>
  <si>
    <t>c dl</t>
  </si>
  <si>
    <t>Xc=</t>
  </si>
  <si>
    <t>B</t>
  </si>
  <si>
    <t>C</t>
  </si>
  <si>
    <t>Yc=</t>
  </si>
  <si>
    <t>xc=</t>
  </si>
  <si>
    <t>yc=</t>
  </si>
  <si>
    <t>Momento</t>
  </si>
  <si>
    <t>solicitante</t>
  </si>
  <si>
    <t>resistente</t>
  </si>
  <si>
    <t>Consumo de grampos</t>
  </si>
  <si>
    <t xml:space="preserve">R^2 = </t>
  </si>
  <si>
    <t xml:space="preserve">(Xp-Xc)^2 = </t>
  </si>
  <si>
    <t xml:space="preserve">(Yp-Yc)^2 = </t>
  </si>
  <si>
    <t xml:space="preserve">Soma = </t>
  </si>
  <si>
    <t>Limites para o centro</t>
  </si>
  <si>
    <t>calculado</t>
  </si>
  <si>
    <t>pelo pé da contenção</t>
  </si>
  <si>
    <t>Passagem obrigatória</t>
  </si>
  <si>
    <t>Dados gerais dos grampos</t>
  </si>
  <si>
    <t>R=</t>
  </si>
  <si>
    <t>X2=</t>
  </si>
  <si>
    <t>Y2=</t>
  </si>
  <si>
    <t>decliv.</t>
  </si>
  <si>
    <t>Informações para a busca</t>
  </si>
  <si>
    <t xml:space="preserve"> m / m</t>
  </si>
  <si>
    <t>Fellenius e Bishop simplificado</t>
  </si>
  <si>
    <r>
      <t>F</t>
    </r>
    <r>
      <rPr>
        <vertAlign val="subscript"/>
        <sz val="10"/>
        <rFont val="Arial"/>
        <family val="2"/>
      </rPr>
      <t>FELLENIUS</t>
    </r>
    <r>
      <rPr>
        <sz val="10"/>
        <rFont val="Arial"/>
        <family val="2"/>
      </rPr>
      <t>=</t>
    </r>
  </si>
  <si>
    <r>
      <t>F</t>
    </r>
    <r>
      <rPr>
        <vertAlign val="subscript"/>
        <sz val="10"/>
        <rFont val="Arial"/>
        <family val="2"/>
      </rPr>
      <t>BISHOP SIMPLIFICADO</t>
    </r>
    <r>
      <rPr>
        <sz val="10"/>
        <rFont val="Arial"/>
        <family val="2"/>
      </rPr>
      <t>=</t>
    </r>
  </si>
  <si>
    <r>
      <t>sen</t>
    </r>
    <r>
      <rPr>
        <sz val="10"/>
        <rFont val="Symbol"/>
        <family val="1"/>
        <charset val="2"/>
      </rPr>
      <t>a</t>
    </r>
  </si>
  <si>
    <r>
      <t>cos</t>
    </r>
    <r>
      <rPr>
        <sz val="10"/>
        <rFont val="Symbol"/>
        <family val="1"/>
        <charset val="2"/>
      </rPr>
      <t>a</t>
    </r>
  </si>
  <si>
    <r>
      <t>w sen</t>
    </r>
    <r>
      <rPr>
        <sz val="10"/>
        <rFont val="Symbol"/>
        <family val="1"/>
        <charset val="2"/>
      </rPr>
      <t>a</t>
    </r>
  </si>
  <si>
    <r>
      <t>w cos</t>
    </r>
    <r>
      <rPr>
        <sz val="10"/>
        <rFont val="Symbol"/>
        <family val="1"/>
        <charset val="2"/>
      </rPr>
      <t>a</t>
    </r>
  </si>
  <si>
    <r>
      <t>w cos</t>
    </r>
    <r>
      <rPr>
        <sz val="10"/>
        <rFont val="Symbol"/>
        <family val="1"/>
        <charset val="2"/>
      </rPr>
      <t>a</t>
    </r>
    <r>
      <rPr>
        <sz val="10"/>
        <rFont val="Arial"/>
        <family val="2"/>
      </rPr>
      <t xml:space="preserve"> tg</t>
    </r>
    <r>
      <rPr>
        <sz val="10"/>
        <rFont val="Symbol"/>
        <family val="1"/>
        <charset val="2"/>
      </rPr>
      <t>f</t>
    </r>
    <r>
      <rPr>
        <sz val="10"/>
        <rFont val="Arial"/>
        <family val="2"/>
      </rPr>
      <t xml:space="preserve"> </t>
    </r>
  </si>
  <si>
    <t>Superfície  dy=</t>
  </si>
  <si>
    <t>TOTAIS</t>
  </si>
  <si>
    <t>&lt;= comparar =&gt;</t>
  </si>
  <si>
    <t xml:space="preserve">Fr = </t>
  </si>
  <si>
    <t xml:space="preserve"> (reforçado com grampos)</t>
  </si>
  <si>
    <t xml:space="preserve"> (círculo abaixo, sem grampos)</t>
  </si>
  <si>
    <t>Raio</t>
  </si>
  <si>
    <t>escolha abaixo:</t>
  </si>
  <si>
    <t>Raio do novo círculo</t>
  </si>
  <si>
    <t>Para examinar um outro círculo,</t>
  </si>
  <si>
    <t>Segundo ponto de passagem obrigatória (X2,Y2),</t>
  </si>
  <si>
    <t>passando</t>
  </si>
  <si>
    <t>por 2</t>
  </si>
  <si>
    <t>pontos</t>
  </si>
  <si>
    <t>Determinação do centro do círculo de raio conhecido,</t>
  </si>
  <si>
    <t>Círc. crít. F=</t>
  </si>
  <si>
    <t>Círc. de F=</t>
  </si>
  <si>
    <t>X3=</t>
  </si>
  <si>
    <t>Y3=</t>
  </si>
  <si>
    <t>Você só pode alterar as células azuis.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</si>
</sst>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1" x14ac:knownFonts="1">
    <font>
      <sz val="10"/>
      <name val="Arial"/>
    </font>
    <font>
      <sz val="10"/>
      <name val="Symbol"/>
      <family val="1"/>
      <charset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8"/>
      <color indexed="81"/>
      <name val="Tahoma"/>
      <family val="2"/>
    </font>
    <font>
      <b/>
      <u/>
      <sz val="8"/>
      <color indexed="81"/>
      <name val="Tahoma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sz val="10"/>
      <name val="Arial"/>
      <family val="2"/>
    </font>
    <font>
      <b/>
      <sz val="10"/>
      <color indexed="9"/>
      <name val="Tahoma"/>
      <family val="2"/>
    </font>
    <font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46"/>
      <name val="Arial"/>
      <family val="2"/>
    </font>
    <font>
      <sz val="10"/>
      <color indexed="52"/>
      <name val="Arial"/>
      <family val="2"/>
    </font>
    <font>
      <sz val="10"/>
      <color indexed="14"/>
      <name val="Arial"/>
      <family val="2"/>
    </font>
    <font>
      <b/>
      <sz val="10"/>
      <color indexed="9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73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6" fillId="0" borderId="0" xfId="0" applyFont="1"/>
    <xf numFmtId="0" fontId="2" fillId="4" borderId="0" xfId="0" applyFont="1" applyFill="1" applyAlignment="1">
      <alignment horizontal="righ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right"/>
    </xf>
    <xf numFmtId="0" fontId="0" fillId="4" borderId="0" xfId="0" applyFill="1"/>
    <xf numFmtId="0" fontId="0" fillId="0" borderId="0" xfId="0" applyFill="1"/>
    <xf numFmtId="0" fontId="3" fillId="2" borderId="0" xfId="0" applyFont="1" applyFill="1" applyAlignment="1">
      <alignment horizontal="right"/>
    </xf>
    <xf numFmtId="0" fontId="4" fillId="2" borderId="0" xfId="0" applyFont="1" applyFill="1"/>
    <xf numFmtId="0" fontId="0" fillId="0" borderId="0" xfId="0" applyAlignment="1">
      <alignment horizontal="center"/>
    </xf>
    <xf numFmtId="0" fontId="3" fillId="3" borderId="0" xfId="0" applyFont="1" applyFill="1" applyAlignment="1">
      <alignment horizontal="right"/>
    </xf>
    <xf numFmtId="0" fontId="4" fillId="3" borderId="0" xfId="0" applyFont="1" applyFill="1"/>
    <xf numFmtId="0" fontId="0" fillId="0" borderId="1" xfId="0" applyBorder="1" applyAlignment="1">
      <alignment horizontal="right"/>
    </xf>
    <xf numFmtId="0" fontId="0" fillId="0" borderId="1" xfId="0" applyBorder="1"/>
    <xf numFmtId="0" fontId="0" fillId="0" borderId="0" xfId="0" applyBorder="1"/>
    <xf numFmtId="0" fontId="0" fillId="0" borderId="0" xfId="0" applyFill="1" applyAlignment="1">
      <alignment horizontal="lef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6" xfId="0" applyBorder="1"/>
    <xf numFmtId="0" fontId="0" fillId="0" borderId="11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11" xfId="0" applyBorder="1"/>
    <xf numFmtId="0" fontId="0" fillId="0" borderId="7" xfId="0" applyBorder="1" applyAlignment="1">
      <alignment horizontal="right"/>
    </xf>
    <xf numFmtId="0" fontId="0" fillId="0" borderId="12" xfId="0" applyBorder="1"/>
    <xf numFmtId="0" fontId="0" fillId="0" borderId="13" xfId="0" applyBorder="1"/>
    <xf numFmtId="0" fontId="0" fillId="0" borderId="3" xfId="0" applyBorder="1" applyAlignment="1">
      <alignment horizontal="left"/>
    </xf>
    <xf numFmtId="0" fontId="2" fillId="0" borderId="14" xfId="0" applyFont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5" borderId="19" xfId="0" applyFill="1" applyBorder="1" applyAlignment="1" applyProtection="1">
      <alignment horizontal="center"/>
      <protection locked="0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8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12" xfId="0" quotePrefix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</xf>
    <xf numFmtId="0" fontId="2" fillId="2" borderId="20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0" fontId="15" fillId="0" borderId="0" xfId="0" applyFont="1" applyFill="1"/>
    <xf numFmtId="0" fontId="16" fillId="0" borderId="0" xfId="0" applyFont="1"/>
    <xf numFmtId="0" fontId="17" fillId="0" borderId="0" xfId="0" applyFont="1"/>
    <xf numFmtId="0" fontId="0" fillId="0" borderId="5" xfId="0" applyBorder="1"/>
    <xf numFmtId="0" fontId="0" fillId="0" borderId="21" xfId="0" applyBorder="1"/>
    <xf numFmtId="0" fontId="0" fillId="0" borderId="21" xfId="0" applyBorder="1" applyAlignment="1">
      <alignment horizontal="center"/>
    </xf>
    <xf numFmtId="0" fontId="0" fillId="0" borderId="9" xfId="0" applyBorder="1"/>
    <xf numFmtId="0" fontId="0" fillId="0" borderId="19" xfId="0" applyBorder="1"/>
    <xf numFmtId="0" fontId="1" fillId="0" borderId="21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4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5" fillId="0" borderId="31" xfId="0" applyFont="1" applyBorder="1"/>
    <xf numFmtId="0" fontId="5" fillId="0" borderId="32" xfId="0" applyFont="1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 applyAlignment="1">
      <alignment horizontal="right"/>
    </xf>
    <xf numFmtId="164" fontId="0" fillId="0" borderId="39" xfId="0" applyNumberFormat="1" applyFill="1" applyBorder="1" applyAlignment="1">
      <alignment horizontal="center"/>
    </xf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5" fillId="0" borderId="43" xfId="0" applyFont="1" applyBorder="1"/>
    <xf numFmtId="0" fontId="0" fillId="0" borderId="44" xfId="0" applyBorder="1" applyAlignment="1">
      <alignment horizontal="center"/>
    </xf>
    <xf numFmtId="0" fontId="0" fillId="0" borderId="45" xfId="0" applyBorder="1"/>
    <xf numFmtId="0" fontId="5" fillId="0" borderId="46" xfId="0" applyFont="1" applyBorder="1"/>
    <xf numFmtId="0" fontId="5" fillId="0" borderId="47" xfId="0" applyFont="1" applyBorder="1"/>
    <xf numFmtId="0" fontId="5" fillId="0" borderId="48" xfId="0" applyFont="1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51" xfId="0" applyBorder="1"/>
    <xf numFmtId="0" fontId="0" fillId="0" borderId="52" xfId="0" applyBorder="1"/>
    <xf numFmtId="164" fontId="0" fillId="0" borderId="53" xfId="0" applyNumberFormat="1" applyBorder="1" applyAlignment="1">
      <alignment horizontal="center"/>
    </xf>
    <xf numFmtId="0" fontId="0" fillId="0" borderId="54" xfId="0" applyBorder="1"/>
    <xf numFmtId="0" fontId="0" fillId="6" borderId="0" xfId="0" applyFill="1"/>
    <xf numFmtId="0" fontId="18" fillId="6" borderId="0" xfId="0" applyFont="1" applyFill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5" borderId="12" xfId="0" applyFill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4" fillId="5" borderId="19" xfId="0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left" vertical="center"/>
    </xf>
    <xf numFmtId="0" fontId="4" fillId="0" borderId="6" xfId="0" applyFont="1" applyBorder="1" applyAlignment="1">
      <alignment horizontal="right" vertical="center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55" xfId="0" applyBorder="1" applyAlignment="1">
      <alignment horizontal="left" vertical="center"/>
    </xf>
    <xf numFmtId="0" fontId="2" fillId="0" borderId="56" xfId="0" applyFont="1" applyBorder="1" applyAlignment="1">
      <alignment vertical="center"/>
    </xf>
    <xf numFmtId="0" fontId="2" fillId="0" borderId="6" xfId="0" applyFont="1" applyBorder="1" applyAlignment="1">
      <alignment horizontal="right"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6" xfId="0" applyFont="1" applyBorder="1"/>
    <xf numFmtId="0" fontId="0" fillId="0" borderId="59" xfId="0" applyBorder="1" applyAlignment="1">
      <alignment horizontal="left"/>
    </xf>
    <xf numFmtId="0" fontId="0" fillId="0" borderId="60" xfId="0" applyBorder="1"/>
    <xf numFmtId="0" fontId="0" fillId="0" borderId="61" xfId="0" applyBorder="1"/>
    <xf numFmtId="0" fontId="2" fillId="0" borderId="62" xfId="0" applyFont="1" applyBorder="1"/>
    <xf numFmtId="0" fontId="0" fillId="0" borderId="18" xfId="0" applyBorder="1" applyAlignment="1">
      <alignment horizontal="left"/>
    </xf>
    <xf numFmtId="0" fontId="0" fillId="0" borderId="5" xfId="0" applyFill="1" applyBorder="1" applyProtection="1"/>
    <xf numFmtId="0" fontId="0" fillId="5" borderId="8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63" xfId="0" applyBorder="1"/>
    <xf numFmtId="0" fontId="0" fillId="0" borderId="64" xfId="0" applyBorder="1"/>
    <xf numFmtId="0" fontId="0" fillId="0" borderId="65" xfId="0" applyBorder="1"/>
    <xf numFmtId="164" fontId="0" fillId="0" borderId="29" xfId="0" applyNumberFormat="1" applyBorder="1" applyProtection="1">
      <protection locked="0"/>
    </xf>
    <xf numFmtId="0" fontId="0" fillId="0" borderId="14" xfId="0" applyBorder="1"/>
    <xf numFmtId="0" fontId="0" fillId="0" borderId="2" xfId="0" applyBorder="1" applyAlignment="1">
      <alignment vertical="center"/>
    </xf>
    <xf numFmtId="0" fontId="0" fillId="0" borderId="6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5" borderId="5" xfId="0" applyFill="1" applyBorder="1" applyAlignment="1" applyProtection="1">
      <alignment vertical="center"/>
      <protection locked="0"/>
    </xf>
    <xf numFmtId="0" fontId="0" fillId="0" borderId="60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66" xfId="0" applyBorder="1" applyAlignment="1">
      <alignment vertical="center"/>
    </xf>
    <xf numFmtId="165" fontId="0" fillId="0" borderId="5" xfId="0" applyNumberFormat="1" applyFill="1" applyBorder="1" applyAlignment="1">
      <alignment horizontal="center"/>
    </xf>
    <xf numFmtId="165" fontId="2" fillId="2" borderId="20" xfId="0" applyNumberFormat="1" applyFont="1" applyFill="1" applyBorder="1"/>
    <xf numFmtId="165" fontId="0" fillId="0" borderId="20" xfId="0" applyNumberFormat="1" applyBorder="1"/>
    <xf numFmtId="165" fontId="2" fillId="3" borderId="20" xfId="0" applyNumberFormat="1" applyFont="1" applyFill="1" applyBorder="1"/>
    <xf numFmtId="165" fontId="0" fillId="0" borderId="0" xfId="0" applyNumberFormat="1" applyAlignment="1">
      <alignment horizontal="right"/>
    </xf>
    <xf numFmtId="165" fontId="18" fillId="6" borderId="0" xfId="0" applyNumberFormat="1" applyFont="1" applyFill="1" applyAlignment="1">
      <alignment horizontal="center"/>
    </xf>
    <xf numFmtId="2" fontId="0" fillId="7" borderId="11" xfId="0" applyNumberFormat="1" applyFill="1" applyBorder="1" applyAlignment="1">
      <alignment vertical="center"/>
    </xf>
    <xf numFmtId="0" fontId="0" fillId="0" borderId="10" xfId="0" applyBorder="1"/>
    <xf numFmtId="0" fontId="0" fillId="7" borderId="5" xfId="0" applyFill="1" applyBorder="1"/>
    <xf numFmtId="0" fontId="0" fillId="7" borderId="8" xfId="0" applyFill="1" applyBorder="1"/>
    <xf numFmtId="0" fontId="0" fillId="0" borderId="8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47" xfId="0" applyBorder="1"/>
    <xf numFmtId="0" fontId="0" fillId="7" borderId="12" xfId="0" applyFill="1" applyBorder="1" applyAlignment="1" applyProtection="1">
      <alignment vertical="center"/>
    </xf>
    <xf numFmtId="2" fontId="0" fillId="0" borderId="23" xfId="0" applyNumberFormat="1" applyBorder="1"/>
    <xf numFmtId="2" fontId="5" fillId="0" borderId="32" xfId="0" applyNumberFormat="1" applyFont="1" applyBorder="1"/>
    <xf numFmtId="2" fontId="0" fillId="0" borderId="45" xfId="0" applyNumberFormat="1" applyBorder="1"/>
    <xf numFmtId="164" fontId="0" fillId="0" borderId="4" xfId="0" applyNumberFormat="1" applyBorder="1" applyAlignment="1">
      <alignment vertical="center"/>
    </xf>
    <xf numFmtId="0" fontId="11" fillId="0" borderId="2" xfId="0" applyFont="1" applyBorder="1" applyAlignment="1">
      <alignment horizontal="left" vertical="center"/>
    </xf>
    <xf numFmtId="2" fontId="5" fillId="0" borderId="31" xfId="0" applyNumberFormat="1" applyFont="1" applyBorder="1"/>
    <xf numFmtId="2" fontId="5" fillId="0" borderId="46" xfId="0" applyNumberFormat="1" applyFont="1" applyBorder="1"/>
    <xf numFmtId="2" fontId="5" fillId="0" borderId="47" xfId="0" applyNumberFormat="1" applyFont="1" applyBorder="1"/>
    <xf numFmtId="2" fontId="5" fillId="0" borderId="48" xfId="0" applyNumberFormat="1" applyFont="1" applyBorder="1"/>
    <xf numFmtId="0" fontId="11" fillId="0" borderId="6" xfId="0" applyFont="1" applyBorder="1" applyAlignment="1">
      <alignment horizontal="right"/>
    </xf>
    <xf numFmtId="0" fontId="2" fillId="0" borderId="0" xfId="0" applyFont="1"/>
    <xf numFmtId="0" fontId="0" fillId="0" borderId="5" xfId="0" applyFill="1" applyBorder="1" applyAlignment="1" applyProtection="1">
      <alignment horizontal="center"/>
    </xf>
    <xf numFmtId="0" fontId="2" fillId="6" borderId="0" xfId="0" applyFont="1" applyFill="1" applyAlignment="1">
      <alignment horizontal="right"/>
    </xf>
    <xf numFmtId="164" fontId="2" fillId="6" borderId="0" xfId="0" applyNumberFormat="1" applyFont="1" applyFill="1" applyAlignment="1">
      <alignment horizontal="center"/>
    </xf>
    <xf numFmtId="0" fontId="2" fillId="6" borderId="0" xfId="0" applyFont="1" applyFill="1"/>
    <xf numFmtId="0" fontId="11" fillId="6" borderId="0" xfId="0" applyFont="1" applyFill="1"/>
    <xf numFmtId="0" fontId="11" fillId="0" borderId="0" xfId="0" applyFont="1"/>
    <xf numFmtId="0" fontId="19" fillId="6" borderId="0" xfId="0" applyFont="1" applyFill="1" applyAlignment="1">
      <alignment horizontal="right"/>
    </xf>
    <xf numFmtId="164" fontId="19" fillId="6" borderId="0" xfId="0" applyNumberFormat="1" applyFont="1" applyFill="1" applyAlignment="1">
      <alignment horizontal="center"/>
    </xf>
    <xf numFmtId="0" fontId="19" fillId="6" borderId="0" xfId="0" applyFont="1" applyFill="1"/>
    <xf numFmtId="0" fontId="20" fillId="6" borderId="0" xfId="0" applyFont="1" applyFill="1"/>
  </cellXfs>
  <cellStyles count="1">
    <cellStyle name="Normal" xfId="0" builtinId="0"/>
  </cellStyles>
  <dxfs count="2">
    <dxf>
      <font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913691188676084E-2"/>
          <c:y val="6.4748353071495318E-2"/>
          <c:w val="0.87257111460067938"/>
          <c:h val="0.69064909942928332"/>
        </c:manualLayout>
      </c:layout>
      <c:scatterChart>
        <c:scatterStyle val="lineMarker"/>
        <c:varyColors val="0"/>
        <c:ser>
          <c:idx val="0"/>
          <c:order val="0"/>
          <c:tx>
            <c:strRef>
              <c:f>Resultados!$A$2</c:f>
              <c:strCache>
                <c:ptCount val="1"/>
                <c:pt idx="0">
                  <c:v>Terreno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Resultados!$AG$7:$AG$10</c:f>
              <c:numCache>
                <c:formatCode>General</c:formatCode>
                <c:ptCount val="4"/>
                <c:pt idx="0">
                  <c:v>5</c:v>
                </c:pt>
                <c:pt idx="1">
                  <c:v>15</c:v>
                </c:pt>
                <c:pt idx="2">
                  <c:v>15</c:v>
                </c:pt>
                <c:pt idx="3">
                  <c:v>25</c:v>
                </c:pt>
              </c:numCache>
            </c:numRef>
          </c:xVal>
          <c:yVal>
            <c:numRef>
              <c:f>Resultados!$AH$7:$AH$10</c:f>
              <c:numCache>
                <c:formatCode>General</c:formatCode>
                <c:ptCount val="4"/>
                <c:pt idx="0">
                  <c:v>8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63-4694-BB48-C05C10880C75}"/>
            </c:ext>
          </c:extLst>
        </c:ser>
        <c:ser>
          <c:idx val="1"/>
          <c:order val="1"/>
          <c:tx>
            <c:strRef>
              <c:f>Resultados!$U$31</c:f>
              <c:strCache>
                <c:ptCount val="1"/>
                <c:pt idx="0">
                  <c:v>Linha 1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Resultados!$AG$3:$AG$4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Resultados!$AH$3:$AH$4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B63-4694-BB48-C05C10880C75}"/>
            </c:ext>
          </c:extLst>
        </c:ser>
        <c:ser>
          <c:idx val="2"/>
          <c:order val="2"/>
          <c:tx>
            <c:strRef>
              <c:f>Resultados!$U$32</c:f>
              <c:strCache>
                <c:ptCount val="1"/>
                <c:pt idx="0">
                  <c:v>Linha 2</c:v>
                </c:pt>
              </c:strCache>
            </c:strRef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Resultados!$AI$3:$AI$4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Resultados!$AJ$3:$AJ$4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B63-4694-BB48-C05C10880C75}"/>
            </c:ext>
          </c:extLst>
        </c:ser>
        <c:ser>
          <c:idx val="3"/>
          <c:order val="3"/>
          <c:tx>
            <c:strRef>
              <c:f>Resultados!$U$33</c:f>
              <c:strCache>
                <c:ptCount val="1"/>
                <c:pt idx="0">
                  <c:v>Linha 3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Resultados!$AK$3:$AK$4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Resultados!$AL$3:$AL$4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B63-4694-BB48-C05C10880C75}"/>
            </c:ext>
          </c:extLst>
        </c:ser>
        <c:ser>
          <c:idx val="4"/>
          <c:order val="4"/>
          <c:tx>
            <c:strRef>
              <c:f>Resultados!$U$34</c:f>
              <c:strCache>
                <c:ptCount val="1"/>
                <c:pt idx="0">
                  <c:v>Linha 4</c:v>
                </c:pt>
              </c:strCache>
            </c:strRef>
          </c:tx>
          <c:spPr>
            <a:ln w="381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Resultados!$AM$3:$AM$4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Resultados!$AN$3:$AN$4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B63-4694-BB48-C05C10880C75}"/>
            </c:ext>
          </c:extLst>
        </c:ser>
        <c:ser>
          <c:idx val="5"/>
          <c:order val="5"/>
          <c:tx>
            <c:strRef>
              <c:f>Resultados!$U$35</c:f>
              <c:strCache>
                <c:ptCount val="1"/>
                <c:pt idx="0">
                  <c:v>Linha 5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Resultados!$AO$3:$AO$4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Resultados!$AP$3:$AP$4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DB63-4694-BB48-C05C10880C75}"/>
            </c:ext>
          </c:extLst>
        </c:ser>
        <c:ser>
          <c:idx val="6"/>
          <c:order val="6"/>
          <c:tx>
            <c:strRef>
              <c:f>Resultados!$U$36</c:f>
              <c:strCache>
                <c:ptCount val="1"/>
                <c:pt idx="0">
                  <c:v>Linha 6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Resultados!$AQ$3:$AQ$4</c:f>
              <c:numCache>
                <c:formatCode>General</c:formatCode>
                <c:ptCount val="2"/>
                <c:pt idx="0">
                  <c:v>15</c:v>
                </c:pt>
                <c:pt idx="1">
                  <c:v>15</c:v>
                </c:pt>
              </c:numCache>
            </c:numRef>
          </c:xVal>
          <c:yVal>
            <c:numRef>
              <c:f>Resultados!$AR$3:$AR$4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DB63-4694-BB48-C05C10880C75}"/>
            </c:ext>
          </c:extLst>
        </c:ser>
        <c:ser>
          <c:idx val="7"/>
          <c:order val="7"/>
          <c:tx>
            <c:strRef>
              <c:f>Resultados!$A$13:$B$13</c:f>
              <c:strCache>
                <c:ptCount val="1"/>
                <c:pt idx="0">
                  <c:v>Círc. crít. F= 0,695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Resultados!$X$50:$X$77</c:f>
              <c:numCache>
                <c:formatCode>General</c:formatCode>
                <c:ptCount val="28"/>
                <c:pt idx="0">
                  <c:v>26.488999998843667</c:v>
                </c:pt>
                <c:pt idx="1">
                  <c:v>15</c:v>
                </c:pt>
                <c:pt idx="2">
                  <c:v>14.783666337080861</c:v>
                </c:pt>
                <c:pt idx="3">
                  <c:v>14.579854299299759</c:v>
                </c:pt>
                <c:pt idx="4">
                  <c:v>14.38793118436563</c:v>
                </c:pt>
                <c:pt idx="5">
                  <c:v>14.207339621984982</c:v>
                </c:pt>
                <c:pt idx="6">
                  <c:v>14.037586554086952</c:v>
                </c:pt>
                <c:pt idx="7">
                  <c:v>13.878234283311718</c:v>
                </c:pt>
                <c:pt idx="8">
                  <c:v>13.728893138327029</c:v>
                </c:pt>
                <c:pt idx="9">
                  <c:v>13.58921541724807</c:v>
                </c:pt>
                <c:pt idx="10">
                  <c:v>13.458890351901351</c:v>
                </c:pt>
                <c:pt idx="11">
                  <c:v>13.33763989537502</c:v>
                </c:pt>
                <c:pt idx="12">
                  <c:v>13.225215179612219</c:v>
                </c:pt>
                <c:pt idx="13">
                  <c:v>13.121393523088843</c:v>
                </c:pt>
                <c:pt idx="14">
                  <c:v>13.025975893895698</c:v>
                </c:pt>
                <c:pt idx="15">
                  <c:v>12.938784752945255</c:v>
                </c:pt>
                <c:pt idx="16">
                  <c:v>12.859662217060377</c:v>
                </c:pt>
                <c:pt idx="17">
                  <c:v>12.788468493470848</c:v>
                </c:pt>
                <c:pt idx="18">
                  <c:v>12.725080546540813</c:v>
                </c:pt>
                <c:pt idx="19">
                  <c:v>12.669390964965443</c:v>
                </c:pt>
                <c:pt idx="20">
                  <c:v>12.621307003647374</c:v>
                </c:pt>
                <c:pt idx="21">
                  <c:v>12.580749779323455</c:v>
                </c:pt>
                <c:pt idx="22">
                  <c:v>12.547653603012604</c:v>
                </c:pt>
                <c:pt idx="23">
                  <c:v>12.521965435690346</c:v>
                </c:pt>
                <c:pt idx="24">
                  <c:v>12.503644456416897</c:v>
                </c:pt>
                <c:pt idx="25">
                  <c:v>12.492661734574154</c:v>
                </c:pt>
                <c:pt idx="26">
                  <c:v>12.489000000000003</c:v>
                </c:pt>
                <c:pt idx="27">
                  <c:v>26.488999998843667</c:v>
                </c:pt>
              </c:numCache>
            </c:numRef>
          </c:xVal>
          <c:yVal>
            <c:numRef>
              <c:f>Resultados!$Y$50:$Y$77</c:f>
              <c:numCache>
                <c:formatCode>General</c:formatCode>
                <c:ptCount val="28"/>
                <c:pt idx="0">
                  <c:v>8.0001799371370552</c:v>
                </c:pt>
                <c:pt idx="1">
                  <c:v>0</c:v>
                </c:pt>
                <c:pt idx="2">
                  <c:v>0.32</c:v>
                </c:pt>
                <c:pt idx="3">
                  <c:v>0.64</c:v>
                </c:pt>
                <c:pt idx="4">
                  <c:v>0.96</c:v>
                </c:pt>
                <c:pt idx="5">
                  <c:v>1.28</c:v>
                </c:pt>
                <c:pt idx="6">
                  <c:v>1.6</c:v>
                </c:pt>
                <c:pt idx="7">
                  <c:v>1.9200000000000002</c:v>
                </c:pt>
                <c:pt idx="8">
                  <c:v>2.2400000000000002</c:v>
                </c:pt>
                <c:pt idx="9">
                  <c:v>2.56</c:v>
                </c:pt>
                <c:pt idx="10">
                  <c:v>2.88</c:v>
                </c:pt>
                <c:pt idx="11">
                  <c:v>3.1999999999999997</c:v>
                </c:pt>
                <c:pt idx="12">
                  <c:v>3.5199999999999996</c:v>
                </c:pt>
                <c:pt idx="13">
                  <c:v>3.8399999999999994</c:v>
                </c:pt>
                <c:pt idx="14">
                  <c:v>4.1599999999999993</c:v>
                </c:pt>
                <c:pt idx="15">
                  <c:v>4.4799999999999995</c:v>
                </c:pt>
                <c:pt idx="16">
                  <c:v>4.8</c:v>
                </c:pt>
                <c:pt idx="17">
                  <c:v>5.12</c:v>
                </c:pt>
                <c:pt idx="18">
                  <c:v>5.44</c:v>
                </c:pt>
                <c:pt idx="19">
                  <c:v>5.7600000000000007</c:v>
                </c:pt>
                <c:pt idx="20">
                  <c:v>6.080000000000001</c:v>
                </c:pt>
                <c:pt idx="21">
                  <c:v>6.4000000000000012</c:v>
                </c:pt>
                <c:pt idx="22">
                  <c:v>6.7200000000000015</c:v>
                </c:pt>
                <c:pt idx="23">
                  <c:v>7.0400000000000018</c:v>
                </c:pt>
                <c:pt idx="24">
                  <c:v>7.3600000000000021</c:v>
                </c:pt>
                <c:pt idx="25">
                  <c:v>7.6800000000000024</c:v>
                </c:pt>
                <c:pt idx="26">
                  <c:v>8</c:v>
                </c:pt>
                <c:pt idx="27">
                  <c:v>8.0001799371370552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DB63-4694-BB48-C05C10880C75}"/>
            </c:ext>
          </c:extLst>
        </c:ser>
        <c:ser>
          <c:idx val="8"/>
          <c:order val="8"/>
          <c:tx>
            <c:strRef>
              <c:f>Resultados!$A$14</c:f>
              <c:strCache>
                <c:ptCount val="1"/>
                <c:pt idx="0">
                  <c:v>Centro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xVal>
            <c:numRef>
              <c:f>Resultados!$B$15</c:f>
              <c:numCache>
                <c:formatCode>0.00</c:formatCode>
                <c:ptCount val="1"/>
                <c:pt idx="0">
                  <c:v>26.488999998843667</c:v>
                </c:pt>
              </c:numCache>
            </c:numRef>
          </c:xVal>
          <c:yVal>
            <c:numRef>
              <c:f>Resultados!$B$16</c:f>
              <c:numCache>
                <c:formatCode>0.00</c:formatCode>
                <c:ptCount val="1"/>
                <c:pt idx="0">
                  <c:v>8.0001799371370552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DB63-4694-BB48-C05C10880C75}"/>
            </c:ext>
          </c:extLst>
        </c:ser>
        <c:ser>
          <c:idx val="9"/>
          <c:order val="9"/>
          <c:tx>
            <c:strRef>
              <c:f>Resultados!$H$13:$I$13</c:f>
              <c:strCache>
                <c:ptCount val="1"/>
                <c:pt idx="0">
                  <c:v>Círc. de F= 1,499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Resultados!$AV$51:$AV$76</c:f>
              <c:numCache>
                <c:formatCode>0.00</c:formatCode>
                <c:ptCount val="26"/>
                <c:pt idx="0">
                  <c:v>15</c:v>
                </c:pt>
                <c:pt idx="1">
                  <c:v>13.164544001743826</c:v>
                </c:pt>
                <c:pt idx="2">
                  <c:v>12.279224778634203</c:v>
                </c:pt>
                <c:pt idx="3">
                  <c:v>11.619201654104209</c:v>
                </c:pt>
                <c:pt idx="4">
                  <c:v>11.080906057447258</c:v>
                </c:pt>
                <c:pt idx="5">
                  <c:v>10.623351787809288</c:v>
                </c:pt>
                <c:pt idx="6">
                  <c:v>10.22524209574404</c:v>
                </c:pt>
                <c:pt idx="7">
                  <c:v>9.8738074054161586</c:v>
                </c:pt>
                <c:pt idx="8">
                  <c:v>9.5606718070854377</c:v>
                </c:pt>
                <c:pt idx="9">
                  <c:v>9.2799918831222303</c:v>
                </c:pt>
                <c:pt idx="10">
                  <c:v>9.027504385966413</c:v>
                </c:pt>
                <c:pt idx="11">
                  <c:v>8.7999924698837866</c:v>
                </c:pt>
                <c:pt idx="12">
                  <c:v>8.5949653032289159</c:v>
                </c:pt>
                <c:pt idx="13">
                  <c:v>8.4104552067719212</c:v>
                </c:pt>
                <c:pt idx="14">
                  <c:v>8.244883600663572</c:v>
                </c:pt>
                <c:pt idx="15">
                  <c:v>8.0969692905449442</c:v>
                </c:pt>
                <c:pt idx="16">
                  <c:v>7.9656639090819574</c:v>
                </c:pt>
                <c:pt idx="17">
                  <c:v>7.8501054025763963</c:v>
                </c:pt>
                <c:pt idx="18">
                  <c:v>7.7495838864207087</c:v>
                </c:pt>
                <c:pt idx="19">
                  <c:v>7.6635162187528474</c:v>
                </c:pt>
                <c:pt idx="20">
                  <c:v>7.5914268812732582</c:v>
                </c:pt>
                <c:pt idx="21">
                  <c:v>7.5329335401806565</c:v>
                </c:pt>
                <c:pt idx="22">
                  <c:v>7.487736171378617</c:v>
                </c:pt>
                <c:pt idx="23">
                  <c:v>7.4556089775111838</c:v>
                </c:pt>
                <c:pt idx="24">
                  <c:v>7.4363945624487453</c:v>
                </c:pt>
                <c:pt idx="25">
                  <c:v>7.43</c:v>
                </c:pt>
              </c:numCache>
            </c:numRef>
          </c:xVal>
          <c:yVal>
            <c:numRef>
              <c:f>Resultados!$AW$51:$AW$76</c:f>
              <c:numCache>
                <c:formatCode>0.00</c:formatCode>
                <c:ptCount val="26"/>
                <c:pt idx="0">
                  <c:v>0</c:v>
                </c:pt>
                <c:pt idx="1">
                  <c:v>0.32</c:v>
                </c:pt>
                <c:pt idx="2">
                  <c:v>0.64</c:v>
                </c:pt>
                <c:pt idx="3">
                  <c:v>0.96</c:v>
                </c:pt>
                <c:pt idx="4">
                  <c:v>1.28</c:v>
                </c:pt>
                <c:pt idx="5">
                  <c:v>1.6</c:v>
                </c:pt>
                <c:pt idx="6">
                  <c:v>1.9200000000000002</c:v>
                </c:pt>
                <c:pt idx="7">
                  <c:v>2.2400000000000002</c:v>
                </c:pt>
                <c:pt idx="8">
                  <c:v>2.56</c:v>
                </c:pt>
                <c:pt idx="9">
                  <c:v>2.88</c:v>
                </c:pt>
                <c:pt idx="10">
                  <c:v>3.1999999999999997</c:v>
                </c:pt>
                <c:pt idx="11">
                  <c:v>3.5199999999999996</c:v>
                </c:pt>
                <c:pt idx="12">
                  <c:v>3.8399999999999994</c:v>
                </c:pt>
                <c:pt idx="13">
                  <c:v>4.1599999999999993</c:v>
                </c:pt>
                <c:pt idx="14">
                  <c:v>4.4799999999999995</c:v>
                </c:pt>
                <c:pt idx="15">
                  <c:v>4.8</c:v>
                </c:pt>
                <c:pt idx="16">
                  <c:v>5.12</c:v>
                </c:pt>
                <c:pt idx="17">
                  <c:v>5.44</c:v>
                </c:pt>
                <c:pt idx="18">
                  <c:v>5.7600000000000007</c:v>
                </c:pt>
                <c:pt idx="19">
                  <c:v>6.080000000000001</c:v>
                </c:pt>
                <c:pt idx="20">
                  <c:v>6.4000000000000012</c:v>
                </c:pt>
                <c:pt idx="21">
                  <c:v>6.7200000000000015</c:v>
                </c:pt>
                <c:pt idx="22">
                  <c:v>7.0400000000000018</c:v>
                </c:pt>
                <c:pt idx="23">
                  <c:v>7.3600000000000021</c:v>
                </c:pt>
                <c:pt idx="24">
                  <c:v>7.6800000000000024</c:v>
                </c:pt>
                <c:pt idx="25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B63-4694-BB48-C05C10880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8179456"/>
        <c:axId val="218180992"/>
      </c:scatterChart>
      <c:valAx>
        <c:axId val="218179456"/>
        <c:scaling>
          <c:orientation val="minMax"/>
          <c:max val="25"/>
          <c:min val="5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8180992"/>
        <c:crosses val="autoZero"/>
        <c:crossBetween val="midCat"/>
        <c:majorUnit val="5"/>
      </c:valAx>
      <c:valAx>
        <c:axId val="218180992"/>
        <c:scaling>
          <c:orientation val="minMax"/>
          <c:max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218179456"/>
        <c:crosses val="autoZero"/>
        <c:crossBetween val="midCat"/>
        <c:majorUnit val="5"/>
      </c:valAx>
      <c:spPr>
        <a:gradFill rotWithShape="0">
          <a:gsLst>
            <a:gs pos="0">
              <a:srgbClr val="969696"/>
            </a:gs>
            <a:gs pos="100000">
              <a:srgbClr val="FFFFFF"/>
            </a:gs>
          </a:gsLst>
          <a:lin ang="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98507462686567"/>
          <c:y val="0.78316326530612246"/>
          <c:w val="0.69216417910447769"/>
          <c:h val="0.19897959183673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4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276225</xdr:colOff>
      <xdr:row>10</xdr:row>
      <xdr:rowOff>47625</xdr:rowOff>
    </xdr:from>
    <xdr:to>
      <xdr:col>24</xdr:col>
      <xdr:colOff>304800</xdr:colOff>
      <xdr:row>13</xdr:row>
      <xdr:rowOff>38100</xdr:rowOff>
    </xdr:to>
    <xdr:sp macro="" textlink="">
      <xdr:nvSpPr>
        <xdr:cNvPr id="3252" name="Line 12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ShapeType="1"/>
        </xdr:cNvSpPr>
      </xdr:nvSpPr>
      <xdr:spPr bwMode="auto">
        <a:xfrm>
          <a:off x="18078450" y="1733550"/>
          <a:ext cx="285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409575</xdr:colOff>
      <xdr:row>9</xdr:row>
      <xdr:rowOff>142875</xdr:rowOff>
    </xdr:from>
    <xdr:to>
      <xdr:col>25</xdr:col>
      <xdr:colOff>428625</xdr:colOff>
      <xdr:row>11</xdr:row>
      <xdr:rowOff>114300</xdr:rowOff>
    </xdr:to>
    <xdr:sp macro="" textlink="">
      <xdr:nvSpPr>
        <xdr:cNvPr id="3253" name="Line 13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ShapeType="1"/>
        </xdr:cNvSpPr>
      </xdr:nvSpPr>
      <xdr:spPr bwMode="auto">
        <a:xfrm>
          <a:off x="18983325" y="1666875"/>
          <a:ext cx="1905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304800</xdr:colOff>
      <xdr:row>11</xdr:row>
      <xdr:rowOff>123825</xdr:rowOff>
    </xdr:from>
    <xdr:to>
      <xdr:col>25</xdr:col>
      <xdr:colOff>428625</xdr:colOff>
      <xdr:row>13</xdr:row>
      <xdr:rowOff>28575</xdr:rowOff>
    </xdr:to>
    <xdr:sp macro="" textlink="">
      <xdr:nvSpPr>
        <xdr:cNvPr id="3254" name="Line 14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ShapeType="1"/>
        </xdr:cNvSpPr>
      </xdr:nvSpPr>
      <xdr:spPr bwMode="auto">
        <a:xfrm flipH="1">
          <a:off x="18107025" y="1981200"/>
          <a:ext cx="89535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304800</xdr:colOff>
      <xdr:row>10</xdr:row>
      <xdr:rowOff>123825</xdr:rowOff>
    </xdr:from>
    <xdr:to>
      <xdr:col>24</xdr:col>
      <xdr:colOff>304800</xdr:colOff>
      <xdr:row>13</xdr:row>
      <xdr:rowOff>28575</xdr:rowOff>
    </xdr:to>
    <xdr:sp macro="" textlink="">
      <xdr:nvSpPr>
        <xdr:cNvPr id="3255" name="Line 15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ShapeType="1"/>
        </xdr:cNvSpPr>
      </xdr:nvSpPr>
      <xdr:spPr bwMode="auto">
        <a:xfrm flipH="1" flipV="1">
          <a:off x="16754475" y="1809750"/>
          <a:ext cx="135255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419100</xdr:colOff>
      <xdr:row>10</xdr:row>
      <xdr:rowOff>0</xdr:rowOff>
    </xdr:from>
    <xdr:to>
      <xdr:col>26</xdr:col>
      <xdr:colOff>190500</xdr:colOff>
      <xdr:row>11</xdr:row>
      <xdr:rowOff>9525</xdr:rowOff>
    </xdr:to>
    <xdr:sp macro="" textlink="">
      <xdr:nvSpPr>
        <xdr:cNvPr id="3088" name="Text Box 16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 txBox="1">
          <a:spLocks noChangeArrowheads="1"/>
        </xdr:cNvSpPr>
      </xdr:nvSpPr>
      <xdr:spPr bwMode="auto">
        <a:xfrm>
          <a:off x="13077825" y="438150"/>
          <a:ext cx="5429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24</xdr:col>
      <xdr:colOff>295275</xdr:colOff>
      <xdr:row>10</xdr:row>
      <xdr:rowOff>104775</xdr:rowOff>
    </xdr:from>
    <xdr:to>
      <xdr:col>24</xdr:col>
      <xdr:colOff>666750</xdr:colOff>
      <xdr:row>12</xdr:row>
      <xdr:rowOff>38100</xdr:rowOff>
    </xdr:to>
    <xdr:sp macro="" textlink="">
      <xdr:nvSpPr>
        <xdr:cNvPr id="3220" name="Text Box 17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 txBox="1">
          <a:spLocks noChangeArrowheads="1"/>
        </xdr:cNvSpPr>
      </xdr:nvSpPr>
      <xdr:spPr bwMode="auto">
        <a:xfrm>
          <a:off x="18097500" y="1790700"/>
          <a:ext cx="3714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t-BR" sz="10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MAX</a:t>
          </a:r>
          <a:endParaRPr lang="pt-BR"/>
        </a:p>
      </xdr:txBody>
    </xdr:sp>
    <xdr:clientData/>
  </xdr:twoCellAnchor>
  <xdr:twoCellAnchor>
    <xdr:from>
      <xdr:col>22</xdr:col>
      <xdr:colOff>323850</xdr:colOff>
      <xdr:row>10</xdr:row>
      <xdr:rowOff>47625</xdr:rowOff>
    </xdr:from>
    <xdr:to>
      <xdr:col>24</xdr:col>
      <xdr:colOff>266700</xdr:colOff>
      <xdr:row>10</xdr:row>
      <xdr:rowOff>123825</xdr:rowOff>
    </xdr:to>
    <xdr:sp macro="" textlink="">
      <xdr:nvSpPr>
        <xdr:cNvPr id="3258" name="Line 18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ShapeType="1"/>
        </xdr:cNvSpPr>
      </xdr:nvSpPr>
      <xdr:spPr bwMode="auto">
        <a:xfrm flipH="1">
          <a:off x="16773525" y="1733550"/>
          <a:ext cx="1295400" cy="76200"/>
        </a:xfrm>
        <a:prstGeom prst="line">
          <a:avLst/>
        </a:prstGeom>
        <a:noFill/>
        <a:ln w="19050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266700</xdr:colOff>
      <xdr:row>9</xdr:row>
      <xdr:rowOff>142875</xdr:rowOff>
    </xdr:from>
    <xdr:to>
      <xdr:col>25</xdr:col>
      <xdr:colOff>419100</xdr:colOff>
      <xdr:row>10</xdr:row>
      <xdr:rowOff>47625</xdr:rowOff>
    </xdr:to>
    <xdr:sp macro="" textlink="">
      <xdr:nvSpPr>
        <xdr:cNvPr id="3259" name="Line 19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ShapeType="1"/>
        </xdr:cNvSpPr>
      </xdr:nvSpPr>
      <xdr:spPr bwMode="auto">
        <a:xfrm flipH="1">
          <a:off x="18068925" y="1666875"/>
          <a:ext cx="923925" cy="66675"/>
        </a:xfrm>
        <a:prstGeom prst="line">
          <a:avLst/>
        </a:prstGeom>
        <a:noFill/>
        <a:ln w="19050">
          <a:solidFill>
            <a:srgbClr val="CC99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485775</xdr:colOff>
      <xdr:row>8</xdr:row>
      <xdr:rowOff>66675</xdr:rowOff>
    </xdr:from>
    <xdr:to>
      <xdr:col>25</xdr:col>
      <xdr:colOff>0</xdr:colOff>
      <xdr:row>10</xdr:row>
      <xdr:rowOff>57150</xdr:rowOff>
    </xdr:to>
    <xdr:sp macro="" textlink="">
      <xdr:nvSpPr>
        <xdr:cNvPr id="3223" name="Text Box 2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 txBox="1">
          <a:spLocks noChangeArrowheads="1"/>
        </xdr:cNvSpPr>
      </xdr:nvSpPr>
      <xdr:spPr bwMode="auto">
        <a:xfrm>
          <a:off x="18288000" y="1428750"/>
          <a:ext cx="2857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t-BR" sz="1000" b="1" i="0" u="none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  <a:endParaRPr lang="pt-BR"/>
        </a:p>
      </xdr:txBody>
    </xdr:sp>
    <xdr:clientData/>
  </xdr:twoCellAnchor>
  <xdr:twoCellAnchor>
    <xdr:from>
      <xdr:col>23</xdr:col>
      <xdr:colOff>123825</xdr:colOff>
      <xdr:row>8</xdr:row>
      <xdr:rowOff>133350</xdr:rowOff>
    </xdr:from>
    <xdr:to>
      <xdr:col>23</xdr:col>
      <xdr:colOff>390525</xdr:colOff>
      <xdr:row>10</xdr:row>
      <xdr:rowOff>47625</xdr:rowOff>
    </xdr:to>
    <xdr:sp macro="" textlink="">
      <xdr:nvSpPr>
        <xdr:cNvPr id="3093" name="Text Box 21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 txBox="1">
          <a:spLocks noChangeArrowheads="1"/>
        </xdr:cNvSpPr>
      </xdr:nvSpPr>
      <xdr:spPr bwMode="auto">
        <a:xfrm>
          <a:off x="11315700" y="285750"/>
          <a:ext cx="2667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  <xdr:twoCellAnchor>
    <xdr:from>
      <xdr:col>15</xdr:col>
      <xdr:colOff>9525</xdr:colOff>
      <xdr:row>3</xdr:row>
      <xdr:rowOff>57150</xdr:rowOff>
    </xdr:from>
    <xdr:to>
      <xdr:col>21</xdr:col>
      <xdr:colOff>257175</xdr:colOff>
      <xdr:row>25</xdr:row>
      <xdr:rowOff>104775</xdr:rowOff>
    </xdr:to>
    <xdr:graphicFrame macro="">
      <xdr:nvGraphicFramePr>
        <xdr:cNvPr id="3262" name="Chart 37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47625</xdr:rowOff>
    </xdr:from>
    <xdr:to>
      <xdr:col>11</xdr:col>
      <xdr:colOff>495300</xdr:colOff>
      <xdr:row>23</xdr:row>
      <xdr:rowOff>85725</xdr:rowOff>
    </xdr:to>
    <xdr:grpSp>
      <xdr:nvGrpSpPr>
        <xdr:cNvPr id="1062" name="Group 5">
          <a:extLst>
            <a:ext uri="{FF2B5EF4-FFF2-40B4-BE49-F238E27FC236}">
              <a16:creationId xmlns:a16="http://schemas.microsoft.com/office/drawing/2014/main" id="{00000000-0008-0000-0700-000026040000}"/>
            </a:ext>
          </a:extLst>
        </xdr:cNvPr>
        <xdr:cNvGrpSpPr>
          <a:grpSpLocks/>
        </xdr:cNvGrpSpPr>
      </xdr:nvGrpSpPr>
      <xdr:grpSpPr bwMode="auto">
        <a:xfrm>
          <a:off x="1038225" y="857250"/>
          <a:ext cx="6162675" cy="2952750"/>
          <a:chOff x="109" y="90"/>
          <a:chExt cx="647" cy="310"/>
        </a:xfrm>
      </xdr:grpSpPr>
      <xdr:pic>
        <xdr:nvPicPr>
          <xdr:cNvPr id="1063" name="Picture 2">
            <a:extLst>
              <a:ext uri="{FF2B5EF4-FFF2-40B4-BE49-F238E27FC236}">
                <a16:creationId xmlns:a16="http://schemas.microsoft.com/office/drawing/2014/main" id="{00000000-0008-0000-0700-0000270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646" r="10646" b="26180"/>
          <a:stretch>
            <a:fillRect/>
          </a:stretch>
        </xdr:blipFill>
        <xdr:spPr bwMode="auto">
          <a:xfrm>
            <a:off x="109" y="90"/>
            <a:ext cx="647" cy="3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027" name="Text Box 3">
            <a:extLst>
              <a:ext uri="{FF2B5EF4-FFF2-40B4-BE49-F238E27FC236}">
                <a16:creationId xmlns:a16="http://schemas.microsoft.com/office/drawing/2014/main" id="{00000000-0008-0000-0700-000003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125"/>
            <a:ext cx="112" cy="93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Areia argilosa</a:t>
            </a: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Peso específico = 18 kN/m</a:t>
            </a:r>
            <a:r>
              <a:rPr lang="pt-BR" sz="800" b="1" i="0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pt-BR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Coesão: 25 kPa</a:t>
            </a: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Ângulo de atrito: 28º</a:t>
            </a:r>
          </a:p>
        </xdr:txBody>
      </xdr:sp>
      <xdr:sp macro="" textlink="">
        <xdr:nvSpPr>
          <xdr:cNvPr id="1065" name="Rectangle 4">
            <a:extLst>
              <a:ext uri="{FF2B5EF4-FFF2-40B4-BE49-F238E27FC236}">
                <a16:creationId xmlns:a16="http://schemas.microsoft.com/office/drawing/2014/main" id="{00000000-0008-0000-0700-000029040000}"/>
              </a:ext>
            </a:extLst>
          </xdr:cNvPr>
          <xdr:cNvSpPr>
            <a:spLocks noChangeArrowheads="1"/>
          </xdr:cNvSpPr>
        </xdr:nvSpPr>
        <xdr:spPr bwMode="auto">
          <a:xfrm>
            <a:off x="624" y="196"/>
            <a:ext cx="127" cy="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47625</xdr:rowOff>
    </xdr:from>
    <xdr:to>
      <xdr:col>11</xdr:col>
      <xdr:colOff>495300</xdr:colOff>
      <xdr:row>23</xdr:row>
      <xdr:rowOff>85725</xdr:rowOff>
    </xdr:to>
    <xdr:grpSp>
      <xdr:nvGrpSpPr>
        <xdr:cNvPr id="7304" name="Group 23">
          <a:extLst>
            <a:ext uri="{FF2B5EF4-FFF2-40B4-BE49-F238E27FC236}">
              <a16:creationId xmlns:a16="http://schemas.microsoft.com/office/drawing/2014/main" id="{00000000-0008-0000-0800-0000881C0000}"/>
            </a:ext>
          </a:extLst>
        </xdr:cNvPr>
        <xdr:cNvGrpSpPr>
          <a:grpSpLocks/>
        </xdr:cNvGrpSpPr>
      </xdr:nvGrpSpPr>
      <xdr:grpSpPr bwMode="auto">
        <a:xfrm>
          <a:off x="1038225" y="857250"/>
          <a:ext cx="6162675" cy="2952750"/>
          <a:chOff x="109" y="90"/>
          <a:chExt cx="647" cy="310"/>
        </a:xfrm>
      </xdr:grpSpPr>
      <xdr:pic>
        <xdr:nvPicPr>
          <xdr:cNvPr id="7315" name="Picture 1">
            <a:extLst>
              <a:ext uri="{FF2B5EF4-FFF2-40B4-BE49-F238E27FC236}">
                <a16:creationId xmlns:a16="http://schemas.microsoft.com/office/drawing/2014/main" id="{00000000-0008-0000-0800-0000931C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646" r="10646" b="26180"/>
          <a:stretch>
            <a:fillRect/>
          </a:stretch>
        </xdr:blipFill>
        <xdr:spPr bwMode="auto">
          <a:xfrm>
            <a:off x="109" y="90"/>
            <a:ext cx="647" cy="3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186" name="Text Box 18">
            <a:extLst>
              <a:ext uri="{FF2B5EF4-FFF2-40B4-BE49-F238E27FC236}">
                <a16:creationId xmlns:a16="http://schemas.microsoft.com/office/drawing/2014/main" id="{00000000-0008-0000-0800-0000121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125"/>
            <a:ext cx="112" cy="93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Areia argilosa</a:t>
            </a: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Peso específico = 18 kN/m</a:t>
            </a:r>
            <a:r>
              <a:rPr lang="pt-BR" sz="800" b="1" i="0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pt-BR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Coesão: 25 kPa</a:t>
            </a: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Ângulo de atrito: 28º</a:t>
            </a:r>
          </a:p>
        </xdr:txBody>
      </xdr:sp>
      <xdr:sp macro="" textlink="">
        <xdr:nvSpPr>
          <xdr:cNvPr id="7317" name="Rectangle 19">
            <a:extLst>
              <a:ext uri="{FF2B5EF4-FFF2-40B4-BE49-F238E27FC236}">
                <a16:creationId xmlns:a16="http://schemas.microsoft.com/office/drawing/2014/main" id="{00000000-0008-0000-0800-0000951C0000}"/>
              </a:ext>
            </a:extLst>
          </xdr:cNvPr>
          <xdr:cNvSpPr>
            <a:spLocks noChangeArrowheads="1"/>
          </xdr:cNvSpPr>
        </xdr:nvSpPr>
        <xdr:spPr bwMode="auto">
          <a:xfrm>
            <a:off x="624" y="196"/>
            <a:ext cx="127" cy="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476250</xdr:colOff>
      <xdr:row>9</xdr:row>
      <xdr:rowOff>95250</xdr:rowOff>
    </xdr:from>
    <xdr:to>
      <xdr:col>5</xdr:col>
      <xdr:colOff>428625</xdr:colOff>
      <xdr:row>10</xdr:row>
      <xdr:rowOff>95250</xdr:rowOff>
    </xdr:to>
    <xdr:sp macro="" textlink="">
      <xdr:nvSpPr>
        <xdr:cNvPr id="7305" name="Line 2">
          <a:extLst>
            <a:ext uri="{FF2B5EF4-FFF2-40B4-BE49-F238E27FC236}">
              <a16:creationId xmlns:a16="http://schemas.microsoft.com/office/drawing/2014/main" id="{00000000-0008-0000-0800-0000891C0000}"/>
            </a:ext>
          </a:extLst>
        </xdr:cNvPr>
        <xdr:cNvSpPr>
          <a:spLocks noChangeShapeType="1"/>
        </xdr:cNvSpPr>
      </xdr:nvSpPr>
      <xdr:spPr bwMode="auto">
        <a:xfrm flipH="1">
          <a:off x="2305050" y="1552575"/>
          <a:ext cx="1171575" cy="161925"/>
        </a:xfrm>
        <a:prstGeom prst="line">
          <a:avLst/>
        </a:prstGeom>
        <a:noFill/>
        <a:ln w="19050">
          <a:solidFill>
            <a:srgbClr val="99CC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400050</xdr:colOff>
      <xdr:row>9</xdr:row>
      <xdr:rowOff>104775</xdr:rowOff>
    </xdr:from>
    <xdr:to>
      <xdr:col>5</xdr:col>
      <xdr:colOff>466725</xdr:colOff>
      <xdr:row>12</xdr:row>
      <xdr:rowOff>123825</xdr:rowOff>
    </xdr:to>
    <xdr:sp macro="" textlink="">
      <xdr:nvSpPr>
        <xdr:cNvPr id="7306" name="Line 4">
          <a:extLst>
            <a:ext uri="{FF2B5EF4-FFF2-40B4-BE49-F238E27FC236}">
              <a16:creationId xmlns:a16="http://schemas.microsoft.com/office/drawing/2014/main" id="{00000000-0008-0000-0800-00008A1C0000}"/>
            </a:ext>
          </a:extLst>
        </xdr:cNvPr>
        <xdr:cNvSpPr>
          <a:spLocks noChangeShapeType="1"/>
        </xdr:cNvSpPr>
      </xdr:nvSpPr>
      <xdr:spPr bwMode="auto">
        <a:xfrm>
          <a:off x="3448050" y="1562100"/>
          <a:ext cx="66675" cy="5048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438150</xdr:colOff>
      <xdr:row>9</xdr:row>
      <xdr:rowOff>0</xdr:rowOff>
    </xdr:from>
    <xdr:to>
      <xdr:col>6</xdr:col>
      <xdr:colOff>485775</xdr:colOff>
      <xdr:row>11</xdr:row>
      <xdr:rowOff>28575</xdr:rowOff>
    </xdr:to>
    <xdr:sp macro="" textlink="">
      <xdr:nvSpPr>
        <xdr:cNvPr id="7307" name="Line 8">
          <a:extLst>
            <a:ext uri="{FF2B5EF4-FFF2-40B4-BE49-F238E27FC236}">
              <a16:creationId xmlns:a16="http://schemas.microsoft.com/office/drawing/2014/main" id="{00000000-0008-0000-0800-00008B1C0000}"/>
            </a:ext>
          </a:extLst>
        </xdr:cNvPr>
        <xdr:cNvSpPr>
          <a:spLocks noChangeShapeType="1"/>
        </xdr:cNvSpPr>
      </xdr:nvSpPr>
      <xdr:spPr bwMode="auto">
        <a:xfrm>
          <a:off x="4095750" y="1457325"/>
          <a:ext cx="47625" cy="352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11</xdr:row>
      <xdr:rowOff>19050</xdr:rowOff>
    </xdr:from>
    <xdr:to>
      <xdr:col>6</xdr:col>
      <xdr:colOff>495300</xdr:colOff>
      <xdr:row>12</xdr:row>
      <xdr:rowOff>133350</xdr:rowOff>
    </xdr:to>
    <xdr:sp macro="" textlink="">
      <xdr:nvSpPr>
        <xdr:cNvPr id="7308" name="Line 11">
          <a:extLst>
            <a:ext uri="{FF2B5EF4-FFF2-40B4-BE49-F238E27FC236}">
              <a16:creationId xmlns:a16="http://schemas.microsoft.com/office/drawing/2014/main" id="{00000000-0008-0000-0800-00008C1C0000}"/>
            </a:ext>
          </a:extLst>
        </xdr:cNvPr>
        <xdr:cNvSpPr>
          <a:spLocks noChangeShapeType="1"/>
        </xdr:cNvSpPr>
      </xdr:nvSpPr>
      <xdr:spPr bwMode="auto">
        <a:xfrm flipH="1">
          <a:off x="3514725" y="1800225"/>
          <a:ext cx="63817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504825</xdr:colOff>
      <xdr:row>10</xdr:row>
      <xdr:rowOff>95250</xdr:rowOff>
    </xdr:from>
    <xdr:to>
      <xdr:col>5</xdr:col>
      <xdr:colOff>476250</xdr:colOff>
      <xdr:row>12</xdr:row>
      <xdr:rowOff>133350</xdr:rowOff>
    </xdr:to>
    <xdr:sp macro="" textlink="">
      <xdr:nvSpPr>
        <xdr:cNvPr id="7309" name="Line 12">
          <a:extLst>
            <a:ext uri="{FF2B5EF4-FFF2-40B4-BE49-F238E27FC236}">
              <a16:creationId xmlns:a16="http://schemas.microsoft.com/office/drawing/2014/main" id="{00000000-0008-0000-0800-00008D1C0000}"/>
            </a:ext>
          </a:extLst>
        </xdr:cNvPr>
        <xdr:cNvSpPr>
          <a:spLocks noChangeShapeType="1"/>
        </xdr:cNvSpPr>
      </xdr:nvSpPr>
      <xdr:spPr bwMode="auto">
        <a:xfrm flipH="1" flipV="1">
          <a:off x="2333625" y="1714500"/>
          <a:ext cx="119062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581025</xdr:colOff>
      <xdr:row>8</xdr:row>
      <xdr:rowOff>123825</xdr:rowOff>
    </xdr:from>
    <xdr:to>
      <xdr:col>7</xdr:col>
      <xdr:colOff>295275</xdr:colOff>
      <xdr:row>10</xdr:row>
      <xdr:rowOff>123825</xdr:rowOff>
    </xdr:to>
    <xdr:sp macro="" textlink="">
      <xdr:nvSpPr>
        <xdr:cNvPr id="7181" name="Text Box 13">
          <a:extLst>
            <a:ext uri="{FF2B5EF4-FFF2-40B4-BE49-F238E27FC236}">
              <a16:creationId xmlns:a16="http://schemas.microsoft.com/office/drawing/2014/main" id="{00000000-0008-0000-0800-00000D1C0000}"/>
            </a:ext>
          </a:extLst>
        </xdr:cNvPr>
        <xdr:cNvSpPr txBox="1">
          <a:spLocks noChangeArrowheads="1"/>
        </xdr:cNvSpPr>
      </xdr:nvSpPr>
      <xdr:spPr bwMode="auto">
        <a:xfrm>
          <a:off x="4238625" y="14192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142875</xdr:colOff>
      <xdr:row>10</xdr:row>
      <xdr:rowOff>28575</xdr:rowOff>
    </xdr:from>
    <xdr:to>
      <xdr:col>5</xdr:col>
      <xdr:colOff>466725</xdr:colOff>
      <xdr:row>12</xdr:row>
      <xdr:rowOff>28575</xdr:rowOff>
    </xdr:to>
    <xdr:sp macro="" textlink="">
      <xdr:nvSpPr>
        <xdr:cNvPr id="7182" name="Text Box 14">
          <a:extLst>
            <a:ext uri="{FF2B5EF4-FFF2-40B4-BE49-F238E27FC236}">
              <a16:creationId xmlns:a16="http://schemas.microsoft.com/office/drawing/2014/main" id="{00000000-0008-0000-0800-00000E1C0000}"/>
            </a:ext>
          </a:extLst>
        </xdr:cNvPr>
        <xdr:cNvSpPr txBox="1">
          <a:spLocks noChangeArrowheads="1"/>
        </xdr:cNvSpPr>
      </xdr:nvSpPr>
      <xdr:spPr bwMode="auto">
        <a:xfrm>
          <a:off x="3190875" y="16478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MAX</a:t>
          </a:r>
        </a:p>
      </xdr:txBody>
    </xdr:sp>
    <xdr:clientData/>
  </xdr:twoCellAnchor>
  <xdr:twoCellAnchor>
    <xdr:from>
      <xdr:col>5</xdr:col>
      <xdr:colOff>419100</xdr:colOff>
      <xdr:row>9</xdr:row>
      <xdr:rowOff>9525</xdr:rowOff>
    </xdr:from>
    <xdr:to>
      <xdr:col>6</xdr:col>
      <xdr:colOff>428625</xdr:colOff>
      <xdr:row>9</xdr:row>
      <xdr:rowOff>95250</xdr:rowOff>
    </xdr:to>
    <xdr:sp macro="" textlink="">
      <xdr:nvSpPr>
        <xdr:cNvPr id="7312" name="Line 15">
          <a:extLst>
            <a:ext uri="{FF2B5EF4-FFF2-40B4-BE49-F238E27FC236}">
              <a16:creationId xmlns:a16="http://schemas.microsoft.com/office/drawing/2014/main" id="{00000000-0008-0000-0800-0000901C0000}"/>
            </a:ext>
          </a:extLst>
        </xdr:cNvPr>
        <xdr:cNvSpPr>
          <a:spLocks noChangeShapeType="1"/>
        </xdr:cNvSpPr>
      </xdr:nvSpPr>
      <xdr:spPr bwMode="auto">
        <a:xfrm flipH="1">
          <a:off x="3467100" y="1466850"/>
          <a:ext cx="619125" cy="85725"/>
        </a:xfrm>
        <a:prstGeom prst="line">
          <a:avLst/>
        </a:prstGeom>
        <a:noFill/>
        <a:ln w="19050">
          <a:solidFill>
            <a:srgbClr val="CC99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504825</xdr:colOff>
      <xdr:row>7</xdr:row>
      <xdr:rowOff>133350</xdr:rowOff>
    </xdr:from>
    <xdr:to>
      <xdr:col>6</xdr:col>
      <xdr:colOff>219075</xdr:colOff>
      <xdr:row>9</xdr:row>
      <xdr:rowOff>133350</xdr:rowOff>
    </xdr:to>
    <xdr:sp macro="" textlink="">
      <xdr:nvSpPr>
        <xdr:cNvPr id="7184" name="Text Box 16">
          <a:extLst>
            <a:ext uri="{FF2B5EF4-FFF2-40B4-BE49-F238E27FC236}">
              <a16:creationId xmlns:a16="http://schemas.microsoft.com/office/drawing/2014/main" id="{00000000-0008-0000-0800-0000101C0000}"/>
            </a:ext>
          </a:extLst>
        </xdr:cNvPr>
        <xdr:cNvSpPr txBox="1">
          <a:spLocks noChangeArrowheads="1"/>
        </xdr:cNvSpPr>
      </xdr:nvSpPr>
      <xdr:spPr bwMode="auto">
        <a:xfrm>
          <a:off x="3552825" y="12668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A</a:t>
          </a:r>
        </a:p>
      </xdr:txBody>
    </xdr:sp>
    <xdr:clientData/>
  </xdr:twoCellAnchor>
  <xdr:twoCellAnchor>
    <xdr:from>
      <xdr:col>4</xdr:col>
      <xdr:colOff>276225</xdr:colOff>
      <xdr:row>8</xdr:row>
      <xdr:rowOff>85725</xdr:rowOff>
    </xdr:from>
    <xdr:to>
      <xdr:col>4</xdr:col>
      <xdr:colOff>600075</xdr:colOff>
      <xdr:row>10</xdr:row>
      <xdr:rowOff>85725</xdr:rowOff>
    </xdr:to>
    <xdr:sp macro="" textlink="">
      <xdr:nvSpPr>
        <xdr:cNvPr id="7185" name="Text Box 17">
          <a:extLst>
            <a:ext uri="{FF2B5EF4-FFF2-40B4-BE49-F238E27FC236}">
              <a16:creationId xmlns:a16="http://schemas.microsoft.com/office/drawing/2014/main" id="{00000000-0008-0000-0800-0000111C0000}"/>
            </a:ext>
          </a:extLst>
        </xdr:cNvPr>
        <xdr:cNvSpPr txBox="1">
          <a:spLocks noChangeArrowheads="1"/>
        </xdr:cNvSpPr>
      </xdr:nvSpPr>
      <xdr:spPr bwMode="auto">
        <a:xfrm>
          <a:off x="2714625" y="13811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L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B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428625</xdr:colOff>
      <xdr:row>5</xdr:row>
      <xdr:rowOff>47625</xdr:rowOff>
    </xdr:from>
    <xdr:to>
      <xdr:col>11</xdr:col>
      <xdr:colOff>495300</xdr:colOff>
      <xdr:row>23</xdr:row>
      <xdr:rowOff>85725</xdr:rowOff>
    </xdr:to>
    <xdr:grpSp>
      <xdr:nvGrpSpPr>
        <xdr:cNvPr id="8308" name="Group 19">
          <a:extLst>
            <a:ext uri="{FF2B5EF4-FFF2-40B4-BE49-F238E27FC236}">
              <a16:creationId xmlns:a16="http://schemas.microsoft.com/office/drawing/2014/main" id="{00000000-0008-0000-0900-000074200000}"/>
            </a:ext>
          </a:extLst>
        </xdr:cNvPr>
        <xdr:cNvGrpSpPr>
          <a:grpSpLocks/>
        </xdr:cNvGrpSpPr>
      </xdr:nvGrpSpPr>
      <xdr:grpSpPr bwMode="auto">
        <a:xfrm>
          <a:off x="1038225" y="857250"/>
          <a:ext cx="6162675" cy="2952750"/>
          <a:chOff x="109" y="90"/>
          <a:chExt cx="647" cy="310"/>
        </a:xfrm>
      </xdr:grpSpPr>
      <xdr:pic>
        <xdr:nvPicPr>
          <xdr:cNvPr id="8317" name="Picture 1">
            <a:extLst>
              <a:ext uri="{FF2B5EF4-FFF2-40B4-BE49-F238E27FC236}">
                <a16:creationId xmlns:a16="http://schemas.microsoft.com/office/drawing/2014/main" id="{00000000-0008-0000-0900-00007D2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0646" r="10646" b="26180"/>
          <a:stretch>
            <a:fillRect/>
          </a:stretch>
        </xdr:blipFill>
        <xdr:spPr bwMode="auto">
          <a:xfrm>
            <a:off x="109" y="90"/>
            <a:ext cx="647" cy="31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208" name="Text Box 16">
            <a:extLst>
              <a:ext uri="{FF2B5EF4-FFF2-40B4-BE49-F238E27FC236}">
                <a16:creationId xmlns:a16="http://schemas.microsoft.com/office/drawing/2014/main" id="{00000000-0008-0000-0900-0000102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21" y="125"/>
            <a:ext cx="112" cy="93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  <a:effectLst/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Areia argilosa</a:t>
            </a: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Peso específico = 18 kN/m</a:t>
            </a:r>
            <a:r>
              <a:rPr lang="pt-BR" sz="800" b="1" i="0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endParaRPr lang="pt-BR" sz="8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Coesão: 25 kPa</a:t>
            </a:r>
          </a:p>
          <a:p>
            <a:pPr algn="l" rtl="0">
              <a:defRPr sz="1000"/>
            </a:pPr>
            <a:r>
              <a:rPr lang="pt-BR" sz="800" b="1" i="0" strike="noStrike">
                <a:solidFill>
                  <a:srgbClr val="000000"/>
                </a:solidFill>
                <a:latin typeface="Arial"/>
                <a:cs typeface="Arial"/>
              </a:rPr>
              <a:t>Ângulo de atrito: 28º</a:t>
            </a:r>
          </a:p>
        </xdr:txBody>
      </xdr:sp>
      <xdr:sp macro="" textlink="">
        <xdr:nvSpPr>
          <xdr:cNvPr id="8319" name="Rectangle 17">
            <a:extLst>
              <a:ext uri="{FF2B5EF4-FFF2-40B4-BE49-F238E27FC236}">
                <a16:creationId xmlns:a16="http://schemas.microsoft.com/office/drawing/2014/main" id="{00000000-0008-0000-0900-00007F200000}"/>
              </a:ext>
            </a:extLst>
          </xdr:cNvPr>
          <xdr:cNvSpPr>
            <a:spLocks noChangeArrowheads="1"/>
          </xdr:cNvSpPr>
        </xdr:nvSpPr>
        <xdr:spPr bwMode="auto">
          <a:xfrm>
            <a:off x="624" y="196"/>
            <a:ext cx="127" cy="60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476250</xdr:colOff>
      <xdr:row>9</xdr:row>
      <xdr:rowOff>95250</xdr:rowOff>
    </xdr:from>
    <xdr:to>
      <xdr:col>5</xdr:col>
      <xdr:colOff>428625</xdr:colOff>
      <xdr:row>10</xdr:row>
      <xdr:rowOff>95250</xdr:rowOff>
    </xdr:to>
    <xdr:sp macro="" textlink="">
      <xdr:nvSpPr>
        <xdr:cNvPr id="8309" name="Line 2">
          <a:extLst>
            <a:ext uri="{FF2B5EF4-FFF2-40B4-BE49-F238E27FC236}">
              <a16:creationId xmlns:a16="http://schemas.microsoft.com/office/drawing/2014/main" id="{00000000-0008-0000-0900-000075200000}"/>
            </a:ext>
          </a:extLst>
        </xdr:cNvPr>
        <xdr:cNvSpPr>
          <a:spLocks noChangeShapeType="1"/>
        </xdr:cNvSpPr>
      </xdr:nvSpPr>
      <xdr:spPr bwMode="auto">
        <a:xfrm flipH="1">
          <a:off x="2305050" y="1552575"/>
          <a:ext cx="1171575" cy="161925"/>
        </a:xfrm>
        <a:prstGeom prst="line">
          <a:avLst/>
        </a:prstGeom>
        <a:noFill/>
        <a:ln w="19050">
          <a:solidFill>
            <a:srgbClr val="99CC00"/>
          </a:solidFill>
          <a:round/>
          <a:headEnd type="none" w="med" len="lg"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581025</xdr:colOff>
      <xdr:row>8</xdr:row>
      <xdr:rowOff>123825</xdr:rowOff>
    </xdr:from>
    <xdr:to>
      <xdr:col>7</xdr:col>
      <xdr:colOff>295275</xdr:colOff>
      <xdr:row>10</xdr:row>
      <xdr:rowOff>123825</xdr:rowOff>
    </xdr:to>
    <xdr:sp macro="" textlink="">
      <xdr:nvSpPr>
        <xdr:cNvPr id="8199" name="Text Box 7">
          <a:extLst>
            <a:ext uri="{FF2B5EF4-FFF2-40B4-BE49-F238E27FC236}">
              <a16:creationId xmlns:a16="http://schemas.microsoft.com/office/drawing/2014/main" id="{00000000-0008-0000-0900-000007200000}"/>
            </a:ext>
          </a:extLst>
        </xdr:cNvPr>
        <xdr:cNvSpPr txBox="1">
          <a:spLocks noChangeArrowheads="1"/>
        </xdr:cNvSpPr>
      </xdr:nvSpPr>
      <xdr:spPr bwMode="auto">
        <a:xfrm>
          <a:off x="4238625" y="14192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0</a:t>
          </a:r>
        </a:p>
      </xdr:txBody>
    </xdr:sp>
    <xdr:clientData/>
  </xdr:twoCellAnchor>
  <xdr:twoCellAnchor>
    <xdr:from>
      <xdr:col>5</xdr:col>
      <xdr:colOff>142875</xdr:colOff>
      <xdr:row>10</xdr:row>
      <xdr:rowOff>28575</xdr:rowOff>
    </xdr:from>
    <xdr:to>
      <xdr:col>5</xdr:col>
      <xdr:colOff>466725</xdr:colOff>
      <xdr:row>12</xdr:row>
      <xdr:rowOff>28575</xdr:rowOff>
    </xdr:to>
    <xdr:sp macro="" textlink="">
      <xdr:nvSpPr>
        <xdr:cNvPr id="8200" name="Text Box 8">
          <a:extLst>
            <a:ext uri="{FF2B5EF4-FFF2-40B4-BE49-F238E27FC236}">
              <a16:creationId xmlns:a16="http://schemas.microsoft.com/office/drawing/2014/main" id="{00000000-0008-0000-0900-000008200000}"/>
            </a:ext>
          </a:extLst>
        </xdr:cNvPr>
        <xdr:cNvSpPr txBox="1">
          <a:spLocks noChangeArrowheads="1"/>
        </xdr:cNvSpPr>
      </xdr:nvSpPr>
      <xdr:spPr bwMode="auto">
        <a:xfrm>
          <a:off x="3190875" y="1647825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N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MAX</a:t>
          </a:r>
        </a:p>
      </xdr:txBody>
    </xdr:sp>
    <xdr:clientData/>
  </xdr:twoCellAnchor>
  <xdr:twoCellAnchor>
    <xdr:from>
      <xdr:col>5</xdr:col>
      <xdr:colOff>419100</xdr:colOff>
      <xdr:row>7</xdr:row>
      <xdr:rowOff>28575</xdr:rowOff>
    </xdr:from>
    <xdr:to>
      <xdr:col>10</xdr:col>
      <xdr:colOff>171450</xdr:colOff>
      <xdr:row>9</xdr:row>
      <xdr:rowOff>95250</xdr:rowOff>
    </xdr:to>
    <xdr:sp macro="" textlink="">
      <xdr:nvSpPr>
        <xdr:cNvPr id="8312" name="Line 9">
          <a:extLst>
            <a:ext uri="{FF2B5EF4-FFF2-40B4-BE49-F238E27FC236}">
              <a16:creationId xmlns:a16="http://schemas.microsoft.com/office/drawing/2014/main" id="{00000000-0008-0000-0900-000078200000}"/>
            </a:ext>
          </a:extLst>
        </xdr:cNvPr>
        <xdr:cNvSpPr>
          <a:spLocks noChangeShapeType="1"/>
        </xdr:cNvSpPr>
      </xdr:nvSpPr>
      <xdr:spPr bwMode="auto">
        <a:xfrm flipH="1">
          <a:off x="3467100" y="1162050"/>
          <a:ext cx="2800350" cy="390525"/>
        </a:xfrm>
        <a:prstGeom prst="line">
          <a:avLst/>
        </a:prstGeom>
        <a:noFill/>
        <a:ln w="19050">
          <a:solidFill>
            <a:srgbClr val="CC99FF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5</xdr:row>
      <xdr:rowOff>47625</xdr:rowOff>
    </xdr:from>
    <xdr:to>
      <xdr:col>9</xdr:col>
      <xdr:colOff>171450</xdr:colOff>
      <xdr:row>11</xdr:row>
      <xdr:rowOff>142875</xdr:rowOff>
    </xdr:to>
    <xdr:sp macro="" textlink="">
      <xdr:nvSpPr>
        <xdr:cNvPr id="8313" name="Line 12">
          <a:extLst>
            <a:ext uri="{FF2B5EF4-FFF2-40B4-BE49-F238E27FC236}">
              <a16:creationId xmlns:a16="http://schemas.microsoft.com/office/drawing/2014/main" id="{00000000-0008-0000-0900-000079200000}"/>
            </a:ext>
          </a:extLst>
        </xdr:cNvPr>
        <xdr:cNvSpPr>
          <a:spLocks noChangeShapeType="1"/>
        </xdr:cNvSpPr>
      </xdr:nvSpPr>
      <xdr:spPr bwMode="auto">
        <a:xfrm flipH="1">
          <a:off x="2343150" y="857250"/>
          <a:ext cx="331470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485775</xdr:colOff>
      <xdr:row>10</xdr:row>
      <xdr:rowOff>85725</xdr:rowOff>
    </xdr:from>
    <xdr:to>
      <xdr:col>3</xdr:col>
      <xdr:colOff>514350</xdr:colOff>
      <xdr:row>11</xdr:row>
      <xdr:rowOff>123825</xdr:rowOff>
    </xdr:to>
    <xdr:sp macro="" textlink="">
      <xdr:nvSpPr>
        <xdr:cNvPr id="8314" name="Line 13">
          <a:extLst>
            <a:ext uri="{FF2B5EF4-FFF2-40B4-BE49-F238E27FC236}">
              <a16:creationId xmlns:a16="http://schemas.microsoft.com/office/drawing/2014/main" id="{00000000-0008-0000-0900-00007A200000}"/>
            </a:ext>
          </a:extLst>
        </xdr:cNvPr>
        <xdr:cNvSpPr>
          <a:spLocks noChangeShapeType="1"/>
        </xdr:cNvSpPr>
      </xdr:nvSpPr>
      <xdr:spPr bwMode="auto">
        <a:xfrm>
          <a:off x="2314575" y="1704975"/>
          <a:ext cx="28575" cy="200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514350</xdr:colOff>
      <xdr:row>9</xdr:row>
      <xdr:rowOff>114300</xdr:rowOff>
    </xdr:from>
    <xdr:to>
      <xdr:col>5</xdr:col>
      <xdr:colOff>390525</xdr:colOff>
      <xdr:row>11</xdr:row>
      <xdr:rowOff>142875</xdr:rowOff>
    </xdr:to>
    <xdr:sp macro="" textlink="">
      <xdr:nvSpPr>
        <xdr:cNvPr id="8315" name="Line 14">
          <a:extLst>
            <a:ext uri="{FF2B5EF4-FFF2-40B4-BE49-F238E27FC236}">
              <a16:creationId xmlns:a16="http://schemas.microsoft.com/office/drawing/2014/main" id="{00000000-0008-0000-0900-00007B200000}"/>
            </a:ext>
          </a:extLst>
        </xdr:cNvPr>
        <xdr:cNvSpPr>
          <a:spLocks noChangeShapeType="1"/>
        </xdr:cNvSpPr>
      </xdr:nvSpPr>
      <xdr:spPr bwMode="auto">
        <a:xfrm flipH="1">
          <a:off x="2343150" y="1571625"/>
          <a:ext cx="1095375" cy="352425"/>
        </a:xfrm>
        <a:prstGeom prst="line">
          <a:avLst/>
        </a:prstGeom>
        <a:noFill/>
        <a:ln w="9525">
          <a:solidFill>
            <a:srgbClr val="FF6600"/>
          </a:solidFill>
          <a:round/>
          <a:headEnd/>
          <a:tailEnd type="triangle" w="med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285750</xdr:colOff>
      <xdr:row>8</xdr:row>
      <xdr:rowOff>57150</xdr:rowOff>
    </xdr:from>
    <xdr:to>
      <xdr:col>5</xdr:col>
      <xdr:colOff>0</xdr:colOff>
      <xdr:row>10</xdr:row>
      <xdr:rowOff>57150</xdr:rowOff>
    </xdr:to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id="{00000000-0008-0000-0900-00000F200000}"/>
            </a:ext>
          </a:extLst>
        </xdr:cNvPr>
        <xdr:cNvSpPr txBox="1">
          <a:spLocks noChangeArrowheads="1"/>
        </xdr:cNvSpPr>
      </xdr:nvSpPr>
      <xdr:spPr bwMode="auto">
        <a:xfrm>
          <a:off x="2724150" y="1352550"/>
          <a:ext cx="323850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pt-BR" sz="1000" b="1" i="0" strike="noStrike" baseline="-25000">
              <a:solidFill>
                <a:srgbClr val="000000"/>
              </a:solidFill>
              <a:latin typeface="Arial"/>
              <a:cs typeface="Arial"/>
            </a:rPr>
            <a:t>MAX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CC99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9050" cap="flat" cmpd="sng" algn="ctr">
          <a:solidFill>
            <a:srgbClr val="CC99FF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drawing" Target="../drawings/drawing4.xml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vmlDrawing" Target="../drawings/vmlDrawing2.vml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comments" Target="../comments3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vmlDrawing" Target="../drawings/vmlDrawing3.vml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comments" Target="../comments4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vmlDrawing" Target="../drawings/vmlDrawing4.vml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comments" Target="../comments5.xm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vmlDrawing" Target="../drawings/vmlDrawing5.vml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comments" Target="../comments6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vmlDrawing" Target="../drawings/vmlDrawing6.vml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comments" Target="../comments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vmlDrawing" Target="../drawings/vmlDrawing7.vml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BP102"/>
  <sheetViews>
    <sheetView tabSelected="1" topLeftCell="D1" zoomScale="60" zoomScaleNormal="60" zoomScaleSheetLayoutView="75" workbookViewId="0">
      <selection activeCell="O13" sqref="O13"/>
    </sheetView>
  </sheetViews>
  <sheetFormatPr defaultRowHeight="12.75" x14ac:dyDescent="0.2"/>
  <cols>
    <col min="1" max="1" width="11.85546875" customWidth="1"/>
    <col min="2" max="2" width="10.85546875" customWidth="1"/>
    <col min="3" max="3" width="12.28515625" customWidth="1"/>
    <col min="5" max="5" width="12" bestFit="1" customWidth="1"/>
    <col min="6" max="6" width="10.42578125" customWidth="1"/>
    <col min="7" max="7" width="10.5703125" customWidth="1"/>
    <col min="8" max="8" width="11.85546875" customWidth="1"/>
    <col min="9" max="9" width="10.140625" customWidth="1"/>
    <col min="10" max="10" width="10.28515625" customWidth="1"/>
    <col min="12" max="12" width="8.85546875" customWidth="1"/>
    <col min="13" max="13" width="10" customWidth="1"/>
    <col min="14" max="14" width="11.85546875" customWidth="1"/>
    <col min="15" max="15" width="14" customWidth="1"/>
    <col min="16" max="16" width="8.28515625" customWidth="1"/>
    <col min="17" max="17" width="14.85546875" customWidth="1"/>
    <col min="18" max="18" width="12.42578125" customWidth="1"/>
    <col min="19" max="19" width="13.7109375" customWidth="1"/>
    <col min="20" max="20" width="11.28515625" customWidth="1"/>
    <col min="21" max="21" width="12.28515625" customWidth="1"/>
    <col min="22" max="22" width="10.5703125" customWidth="1"/>
    <col min="23" max="23" width="11.140625" customWidth="1"/>
    <col min="25" max="26" width="11.5703125" customWidth="1"/>
    <col min="31" max="31" width="13.5703125" customWidth="1"/>
    <col min="47" max="47" width="9.85546875" customWidth="1"/>
    <col min="48" max="48" width="18" bestFit="1" customWidth="1"/>
    <col min="49" max="49" width="10.7109375" bestFit="1" customWidth="1"/>
    <col min="51" max="51" width="10.42578125" customWidth="1"/>
    <col min="52" max="52" width="10" bestFit="1" customWidth="1"/>
  </cols>
  <sheetData>
    <row r="1" spans="1:44" ht="13.5" thickBot="1" x14ac:dyDescent="0.25"/>
    <row r="2" spans="1:44" ht="13.5" thickBot="1" x14ac:dyDescent="0.25">
      <c r="A2" s="103" t="s">
        <v>97</v>
      </c>
      <c r="B2" s="104"/>
      <c r="C2" s="104"/>
      <c r="D2" s="105"/>
      <c r="F2" s="193" t="s">
        <v>220</v>
      </c>
      <c r="P2" s="200" t="s">
        <v>25</v>
      </c>
      <c r="Q2" s="201">
        <f ca="1">-AA30/Y30</f>
        <v>0.69520306634822704</v>
      </c>
      <c r="R2" s="202" t="s">
        <v>206</v>
      </c>
      <c r="S2" s="203"/>
      <c r="T2" s="203"/>
    </row>
    <row r="3" spans="1:44" x14ac:dyDescent="0.2">
      <c r="A3" s="106" t="s">
        <v>5</v>
      </c>
      <c r="B3" s="107"/>
      <c r="C3" s="108" t="s">
        <v>4</v>
      </c>
      <c r="D3" s="109"/>
      <c r="P3" s="195" t="s">
        <v>204</v>
      </c>
      <c r="Q3" s="196">
        <f ca="1">-AA37/Y37</f>
        <v>0.69520306634822704</v>
      </c>
      <c r="R3" s="197" t="s">
        <v>205</v>
      </c>
      <c r="S3" s="198"/>
      <c r="T3" s="198"/>
      <c r="AG3">
        <f>+$D$4</f>
        <v>15</v>
      </c>
      <c r="AH3">
        <f>+$S31</f>
        <v>0</v>
      </c>
      <c r="AI3">
        <f>+$D$4</f>
        <v>15</v>
      </c>
      <c r="AJ3">
        <f>+$S32</f>
        <v>0</v>
      </c>
      <c r="AK3">
        <f>+$D$4</f>
        <v>15</v>
      </c>
      <c r="AL3">
        <f>+$S33</f>
        <v>0</v>
      </c>
      <c r="AM3">
        <f>+$D$4</f>
        <v>15</v>
      </c>
      <c r="AN3">
        <f>+$S34</f>
        <v>0</v>
      </c>
      <c r="AO3">
        <f>+$D$4</f>
        <v>15</v>
      </c>
      <c r="AP3">
        <f>+$S35</f>
        <v>0</v>
      </c>
      <c r="AQ3">
        <f>+$D$4</f>
        <v>15</v>
      </c>
      <c r="AR3">
        <f>+$S36</f>
        <v>0</v>
      </c>
    </row>
    <row r="4" spans="1:44" x14ac:dyDescent="0.2">
      <c r="A4" s="110" t="s">
        <v>2</v>
      </c>
      <c r="B4" s="111">
        <v>15</v>
      </c>
      <c r="C4" s="112" t="s">
        <v>6</v>
      </c>
      <c r="D4" s="113">
        <v>15</v>
      </c>
      <c r="P4" s="199"/>
      <c r="Q4" s="199"/>
      <c r="R4" s="199"/>
      <c r="S4" s="199"/>
      <c r="T4" s="199"/>
      <c r="AG4">
        <f>AG3-$V31*COS($D$16)</f>
        <v>15</v>
      </c>
      <c r="AH4">
        <f>AH3-$V31*SIN($D$16)</f>
        <v>0</v>
      </c>
      <c r="AI4">
        <f>AI3-$V32*COS($D$16)</f>
        <v>15</v>
      </c>
      <c r="AJ4">
        <f>AJ3-$V32*SIN($D$16)</f>
        <v>0</v>
      </c>
      <c r="AK4">
        <f>AK3-$V33*COS($D$16)</f>
        <v>15</v>
      </c>
      <c r="AL4">
        <f>AL3-$V33*SIN($D$16)</f>
        <v>0</v>
      </c>
      <c r="AM4">
        <f>AM3-$V34*COS($D$16)</f>
        <v>15</v>
      </c>
      <c r="AN4">
        <f>AN3-$V34*SIN($D$16)</f>
        <v>0</v>
      </c>
      <c r="AO4">
        <f>AO3-$V35*COS($D$16)</f>
        <v>15</v>
      </c>
      <c r="AP4">
        <f>AP3-$V35*SIN($D$16)</f>
        <v>0</v>
      </c>
      <c r="AQ4">
        <f>AQ3-$V36*COS($D$16)</f>
        <v>15</v>
      </c>
      <c r="AR4">
        <f>AR3-$V36*SIN($D$16)</f>
        <v>0</v>
      </c>
    </row>
    <row r="5" spans="1:44" ht="13.5" thickBot="1" x14ac:dyDescent="0.25">
      <c r="A5" s="114" t="s">
        <v>3</v>
      </c>
      <c r="B5" s="115">
        <v>0</v>
      </c>
      <c r="C5" s="116" t="s">
        <v>7</v>
      </c>
      <c r="D5" s="117">
        <v>8</v>
      </c>
    </row>
    <row r="6" spans="1:44" ht="13.5" thickBot="1" x14ac:dyDescent="0.25">
      <c r="D6" s="2"/>
      <c r="R6" s="6"/>
    </row>
    <row r="7" spans="1:44" ht="13.5" thickBot="1" x14ac:dyDescent="0.25">
      <c r="A7" s="103" t="s">
        <v>52</v>
      </c>
      <c r="B7" s="118"/>
      <c r="C7" s="119"/>
      <c r="D7" s="2"/>
      <c r="AG7">
        <v>5</v>
      </c>
      <c r="AH7">
        <f>+D5</f>
        <v>8</v>
      </c>
    </row>
    <row r="8" spans="1:44" ht="14.25" x14ac:dyDescent="0.2">
      <c r="A8" s="120" t="s">
        <v>106</v>
      </c>
      <c r="B8" s="121">
        <v>18</v>
      </c>
      <c r="C8" s="122" t="s">
        <v>107</v>
      </c>
      <c r="AG8">
        <f>+D4</f>
        <v>15</v>
      </c>
      <c r="AH8">
        <f>+D5</f>
        <v>8</v>
      </c>
    </row>
    <row r="9" spans="1:44" x14ac:dyDescent="0.2">
      <c r="A9" s="123" t="s">
        <v>104</v>
      </c>
      <c r="B9" s="124">
        <v>15</v>
      </c>
      <c r="C9" s="125" t="s">
        <v>105</v>
      </c>
      <c r="AG9">
        <f>+B4</f>
        <v>15</v>
      </c>
      <c r="AH9">
        <f>+B5</f>
        <v>0</v>
      </c>
    </row>
    <row r="10" spans="1:44" x14ac:dyDescent="0.2">
      <c r="A10" s="126" t="s">
        <v>28</v>
      </c>
      <c r="B10" s="124">
        <v>28</v>
      </c>
      <c r="C10" s="113" t="s">
        <v>14</v>
      </c>
      <c r="AG10">
        <v>25</v>
      </c>
      <c r="AH10">
        <v>0</v>
      </c>
    </row>
    <row r="11" spans="1:44" ht="13.5" thickBot="1" x14ac:dyDescent="0.25">
      <c r="A11" s="127" t="s">
        <v>29</v>
      </c>
      <c r="B11" s="128">
        <f>TAN(PI()*B10/180)</f>
        <v>0.53170943166147877</v>
      </c>
      <c r="C11" s="129"/>
    </row>
    <row r="12" spans="1:44" ht="13.5" thickBot="1" x14ac:dyDescent="0.25">
      <c r="AC12" s="19"/>
    </row>
    <row r="13" spans="1:44" ht="13.5" thickBot="1" x14ac:dyDescent="0.25">
      <c r="A13" s="103" t="s">
        <v>216</v>
      </c>
      <c r="B13" s="186">
        <f ca="1">Q2</f>
        <v>0.69520306634822704</v>
      </c>
      <c r="H13" s="187" t="s">
        <v>217</v>
      </c>
      <c r="I13" s="186">
        <f ca="1">BP77</f>
        <v>1.4987670402067645</v>
      </c>
      <c r="AI13" s="1"/>
    </row>
    <row r="14" spans="1:44" x14ac:dyDescent="0.2">
      <c r="A14" s="130" t="s">
        <v>98</v>
      </c>
      <c r="B14" s="131"/>
      <c r="H14" s="130" t="s">
        <v>98</v>
      </c>
      <c r="I14" s="131"/>
    </row>
    <row r="15" spans="1:44" x14ac:dyDescent="0.2">
      <c r="A15" s="132" t="s">
        <v>0</v>
      </c>
      <c r="B15" s="170">
        <f>+$B$44</f>
        <v>26.488999998843667</v>
      </c>
      <c r="H15" s="132" t="s">
        <v>0</v>
      </c>
      <c r="I15" s="170">
        <v>15.44</v>
      </c>
      <c r="AG15" s="57">
        <f t="shared" ref="AG15:AG20" si="0">+Y31+Y$30</f>
        <v>3072.103643790942</v>
      </c>
      <c r="AH15" s="57">
        <f>SUM(Y$30:Y31)</f>
        <v>3072.103643790942</v>
      </c>
      <c r="AJ15" s="58">
        <f t="shared" ref="AJ15:AJ20" ca="1" si="1">+AA31+AA$30</f>
        <v>-2135.7358733030242</v>
      </c>
      <c r="AK15" s="58">
        <f ca="1">SUM(AA$30:AA31)</f>
        <v>-2135.7358733030242</v>
      </c>
      <c r="AM15" s="59">
        <f t="shared" ref="AM15:AN20" ca="1" si="2">-AJ15/AG15</f>
        <v>0.69520306634822704</v>
      </c>
      <c r="AN15" s="59">
        <f t="shared" ca="1" si="2"/>
        <v>0.69520306634822704</v>
      </c>
    </row>
    <row r="16" spans="1:44" x14ac:dyDescent="0.2">
      <c r="A16" s="132" t="s">
        <v>1</v>
      </c>
      <c r="B16" s="170">
        <f>+$B$45</f>
        <v>8.0001799371370552</v>
      </c>
      <c r="D16" s="54">
        <f>P31*PI()/180</f>
        <v>0</v>
      </c>
      <c r="H16" s="132" t="s">
        <v>1</v>
      </c>
      <c r="I16" s="170">
        <v>8</v>
      </c>
      <c r="K16" s="54">
        <f>AE5*PI()/180</f>
        <v>0</v>
      </c>
      <c r="P16" s="1"/>
      <c r="Q16" s="19"/>
      <c r="AG16" s="57">
        <f t="shared" si="0"/>
        <v>3072.103643790942</v>
      </c>
      <c r="AH16" s="57">
        <f>SUM(Y$30:Y32)</f>
        <v>3072.103643790942</v>
      </c>
      <c r="AJ16" s="58">
        <f t="shared" ca="1" si="1"/>
        <v>-2135.7358733030242</v>
      </c>
      <c r="AK16" s="58">
        <f ca="1">SUM(AA$30:AA32)</f>
        <v>-2135.7358733030242</v>
      </c>
      <c r="AM16" s="59">
        <f t="shared" ca="1" si="2"/>
        <v>0.69520306634822704</v>
      </c>
      <c r="AN16" s="59">
        <f t="shared" ca="1" si="2"/>
        <v>0.69520306634822704</v>
      </c>
    </row>
    <row r="17" spans="1:40" x14ac:dyDescent="0.2">
      <c r="A17" s="133" t="s">
        <v>207</v>
      </c>
      <c r="B17" s="134"/>
      <c r="D17" s="2"/>
      <c r="H17" s="133" t="s">
        <v>207</v>
      </c>
      <c r="I17" s="134"/>
      <c r="K17" s="2"/>
      <c r="AG17" s="57">
        <f t="shared" si="0"/>
        <v>3072.103643790942</v>
      </c>
      <c r="AH17" s="57">
        <f>SUM(Y$30:Y33)</f>
        <v>3072.103643790942</v>
      </c>
      <c r="AJ17" s="58">
        <f t="shared" ca="1" si="1"/>
        <v>-2135.7358733030242</v>
      </c>
      <c r="AK17" s="58">
        <f ca="1">SUM(AA$30:AA33)</f>
        <v>-2135.7358733030242</v>
      </c>
      <c r="AM17" s="59">
        <f t="shared" ca="1" si="2"/>
        <v>0.69520306634822704</v>
      </c>
      <c r="AN17" s="59">
        <f t="shared" ca="1" si="2"/>
        <v>0.69520306634822704</v>
      </c>
    </row>
    <row r="18" spans="1:40" ht="13.5" thickBot="1" x14ac:dyDescent="0.25">
      <c r="A18" s="135" t="s">
        <v>26</v>
      </c>
      <c r="B18" s="182">
        <f>+$B$27</f>
        <v>14</v>
      </c>
      <c r="D18" s="2"/>
      <c r="H18" s="135" t="s">
        <v>26</v>
      </c>
      <c r="I18" s="182">
        <v>8.01</v>
      </c>
      <c r="K18" s="2"/>
      <c r="AG18" s="57">
        <f t="shared" si="0"/>
        <v>3072.103643790942</v>
      </c>
      <c r="AH18" s="57">
        <f>SUM(Y$30:Y34)</f>
        <v>3072.103643790942</v>
      </c>
      <c r="AJ18" s="58">
        <f t="shared" ca="1" si="1"/>
        <v>-2135.7358733030242</v>
      </c>
      <c r="AK18" s="58">
        <f ca="1">SUM(AA$30:AA34)</f>
        <v>-2135.7358733030242</v>
      </c>
      <c r="AM18" s="59">
        <f t="shared" ca="1" si="2"/>
        <v>0.69520306634822704</v>
      </c>
      <c r="AN18" s="59">
        <f t="shared" ca="1" si="2"/>
        <v>0.69520306634822704</v>
      </c>
    </row>
    <row r="19" spans="1:40" ht="13.5" thickBot="1" x14ac:dyDescent="0.25">
      <c r="D19" s="2"/>
      <c r="K19" s="2"/>
      <c r="AG19" s="57">
        <f t="shared" si="0"/>
        <v>3072.103643790942</v>
      </c>
      <c r="AH19" s="57">
        <f>SUM(Y$30:Y35)</f>
        <v>3072.103643790942</v>
      </c>
      <c r="AJ19" s="58">
        <f t="shared" ca="1" si="1"/>
        <v>-2135.7358733030242</v>
      </c>
      <c r="AK19" s="58">
        <f ca="1">SUM(AA$30:AA35)</f>
        <v>-2135.7358733030242</v>
      </c>
      <c r="AM19" s="59">
        <f t="shared" ca="1" si="2"/>
        <v>0.69520306634822704</v>
      </c>
      <c r="AN19" s="59">
        <f t="shared" ca="1" si="2"/>
        <v>0.69520306634822704</v>
      </c>
    </row>
    <row r="20" spans="1:40" x14ac:dyDescent="0.2">
      <c r="A20" s="136" t="s">
        <v>210</v>
      </c>
      <c r="B20" s="80"/>
      <c r="C20" s="80"/>
      <c r="D20" s="137"/>
      <c r="H20" s="136" t="s">
        <v>210</v>
      </c>
      <c r="I20" s="80"/>
      <c r="J20" s="80"/>
      <c r="K20" s="137"/>
      <c r="AG20" s="57">
        <f t="shared" si="0"/>
        <v>3072.103643790942</v>
      </c>
      <c r="AH20" s="57">
        <f>SUM(Y$30:Y36)</f>
        <v>3072.103643790942</v>
      </c>
      <c r="AJ20" s="58">
        <f t="shared" ca="1" si="1"/>
        <v>-2135.7358733030242</v>
      </c>
      <c r="AK20" s="58">
        <f ca="1">SUM(AA$30:AA36)</f>
        <v>-2135.7358733030242</v>
      </c>
      <c r="AM20" s="59">
        <f t="shared" ca="1" si="2"/>
        <v>0.69520306634822704</v>
      </c>
      <c r="AN20" s="59">
        <f t="shared" ca="1" si="2"/>
        <v>0.69520306634822704</v>
      </c>
    </row>
    <row r="21" spans="1:40" ht="13.5" thickBot="1" x14ac:dyDescent="0.25">
      <c r="A21" s="140" t="s">
        <v>208</v>
      </c>
      <c r="B21" s="139"/>
      <c r="C21" s="139"/>
      <c r="D21" s="141"/>
      <c r="H21" s="140" t="s">
        <v>208</v>
      </c>
      <c r="I21" s="139"/>
      <c r="J21" s="139"/>
      <c r="K21" s="141"/>
      <c r="S21" s="1"/>
    </row>
    <row r="22" spans="1:40" x14ac:dyDescent="0.2">
      <c r="A22" s="138" t="s">
        <v>211</v>
      </c>
      <c r="B22" s="19"/>
      <c r="C22" s="19"/>
      <c r="D22" s="46"/>
      <c r="H22" s="138" t="s">
        <v>211</v>
      </c>
      <c r="I22" s="19"/>
      <c r="J22" s="19"/>
      <c r="K22" s="46"/>
      <c r="S22" s="1"/>
      <c r="Z22" s="168"/>
    </row>
    <row r="23" spans="1:40" x14ac:dyDescent="0.2">
      <c r="A23" s="138" t="str">
        <f>"na superfície do terrapleno (Y2="&amp;D5&amp;")"</f>
        <v>na superfície do terrapleno (Y2=8)</v>
      </c>
      <c r="B23" s="19"/>
      <c r="C23" s="19"/>
      <c r="D23" s="46"/>
      <c r="H23" s="138" t="str">
        <f>"na superfície do terrapleno (Y2="&amp;K5&amp;")"</f>
        <v>na superfície do terrapleno (Y2=)</v>
      </c>
      <c r="I23" s="19"/>
      <c r="J23" s="19"/>
      <c r="K23" s="46"/>
      <c r="S23" s="1"/>
      <c r="V23" s="1"/>
    </row>
    <row r="24" spans="1:40" ht="13.5" thickBot="1" x14ac:dyDescent="0.25">
      <c r="A24" s="34" t="s">
        <v>188</v>
      </c>
      <c r="B24" s="144">
        <v>12.489000000000001</v>
      </c>
      <c r="C24" s="90"/>
      <c r="D24" s="145"/>
      <c r="H24" s="192" t="s">
        <v>218</v>
      </c>
      <c r="I24" s="144">
        <v>5.2</v>
      </c>
      <c r="J24" s="90"/>
      <c r="K24" s="145"/>
      <c r="S24" s="1"/>
      <c r="V24" s="1"/>
    </row>
    <row r="25" spans="1:40" ht="13.5" thickBot="1" x14ac:dyDescent="0.25">
      <c r="A25" s="34" t="s">
        <v>189</v>
      </c>
      <c r="B25" s="142">
        <f>+D5</f>
        <v>8</v>
      </c>
      <c r="C25" s="146"/>
      <c r="D25" s="46"/>
      <c r="H25" s="192" t="s">
        <v>219</v>
      </c>
      <c r="I25" s="142">
        <f>+D5</f>
        <v>8</v>
      </c>
      <c r="J25" s="146"/>
      <c r="K25" s="46"/>
      <c r="AH25" s="150" t="s">
        <v>191</v>
      </c>
      <c r="AI25" s="104"/>
      <c r="AJ25" s="104"/>
      <c r="AK25" s="105"/>
    </row>
    <row r="26" spans="1:40" x14ac:dyDescent="0.2">
      <c r="A26" s="32" t="s">
        <v>209</v>
      </c>
      <c r="B26" s="60"/>
      <c r="C26" s="146"/>
      <c r="D26" s="46"/>
      <c r="H26" s="32" t="s">
        <v>209</v>
      </c>
      <c r="I26" s="60"/>
      <c r="J26" s="146"/>
      <c r="K26" s="46"/>
      <c r="AH26" s="151" t="s">
        <v>182</v>
      </c>
      <c r="AI26" s="152"/>
      <c r="AJ26" s="152"/>
      <c r="AK26" s="153"/>
    </row>
    <row r="27" spans="1:40" ht="13.5" thickBot="1" x14ac:dyDescent="0.25">
      <c r="A27" s="36" t="s">
        <v>187</v>
      </c>
      <c r="B27" s="143">
        <v>14</v>
      </c>
      <c r="C27" s="147"/>
      <c r="D27" s="47"/>
      <c r="H27" s="36" t="s">
        <v>187</v>
      </c>
      <c r="I27" s="143">
        <v>12</v>
      </c>
      <c r="J27" s="147"/>
      <c r="K27" s="47"/>
      <c r="P27" s="102" t="s">
        <v>177</v>
      </c>
      <c r="Q27" s="102"/>
      <c r="R27" s="169">
        <f>+Z22</f>
        <v>0</v>
      </c>
      <c r="S27" s="102" t="s">
        <v>192</v>
      </c>
      <c r="T27" s="101"/>
      <c r="AH27" s="154">
        <f>D4-D5</f>
        <v>7</v>
      </c>
      <c r="AI27" s="155">
        <f>D4+AJ27*D5</f>
        <v>175</v>
      </c>
      <c r="AJ27" s="156">
        <v>20</v>
      </c>
      <c r="AK27" s="153"/>
    </row>
    <row r="28" spans="1:40" ht="13.5" thickBot="1" x14ac:dyDescent="0.25">
      <c r="AH28" s="154">
        <f>D5</f>
        <v>8</v>
      </c>
      <c r="AI28" s="155">
        <f>D5+AJ28*D5</f>
        <v>168</v>
      </c>
      <c r="AJ28" s="156">
        <v>20</v>
      </c>
      <c r="AK28" s="153"/>
    </row>
    <row r="29" spans="1:40" ht="13.5" thickBot="1" x14ac:dyDescent="0.25">
      <c r="A29" s="1"/>
      <c r="H29" s="1"/>
      <c r="O29" s="21" t="s">
        <v>186</v>
      </c>
      <c r="P29" s="22"/>
      <c r="Q29" s="23"/>
      <c r="S29" s="21" t="s">
        <v>99</v>
      </c>
      <c r="T29" s="22" t="s">
        <v>100</v>
      </c>
      <c r="U29" s="22" t="s">
        <v>101</v>
      </c>
      <c r="V29" s="39"/>
      <c r="W29" s="23"/>
      <c r="X29" s="4" t="s">
        <v>174</v>
      </c>
      <c r="Y29" s="55" t="s">
        <v>175</v>
      </c>
      <c r="Z29" s="5" t="s">
        <v>174</v>
      </c>
      <c r="AA29" s="56" t="s">
        <v>176</v>
      </c>
      <c r="AH29" s="157" t="s">
        <v>185</v>
      </c>
      <c r="AI29" s="152"/>
      <c r="AJ29" s="158" t="s">
        <v>179</v>
      </c>
      <c r="AK29" s="159">
        <f>(B15-B4)^2</f>
        <v>131.99712097342979</v>
      </c>
    </row>
    <row r="30" spans="1:40" ht="16.5" thickBot="1" x14ac:dyDescent="0.35">
      <c r="O30" s="30" t="s">
        <v>56</v>
      </c>
      <c r="P30" s="48">
        <v>0</v>
      </c>
      <c r="Q30" s="31" t="s">
        <v>54</v>
      </c>
      <c r="S30" s="40" t="s">
        <v>78</v>
      </c>
      <c r="T30" s="41" t="s">
        <v>96</v>
      </c>
      <c r="U30" s="38"/>
      <c r="V30" s="42" t="s">
        <v>103</v>
      </c>
      <c r="W30" s="43" t="s">
        <v>102</v>
      </c>
      <c r="X30" s="4" t="s">
        <v>21</v>
      </c>
      <c r="Y30" s="165">
        <f>+$F$101</f>
        <v>3072.103643790942</v>
      </c>
      <c r="Z30" s="5" t="s">
        <v>24</v>
      </c>
      <c r="AA30" s="167">
        <f ca="1">-$F$101*$AR$77</f>
        <v>-2135.7358733030242</v>
      </c>
      <c r="AH30" s="157" t="s">
        <v>184</v>
      </c>
      <c r="AI30" s="152"/>
      <c r="AJ30" s="110" t="s">
        <v>180</v>
      </c>
      <c r="AK30" s="160">
        <f>(B16-B5)^2</f>
        <v>64.002879026570255</v>
      </c>
    </row>
    <row r="31" spans="1:40" ht="13.5" thickBot="1" x14ac:dyDescent="0.25">
      <c r="O31" s="32" t="s">
        <v>13</v>
      </c>
      <c r="P31" s="49">
        <v>0</v>
      </c>
      <c r="Q31" s="33" t="s">
        <v>14</v>
      </c>
      <c r="S31" s="51">
        <v>0</v>
      </c>
      <c r="T31" s="25">
        <v>1</v>
      </c>
      <c r="U31" s="24" t="s">
        <v>8</v>
      </c>
      <c r="V31" s="24">
        <f t="shared" ref="V31:V36" si="3">IF(NOT(ISBLANK(W31)),W31,$P$30)</f>
        <v>0</v>
      </c>
      <c r="W31" s="52"/>
      <c r="X31" s="3" t="s">
        <v>22</v>
      </c>
      <c r="Y31" s="166">
        <f>+'Linha 1'!L$12</f>
        <v>0</v>
      </c>
      <c r="Z31" s="3" t="s">
        <v>30</v>
      </c>
      <c r="AA31" s="166">
        <f>+'Linha 1'!L$20</f>
        <v>0</v>
      </c>
      <c r="AH31" s="162" t="s">
        <v>178</v>
      </c>
      <c r="AI31" s="163">
        <f>B18^2</f>
        <v>196</v>
      </c>
      <c r="AJ31" s="114" t="s">
        <v>181</v>
      </c>
      <c r="AK31" s="161">
        <f>AK30+AK29</f>
        <v>196.00000000000006</v>
      </c>
    </row>
    <row r="32" spans="1:40" ht="15.75" x14ac:dyDescent="0.3">
      <c r="O32" s="34" t="s">
        <v>55</v>
      </c>
      <c r="P32" s="49">
        <v>0.6</v>
      </c>
      <c r="Q32" s="35"/>
      <c r="S32" s="26">
        <f>S31-$P$37</f>
        <v>0</v>
      </c>
      <c r="T32" s="25">
        <v>2</v>
      </c>
      <c r="U32" s="24" t="s">
        <v>12</v>
      </c>
      <c r="V32" s="24">
        <f t="shared" si="3"/>
        <v>0</v>
      </c>
      <c r="W32" s="52"/>
      <c r="X32" s="3" t="s">
        <v>23</v>
      </c>
      <c r="Y32" s="166">
        <f>+'Linha 2'!L$12</f>
        <v>0</v>
      </c>
      <c r="Z32" s="3" t="s">
        <v>31</v>
      </c>
      <c r="AA32" s="166">
        <f>+'Linha 2'!L$20</f>
        <v>0</v>
      </c>
    </row>
    <row r="33" spans="1:27" ht="15.75" x14ac:dyDescent="0.3">
      <c r="O33" s="34" t="s">
        <v>53</v>
      </c>
      <c r="P33" s="49">
        <v>30</v>
      </c>
      <c r="Q33" s="33" t="s">
        <v>81</v>
      </c>
      <c r="S33" s="26">
        <f>S32-$P$37</f>
        <v>0</v>
      </c>
      <c r="T33" s="25">
        <v>3</v>
      </c>
      <c r="U33" s="24" t="s">
        <v>49</v>
      </c>
      <c r="V33" s="24">
        <f t="shared" si="3"/>
        <v>0</v>
      </c>
      <c r="W33" s="52"/>
      <c r="X33" s="3" t="s">
        <v>27</v>
      </c>
      <c r="Y33" s="166">
        <f>+'Linha 3'!L$12</f>
        <v>0</v>
      </c>
      <c r="Z33" s="3" t="s">
        <v>32</v>
      </c>
      <c r="AA33" s="166">
        <f>+'Linha 3'!L$20</f>
        <v>0</v>
      </c>
    </row>
    <row r="34" spans="1:27" ht="16.5" thickBot="1" x14ac:dyDescent="0.35">
      <c r="O34" s="34" t="s">
        <v>83</v>
      </c>
      <c r="P34" s="164">
        <f>IF(P36&lt;&gt;0,P33/P36/P35,0)</f>
        <v>0</v>
      </c>
      <c r="Q34" s="33" t="s">
        <v>82</v>
      </c>
      <c r="S34" s="26">
        <f>S33-$P$37</f>
        <v>0</v>
      </c>
      <c r="T34" s="25">
        <v>4</v>
      </c>
      <c r="U34" s="24" t="s">
        <v>63</v>
      </c>
      <c r="V34" s="24">
        <f t="shared" si="3"/>
        <v>0</v>
      </c>
      <c r="W34" s="52"/>
      <c r="X34" s="3" t="s">
        <v>66</v>
      </c>
      <c r="Y34" s="166">
        <f>+'Linha 4'!L$12</f>
        <v>0</v>
      </c>
      <c r="Z34" s="3" t="s">
        <v>69</v>
      </c>
      <c r="AA34" s="166">
        <f>+'Linha 4'!L$20</f>
        <v>0</v>
      </c>
    </row>
    <row r="35" spans="1:27" ht="15.75" x14ac:dyDescent="0.3">
      <c r="A35" s="175" t="s">
        <v>215</v>
      </c>
      <c r="B35" s="64"/>
      <c r="C35" s="64"/>
      <c r="D35" s="64"/>
      <c r="E35" s="171"/>
      <c r="H35" s="175" t="s">
        <v>215</v>
      </c>
      <c r="I35" s="64"/>
      <c r="J35" s="64"/>
      <c r="K35" s="64"/>
      <c r="L35" s="171"/>
      <c r="O35" s="34" t="s">
        <v>62</v>
      </c>
      <c r="P35" s="194">
        <v>1.5</v>
      </c>
      <c r="Q35" s="35"/>
      <c r="S35" s="26">
        <f>S34-$P$37</f>
        <v>0</v>
      </c>
      <c r="T35" s="25">
        <v>5</v>
      </c>
      <c r="U35" s="24" t="s">
        <v>64</v>
      </c>
      <c r="V35" s="24">
        <f t="shared" si="3"/>
        <v>0</v>
      </c>
      <c r="W35" s="52"/>
      <c r="X35" s="3" t="s">
        <v>67</v>
      </c>
      <c r="Y35" s="166">
        <f>+'Linha 5'!L$12</f>
        <v>0</v>
      </c>
      <c r="Z35" s="3" t="s">
        <v>71</v>
      </c>
      <c r="AA35" s="166">
        <f>+'Linha 5'!L$20</f>
        <v>0</v>
      </c>
    </row>
    <row r="36" spans="1:27" ht="13.5" thickBot="1" x14ac:dyDescent="0.25">
      <c r="A36" s="176" t="s">
        <v>212</v>
      </c>
      <c r="B36" s="60">
        <f>B24-$E36</f>
        <v>-1.2554999999999996</v>
      </c>
      <c r="C36" s="60">
        <f>E36-$E36</f>
        <v>0</v>
      </c>
      <c r="D36" s="60">
        <f>B4-$E36</f>
        <v>1.2554999999999996</v>
      </c>
      <c r="E36" s="35">
        <f>0.5*(B4+B24)</f>
        <v>13.7445</v>
      </c>
      <c r="H36" s="176" t="s">
        <v>212</v>
      </c>
      <c r="I36" s="60">
        <f>I24-$L36</f>
        <v>-4.8999999999999995</v>
      </c>
      <c r="J36" s="60">
        <f>L36-$L36</f>
        <v>0</v>
      </c>
      <c r="K36" s="60">
        <f>B4-$L36</f>
        <v>4.9000000000000004</v>
      </c>
      <c r="L36" s="35">
        <f>0.5*(B4+I24)</f>
        <v>10.1</v>
      </c>
      <c r="O36" s="34" t="s">
        <v>79</v>
      </c>
      <c r="P36" s="49">
        <v>0</v>
      </c>
      <c r="Q36" s="35" t="s">
        <v>54</v>
      </c>
      <c r="S36" s="27">
        <f>S35-$P$37</f>
        <v>0</v>
      </c>
      <c r="T36" s="28">
        <v>6</v>
      </c>
      <c r="U36" s="29" t="s">
        <v>65</v>
      </c>
      <c r="V36" s="29">
        <f t="shared" si="3"/>
        <v>0</v>
      </c>
      <c r="W36" s="53"/>
      <c r="X36" s="3" t="s">
        <v>68</v>
      </c>
      <c r="Y36" s="166">
        <f>+'Linha 6'!L$12</f>
        <v>0</v>
      </c>
      <c r="Z36" s="3" t="s">
        <v>70</v>
      </c>
      <c r="AA36" s="166">
        <f>+'Linha 6'!L$20</f>
        <v>0</v>
      </c>
    </row>
    <row r="37" spans="1:27" ht="15" thickBot="1" x14ac:dyDescent="0.3">
      <c r="A37" s="176" t="s">
        <v>213</v>
      </c>
      <c r="B37" s="60">
        <f>B25-$E37</f>
        <v>4</v>
      </c>
      <c r="C37" s="60">
        <f>E37-$E37</f>
        <v>0</v>
      </c>
      <c r="D37" s="60">
        <f>B5-$E37</f>
        <v>-4</v>
      </c>
      <c r="E37" s="35">
        <f>0.5*(B5+B25)</f>
        <v>4</v>
      </c>
      <c r="H37" s="176" t="s">
        <v>213</v>
      </c>
      <c r="I37" s="60">
        <f>I25-$L37</f>
        <v>4</v>
      </c>
      <c r="J37" s="60">
        <f>L37-$L37</f>
        <v>0</v>
      </c>
      <c r="K37" s="60">
        <f>B5-$L37</f>
        <v>-4</v>
      </c>
      <c r="L37" s="35">
        <f>0.5*(B5+I25)</f>
        <v>4</v>
      </c>
      <c r="O37" s="36" t="s">
        <v>80</v>
      </c>
      <c r="P37" s="50">
        <v>0</v>
      </c>
      <c r="Q37" s="37" t="s">
        <v>54</v>
      </c>
      <c r="X37" s="4" t="s">
        <v>94</v>
      </c>
      <c r="Y37" s="165">
        <f>SUM(Y30:Y36)</f>
        <v>3072.103643790942</v>
      </c>
      <c r="Z37" s="5" t="s">
        <v>95</v>
      </c>
      <c r="AA37" s="167">
        <f ca="1">SUM(AA30:AA36)</f>
        <v>-2135.7358733030242</v>
      </c>
    </row>
    <row r="38" spans="1:27" x14ac:dyDescent="0.2">
      <c r="A38" s="149" t="s">
        <v>214</v>
      </c>
      <c r="B38" s="60">
        <f>B37/B36</f>
        <v>-3.1859816806053374</v>
      </c>
      <c r="C38" s="24" t="s">
        <v>190</v>
      </c>
      <c r="D38" s="60">
        <f>D37/D36</f>
        <v>-3.1859816806053374</v>
      </c>
      <c r="E38" s="35"/>
      <c r="H38" s="149" t="s">
        <v>214</v>
      </c>
      <c r="I38" s="60">
        <f>I37/I36</f>
        <v>-0.81632653061224503</v>
      </c>
      <c r="J38" s="24" t="s">
        <v>190</v>
      </c>
      <c r="K38" s="60">
        <f>K37/K36</f>
        <v>-0.81632653061224481</v>
      </c>
      <c r="L38" s="35"/>
    </row>
    <row r="39" spans="1:27" x14ac:dyDescent="0.2">
      <c r="A39" s="34" t="s">
        <v>156</v>
      </c>
      <c r="B39" s="60">
        <f>1+1/D38^2</f>
        <v>1.098517515625</v>
      </c>
      <c r="C39" s="90"/>
      <c r="D39" s="177"/>
      <c r="E39" s="145"/>
      <c r="H39" s="34" t="s">
        <v>156</v>
      </c>
      <c r="I39" s="60">
        <f>1+1/K38^2</f>
        <v>2.5006250000000003</v>
      </c>
      <c r="J39" s="90"/>
      <c r="K39" s="177"/>
      <c r="L39" s="145"/>
    </row>
    <row r="40" spans="1:27" x14ac:dyDescent="0.2">
      <c r="A40" s="34" t="s">
        <v>169</v>
      </c>
      <c r="B40" s="60">
        <v>0</v>
      </c>
      <c r="C40" s="146"/>
      <c r="D40" s="19"/>
      <c r="E40" s="46"/>
      <c r="H40" s="34" t="s">
        <v>169</v>
      </c>
      <c r="I40" s="60">
        <v>0</v>
      </c>
      <c r="J40" s="146"/>
      <c r="K40" s="19"/>
      <c r="L40" s="46"/>
    </row>
    <row r="41" spans="1:27" x14ac:dyDescent="0.2">
      <c r="A41" s="34" t="s">
        <v>170</v>
      </c>
      <c r="B41" s="60">
        <f>D36^2+D37^2-B27^2</f>
        <v>-178.42371975</v>
      </c>
      <c r="C41" s="178"/>
      <c r="D41" s="179"/>
      <c r="E41" s="46"/>
      <c r="H41" s="34" t="s">
        <v>170</v>
      </c>
      <c r="I41" s="60">
        <f>K36^2+K37^2-I27^2</f>
        <v>-103.99</v>
      </c>
      <c r="J41" s="178"/>
      <c r="K41" s="179"/>
      <c r="L41" s="46"/>
    </row>
    <row r="42" spans="1:27" x14ac:dyDescent="0.2">
      <c r="A42" s="34" t="s">
        <v>172</v>
      </c>
      <c r="B42" s="60">
        <f>IF(C42&gt;0,C42,D42)</f>
        <v>12.744499998843667</v>
      </c>
      <c r="C42" s="60">
        <f>(-B40+SQRT(B40^2-4*B39*B41)/2/B39)</f>
        <v>12.744499998843667</v>
      </c>
      <c r="D42" s="60">
        <f>(-B40-SQRT(B40^2-4*B39*B41)/2/B39)</f>
        <v>-12.744499998843667</v>
      </c>
      <c r="E42" s="180"/>
      <c r="H42" s="34" t="s">
        <v>172</v>
      </c>
      <c r="I42" s="60">
        <f>IF(J42&gt;0,J42,K42)</f>
        <v>6.4486900684635335</v>
      </c>
      <c r="J42" s="60">
        <f>(-I40+SQRT(I40^2-4*I39*I41)/2/I39)</f>
        <v>6.4486900684635335</v>
      </c>
      <c r="K42" s="60">
        <f>(-I40-SQRT(I40^2-4*I39*I41)/2/I39)</f>
        <v>-6.4486900684635335</v>
      </c>
      <c r="L42" s="180"/>
    </row>
    <row r="43" spans="1:27" x14ac:dyDescent="0.2">
      <c r="A43" s="34" t="s">
        <v>173</v>
      </c>
      <c r="B43" s="60">
        <f>-1/D38*B42</f>
        <v>4.0001799371370543</v>
      </c>
      <c r="C43" s="181"/>
      <c r="D43" s="177"/>
      <c r="E43" s="46"/>
      <c r="H43" s="34" t="s">
        <v>173</v>
      </c>
      <c r="I43" s="60">
        <f>-1/K38*I42</f>
        <v>7.899645333867829</v>
      </c>
      <c r="J43" s="181"/>
      <c r="K43" s="177"/>
      <c r="L43" s="46"/>
    </row>
    <row r="44" spans="1:27" x14ac:dyDescent="0.2">
      <c r="A44" s="34" t="s">
        <v>168</v>
      </c>
      <c r="B44" s="172">
        <f>$B$42+$E$36</f>
        <v>26.488999998843667</v>
      </c>
      <c r="C44" s="60" t="s">
        <v>183</v>
      </c>
      <c r="D44" s="146"/>
      <c r="E44" s="46"/>
      <c r="H44" s="34" t="s">
        <v>168</v>
      </c>
      <c r="I44" s="172">
        <f>$I$42+$L$36</f>
        <v>16.548690068463532</v>
      </c>
      <c r="J44" s="60" t="s">
        <v>183</v>
      </c>
      <c r="K44" s="146"/>
      <c r="L44" s="46"/>
    </row>
    <row r="45" spans="1:27" ht="13.5" thickBot="1" x14ac:dyDescent="0.25">
      <c r="A45" s="36" t="s">
        <v>171</v>
      </c>
      <c r="B45" s="173">
        <f>($B$43+$E$37)</f>
        <v>8.0001799371370552</v>
      </c>
      <c r="C45" s="174" t="s">
        <v>183</v>
      </c>
      <c r="D45" s="147"/>
      <c r="E45" s="47"/>
      <c r="H45" s="36" t="s">
        <v>171</v>
      </c>
      <c r="I45" s="173">
        <f>($I$43+$L$37)</f>
        <v>11.899645333867829</v>
      </c>
      <c r="J45" s="174" t="s">
        <v>183</v>
      </c>
      <c r="K45" s="147"/>
      <c r="L45" s="47"/>
    </row>
    <row r="48" spans="1:27" ht="13.5" thickBot="1" x14ac:dyDescent="0.25"/>
    <row r="49" spans="24:68" ht="14.25" thickTop="1" thickBot="1" x14ac:dyDescent="0.25">
      <c r="X49" s="73" t="s">
        <v>201</v>
      </c>
      <c r="Y49" s="89">
        <f>($Y$76-$Y$51)/25</f>
        <v>0.32</v>
      </c>
      <c r="Z49" s="95" t="s">
        <v>193</v>
      </c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148">
        <f ca="1">IF(ISERR(AR77),AO77,AR77)</f>
        <v>0.69520306634822693</v>
      </c>
      <c r="AQ49" s="74"/>
      <c r="AR49" s="75"/>
      <c r="AV49" s="73" t="s">
        <v>201</v>
      </c>
      <c r="AW49" s="89">
        <f>($AW$76-$AW$51)/25</f>
        <v>0.32</v>
      </c>
      <c r="AX49" s="95" t="s">
        <v>193</v>
      </c>
      <c r="AY49" s="74"/>
      <c r="AZ49" s="74"/>
      <c r="BA49" s="74"/>
      <c r="BB49" s="74"/>
      <c r="BC49" s="74"/>
      <c r="BD49" s="74"/>
      <c r="BE49" s="74"/>
      <c r="BF49" s="74"/>
      <c r="BG49" s="74"/>
      <c r="BH49" s="74"/>
      <c r="BI49" s="74"/>
      <c r="BJ49" s="74"/>
      <c r="BK49" s="74"/>
      <c r="BL49" s="74"/>
      <c r="BM49" s="74"/>
      <c r="BN49" s="148">
        <f ca="1">IF(ISERR(BP77),BM77,BP77)</f>
        <v>1.4987670402067645</v>
      </c>
      <c r="BO49" s="74"/>
      <c r="BP49" s="75"/>
    </row>
    <row r="50" spans="24:68" ht="13.5" thickBot="1" x14ac:dyDescent="0.25">
      <c r="X50" s="67">
        <f>+$B$15</f>
        <v>26.488999998843667</v>
      </c>
      <c r="Y50" s="90">
        <f>+$B$16</f>
        <v>8.0001799371370552</v>
      </c>
      <c r="Z50" s="96" t="s">
        <v>163</v>
      </c>
      <c r="AA50" s="62" t="s">
        <v>162</v>
      </c>
      <c r="AB50" s="62" t="s">
        <v>151</v>
      </c>
      <c r="AC50" s="62" t="s">
        <v>152</v>
      </c>
      <c r="AD50" s="62" t="s">
        <v>153</v>
      </c>
      <c r="AE50" s="65" t="s">
        <v>154</v>
      </c>
      <c r="AF50" s="62" t="s">
        <v>196</v>
      </c>
      <c r="AG50" s="62" t="s">
        <v>197</v>
      </c>
      <c r="AH50" s="62" t="s">
        <v>155</v>
      </c>
      <c r="AI50" s="62" t="s">
        <v>156</v>
      </c>
      <c r="AJ50" s="62" t="s">
        <v>161</v>
      </c>
      <c r="AK50" s="62" t="s">
        <v>160</v>
      </c>
      <c r="AL50" s="62" t="s">
        <v>167</v>
      </c>
      <c r="AM50" s="62" t="s">
        <v>198</v>
      </c>
      <c r="AN50" s="62" t="s">
        <v>199</v>
      </c>
      <c r="AO50" s="62" t="s">
        <v>200</v>
      </c>
      <c r="AP50" s="62" t="s">
        <v>164</v>
      </c>
      <c r="AQ50" s="62" t="s">
        <v>165</v>
      </c>
      <c r="AR50" s="68" t="s">
        <v>166</v>
      </c>
      <c r="AV50" s="183">
        <f>+$I$15</f>
        <v>15.44</v>
      </c>
      <c r="AW50" s="185">
        <f>+$I$16</f>
        <v>8</v>
      </c>
      <c r="AX50" s="96" t="s">
        <v>163</v>
      </c>
      <c r="AY50" s="62" t="s">
        <v>162</v>
      </c>
      <c r="AZ50" s="62" t="s">
        <v>151</v>
      </c>
      <c r="BA50" s="62" t="s">
        <v>152</v>
      </c>
      <c r="BB50" s="62" t="s">
        <v>153</v>
      </c>
      <c r="BC50" s="65" t="s">
        <v>154</v>
      </c>
      <c r="BD50" s="62" t="s">
        <v>196</v>
      </c>
      <c r="BE50" s="62" t="s">
        <v>197</v>
      </c>
      <c r="BF50" s="62" t="s">
        <v>155</v>
      </c>
      <c r="BG50" s="62" t="s">
        <v>156</v>
      </c>
      <c r="BH50" s="62" t="s">
        <v>161</v>
      </c>
      <c r="BI50" s="62" t="s">
        <v>160</v>
      </c>
      <c r="BJ50" s="62" t="s">
        <v>167</v>
      </c>
      <c r="BK50" s="62" t="s">
        <v>198</v>
      </c>
      <c r="BL50" s="62" t="s">
        <v>199</v>
      </c>
      <c r="BM50" s="62" t="s">
        <v>200</v>
      </c>
      <c r="BN50" s="62" t="s">
        <v>164</v>
      </c>
      <c r="BO50" s="62" t="s">
        <v>165</v>
      </c>
      <c r="BP50" s="68" t="s">
        <v>166</v>
      </c>
    </row>
    <row r="51" spans="24:68" x14ac:dyDescent="0.2">
      <c r="X51" s="76">
        <f>$B$4</f>
        <v>15</v>
      </c>
      <c r="Y51" s="91">
        <f>$B$5</f>
        <v>0</v>
      </c>
      <c r="Z51" s="63">
        <f>X51-X52</f>
        <v>0.2163336629191388</v>
      </c>
      <c r="AA51" s="64">
        <f>Y51-Y52</f>
        <v>-0.32</v>
      </c>
      <c r="AB51" s="64">
        <f>(X51+X52)*0.5</f>
        <v>14.89183316854043</v>
      </c>
      <c r="AC51" s="64">
        <f>(Y51+Y52)*0.5</f>
        <v>0.16</v>
      </c>
      <c r="AD51" s="64">
        <f t="shared" ref="AD51:AD75" si="4">Y$76-AC51</f>
        <v>7.84</v>
      </c>
      <c r="AE51" s="64">
        <f>ATAN(-AA51/Z51)</f>
        <v>0.9763306841110746</v>
      </c>
      <c r="AF51" s="64">
        <f>SIN(AE51)</f>
        <v>0.82844789254526152</v>
      </c>
      <c r="AG51" s="64">
        <f>COS(AE51)</f>
        <v>0.56006614728736726</v>
      </c>
      <c r="AH51" s="64">
        <f>SQRT(Z51^2+AA51^2)</f>
        <v>0.38626448673416969</v>
      </c>
      <c r="AI51" s="64">
        <f t="shared" ref="AI51:AI75" si="5">AD51*Z51</f>
        <v>1.6960559172860481</v>
      </c>
      <c r="AJ51" s="64">
        <f>AI51*$B$8</f>
        <v>30.529006511148864</v>
      </c>
      <c r="AK51" s="64">
        <f t="shared" ref="AK51:AK75" si="6">AJ51*($B$15-AB51)</f>
        <v>354.04998167320718</v>
      </c>
      <c r="AL51" s="64">
        <f t="shared" ref="AL51:AL75" si="7">AH51*$B$9</f>
        <v>5.793967301012545</v>
      </c>
      <c r="AM51" s="64">
        <f t="shared" ref="AM51:AM75" si="8">AJ51*AF51</f>
        <v>25.291691105661844</v>
      </c>
      <c r="AN51" s="64">
        <f t="shared" ref="AN51:AN75" si="9">AJ51*AG51</f>
        <v>17.098263057210094</v>
      </c>
      <c r="AO51" s="64">
        <f>AN51*$B$11</f>
        <v>9.0913077325476372</v>
      </c>
      <c r="AP51" s="64">
        <f t="shared" ref="AP51:AP75" ca="1" si="10">AG51+$B$11*AF51/AP$49</f>
        <v>1.1936846962103775</v>
      </c>
      <c r="AQ51" s="64">
        <f t="shared" ref="AQ51:AQ75" ca="1" si="11">$B$9*Z51/AP51</f>
        <v>2.718477462339163</v>
      </c>
      <c r="AR51" s="69">
        <f ca="1">AJ51*$B$11/AP51</f>
        <v>13.598700521809896</v>
      </c>
      <c r="AV51" s="188">
        <f>$B$4</f>
        <v>15</v>
      </c>
      <c r="AW51" s="189">
        <f>$B$5</f>
        <v>0</v>
      </c>
      <c r="AX51" s="63">
        <f>AV51-AV52</f>
        <v>1.8354559982561742</v>
      </c>
      <c r="AY51" s="64">
        <f>AW51-AW52</f>
        <v>-0.32</v>
      </c>
      <c r="AZ51" s="64">
        <f>(AV51+AV52)*0.5</f>
        <v>14.082272000871914</v>
      </c>
      <c r="BA51" s="64">
        <f>(AW51+AW52)*0.5</f>
        <v>0.16</v>
      </c>
      <c r="BB51" s="64">
        <f t="shared" ref="BB51:BB75" si="12">AW$76-BA51</f>
        <v>7.84</v>
      </c>
      <c r="BC51" s="64">
        <f>ATAN(-AY51/AX51)</f>
        <v>0.1726086970843225</v>
      </c>
      <c r="BD51" s="64">
        <f>SIN(BC51)</f>
        <v>0.17175286259057693</v>
      </c>
      <c r="BE51" s="64">
        <f>COS(BC51)</f>
        <v>0.98514006831107137</v>
      </c>
      <c r="BF51" s="64">
        <f>SQRT(AX51^2+AY51^2)</f>
        <v>1.8631421635330379</v>
      </c>
      <c r="BG51" s="64">
        <f t="shared" ref="BG51:BG75" si="13">BB51*AX51</f>
        <v>14.389975026328406</v>
      </c>
      <c r="BH51" s="64">
        <f>BG51*$B$8</f>
        <v>259.01955047391129</v>
      </c>
      <c r="BI51" s="64">
        <f t="shared" ref="BI51:BI75" si="14">BH51*($B$15-AZ51)</f>
        <v>3213.585108886733</v>
      </c>
      <c r="BJ51" s="64">
        <f t="shared" ref="BJ51:BJ75" si="15">BF51*$B$9</f>
        <v>27.947132452995568</v>
      </c>
      <c r="BK51" s="64">
        <f t="shared" ref="BK51:BK75" si="16">BH51*BD51</f>
        <v>44.487349260818689</v>
      </c>
      <c r="BL51" s="64">
        <f t="shared" ref="BL51:BL75" si="17">BH51*BE51</f>
        <v>255.17053764777197</v>
      </c>
      <c r="BM51" s="64">
        <f>BL51*$B$11</f>
        <v>135.67658154945082</v>
      </c>
      <c r="BN51" s="64">
        <f t="shared" ref="BN51:BN75" ca="1" si="18">BE51+$B$11*BD51/BN$49</f>
        <v>1.0460718972774123</v>
      </c>
      <c r="BO51" s="64">
        <f t="shared" ref="BO51:BO75" ca="1" si="19">$B$9*AX51/BN51</f>
        <v>26.319261654480073</v>
      </c>
      <c r="BP51" s="69">
        <f ca="1">BH51*$B$11/BN51</f>
        <v>131.65743036414989</v>
      </c>
    </row>
    <row r="52" spans="24:68" x14ac:dyDescent="0.2">
      <c r="X52" s="77">
        <f t="shared" ref="X52:X75" si="20">$B$15-SQRT($B$18^2-(Y52-$B$16)^2)</f>
        <v>14.783666337080861</v>
      </c>
      <c r="Y52" s="92">
        <f t="shared" ref="Y52:Y75" si="21">IF(Y51+Y$49&lt;=$D$5,Y51+Y$49,$D$5)</f>
        <v>0.32</v>
      </c>
      <c r="Z52" s="32">
        <f t="shared" ref="Z52:Z75" si="22">X52-X53</f>
        <v>0.20381203778110191</v>
      </c>
      <c r="AA52" s="60">
        <f t="shared" ref="AA52:AA75" si="23">Y52-Y53</f>
        <v>-0.32</v>
      </c>
      <c r="AB52" s="60">
        <f t="shared" ref="AB52:AB75" si="24">(X52+X53)*0.5</f>
        <v>14.68176031819031</v>
      </c>
      <c r="AC52" s="60">
        <f t="shared" ref="AC52:AC75" si="25">(Y52+Y53)*0.5</f>
        <v>0.48</v>
      </c>
      <c r="AD52" s="60">
        <f t="shared" si="4"/>
        <v>7.52</v>
      </c>
      <c r="AE52" s="60">
        <f t="shared" ref="AE52:AE75" si="26">ATAN(-AA52/Z52)</f>
        <v>1.0036764606286819</v>
      </c>
      <c r="AF52" s="60">
        <f t="shared" ref="AF52:AF75" si="27">SIN(AE52)</f>
        <v>0.84345169368105877</v>
      </c>
      <c r="AG52" s="60">
        <f t="shared" ref="AG52:AG75" si="28">COS(AE52)</f>
        <v>0.53720502643455725</v>
      </c>
      <c r="AH52" s="60">
        <f t="shared" ref="AH52:AH75" si="29">SQRT(Z52^2+AA52^2)</f>
        <v>0.37939339312181669</v>
      </c>
      <c r="AI52" s="60">
        <f t="shared" si="5"/>
        <v>1.5326665241138862</v>
      </c>
      <c r="AJ52" s="60">
        <f t="shared" ref="AJ52:AJ75" si="30">AI52*$B$8</f>
        <v>27.587997434049949</v>
      </c>
      <c r="AK52" s="60">
        <f t="shared" si="6"/>
        <v>325.73809801307755</v>
      </c>
      <c r="AL52" s="60">
        <f t="shared" si="7"/>
        <v>5.6909008968272508</v>
      </c>
      <c r="AM52" s="60">
        <f t="shared" si="8"/>
        <v>23.269143161018132</v>
      </c>
      <c r="AN52" s="60">
        <f t="shared" si="9"/>
        <v>14.820410890835301</v>
      </c>
      <c r="AO52" s="60">
        <f t="shared" ref="AO52:AO75" si="31">AN52*$B$11</f>
        <v>7.8801522517556286</v>
      </c>
      <c r="AP52" s="60">
        <f t="shared" ca="1" si="10"/>
        <v>1.1822988736708817</v>
      </c>
      <c r="AQ52" s="60">
        <f t="shared" ca="1" si="11"/>
        <v>2.5857933512398494</v>
      </c>
      <c r="AR52" s="66">
        <f t="shared" ref="AR52:AR75" ca="1" si="32">AJ52*$B$11/AP52</f>
        <v>12.407013795752299</v>
      </c>
      <c r="AV52" s="184">
        <f>$I$15-SQRT($I$18^2-(AW52-$I$16)^2)</f>
        <v>13.164544001743826</v>
      </c>
      <c r="AW52" s="190">
        <f t="shared" ref="AW52:AW75" si="33">IF(AW51+AW$49&lt;=$D$5,AW51+AW$49,$D$5)</f>
        <v>0.32</v>
      </c>
      <c r="AX52" s="32">
        <f t="shared" ref="AX52:AX75" si="34">AV52-AV53</f>
        <v>0.8853192231096223</v>
      </c>
      <c r="AY52" s="60">
        <f t="shared" ref="AY52:AY75" si="35">AW52-AW53</f>
        <v>-0.32</v>
      </c>
      <c r="AZ52" s="60">
        <f t="shared" ref="AZ52:AZ75" si="36">(AV52+AV53)*0.5</f>
        <v>12.721884390189015</v>
      </c>
      <c r="BA52" s="60">
        <f t="shared" ref="BA52:BA75" si="37">(AW52+AW53)*0.5</f>
        <v>0.48</v>
      </c>
      <c r="BB52" s="60">
        <f t="shared" si="12"/>
        <v>7.52</v>
      </c>
      <c r="BC52" s="60">
        <f t="shared" ref="BC52:BC75" si="38">ATAN(-AY52/AX52)</f>
        <v>0.34683999265914373</v>
      </c>
      <c r="BD52" s="60">
        <f t="shared" ref="BD52:BD75" si="39">SIN(BC52)</f>
        <v>0.3399276757006216</v>
      </c>
      <c r="BE52" s="60">
        <f t="shared" ref="BE52:BE75" si="40">COS(BC52)</f>
        <v>0.94045158051479349</v>
      </c>
      <c r="BF52" s="60">
        <f t="shared" ref="BF52:BF75" si="41">SQRT(AX52^2+AY52^2)</f>
        <v>0.9413767188577723</v>
      </c>
      <c r="BG52" s="60">
        <f t="shared" si="13"/>
        <v>6.6576005577843596</v>
      </c>
      <c r="BH52" s="60">
        <f t="shared" ref="BH52:BH75" si="42">BG52*$B$8</f>
        <v>119.83681004011848</v>
      </c>
      <c r="BI52" s="60">
        <f t="shared" si="14"/>
        <v>1649.8072179946976</v>
      </c>
      <c r="BJ52" s="60">
        <f t="shared" si="15"/>
        <v>14.120650782866585</v>
      </c>
      <c r="BK52" s="60">
        <f t="shared" si="16"/>
        <v>40.735848300314387</v>
      </c>
      <c r="BL52" s="60">
        <f t="shared" si="17"/>
        <v>112.7007174060805</v>
      </c>
      <c r="BM52" s="60">
        <f t="shared" ref="BM52:BM75" si="43">BL52*$B$11</f>
        <v>59.924034399827988</v>
      </c>
      <c r="BN52" s="60">
        <f t="shared" ca="1" si="18"/>
        <v>1.0610458732928427</v>
      </c>
      <c r="BO52" s="60">
        <f t="shared" ca="1" si="19"/>
        <v>12.515753259029157</v>
      </c>
      <c r="BP52" s="66">
        <f t="shared" ref="BP52:BP75" ca="1" si="44">BH52*$B$11/BN52</f>
        <v>60.052410326815419</v>
      </c>
    </row>
    <row r="53" spans="24:68" x14ac:dyDescent="0.2">
      <c r="X53" s="77">
        <f t="shared" si="20"/>
        <v>14.579854299299759</v>
      </c>
      <c r="Y53" s="92">
        <f t="shared" si="21"/>
        <v>0.64</v>
      </c>
      <c r="Z53" s="32">
        <f t="shared" si="22"/>
        <v>0.19192311493412895</v>
      </c>
      <c r="AA53" s="60">
        <f t="shared" si="23"/>
        <v>-0.31999999999999995</v>
      </c>
      <c r="AB53" s="60">
        <f t="shared" si="24"/>
        <v>14.483892741832694</v>
      </c>
      <c r="AC53" s="60">
        <f t="shared" si="25"/>
        <v>0.8</v>
      </c>
      <c r="AD53" s="60">
        <f t="shared" si="4"/>
        <v>7.2</v>
      </c>
      <c r="AE53" s="60">
        <f t="shared" si="26"/>
        <v>1.0305535113030888</v>
      </c>
      <c r="AF53" s="60">
        <f t="shared" si="27"/>
        <v>0.85758381589640287</v>
      </c>
      <c r="AG53" s="60">
        <f t="shared" si="28"/>
        <v>0.51434424144979451</v>
      </c>
      <c r="AH53" s="60">
        <f t="shared" si="29"/>
        <v>0.37314137005432518</v>
      </c>
      <c r="AI53" s="60">
        <f t="shared" si="5"/>
        <v>1.3818464275257285</v>
      </c>
      <c r="AJ53" s="60">
        <f t="shared" si="30"/>
        <v>24.873235695463112</v>
      </c>
      <c r="AK53" s="60">
        <f t="shared" si="6"/>
        <v>298.60586235294858</v>
      </c>
      <c r="AL53" s="60">
        <f t="shared" si="7"/>
        <v>5.5971205508148776</v>
      </c>
      <c r="AM53" s="60">
        <f t="shared" si="8"/>
        <v>21.330884381405873</v>
      </c>
      <c r="AN53" s="60">
        <f t="shared" si="9"/>
        <v>12.793405546184927</v>
      </c>
      <c r="AO53" s="60">
        <f t="shared" si="31"/>
        <v>6.8023743919767981</v>
      </c>
      <c r="AP53" s="60">
        <f t="shared" ca="1" si="10"/>
        <v>1.1702467042331732</v>
      </c>
      <c r="AQ53" s="60">
        <f t="shared" ca="1" si="11"/>
        <v>2.4600340369241667</v>
      </c>
      <c r="AR53" s="66">
        <f t="shared" ca="1" si="32"/>
        <v>11.301321308896874</v>
      </c>
      <c r="AV53" s="184">
        <f t="shared" ref="AV53:AV76" si="45">$I$15-SQRT($I$18^2-(AW53-$I$16)^2)</f>
        <v>12.279224778634203</v>
      </c>
      <c r="AW53" s="190">
        <f t="shared" si="33"/>
        <v>0.64</v>
      </c>
      <c r="AX53" s="32">
        <f t="shared" si="34"/>
        <v>0.66002312452999412</v>
      </c>
      <c r="AY53" s="60">
        <f t="shared" si="35"/>
        <v>-0.31999999999999995</v>
      </c>
      <c r="AZ53" s="60">
        <f t="shared" si="36"/>
        <v>11.949213216369206</v>
      </c>
      <c r="BA53" s="60">
        <f t="shared" si="37"/>
        <v>0.8</v>
      </c>
      <c r="BB53" s="60">
        <f t="shared" si="12"/>
        <v>7.2</v>
      </c>
      <c r="BC53" s="60">
        <f t="shared" si="38"/>
        <v>0.45143933757545041</v>
      </c>
      <c r="BD53" s="60">
        <f t="shared" si="39"/>
        <v>0.43626113045547638</v>
      </c>
      <c r="BE53" s="60">
        <f t="shared" si="40"/>
        <v>0.89982010760690934</v>
      </c>
      <c r="BF53" s="60">
        <f t="shared" si="41"/>
        <v>0.7335056406833802</v>
      </c>
      <c r="BG53" s="60">
        <f t="shared" si="13"/>
        <v>4.752166496615958</v>
      </c>
      <c r="BH53" s="60">
        <f t="shared" si="42"/>
        <v>85.538996939087241</v>
      </c>
      <c r="BI53" s="60">
        <f t="shared" si="14"/>
        <v>1243.718777081064</v>
      </c>
      <c r="BJ53" s="60">
        <f t="shared" si="15"/>
        <v>11.002584610250704</v>
      </c>
      <c r="BK53" s="60">
        <f t="shared" si="16"/>
        <v>37.317339502673732</v>
      </c>
      <c r="BL53" s="60">
        <f t="shared" si="17"/>
        <v>76.96970943031657</v>
      </c>
      <c r="BM53" s="60">
        <f t="shared" si="43"/>
        <v>40.925520456342788</v>
      </c>
      <c r="BN53" s="60">
        <f t="shared" ca="1" si="18"/>
        <v>1.054590096209324</v>
      </c>
      <c r="BO53" s="60">
        <f t="shared" ca="1" si="19"/>
        <v>9.3878625482414986</v>
      </c>
      <c r="BP53" s="66">
        <f t="shared" ca="1" si="44"/>
        <v>43.127554118759157</v>
      </c>
    </row>
    <row r="54" spans="24:68" x14ac:dyDescent="0.2">
      <c r="X54" s="77">
        <f t="shared" si="20"/>
        <v>14.38793118436563</v>
      </c>
      <c r="Y54" s="92">
        <f t="shared" si="21"/>
        <v>0.96</v>
      </c>
      <c r="Z54" s="32">
        <f t="shared" si="22"/>
        <v>0.18059156238064844</v>
      </c>
      <c r="AA54" s="60">
        <f t="shared" si="23"/>
        <v>-0.32000000000000006</v>
      </c>
      <c r="AB54" s="60">
        <f t="shared" si="24"/>
        <v>14.297635403175306</v>
      </c>
      <c r="AC54" s="60">
        <f t="shared" si="25"/>
        <v>1.1200000000000001</v>
      </c>
      <c r="AD54" s="60">
        <f t="shared" si="4"/>
        <v>6.88</v>
      </c>
      <c r="AE54" s="60">
        <f t="shared" si="26"/>
        <v>1.057003673428919</v>
      </c>
      <c r="AF54" s="60">
        <f t="shared" si="27"/>
        <v>0.87088674813908085</v>
      </c>
      <c r="AG54" s="60">
        <f t="shared" si="28"/>
        <v>0.49148374532199646</v>
      </c>
      <c r="AH54" s="60">
        <f t="shared" si="29"/>
        <v>0.36744157685689799</v>
      </c>
      <c r="AI54" s="60">
        <f t="shared" si="5"/>
        <v>1.2424699491788613</v>
      </c>
      <c r="AJ54" s="60">
        <f t="shared" si="30"/>
        <v>22.364459085219504</v>
      </c>
      <c r="AK54" s="60">
        <f t="shared" si="6"/>
        <v>272.65327469281868</v>
      </c>
      <c r="AL54" s="60">
        <f t="shared" si="7"/>
        <v>5.5116236528534701</v>
      </c>
      <c r="AM54" s="60">
        <f t="shared" si="8"/>
        <v>19.476911046616337</v>
      </c>
      <c r="AN54" s="60">
        <f t="shared" si="9"/>
        <v>10.991768113304232</v>
      </c>
      <c r="AO54" s="60">
        <f t="shared" si="31"/>
        <v>5.8444267764797582</v>
      </c>
      <c r="AP54" s="60">
        <f t="shared" ca="1" si="10"/>
        <v>1.157560637541281</v>
      </c>
      <c r="AQ54" s="60">
        <f t="shared" ca="1" si="11"/>
        <v>2.3401568331344738</v>
      </c>
      <c r="AR54" s="66">
        <f t="shared" ca="1" si="32"/>
        <v>10.272804243651889</v>
      </c>
      <c r="AV54" s="184">
        <f t="shared" si="45"/>
        <v>11.619201654104209</v>
      </c>
      <c r="AW54" s="190">
        <f t="shared" si="33"/>
        <v>0.96</v>
      </c>
      <c r="AX54" s="32">
        <f t="shared" si="34"/>
        <v>0.53829559665695115</v>
      </c>
      <c r="AY54" s="60">
        <f t="shared" si="35"/>
        <v>-0.32000000000000006</v>
      </c>
      <c r="AZ54" s="60">
        <f t="shared" si="36"/>
        <v>11.350053855775734</v>
      </c>
      <c r="BA54" s="60">
        <f t="shared" si="37"/>
        <v>1.1200000000000001</v>
      </c>
      <c r="BB54" s="60">
        <f t="shared" si="12"/>
        <v>6.88</v>
      </c>
      <c r="BC54" s="60">
        <f t="shared" si="38"/>
        <v>0.5363426011188982</v>
      </c>
      <c r="BD54" s="60">
        <f t="shared" si="39"/>
        <v>0.51099557719192612</v>
      </c>
      <c r="BE54" s="60">
        <f t="shared" si="40"/>
        <v>0.85958334097997169</v>
      </c>
      <c r="BF54" s="60">
        <f t="shared" si="41"/>
        <v>0.62622851211060571</v>
      </c>
      <c r="BG54" s="60">
        <f t="shared" si="13"/>
        <v>3.7034737049998236</v>
      </c>
      <c r="BH54" s="60">
        <f t="shared" si="42"/>
        <v>66.662526689996824</v>
      </c>
      <c r="BI54" s="60">
        <f t="shared" si="14"/>
        <v>1009.2004013206906</v>
      </c>
      <c r="BJ54" s="60">
        <f t="shared" si="15"/>
        <v>9.3934276816590856</v>
      </c>
      <c r="BK54" s="60">
        <f t="shared" si="16"/>
        <v>34.064256303027108</v>
      </c>
      <c r="BL54" s="60">
        <f t="shared" si="17"/>
        <v>57.301997410354005</v>
      </c>
      <c r="BM54" s="60">
        <f t="shared" si="43"/>
        <v>30.468012476126855</v>
      </c>
      <c r="BN54" s="60">
        <f t="shared" ca="1" si="18"/>
        <v>1.0408664628004018</v>
      </c>
      <c r="BO54" s="60">
        <f t="shared" ca="1" si="19"/>
        <v>7.7574158054150244</v>
      </c>
      <c r="BP54" s="66">
        <f t="shared" ca="1" si="44"/>
        <v>34.053450126631063</v>
      </c>
    </row>
    <row r="55" spans="24:68" x14ac:dyDescent="0.2">
      <c r="X55" s="77">
        <f t="shared" si="20"/>
        <v>14.207339621984982</v>
      </c>
      <c r="Y55" s="92">
        <f t="shared" si="21"/>
        <v>1.28</v>
      </c>
      <c r="Z55" s="32">
        <f t="shared" si="22"/>
        <v>0.16975306789803035</v>
      </c>
      <c r="AA55" s="60">
        <f t="shared" si="23"/>
        <v>-0.32000000000000006</v>
      </c>
      <c r="AB55" s="60">
        <f t="shared" si="24"/>
        <v>14.122463088035968</v>
      </c>
      <c r="AC55" s="60">
        <f t="shared" si="25"/>
        <v>1.44</v>
      </c>
      <c r="AD55" s="60">
        <f t="shared" si="4"/>
        <v>6.5600000000000005</v>
      </c>
      <c r="AE55" s="60">
        <f t="shared" si="26"/>
        <v>1.0830643828551294</v>
      </c>
      <c r="AF55" s="60">
        <f t="shared" si="27"/>
        <v>0.88339799419907472</v>
      </c>
      <c r="AG55" s="60">
        <f t="shared" si="28"/>
        <v>0.46862349903206046</v>
      </c>
      <c r="AH55" s="60">
        <f t="shared" si="29"/>
        <v>0.3622376347935059</v>
      </c>
      <c r="AI55" s="60">
        <f t="shared" si="5"/>
        <v>1.1135801254110791</v>
      </c>
      <c r="AJ55" s="60">
        <f t="shared" si="30"/>
        <v>20.044442257399425</v>
      </c>
      <c r="AK55" s="60">
        <f t="shared" si="6"/>
        <v>247.88033503268358</v>
      </c>
      <c r="AL55" s="60">
        <f t="shared" si="7"/>
        <v>5.4335645219025883</v>
      </c>
      <c r="AM55" s="60">
        <f t="shared" si="8"/>
        <v>17.707220085025824</v>
      </c>
      <c r="AN55" s="60">
        <f t="shared" si="9"/>
        <v>9.3932966668086113</v>
      </c>
      <c r="AO55" s="60">
        <f t="shared" si="31"/>
        <v>4.9945044321364698</v>
      </c>
      <c r="AP55" s="60">
        <f t="shared" ca="1" si="10"/>
        <v>1.1442693184525436</v>
      </c>
      <c r="AQ55" s="60">
        <f t="shared" ca="1" si="11"/>
        <v>2.2252593663124229</v>
      </c>
      <c r="AR55" s="66">
        <f t="shared" ca="1" si="32"/>
        <v>9.3140826453918333</v>
      </c>
      <c r="AV55" s="184">
        <f t="shared" si="45"/>
        <v>11.080906057447258</v>
      </c>
      <c r="AW55" s="190">
        <f t="shared" si="33"/>
        <v>1.28</v>
      </c>
      <c r="AX55" s="32">
        <f t="shared" si="34"/>
        <v>0.45755426963797063</v>
      </c>
      <c r="AY55" s="60">
        <f t="shared" si="35"/>
        <v>-0.32000000000000006</v>
      </c>
      <c r="AZ55" s="60">
        <f t="shared" si="36"/>
        <v>10.852128922628273</v>
      </c>
      <c r="BA55" s="60">
        <f t="shared" si="37"/>
        <v>1.44</v>
      </c>
      <c r="BB55" s="60">
        <f t="shared" si="12"/>
        <v>6.5600000000000005</v>
      </c>
      <c r="BC55" s="60">
        <f t="shared" si="38"/>
        <v>0.61030341736358062</v>
      </c>
      <c r="BD55" s="60">
        <f t="shared" si="39"/>
        <v>0.57311612916761456</v>
      </c>
      <c r="BE55" s="60">
        <f t="shared" si="40"/>
        <v>0.81947416218446456</v>
      </c>
      <c r="BF55" s="60">
        <f t="shared" si="41"/>
        <v>0.55835106309913729</v>
      </c>
      <c r="BG55" s="60">
        <f t="shared" si="13"/>
        <v>3.0015560088250877</v>
      </c>
      <c r="BH55" s="60">
        <f t="shared" si="42"/>
        <v>54.028008158851577</v>
      </c>
      <c r="BI55" s="60">
        <f t="shared" si="14"/>
        <v>844.8289980846755</v>
      </c>
      <c r="BJ55" s="60">
        <f t="shared" si="15"/>
        <v>8.37526594648706</v>
      </c>
      <c r="BK55" s="60">
        <f t="shared" si="16"/>
        <v>30.964322902637313</v>
      </c>
      <c r="BL55" s="60">
        <f t="shared" si="17"/>
        <v>44.274556720470315</v>
      </c>
      <c r="BM55" s="60">
        <f t="shared" si="43"/>
        <v>23.541199390905177</v>
      </c>
      <c r="BN55" s="60">
        <f t="shared" ca="1" si="18"/>
        <v>1.0227954543805482</v>
      </c>
      <c r="BO55" s="60">
        <f t="shared" ca="1" si="19"/>
        <v>6.7103485991989444</v>
      </c>
      <c r="BP55" s="66">
        <f t="shared" ca="1" si="44"/>
        <v>28.086946797532669</v>
      </c>
    </row>
    <row r="56" spans="24:68" x14ac:dyDescent="0.2">
      <c r="X56" s="77">
        <f t="shared" si="20"/>
        <v>14.037586554086952</v>
      </c>
      <c r="Y56" s="92">
        <f t="shared" si="21"/>
        <v>1.6</v>
      </c>
      <c r="Z56" s="32">
        <f t="shared" si="22"/>
        <v>0.15935227077523351</v>
      </c>
      <c r="AA56" s="60">
        <f t="shared" si="23"/>
        <v>-0.32000000000000006</v>
      </c>
      <c r="AB56" s="60">
        <f t="shared" si="24"/>
        <v>13.957910418699335</v>
      </c>
      <c r="AC56" s="60">
        <f t="shared" si="25"/>
        <v>1.7600000000000002</v>
      </c>
      <c r="AD56" s="60">
        <f t="shared" si="4"/>
        <v>6.24</v>
      </c>
      <c r="AE56" s="60">
        <f t="shared" si="26"/>
        <v>1.1087693516031651</v>
      </c>
      <c r="AF56" s="60">
        <f t="shared" si="27"/>
        <v>0.89515078556974448</v>
      </c>
      <c r="AG56" s="60">
        <f t="shared" si="28"/>
        <v>0.44576346989616517</v>
      </c>
      <c r="AH56" s="60">
        <f t="shared" si="29"/>
        <v>0.35748167253891966</v>
      </c>
      <c r="AI56" s="60">
        <f t="shared" si="5"/>
        <v>0.99435816963745716</v>
      </c>
      <c r="AJ56" s="60">
        <f t="shared" si="30"/>
        <v>17.898447053474229</v>
      </c>
      <c r="AK56" s="60">
        <f t="shared" si="6"/>
        <v>224.28704337255593</v>
      </c>
      <c r="AL56" s="60">
        <f t="shared" si="7"/>
        <v>5.3622250880837949</v>
      </c>
      <c r="AM56" s="60">
        <f t="shared" si="8"/>
        <v>16.021808940395935</v>
      </c>
      <c r="AN56" s="60">
        <f t="shared" si="9"/>
        <v>7.978473864309465</v>
      </c>
      <c r="AO56" s="60">
        <f t="shared" si="31"/>
        <v>4.2422298039179482</v>
      </c>
      <c r="AP56" s="60">
        <f t="shared" ca="1" si="10"/>
        <v>1.1303981305957296</v>
      </c>
      <c r="AQ56" s="60">
        <f t="shared" ca="1" si="11"/>
        <v>2.1145506144536901</v>
      </c>
      <c r="AR56" s="66">
        <f t="shared" ca="1" si="32"/>
        <v>8.4189568726643511</v>
      </c>
      <c r="AV56" s="184">
        <f t="shared" si="45"/>
        <v>10.623351787809288</v>
      </c>
      <c r="AW56" s="190">
        <f t="shared" si="33"/>
        <v>1.6</v>
      </c>
      <c r="AX56" s="32">
        <f t="shared" si="34"/>
        <v>0.3981096920652476</v>
      </c>
      <c r="AY56" s="60">
        <f t="shared" si="35"/>
        <v>-0.32000000000000006</v>
      </c>
      <c r="AZ56" s="60">
        <f t="shared" si="36"/>
        <v>10.424296941776664</v>
      </c>
      <c r="BA56" s="60">
        <f t="shared" si="37"/>
        <v>1.7600000000000002</v>
      </c>
      <c r="BB56" s="60">
        <f t="shared" si="12"/>
        <v>6.24</v>
      </c>
      <c r="BC56" s="60">
        <f t="shared" si="38"/>
        <v>0.67705285362290923</v>
      </c>
      <c r="BD56" s="60">
        <f t="shared" si="39"/>
        <v>0.62649867597192133</v>
      </c>
      <c r="BE56" s="60">
        <f t="shared" si="40"/>
        <v>0.77942248428270888</v>
      </c>
      <c r="BF56" s="60">
        <f t="shared" si="41"/>
        <v>0.51077522151753441</v>
      </c>
      <c r="BG56" s="60">
        <f t="shared" si="13"/>
        <v>2.4842044784871451</v>
      </c>
      <c r="BH56" s="60">
        <f t="shared" si="42"/>
        <v>44.715680612768608</v>
      </c>
      <c r="BI56" s="60">
        <f t="shared" si="14"/>
        <v>718.34413103877557</v>
      </c>
      <c r="BJ56" s="60">
        <f t="shared" si="15"/>
        <v>7.6616283227630158</v>
      </c>
      <c r="BK56" s="60">
        <f t="shared" si="16"/>
        <v>28.014314699082846</v>
      </c>
      <c r="BL56" s="60">
        <f t="shared" si="17"/>
        <v>34.852406869596273</v>
      </c>
      <c r="BM56" s="60">
        <f t="shared" si="43"/>
        <v>18.531353448667652</v>
      </c>
      <c r="BN56" s="60">
        <f t="shared" ca="1" si="18"/>
        <v>1.0016820122822998</v>
      </c>
      <c r="BO56" s="60">
        <f t="shared" ca="1" si="19"/>
        <v>5.9616178665048745</v>
      </c>
      <c r="BP56" s="66">
        <f t="shared" ca="1" si="44"/>
        <v>23.735825175495698</v>
      </c>
    </row>
    <row r="57" spans="24:68" x14ac:dyDescent="0.2">
      <c r="X57" s="77">
        <f t="shared" si="20"/>
        <v>13.878234283311718</v>
      </c>
      <c r="Y57" s="92">
        <f t="shared" si="21"/>
        <v>1.9200000000000002</v>
      </c>
      <c r="Z57" s="32">
        <f t="shared" si="22"/>
        <v>0.14934114498468887</v>
      </c>
      <c r="AA57" s="60">
        <f t="shared" si="23"/>
        <v>-0.32000000000000006</v>
      </c>
      <c r="AB57" s="60">
        <f t="shared" si="24"/>
        <v>13.803563710819374</v>
      </c>
      <c r="AC57" s="60">
        <f t="shared" si="25"/>
        <v>2.08</v>
      </c>
      <c r="AD57" s="60">
        <f t="shared" si="4"/>
        <v>5.92</v>
      </c>
      <c r="AE57" s="60">
        <f t="shared" si="26"/>
        <v>1.1341491213026051</v>
      </c>
      <c r="AF57" s="60">
        <f t="shared" si="27"/>
        <v>0.90617466278701442</v>
      </c>
      <c r="AG57" s="60">
        <f t="shared" si="28"/>
        <v>0.4229036303022719</v>
      </c>
      <c r="AH57" s="60">
        <f t="shared" si="29"/>
        <v>0.35313280445936751</v>
      </c>
      <c r="AI57" s="60">
        <f t="shared" si="5"/>
        <v>0.88409957830935804</v>
      </c>
      <c r="AJ57" s="60">
        <f t="shared" si="30"/>
        <v>15.913792409568444</v>
      </c>
      <c r="AK57" s="60">
        <f t="shared" si="6"/>
        <v>201.87339971242511</v>
      </c>
      <c r="AL57" s="60">
        <f t="shared" si="7"/>
        <v>5.2969920668905131</v>
      </c>
      <c r="AM57" s="60">
        <f t="shared" si="8"/>
        <v>14.420675470403234</v>
      </c>
      <c r="AN57" s="60">
        <f t="shared" si="9"/>
        <v>6.7300005818832345</v>
      </c>
      <c r="AO57" s="60">
        <f t="shared" si="31"/>
        <v>3.5784047844745559</v>
      </c>
      <c r="AP57" s="60">
        <f t="shared" ca="1" si="10"/>
        <v>1.115969639730906</v>
      </c>
      <c r="AQ57" s="60">
        <f t="shared" ca="1" si="11"/>
        <v>2.0073280625362648</v>
      </c>
      <c r="AR57" s="66">
        <f t="shared" ca="1" si="32"/>
        <v>7.5822076304071482</v>
      </c>
      <c r="AV57" s="184">
        <f t="shared" si="45"/>
        <v>10.22524209574404</v>
      </c>
      <c r="AW57" s="190">
        <f t="shared" si="33"/>
        <v>1.9200000000000002</v>
      </c>
      <c r="AX57" s="32">
        <f t="shared" si="34"/>
        <v>0.35143469032788133</v>
      </c>
      <c r="AY57" s="60">
        <f t="shared" si="35"/>
        <v>-0.32000000000000006</v>
      </c>
      <c r="AZ57" s="60">
        <f t="shared" si="36"/>
        <v>10.049524750580099</v>
      </c>
      <c r="BA57" s="60">
        <f t="shared" si="37"/>
        <v>2.08</v>
      </c>
      <c r="BB57" s="60">
        <f t="shared" si="12"/>
        <v>5.92</v>
      </c>
      <c r="BC57" s="60">
        <f t="shared" si="38"/>
        <v>0.73861512667221163</v>
      </c>
      <c r="BD57" s="60">
        <f t="shared" si="39"/>
        <v>0.67326457994507816</v>
      </c>
      <c r="BE57" s="60">
        <f t="shared" si="40"/>
        <v>0.73940165363040511</v>
      </c>
      <c r="BF57" s="60">
        <f t="shared" si="41"/>
        <v>0.47529605675394981</v>
      </c>
      <c r="BG57" s="60">
        <f t="shared" si="13"/>
        <v>2.0804933667410572</v>
      </c>
      <c r="BH57" s="60">
        <f t="shared" si="42"/>
        <v>37.448880601339027</v>
      </c>
      <c r="BI57" s="60">
        <f t="shared" si="14"/>
        <v>615.63994572089064</v>
      </c>
      <c r="BJ57" s="60">
        <f t="shared" si="15"/>
        <v>7.1294408513092469</v>
      </c>
      <c r="BK57" s="60">
        <f t="shared" si="16"/>
        <v>25.213004867473906</v>
      </c>
      <c r="BL57" s="60">
        <f t="shared" si="17"/>
        <v>27.689764243237676</v>
      </c>
      <c r="BM57" s="60">
        <f t="shared" si="43"/>
        <v>14.722908808612241</v>
      </c>
      <c r="BN57" s="60">
        <f t="shared" ca="1" si="18"/>
        <v>0.97825206704156198</v>
      </c>
      <c r="BO57" s="60">
        <f t="shared" ca="1" si="19"/>
        <v>5.3887137400694645</v>
      </c>
      <c r="BP57" s="66">
        <f t="shared" ca="1" si="44"/>
        <v>20.354593352523501</v>
      </c>
    </row>
    <row r="58" spans="24:68" x14ac:dyDescent="0.2">
      <c r="X58" s="77">
        <f t="shared" si="20"/>
        <v>13.728893138327029</v>
      </c>
      <c r="Y58" s="92">
        <f t="shared" si="21"/>
        <v>2.2400000000000002</v>
      </c>
      <c r="Z58" s="32">
        <f t="shared" si="22"/>
        <v>0.13967772107895904</v>
      </c>
      <c r="AA58" s="60">
        <f t="shared" si="23"/>
        <v>-0.31999999999999984</v>
      </c>
      <c r="AB58" s="60">
        <f t="shared" si="24"/>
        <v>13.659054277787551</v>
      </c>
      <c r="AC58" s="60">
        <f t="shared" si="25"/>
        <v>2.4000000000000004</v>
      </c>
      <c r="AD58" s="60">
        <f t="shared" si="4"/>
        <v>5.6</v>
      </c>
      <c r="AE58" s="60">
        <f t="shared" si="26"/>
        <v>1.1592315194955904</v>
      </c>
      <c r="AF58" s="60">
        <f t="shared" si="27"/>
        <v>0.91649595344432744</v>
      </c>
      <c r="AG58" s="60">
        <f t="shared" si="28"/>
        <v>0.40004395673497323</v>
      </c>
      <c r="AH58" s="60">
        <f t="shared" si="29"/>
        <v>0.3491559333103354</v>
      </c>
      <c r="AI58" s="60">
        <f t="shared" si="5"/>
        <v>0.78219523804217062</v>
      </c>
      <c r="AJ58" s="60">
        <f t="shared" si="30"/>
        <v>14.079514284759071</v>
      </c>
      <c r="AK58" s="60">
        <f t="shared" si="6"/>
        <v>180.63940405229312</v>
      </c>
      <c r="AL58" s="60">
        <f t="shared" si="7"/>
        <v>5.237338999655031</v>
      </c>
      <c r="AM58" s="60">
        <f t="shared" si="8"/>
        <v>12.903817868443292</v>
      </c>
      <c r="AN58" s="60">
        <f t="shared" si="9"/>
        <v>5.6324246033815957</v>
      </c>
      <c r="AO58" s="60">
        <f t="shared" si="31"/>
        <v>2.9948132847401583</v>
      </c>
      <c r="AP58" s="60">
        <f t="shared" ca="1" si="10"/>
        <v>1.1010039583725888</v>
      </c>
      <c r="AQ58" s="60">
        <f t="shared" ca="1" si="11"/>
        <v>1.9029593856150009</v>
      </c>
      <c r="AR58" s="66">
        <f t="shared" ca="1" si="32"/>
        <v>6.7994401668495383</v>
      </c>
      <c r="AV58" s="184">
        <f t="shared" si="45"/>
        <v>9.8738074054161586</v>
      </c>
      <c r="AW58" s="190">
        <f t="shared" si="33"/>
        <v>2.2400000000000002</v>
      </c>
      <c r="AX58" s="32">
        <f t="shared" si="34"/>
        <v>0.31313559833072091</v>
      </c>
      <c r="AY58" s="60">
        <f t="shared" si="35"/>
        <v>-0.31999999999999984</v>
      </c>
      <c r="AZ58" s="60">
        <f t="shared" si="36"/>
        <v>9.7172396062507982</v>
      </c>
      <c r="BA58" s="60">
        <f t="shared" si="37"/>
        <v>2.4000000000000004</v>
      </c>
      <c r="BB58" s="60">
        <f t="shared" si="12"/>
        <v>5.6</v>
      </c>
      <c r="BC58" s="60">
        <f t="shared" si="38"/>
        <v>0.79623965255529383</v>
      </c>
      <c r="BD58" s="60">
        <f t="shared" si="39"/>
        <v>0.71473116600159259</v>
      </c>
      <c r="BE58" s="60">
        <f t="shared" si="40"/>
        <v>0.69939928534850815</v>
      </c>
      <c r="BF58" s="60">
        <f t="shared" si="41"/>
        <v>0.44772078681019323</v>
      </c>
      <c r="BG58" s="60">
        <f t="shared" si="13"/>
        <v>1.7535593506520371</v>
      </c>
      <c r="BH58" s="60">
        <f t="shared" si="42"/>
        <v>31.564068311736666</v>
      </c>
      <c r="BI58" s="60">
        <f t="shared" si="14"/>
        <v>529.38499073988066</v>
      </c>
      <c r="BJ58" s="60">
        <f t="shared" si="15"/>
        <v>6.7158118021528983</v>
      </c>
      <c r="BK58" s="60">
        <f t="shared" si="16"/>
        <v>22.559823348201466</v>
      </c>
      <c r="BL58" s="60">
        <f t="shared" si="17"/>
        <v>22.075886819920115</v>
      </c>
      <c r="BM58" s="60">
        <f t="shared" si="43"/>
        <v>11.737957234442854</v>
      </c>
      <c r="BN58" s="60">
        <f t="shared" ca="1" si="18"/>
        <v>0.95296057397480816</v>
      </c>
      <c r="BO58" s="60">
        <f t="shared" ca="1" si="19"/>
        <v>4.9288859405478211</v>
      </c>
      <c r="BP58" s="66">
        <f t="shared" ca="1" si="44"/>
        <v>17.611340155402125</v>
      </c>
    </row>
    <row r="59" spans="24:68" x14ac:dyDescent="0.2">
      <c r="X59" s="77">
        <f t="shared" si="20"/>
        <v>13.58921541724807</v>
      </c>
      <c r="Y59" s="92">
        <f t="shared" si="21"/>
        <v>2.56</v>
      </c>
      <c r="Z59" s="32">
        <f t="shared" si="22"/>
        <v>0.13032506534671917</v>
      </c>
      <c r="AA59" s="60">
        <f t="shared" si="23"/>
        <v>-0.31999999999999984</v>
      </c>
      <c r="AB59" s="60">
        <f t="shared" si="24"/>
        <v>13.524052884574711</v>
      </c>
      <c r="AC59" s="60">
        <f t="shared" si="25"/>
        <v>2.7199999999999998</v>
      </c>
      <c r="AD59" s="60">
        <f t="shared" si="4"/>
        <v>5.28</v>
      </c>
      <c r="AE59" s="60">
        <f t="shared" si="26"/>
        <v>1.1840420391961981</v>
      </c>
      <c r="AF59" s="60">
        <f t="shared" si="27"/>
        <v>0.92613816815264494</v>
      </c>
      <c r="AG59" s="60">
        <f t="shared" si="28"/>
        <v>0.37718442901432603</v>
      </c>
      <c r="AH59" s="60">
        <f t="shared" si="29"/>
        <v>0.34552079916790324</v>
      </c>
      <c r="AI59" s="60">
        <f t="shared" si="5"/>
        <v>0.6881163450306772</v>
      </c>
      <c r="AJ59" s="60">
        <f t="shared" si="30"/>
        <v>12.386094210552189</v>
      </c>
      <c r="AK59" s="60">
        <f t="shared" si="6"/>
        <v>160.58505639216202</v>
      </c>
      <c r="AL59" s="60">
        <f t="shared" si="7"/>
        <v>5.1828119875185488</v>
      </c>
      <c r="AM59" s="60">
        <f t="shared" si="8"/>
        <v>11.471234602726884</v>
      </c>
      <c r="AN59" s="60">
        <f t="shared" si="9"/>
        <v>4.6718418725247766</v>
      </c>
      <c r="AO59" s="60">
        <f t="shared" si="31"/>
        <v>2.4840623868524476</v>
      </c>
      <c r="AP59" s="60">
        <f t="shared" ca="1" si="10"/>
        <v>1.0855190478691064</v>
      </c>
      <c r="AQ59" s="60">
        <f t="shared" ca="1" si="11"/>
        <v>1.8008675057690096</v>
      </c>
      <c r="AR59" s="66">
        <f t="shared" ca="1" si="32"/>
        <v>6.0669622759050501</v>
      </c>
      <c r="AV59" s="184">
        <f t="shared" si="45"/>
        <v>9.5606718070854377</v>
      </c>
      <c r="AW59" s="190">
        <f t="shared" si="33"/>
        <v>2.56</v>
      </c>
      <c r="AX59" s="32">
        <f t="shared" si="34"/>
        <v>0.2806799239632074</v>
      </c>
      <c r="AY59" s="60">
        <f t="shared" si="35"/>
        <v>-0.31999999999999984</v>
      </c>
      <c r="AZ59" s="60">
        <f t="shared" si="36"/>
        <v>9.4203318451038349</v>
      </c>
      <c r="BA59" s="60">
        <f t="shared" si="37"/>
        <v>2.7199999999999998</v>
      </c>
      <c r="BB59" s="60">
        <f t="shared" si="12"/>
        <v>5.28</v>
      </c>
      <c r="BC59" s="60">
        <f t="shared" si="38"/>
        <v>0.85076418833601142</v>
      </c>
      <c r="BD59" s="60">
        <f t="shared" si="39"/>
        <v>0.75178453714546623</v>
      </c>
      <c r="BE59" s="60">
        <f t="shared" si="40"/>
        <v>0.65940883350845181</v>
      </c>
      <c r="BF59" s="60">
        <f t="shared" si="41"/>
        <v>0.4256538731363686</v>
      </c>
      <c r="BG59" s="60">
        <f t="shared" si="13"/>
        <v>1.4819899985257352</v>
      </c>
      <c r="BH59" s="60">
        <f t="shared" si="42"/>
        <v>26.675819973463234</v>
      </c>
      <c r="BI59" s="60">
        <f t="shared" si="14"/>
        <v>455.32071885594883</v>
      </c>
      <c r="BJ59" s="60">
        <f t="shared" si="15"/>
        <v>6.3848080970455285</v>
      </c>
      <c r="BK59" s="60">
        <f t="shared" si="16"/>
        <v>20.054468971725839</v>
      </c>
      <c r="BL59" s="60">
        <f t="shared" si="17"/>
        <v>17.590271331582851</v>
      </c>
      <c r="BM59" s="60">
        <f t="shared" si="43"/>
        <v>9.3529131724871206</v>
      </c>
      <c r="BN59" s="60">
        <f t="shared" ca="1" si="18"/>
        <v>0.92611534509704285</v>
      </c>
      <c r="BO59" s="60">
        <f t="shared" ca="1" si="19"/>
        <v>4.5460847633476433</v>
      </c>
      <c r="BP59" s="66">
        <f t="shared" ca="1" si="44"/>
        <v>15.315354779817209</v>
      </c>
    </row>
    <row r="60" spans="24:68" x14ac:dyDescent="0.2">
      <c r="X60" s="77">
        <f t="shared" si="20"/>
        <v>13.458890351901351</v>
      </c>
      <c r="Y60" s="92">
        <f t="shared" si="21"/>
        <v>2.88</v>
      </c>
      <c r="Z60" s="32">
        <f t="shared" si="22"/>
        <v>0.12125045652633126</v>
      </c>
      <c r="AA60" s="60">
        <f t="shared" si="23"/>
        <v>-0.31999999999999984</v>
      </c>
      <c r="AB60" s="60">
        <f t="shared" si="24"/>
        <v>13.398265123638186</v>
      </c>
      <c r="AC60" s="60">
        <f t="shared" si="25"/>
        <v>3.04</v>
      </c>
      <c r="AD60" s="60">
        <f t="shared" si="4"/>
        <v>4.96</v>
      </c>
      <c r="AE60" s="60">
        <f t="shared" si="26"/>
        <v>1.2086041572551789</v>
      </c>
      <c r="AF60" s="60">
        <f t="shared" si="27"/>
        <v>0.93512233067724004</v>
      </c>
      <c r="AG60" s="60">
        <f t="shared" si="28"/>
        <v>0.35432502969556984</v>
      </c>
      <c r="AH60" s="60">
        <f t="shared" si="29"/>
        <v>0.3422012174260104</v>
      </c>
      <c r="AI60" s="60">
        <f t="shared" si="5"/>
        <v>0.60140226437060307</v>
      </c>
      <c r="AJ60" s="60">
        <f t="shared" si="30"/>
        <v>10.825240758670855</v>
      </c>
      <c r="AK60" s="60">
        <f t="shared" si="6"/>
        <v>141.7103567320284</v>
      </c>
      <c r="AL60" s="60">
        <f t="shared" si="7"/>
        <v>5.1330182613901556</v>
      </c>
      <c r="AM60" s="60">
        <f t="shared" si="8"/>
        <v>10.122924368390544</v>
      </c>
      <c r="AN60" s="60">
        <f t="shared" si="9"/>
        <v>3.8356537532777435</v>
      </c>
      <c r="AO60" s="60">
        <f t="shared" si="31"/>
        <v>2.0394532772055269</v>
      </c>
      <c r="AP60" s="60">
        <f t="shared" ca="1" si="10"/>
        <v>1.069530970299547</v>
      </c>
      <c r="AQ60" s="60">
        <f t="shared" ca="1" si="11"/>
        <v>1.7005181695538782</v>
      </c>
      <c r="AR60" s="66">
        <f t="shared" ca="1" si="32"/>
        <v>5.3816885824068157</v>
      </c>
      <c r="AV60" s="184">
        <f t="shared" si="45"/>
        <v>9.2799918831222303</v>
      </c>
      <c r="AW60" s="190">
        <f t="shared" si="33"/>
        <v>2.88</v>
      </c>
      <c r="AX60" s="32">
        <f t="shared" si="34"/>
        <v>0.25248749715581731</v>
      </c>
      <c r="AY60" s="60">
        <f t="shared" si="35"/>
        <v>-0.31999999999999984</v>
      </c>
      <c r="AZ60" s="60">
        <f t="shared" si="36"/>
        <v>9.1537481345443226</v>
      </c>
      <c r="BA60" s="60">
        <f t="shared" si="37"/>
        <v>3.04</v>
      </c>
      <c r="BB60" s="60">
        <f t="shared" si="12"/>
        <v>4.96</v>
      </c>
      <c r="BC60" s="60">
        <f t="shared" si="38"/>
        <v>0.90278434459977619</v>
      </c>
      <c r="BD60" s="60">
        <f t="shared" si="39"/>
        <v>0.78505464735118891</v>
      </c>
      <c r="BE60" s="60">
        <f t="shared" si="40"/>
        <v>0.61942650950076428</v>
      </c>
      <c r="BF60" s="60">
        <f t="shared" si="41"/>
        <v>0.40761493620819239</v>
      </c>
      <c r="BG60" s="60">
        <f t="shared" si="13"/>
        <v>1.2523379858928538</v>
      </c>
      <c r="BH60" s="60">
        <f t="shared" si="42"/>
        <v>22.54208374607137</v>
      </c>
      <c r="BI60" s="60">
        <f t="shared" si="14"/>
        <v>390.77269928427569</v>
      </c>
      <c r="BJ60" s="60">
        <f t="shared" si="15"/>
        <v>6.1142240431228858</v>
      </c>
      <c r="BK60" s="60">
        <f t="shared" si="16"/>
        <v>17.696767605833028</v>
      </c>
      <c r="BL60" s="60">
        <f t="shared" si="17"/>
        <v>13.963164251702901</v>
      </c>
      <c r="BM60" s="60">
        <f t="shared" si="43"/>
        <v>7.4243461284688275</v>
      </c>
      <c r="BN60" s="60">
        <f t="shared" ca="1" si="18"/>
        <v>0.89793607714425705</v>
      </c>
      <c r="BO60" s="60">
        <f t="shared" ca="1" si="19"/>
        <v>4.2177974064503623</v>
      </c>
      <c r="BP60" s="66">
        <f t="shared" ca="1" si="44"/>
        <v>13.348209123313232</v>
      </c>
    </row>
    <row r="61" spans="24:68" x14ac:dyDescent="0.2">
      <c r="X61" s="77">
        <f t="shared" si="20"/>
        <v>13.33763989537502</v>
      </c>
      <c r="Y61" s="92">
        <f t="shared" si="21"/>
        <v>3.1999999999999997</v>
      </c>
      <c r="Z61" s="32">
        <f t="shared" si="22"/>
        <v>0.11242471576280089</v>
      </c>
      <c r="AA61" s="60">
        <f t="shared" si="23"/>
        <v>-0.31999999999999984</v>
      </c>
      <c r="AB61" s="60">
        <f t="shared" si="24"/>
        <v>13.28142753749362</v>
      </c>
      <c r="AC61" s="60">
        <f t="shared" si="25"/>
        <v>3.3599999999999994</v>
      </c>
      <c r="AD61" s="60">
        <f t="shared" si="4"/>
        <v>4.6400000000000006</v>
      </c>
      <c r="AE61" s="60">
        <f t="shared" si="26"/>
        <v>1.2329396035261637</v>
      </c>
      <c r="AF61" s="60">
        <f t="shared" si="27"/>
        <v>0.94346725477123472</v>
      </c>
      <c r="AG61" s="60">
        <f t="shared" si="28"/>
        <v>0.33146574359114417</v>
      </c>
      <c r="AH61" s="60">
        <f t="shared" si="29"/>
        <v>0.33917446353513475</v>
      </c>
      <c r="AI61" s="60">
        <f t="shared" si="5"/>
        <v>0.52165068113939617</v>
      </c>
      <c r="AJ61" s="60">
        <f t="shared" si="30"/>
        <v>9.3897122605091319</v>
      </c>
      <c r="AK61" s="60">
        <f t="shared" si="6"/>
        <v>124.01530507190131</v>
      </c>
      <c r="AL61" s="60">
        <f t="shared" si="7"/>
        <v>5.0876169530270214</v>
      </c>
      <c r="AM61" s="60">
        <f t="shared" si="8"/>
        <v>8.8588860495143553</v>
      </c>
      <c r="AN61" s="60">
        <f t="shared" si="9"/>
        <v>3.1123679565365427</v>
      </c>
      <c r="AO61" s="60">
        <f t="shared" si="31"/>
        <v>1.6548753972914432</v>
      </c>
      <c r="AP61" s="60">
        <f t="shared" ca="1" si="10"/>
        <v>1.0530540997252817</v>
      </c>
      <c r="AQ61" s="60">
        <f t="shared" ca="1" si="11"/>
        <v>1.6014094023108116</v>
      </c>
      <c r="AR61" s="66">
        <f t="shared" ca="1" si="32"/>
        <v>4.7410656022350484</v>
      </c>
      <c r="AV61" s="184">
        <f t="shared" si="45"/>
        <v>9.027504385966413</v>
      </c>
      <c r="AW61" s="190">
        <f t="shared" si="33"/>
        <v>3.1999999999999997</v>
      </c>
      <c r="AX61" s="32">
        <f t="shared" si="34"/>
        <v>0.22751191608262644</v>
      </c>
      <c r="AY61" s="60">
        <f t="shared" si="35"/>
        <v>-0.31999999999999984</v>
      </c>
      <c r="AZ61" s="60">
        <f t="shared" si="36"/>
        <v>8.9137484279250998</v>
      </c>
      <c r="BA61" s="60">
        <f t="shared" si="37"/>
        <v>3.3599999999999994</v>
      </c>
      <c r="BB61" s="60">
        <f t="shared" si="12"/>
        <v>4.6400000000000006</v>
      </c>
      <c r="BC61" s="60">
        <f t="shared" si="38"/>
        <v>0.95274267935313783</v>
      </c>
      <c r="BD61" s="60">
        <f t="shared" si="39"/>
        <v>0.81500781361702213</v>
      </c>
      <c r="BE61" s="60">
        <f t="shared" si="40"/>
        <v>0.57944996655725278</v>
      </c>
      <c r="BF61" s="60">
        <f t="shared" si="41"/>
        <v>0.39263427252290134</v>
      </c>
      <c r="BG61" s="60">
        <f t="shared" si="13"/>
        <v>1.0556552906233869</v>
      </c>
      <c r="BH61" s="60">
        <f t="shared" si="42"/>
        <v>19.001795231220964</v>
      </c>
      <c r="BI61" s="60">
        <f t="shared" si="14"/>
        <v>333.96133148778921</v>
      </c>
      <c r="BJ61" s="60">
        <f t="shared" si="15"/>
        <v>5.8895140878435202</v>
      </c>
      <c r="BK61" s="60">
        <f t="shared" si="16"/>
        <v>15.486611586195755</v>
      </c>
      <c r="BL61" s="60">
        <f t="shared" si="17"/>
        <v>11.010589611258753</v>
      </c>
      <c r="BM61" s="60">
        <f t="shared" si="43"/>
        <v>5.8544343444601745</v>
      </c>
      <c r="BN61" s="60">
        <f t="shared" ca="1" si="18"/>
        <v>0.86858585609362016</v>
      </c>
      <c r="BO61" s="60">
        <f t="shared" ca="1" si="19"/>
        <v>3.929005655914759</v>
      </c>
      <c r="BP61" s="66">
        <f t="shared" ca="1" si="44"/>
        <v>11.63204958042893</v>
      </c>
    </row>
    <row r="62" spans="24:68" x14ac:dyDescent="0.2">
      <c r="X62" s="77">
        <f t="shared" si="20"/>
        <v>13.225215179612219</v>
      </c>
      <c r="Y62" s="92">
        <f t="shared" si="21"/>
        <v>3.5199999999999996</v>
      </c>
      <c r="Z62" s="32">
        <f t="shared" si="22"/>
        <v>0.10382165652337605</v>
      </c>
      <c r="AA62" s="60">
        <f t="shared" si="23"/>
        <v>-0.31999999999999984</v>
      </c>
      <c r="AB62" s="60">
        <f t="shared" si="24"/>
        <v>13.173304351350531</v>
      </c>
      <c r="AC62" s="60">
        <f t="shared" si="25"/>
        <v>3.6799999999999997</v>
      </c>
      <c r="AD62" s="60">
        <f t="shared" si="4"/>
        <v>4.32</v>
      </c>
      <c r="AE62" s="60">
        <f t="shared" si="26"/>
        <v>1.2570685901853809</v>
      </c>
      <c r="AF62" s="60">
        <f t="shared" si="27"/>
        <v>0.95118977745668698</v>
      </c>
      <c r="AG62" s="60">
        <f t="shared" si="28"/>
        <v>0.30860655738642101</v>
      </c>
      <c r="AH62" s="60">
        <f t="shared" si="29"/>
        <v>0.33642077278797422</v>
      </c>
      <c r="AI62" s="60">
        <f t="shared" si="5"/>
        <v>0.44850955618098454</v>
      </c>
      <c r="AJ62" s="60">
        <f t="shared" si="30"/>
        <v>8.0731720112577214</v>
      </c>
      <c r="AK62" s="60">
        <f t="shared" si="6"/>
        <v>107.49990141176785</v>
      </c>
      <c r="AL62" s="60">
        <f t="shared" si="7"/>
        <v>5.0463115918196131</v>
      </c>
      <c r="AM62" s="60">
        <f t="shared" si="8"/>
        <v>7.6791186887577858</v>
      </c>
      <c r="AN62" s="60">
        <f t="shared" si="9"/>
        <v>2.4914338215826541</v>
      </c>
      <c r="AO62" s="60">
        <f t="shared" si="31"/>
        <v>1.3247188612958991</v>
      </c>
      <c r="AP62" s="60">
        <f t="shared" ca="1" si="10"/>
        <v>1.0361013002251562</v>
      </c>
      <c r="AQ62" s="60">
        <f t="shared" ca="1" si="11"/>
        <v>1.5030623429506524</v>
      </c>
      <c r="AR62" s="66">
        <f t="shared" ca="1" si="32"/>
        <v>4.1430135266487698</v>
      </c>
      <c r="AV62" s="184">
        <f t="shared" si="45"/>
        <v>8.7999924698837866</v>
      </c>
      <c r="AW62" s="190">
        <f t="shared" si="33"/>
        <v>3.5199999999999996</v>
      </c>
      <c r="AX62" s="32">
        <f t="shared" si="34"/>
        <v>0.20502716665487064</v>
      </c>
      <c r="AY62" s="60">
        <f t="shared" si="35"/>
        <v>-0.31999999999999984</v>
      </c>
      <c r="AZ62" s="60">
        <f t="shared" si="36"/>
        <v>8.6974788865563504</v>
      </c>
      <c r="BA62" s="60">
        <f t="shared" si="37"/>
        <v>3.6799999999999997</v>
      </c>
      <c r="BB62" s="60">
        <f t="shared" si="12"/>
        <v>4.32</v>
      </c>
      <c r="BC62" s="60">
        <f t="shared" si="38"/>
        <v>1.0009796829408739</v>
      </c>
      <c r="BD62" s="60">
        <f t="shared" si="39"/>
        <v>0.84199990586228113</v>
      </c>
      <c r="BE62" s="60">
        <f t="shared" si="40"/>
        <v>0.53947767194566054</v>
      </c>
      <c r="BF62" s="60">
        <f t="shared" si="41"/>
        <v>0.3800475484285144</v>
      </c>
      <c r="BG62" s="60">
        <f t="shared" si="13"/>
        <v>0.88571735994904122</v>
      </c>
      <c r="BH62" s="60">
        <f t="shared" si="42"/>
        <v>15.942912479082741</v>
      </c>
      <c r="BI62" s="60">
        <f t="shared" si="14"/>
        <v>283.64866396294951</v>
      </c>
      <c r="BJ62" s="60">
        <f t="shared" si="15"/>
        <v>5.7007132264277161</v>
      </c>
      <c r="BK62" s="60">
        <f t="shared" si="16"/>
        <v>13.423930806558255</v>
      </c>
      <c r="BL62" s="60">
        <f t="shared" si="17"/>
        <v>8.6008453082489762</v>
      </c>
      <c r="BM62" s="60">
        <f t="shared" si="43"/>
        <v>4.5731505706573596</v>
      </c>
      <c r="BN62" s="60">
        <f t="shared" ca="1" si="18"/>
        <v>0.83818939924871705</v>
      </c>
      <c r="BO62" s="60">
        <f t="shared" ca="1" si="19"/>
        <v>3.6691080829459284</v>
      </c>
      <c r="BP62" s="66">
        <f t="shared" ca="1" si="44"/>
        <v>10.113462352160328</v>
      </c>
    </row>
    <row r="63" spans="24:68" x14ac:dyDescent="0.2">
      <c r="X63" s="77">
        <f t="shared" si="20"/>
        <v>13.121393523088843</v>
      </c>
      <c r="Y63" s="92">
        <f t="shared" si="21"/>
        <v>3.8399999999999994</v>
      </c>
      <c r="Z63" s="32">
        <f t="shared" si="22"/>
        <v>9.5417629193145004E-2</v>
      </c>
      <c r="AA63" s="60">
        <f t="shared" si="23"/>
        <v>-0.31999999999999984</v>
      </c>
      <c r="AB63" s="60">
        <f t="shared" si="24"/>
        <v>13.073684708492269</v>
      </c>
      <c r="AC63" s="60">
        <f t="shared" si="25"/>
        <v>3.9999999999999991</v>
      </c>
      <c r="AD63" s="60">
        <f t="shared" si="4"/>
        <v>4.0000000000000009</v>
      </c>
      <c r="AE63" s="60">
        <f t="shared" si="26"/>
        <v>1.2810100085674172</v>
      </c>
      <c r="AF63" s="60">
        <f t="shared" si="27"/>
        <v>0.95830495641388913</v>
      </c>
      <c r="AG63" s="60">
        <f t="shared" si="28"/>
        <v>0.28574745932829226</v>
      </c>
      <c r="AH63" s="60">
        <f t="shared" si="29"/>
        <v>0.33392293116951466</v>
      </c>
      <c r="AI63" s="60">
        <f t="shared" si="5"/>
        <v>0.38167051677258013</v>
      </c>
      <c r="AJ63" s="60">
        <f t="shared" si="30"/>
        <v>6.870069301906442</v>
      </c>
      <c r="AK63" s="60">
        <f t="shared" si="6"/>
        <v>92.164145751639239</v>
      </c>
      <c r="AL63" s="60">
        <f t="shared" si="7"/>
        <v>5.0088439675427203</v>
      </c>
      <c r="AM63" s="60">
        <f t="shared" si="8"/>
        <v>6.5836214629238503</v>
      </c>
      <c r="AN63" s="60">
        <f t="shared" si="9"/>
        <v>1.9631048484290603</v>
      </c>
      <c r="AO63" s="60">
        <f t="shared" si="31"/>
        <v>1.0438013632501091</v>
      </c>
      <c r="AP63" s="60">
        <f t="shared" ca="1" si="10"/>
        <v>1.0186840765525593</v>
      </c>
      <c r="AQ63" s="60">
        <f t="shared" ca="1" si="11"/>
        <v>1.4050130662107474</v>
      </c>
      <c r="AR63" s="66">
        <f t="shared" ca="1" si="32"/>
        <v>3.5858817547769677</v>
      </c>
      <c r="AV63" s="184">
        <f t="shared" si="45"/>
        <v>8.5949653032289159</v>
      </c>
      <c r="AW63" s="190">
        <f t="shared" si="33"/>
        <v>3.8399999999999994</v>
      </c>
      <c r="AX63" s="32">
        <f t="shared" si="34"/>
        <v>0.18451009645699479</v>
      </c>
      <c r="AY63" s="60">
        <f t="shared" si="35"/>
        <v>-0.31999999999999984</v>
      </c>
      <c r="AZ63" s="60">
        <f t="shared" si="36"/>
        <v>8.5027102550004194</v>
      </c>
      <c r="BA63" s="60">
        <f t="shared" si="37"/>
        <v>3.9999999999999991</v>
      </c>
      <c r="BB63" s="60">
        <f t="shared" si="12"/>
        <v>4.0000000000000009</v>
      </c>
      <c r="BC63" s="60">
        <f t="shared" si="38"/>
        <v>1.0477649002364005</v>
      </c>
      <c r="BD63" s="60">
        <f t="shared" si="39"/>
        <v>0.86630893890886074</v>
      </c>
      <c r="BE63" s="60">
        <f t="shared" si="40"/>
        <v>0.49950858087384614</v>
      </c>
      <c r="BF63" s="60">
        <f t="shared" si="41"/>
        <v>0.36938323688896524</v>
      </c>
      <c r="BG63" s="60">
        <f t="shared" si="13"/>
        <v>0.73804038582797926</v>
      </c>
      <c r="BH63" s="60">
        <f t="shared" si="42"/>
        <v>13.284726944903626</v>
      </c>
      <c r="BI63" s="60">
        <f t="shared" si="14"/>
        <v>238.94294799887814</v>
      </c>
      <c r="BJ63" s="60">
        <f t="shared" si="15"/>
        <v>5.5407485533344785</v>
      </c>
      <c r="BK63" s="60">
        <f t="shared" si="16"/>
        <v>11.508677703333412</v>
      </c>
      <c r="BL63" s="60">
        <f t="shared" si="17"/>
        <v>6.6358351035453564</v>
      </c>
      <c r="BM63" s="60">
        <f t="shared" si="43"/>
        <v>3.5283361115053915</v>
      </c>
      <c r="BN63" s="60">
        <f t="shared" ca="1" si="18"/>
        <v>0.80684429162375892</v>
      </c>
      <c r="BO63" s="60">
        <f t="shared" ca="1" si="19"/>
        <v>3.4302175470375769</v>
      </c>
      <c r="BP63" s="66">
        <f t="shared" ca="1" si="44"/>
        <v>8.7546193075707937</v>
      </c>
    </row>
    <row r="64" spans="24:68" x14ac:dyDescent="0.2">
      <c r="X64" s="77">
        <f t="shared" si="20"/>
        <v>13.025975893895698</v>
      </c>
      <c r="Y64" s="92">
        <f t="shared" si="21"/>
        <v>4.1599999999999993</v>
      </c>
      <c r="Z64" s="32">
        <f t="shared" si="22"/>
        <v>8.7191140950443113E-2</v>
      </c>
      <c r="AA64" s="60">
        <f t="shared" si="23"/>
        <v>-0.32000000000000028</v>
      </c>
      <c r="AB64" s="60">
        <f t="shared" si="24"/>
        <v>12.982380323420475</v>
      </c>
      <c r="AC64" s="60">
        <f t="shared" si="25"/>
        <v>4.3199999999999994</v>
      </c>
      <c r="AD64" s="60">
        <f t="shared" si="4"/>
        <v>3.6800000000000006</v>
      </c>
      <c r="AE64" s="60">
        <f t="shared" si="26"/>
        <v>1.3047815993690646</v>
      </c>
      <c r="AF64" s="60">
        <f t="shared" si="27"/>
        <v>0.96482623754526919</v>
      </c>
      <c r="AG64" s="60">
        <f t="shared" si="28"/>
        <v>0.26288843897029746</v>
      </c>
      <c r="AH64" s="60">
        <f t="shared" si="29"/>
        <v>0.33166593895098762</v>
      </c>
      <c r="AI64" s="60">
        <f t="shared" si="5"/>
        <v>0.3208633986976307</v>
      </c>
      <c r="AJ64" s="60">
        <f t="shared" si="30"/>
        <v>5.7755411765573523</v>
      </c>
      <c r="AK64" s="60">
        <f t="shared" si="6"/>
        <v>78.00803809150635</v>
      </c>
      <c r="AL64" s="60">
        <f t="shared" si="7"/>
        <v>4.9749890842648146</v>
      </c>
      <c r="AM64" s="60">
        <f t="shared" si="8"/>
        <v>5.5723936631656077</v>
      </c>
      <c r="AN64" s="60">
        <f t="shared" si="9"/>
        <v>1.5183230041138376</v>
      </c>
      <c r="AO64" s="60">
        <f t="shared" si="31"/>
        <v>0.80730666159591769</v>
      </c>
      <c r="AP64" s="60">
        <f t="shared" ca="1" si="10"/>
        <v>1.0008127020377922</v>
      </c>
      <c r="AQ64" s="60">
        <f t="shared" ca="1" si="11"/>
        <v>1.3068050711123567</v>
      </c>
      <c r="AR64" s="66">
        <f t="shared" ca="1" si="32"/>
        <v>3.0684160085818095</v>
      </c>
      <c r="AV64" s="184">
        <f t="shared" si="45"/>
        <v>8.4104552067719212</v>
      </c>
      <c r="AW64" s="190">
        <f t="shared" si="33"/>
        <v>4.1599999999999993</v>
      </c>
      <c r="AX64" s="32">
        <f t="shared" si="34"/>
        <v>0.1655716061083492</v>
      </c>
      <c r="AY64" s="60">
        <f t="shared" si="35"/>
        <v>-0.32000000000000028</v>
      </c>
      <c r="AZ64" s="60">
        <f t="shared" si="36"/>
        <v>8.3276694037177457</v>
      </c>
      <c r="BA64" s="60">
        <f t="shared" si="37"/>
        <v>4.3199999999999994</v>
      </c>
      <c r="BB64" s="60">
        <f t="shared" si="12"/>
        <v>3.6800000000000006</v>
      </c>
      <c r="BC64" s="60">
        <f t="shared" si="38"/>
        <v>1.0933169224717387</v>
      </c>
      <c r="BD64" s="60">
        <f t="shared" si="39"/>
        <v>0.88815606242387646</v>
      </c>
      <c r="BE64" s="60">
        <f t="shared" si="40"/>
        <v>0.45954195540746351</v>
      </c>
      <c r="BF64" s="60">
        <f t="shared" si="41"/>
        <v>0.36029703960662585</v>
      </c>
      <c r="BG64" s="60">
        <f t="shared" si="13"/>
        <v>0.60930351047872511</v>
      </c>
      <c r="BH64" s="60">
        <f t="shared" si="42"/>
        <v>10.967463188617051</v>
      </c>
      <c r="BI64" s="60">
        <f t="shared" si="14"/>
        <v>199.18372475834815</v>
      </c>
      <c r="BJ64" s="60">
        <f t="shared" si="15"/>
        <v>5.4044555940993879</v>
      </c>
      <c r="BK64" s="60">
        <f t="shared" si="16"/>
        <v>9.7408189203809332</v>
      </c>
      <c r="BL64" s="60">
        <f t="shared" si="17"/>
        <v>5.0400094795564545</v>
      </c>
      <c r="BM64" s="60">
        <f t="shared" si="43"/>
        <v>2.6798205759434279</v>
      </c>
      <c r="BN64" s="60">
        <f t="shared" ca="1" si="18"/>
        <v>0.77462825134905799</v>
      </c>
      <c r="BO64" s="60">
        <f t="shared" ca="1" si="19"/>
        <v>3.2061496431352152</v>
      </c>
      <c r="BP64" s="66">
        <f t="shared" ca="1" si="44"/>
        <v>7.5281318601947138</v>
      </c>
    </row>
    <row r="65" spans="2:68" x14ac:dyDescent="0.2">
      <c r="X65" s="77">
        <f t="shared" si="20"/>
        <v>12.938784752945255</v>
      </c>
      <c r="Y65" s="92">
        <f t="shared" si="21"/>
        <v>4.4799999999999995</v>
      </c>
      <c r="Z65" s="32">
        <f t="shared" si="22"/>
        <v>7.912253588487772E-2</v>
      </c>
      <c r="AA65" s="60">
        <f t="shared" si="23"/>
        <v>-0.32000000000000028</v>
      </c>
      <c r="AB65" s="60">
        <f t="shared" si="24"/>
        <v>12.899223485002816</v>
      </c>
      <c r="AC65" s="60">
        <f t="shared" si="25"/>
        <v>4.6399999999999997</v>
      </c>
      <c r="AD65" s="60">
        <f t="shared" si="4"/>
        <v>3.3600000000000003</v>
      </c>
      <c r="AE65" s="60">
        <f t="shared" si="26"/>
        <v>1.3284001009137005</v>
      </c>
      <c r="AF65" s="60">
        <f t="shared" si="27"/>
        <v>0.97076559755096037</v>
      </c>
      <c r="AG65" s="60">
        <f t="shared" si="28"/>
        <v>0.24002948696259549</v>
      </c>
      <c r="AH65" s="60">
        <f t="shared" si="29"/>
        <v>0.32963673291193435</v>
      </c>
      <c r="AI65" s="60">
        <f t="shared" si="5"/>
        <v>0.26585172057318918</v>
      </c>
      <c r="AJ65" s="60">
        <f t="shared" si="30"/>
        <v>4.7853309703174052</v>
      </c>
      <c r="AK65" s="60">
        <f t="shared" si="6"/>
        <v>65.031578431374726</v>
      </c>
      <c r="AL65" s="60">
        <f t="shared" si="7"/>
        <v>4.9445509936790151</v>
      </c>
      <c r="AM65" s="60">
        <f t="shared" si="8"/>
        <v>4.6454346788792931</v>
      </c>
      <c r="AN65" s="60">
        <f t="shared" si="9"/>
        <v>1.148620537751506</v>
      </c>
      <c r="AO65" s="60">
        <f t="shared" si="31"/>
        <v>0.61073237332255537</v>
      </c>
      <c r="AP65" s="60">
        <f t="shared" ca="1" si="10"/>
        <v>0.98249632742355231</v>
      </c>
      <c r="AQ65" s="60">
        <f t="shared" ca="1" si="11"/>
        <v>1.2079821625241782</v>
      </c>
      <c r="AR65" s="66">
        <f t="shared" ca="1" si="32"/>
        <v>2.5897354926627139</v>
      </c>
      <c r="AV65" s="184">
        <f t="shared" si="45"/>
        <v>8.244883600663572</v>
      </c>
      <c r="AW65" s="190">
        <f t="shared" si="33"/>
        <v>4.4799999999999995</v>
      </c>
      <c r="AX65" s="32">
        <f t="shared" si="34"/>
        <v>0.14791431011862777</v>
      </c>
      <c r="AY65" s="60">
        <f t="shared" si="35"/>
        <v>-0.32000000000000028</v>
      </c>
      <c r="AZ65" s="60">
        <f t="shared" si="36"/>
        <v>8.170926445604259</v>
      </c>
      <c r="BA65" s="60">
        <f t="shared" si="37"/>
        <v>4.6399999999999997</v>
      </c>
      <c r="BB65" s="60">
        <f t="shared" si="12"/>
        <v>3.3600000000000003</v>
      </c>
      <c r="BC65" s="60">
        <f t="shared" si="38"/>
        <v>1.1378167752338373</v>
      </c>
      <c r="BD65" s="60">
        <f t="shared" si="39"/>
        <v>0.90771962869043266</v>
      </c>
      <c r="BE65" s="60">
        <f t="shared" si="40"/>
        <v>0.41957725830900688</v>
      </c>
      <c r="BF65" s="60">
        <f t="shared" si="41"/>
        <v>0.35253176188518076</v>
      </c>
      <c r="BG65" s="60">
        <f t="shared" si="13"/>
        <v>0.49699208199858935</v>
      </c>
      <c r="BH65" s="60">
        <f t="shared" si="42"/>
        <v>8.9458574759746092</v>
      </c>
      <c r="BI65" s="60">
        <f t="shared" si="14"/>
        <v>163.87087524169954</v>
      </c>
      <c r="BJ65" s="60">
        <f t="shared" si="15"/>
        <v>5.2879764282777115</v>
      </c>
      <c r="BK65" s="60">
        <f t="shared" si="16"/>
        <v>8.120330426409204</v>
      </c>
      <c r="BL65" s="60">
        <f t="shared" si="17"/>
        <v>3.7534783529925591</v>
      </c>
      <c r="BM65" s="60">
        <f t="shared" si="43"/>
        <v>1.9957598418233369</v>
      </c>
      <c r="BN65" s="60">
        <f t="shared" ca="1" si="18"/>
        <v>0.74160401425659883</v>
      </c>
      <c r="BO65" s="60">
        <f t="shared" ca="1" si="19"/>
        <v>2.9917781041186893</v>
      </c>
      <c r="BP65" s="66">
        <f t="shared" ca="1" si="44"/>
        <v>6.4139307539255617</v>
      </c>
    </row>
    <row r="66" spans="2:68" x14ac:dyDescent="0.2">
      <c r="X66" s="77">
        <f t="shared" si="20"/>
        <v>12.859662217060377</v>
      </c>
      <c r="Y66" s="92">
        <f t="shared" si="21"/>
        <v>4.8</v>
      </c>
      <c r="Z66" s="32">
        <f t="shared" si="22"/>
        <v>7.1193723589528801E-2</v>
      </c>
      <c r="AA66" s="60">
        <f t="shared" si="23"/>
        <v>-0.32000000000000028</v>
      </c>
      <c r="AB66" s="60">
        <f t="shared" si="24"/>
        <v>12.824065355265613</v>
      </c>
      <c r="AC66" s="60">
        <f t="shared" si="25"/>
        <v>4.96</v>
      </c>
      <c r="AD66" s="60">
        <f t="shared" si="4"/>
        <v>3.04</v>
      </c>
      <c r="AE66" s="60">
        <f t="shared" si="26"/>
        <v>1.3518813792736628</v>
      </c>
      <c r="AF66" s="60">
        <f t="shared" si="27"/>
        <v>0.97613366539665636</v>
      </c>
      <c r="AG66" s="60">
        <f t="shared" si="28"/>
        <v>0.21717059487713461</v>
      </c>
      <c r="AH66" s="60">
        <f t="shared" si="29"/>
        <v>0.32782395623038657</v>
      </c>
      <c r="AI66" s="60">
        <f t="shared" si="5"/>
        <v>0.21642891971216754</v>
      </c>
      <c r="AJ66" s="60">
        <f t="shared" si="30"/>
        <v>3.8957205548190159</v>
      </c>
      <c r="AK66" s="60">
        <f t="shared" si="6"/>
        <v>53.234766771245489</v>
      </c>
      <c r="AL66" s="60">
        <f t="shared" si="7"/>
        <v>4.9173593434557983</v>
      </c>
      <c r="AM66" s="60">
        <f t="shared" si="8"/>
        <v>3.8027439845365816</v>
      </c>
      <c r="AN66" s="60">
        <f t="shared" si="9"/>
        <v>0.84603595036512658</v>
      </c>
      <c r="AO66" s="60">
        <f t="shared" si="31"/>
        <v>0.44984529433382053</v>
      </c>
      <c r="AP66" s="60">
        <f t="shared" ca="1" si="10"/>
        <v>0.96374307359188705</v>
      </c>
      <c r="AQ66" s="60">
        <f t="shared" ca="1" si="11"/>
        <v>1.108081482612195</v>
      </c>
      <c r="AR66" s="66">
        <f t="shared" ca="1" si="32"/>
        <v>2.1493190652926288</v>
      </c>
      <c r="AV66" s="184">
        <f t="shared" si="45"/>
        <v>8.0969692905449442</v>
      </c>
      <c r="AW66" s="190">
        <f t="shared" si="33"/>
        <v>4.8</v>
      </c>
      <c r="AX66" s="32">
        <f t="shared" si="34"/>
        <v>0.13130538146298676</v>
      </c>
      <c r="AY66" s="60">
        <f t="shared" si="35"/>
        <v>-0.32000000000000028</v>
      </c>
      <c r="AZ66" s="60">
        <f t="shared" si="36"/>
        <v>8.0313165998134508</v>
      </c>
      <c r="BA66" s="60">
        <f t="shared" si="37"/>
        <v>4.96</v>
      </c>
      <c r="BB66" s="60">
        <f t="shared" si="12"/>
        <v>3.04</v>
      </c>
      <c r="BC66" s="60">
        <f t="shared" si="38"/>
        <v>1.1814172029205599</v>
      </c>
      <c r="BD66" s="60">
        <f t="shared" si="39"/>
        <v>0.92514493148207178</v>
      </c>
      <c r="BE66" s="60">
        <f t="shared" si="40"/>
        <v>0.3796140879275065</v>
      </c>
      <c r="BF66" s="60">
        <f t="shared" si="41"/>
        <v>0.3458917506983083</v>
      </c>
      <c r="BG66" s="60">
        <f t="shared" si="13"/>
        <v>0.39916835964747976</v>
      </c>
      <c r="BH66" s="60">
        <f t="shared" si="42"/>
        <v>7.1850304736546358</v>
      </c>
      <c r="BI66" s="60">
        <f t="shared" si="14"/>
        <v>132.61901769510138</v>
      </c>
      <c r="BJ66" s="60">
        <f t="shared" si="15"/>
        <v>5.1883762604746249</v>
      </c>
      <c r="BK66" s="60">
        <f t="shared" si="16"/>
        <v>6.6471945252458156</v>
      </c>
      <c r="BL66" s="60">
        <f t="shared" si="17"/>
        <v>2.7275387899877446</v>
      </c>
      <c r="BM66" s="60">
        <f t="shared" si="43"/>
        <v>1.4502580998590211</v>
      </c>
      <c r="BN66" s="60">
        <f t="shared" ca="1" si="18"/>
        <v>0.70782272377725686</v>
      </c>
      <c r="BO66" s="60">
        <f t="shared" ca="1" si="19"/>
        <v>2.7825904082794102</v>
      </c>
      <c r="BP66" s="66">
        <f t="shared" ca="1" si="44"/>
        <v>5.397323851416119</v>
      </c>
    </row>
    <row r="67" spans="2:68" x14ac:dyDescent="0.2">
      <c r="X67" s="77">
        <f t="shared" si="20"/>
        <v>12.788468493470848</v>
      </c>
      <c r="Y67" s="92">
        <f t="shared" si="21"/>
        <v>5.12</v>
      </c>
      <c r="Z67" s="32">
        <f t="shared" si="22"/>
        <v>6.3387946930035355E-2</v>
      </c>
      <c r="AA67" s="60">
        <f t="shared" si="23"/>
        <v>-0.32000000000000028</v>
      </c>
      <c r="AB67" s="60">
        <f t="shared" si="24"/>
        <v>12.75677452000583</v>
      </c>
      <c r="AC67" s="60">
        <f t="shared" si="25"/>
        <v>5.28</v>
      </c>
      <c r="AD67" s="60">
        <f t="shared" si="4"/>
        <v>2.7199999999999998</v>
      </c>
      <c r="AE67" s="60">
        <f t="shared" si="26"/>
        <v>1.3752405433499721</v>
      </c>
      <c r="AF67" s="60">
        <f t="shared" si="27"/>
        <v>0.98093982580233641</v>
      </c>
      <c r="AG67" s="60">
        <f t="shared" si="28"/>
        <v>0.1943117550609893</v>
      </c>
      <c r="AH67" s="60">
        <f t="shared" si="29"/>
        <v>0.32621776747443593</v>
      </c>
      <c r="AI67" s="60">
        <f t="shared" si="5"/>
        <v>0.17241521564969614</v>
      </c>
      <c r="AJ67" s="60">
        <f t="shared" si="30"/>
        <v>3.1034738816945304</v>
      </c>
      <c r="AK67" s="60">
        <f t="shared" si="6"/>
        <v>42.61760311111339</v>
      </c>
      <c r="AL67" s="60">
        <f t="shared" si="7"/>
        <v>4.8932665121165391</v>
      </c>
      <c r="AM67" s="60">
        <f t="shared" si="8"/>
        <v>3.0443211288915335</v>
      </c>
      <c r="AN67" s="60">
        <f t="shared" si="9"/>
        <v>0.60304145673800524</v>
      </c>
      <c r="AO67" s="60">
        <f t="shared" si="31"/>
        <v>0.32064283023047502</v>
      </c>
      <c r="AP67" s="60">
        <f t="shared" ca="1" si="10"/>
        <v>0.94456011056840539</v>
      </c>
      <c r="AQ67" s="60">
        <f t="shared" ca="1" si="11"/>
        <v>1.0066264638026672</v>
      </c>
      <c r="AR67" s="66">
        <f t="shared" ca="1" si="32"/>
        <v>1.7469998101222357</v>
      </c>
      <c r="AV67" s="184">
        <f t="shared" si="45"/>
        <v>7.9656639090819574</v>
      </c>
      <c r="AW67" s="190">
        <f t="shared" si="33"/>
        <v>5.12</v>
      </c>
      <c r="AX67" s="32">
        <f t="shared" si="34"/>
        <v>0.1155585065055611</v>
      </c>
      <c r="AY67" s="60">
        <f t="shared" si="35"/>
        <v>-0.32000000000000028</v>
      </c>
      <c r="AZ67" s="60">
        <f t="shared" si="36"/>
        <v>7.9078846558291769</v>
      </c>
      <c r="BA67" s="60">
        <f t="shared" si="37"/>
        <v>5.28</v>
      </c>
      <c r="BB67" s="60">
        <f t="shared" si="12"/>
        <v>2.7199999999999998</v>
      </c>
      <c r="BC67" s="60">
        <f t="shared" si="38"/>
        <v>1.22424930446859</v>
      </c>
      <c r="BD67" s="60">
        <f t="shared" si="39"/>
        <v>0.94055112887742021</v>
      </c>
      <c r="BE67" s="60">
        <f t="shared" si="40"/>
        <v>0.33965213670373168</v>
      </c>
      <c r="BF67" s="60">
        <f t="shared" si="41"/>
        <v>0.34022605488968066</v>
      </c>
      <c r="BG67" s="60">
        <f t="shared" si="13"/>
        <v>0.31431913769512615</v>
      </c>
      <c r="BH67" s="60">
        <f t="shared" si="42"/>
        <v>5.6577444785122708</v>
      </c>
      <c r="BI67" s="60">
        <f t="shared" si="14"/>
        <v>105.12720273653986</v>
      </c>
      <c r="BJ67" s="60">
        <f t="shared" si="15"/>
        <v>5.1033908233452099</v>
      </c>
      <c r="BK67" s="60">
        <f t="shared" si="16"/>
        <v>5.3213979561647076</v>
      </c>
      <c r="BL67" s="60">
        <f t="shared" si="17"/>
        <v>1.9216650010504328</v>
      </c>
      <c r="BM67" s="60">
        <f t="shared" si="43"/>
        <v>1.0217674055522807</v>
      </c>
      <c r="BN67" s="60">
        <f t="shared" ca="1" si="18"/>
        <v>0.67332634541530267</v>
      </c>
      <c r="BO67" s="60">
        <f t="shared" ca="1" si="19"/>
        <v>2.5743498815782742</v>
      </c>
      <c r="BP67" s="66">
        <f t="shared" ca="1" si="44"/>
        <v>4.4677831509773274</v>
      </c>
    </row>
    <row r="68" spans="2:68" x14ac:dyDescent="0.2">
      <c r="X68" s="77">
        <f t="shared" si="20"/>
        <v>12.725080546540813</v>
      </c>
      <c r="Y68" s="92">
        <f t="shared" si="21"/>
        <v>5.44</v>
      </c>
      <c r="Z68" s="32">
        <f t="shared" si="22"/>
        <v>5.5689581575370184E-2</v>
      </c>
      <c r="AA68" s="60">
        <f t="shared" si="23"/>
        <v>-0.32000000000000028</v>
      </c>
      <c r="AB68" s="60">
        <f t="shared" si="24"/>
        <v>12.697235755753127</v>
      </c>
      <c r="AC68" s="60">
        <f t="shared" si="25"/>
        <v>5.6000000000000005</v>
      </c>
      <c r="AD68" s="60">
        <f t="shared" si="4"/>
        <v>2.3999999999999995</v>
      </c>
      <c r="AE68" s="60">
        <f t="shared" si="26"/>
        <v>1.3984920474623466</v>
      </c>
      <c r="AF68" s="60">
        <f t="shared" si="27"/>
        <v>0.98519230728400686</v>
      </c>
      <c r="AG68" s="60">
        <f t="shared" si="28"/>
        <v>0.17145296051224937</v>
      </c>
      <c r="AH68" s="60">
        <f t="shared" si="29"/>
        <v>0.3248096819616681</v>
      </c>
      <c r="AI68" s="60">
        <f t="shared" si="5"/>
        <v>0.13365499578088841</v>
      </c>
      <c r="AJ68" s="60">
        <f t="shared" si="30"/>
        <v>2.4057899240559912</v>
      </c>
      <c r="AK68" s="60">
        <f t="shared" si="6"/>
        <v>33.180087450982924</v>
      </c>
      <c r="AL68" s="60">
        <f t="shared" si="7"/>
        <v>4.8721452294250218</v>
      </c>
      <c r="AM68" s="60">
        <f t="shared" si="8"/>
        <v>2.3701657261213378</v>
      </c>
      <c r="AN68" s="60">
        <f t="shared" si="9"/>
        <v>0.41247980484993929</v>
      </c>
      <c r="AO68" s="60">
        <f t="shared" si="31"/>
        <v>0.21931940260859889</v>
      </c>
      <c r="AP68" s="60">
        <f t="shared" ca="1" si="10"/>
        <v>0.92495372473478665</v>
      </c>
      <c r="AQ68" s="60">
        <f t="shared" ca="1" si="11"/>
        <v>0.903119476458211</v>
      </c>
      <c r="AR68" s="66">
        <f t="shared" ca="1" si="32"/>
        <v>1.3829677734240216</v>
      </c>
      <c r="AV68" s="184">
        <f t="shared" si="45"/>
        <v>7.8501054025763963</v>
      </c>
      <c r="AW68" s="190">
        <f t="shared" si="33"/>
        <v>5.44</v>
      </c>
      <c r="AX68" s="32">
        <f t="shared" si="34"/>
        <v>0.10052151615568761</v>
      </c>
      <c r="AY68" s="60">
        <f t="shared" si="35"/>
        <v>-0.32000000000000028</v>
      </c>
      <c r="AZ68" s="60">
        <f t="shared" si="36"/>
        <v>7.7998446444985525</v>
      </c>
      <c r="BA68" s="60">
        <f t="shared" si="37"/>
        <v>5.6000000000000005</v>
      </c>
      <c r="BB68" s="60">
        <f t="shared" si="12"/>
        <v>2.3999999999999995</v>
      </c>
      <c r="BC68" s="60">
        <f t="shared" si="38"/>
        <v>1.2664274045809762</v>
      </c>
      <c r="BD68" s="60">
        <f t="shared" si="39"/>
        <v>0.95403627096819155</v>
      </c>
      <c r="BE68" s="60">
        <f t="shared" si="40"/>
        <v>0.29969116382887806</v>
      </c>
      <c r="BF68" s="60">
        <f t="shared" si="41"/>
        <v>0.33541701687636294</v>
      </c>
      <c r="BG68" s="60">
        <f t="shared" si="13"/>
        <v>0.24125163877365019</v>
      </c>
      <c r="BH68" s="60">
        <f t="shared" si="42"/>
        <v>4.3425294979257032</v>
      </c>
      <c r="BI68" s="60">
        <f t="shared" si="14"/>
        <v>81.158208417559763</v>
      </c>
      <c r="BJ68" s="60">
        <f t="shared" si="15"/>
        <v>5.031255253145444</v>
      </c>
      <c r="BK68" s="60">
        <f t="shared" si="16"/>
        <v>4.1429306487704114</v>
      </c>
      <c r="BL68" s="60">
        <f t="shared" si="17"/>
        <v>1.3014177191945875</v>
      </c>
      <c r="BM68" s="60">
        <f t="shared" si="43"/>
        <v>0.69197607582713205</v>
      </c>
      <c r="BN68" s="60">
        <f t="shared" ca="1" si="18"/>
        <v>0.638149423059714</v>
      </c>
      <c r="BO68" s="60">
        <f t="shared" ca="1" si="19"/>
        <v>2.3628051485274502</v>
      </c>
      <c r="BP68" s="66">
        <f t="shared" ca="1" si="44"/>
        <v>3.6182182540329961</v>
      </c>
    </row>
    <row r="69" spans="2:68" x14ac:dyDescent="0.2">
      <c r="B69" s="19" t="s">
        <v>144</v>
      </c>
      <c r="C69" s="19"/>
      <c r="D69" s="19"/>
      <c r="E69" s="19"/>
      <c r="X69" s="77">
        <f t="shared" si="20"/>
        <v>12.669390964965443</v>
      </c>
      <c r="Y69" s="92">
        <f t="shared" si="21"/>
        <v>5.7600000000000007</v>
      </c>
      <c r="Z69" s="32">
        <f t="shared" si="22"/>
        <v>4.8083961318068802E-2</v>
      </c>
      <c r="AA69" s="60">
        <f t="shared" si="23"/>
        <v>-0.32000000000000028</v>
      </c>
      <c r="AB69" s="60">
        <f t="shared" si="24"/>
        <v>12.645348984306409</v>
      </c>
      <c r="AC69" s="60">
        <f t="shared" si="25"/>
        <v>5.9200000000000008</v>
      </c>
      <c r="AD69" s="60">
        <f t="shared" si="4"/>
        <v>2.0799999999999992</v>
      </c>
      <c r="AE69" s="60">
        <f t="shared" si="26"/>
        <v>1.4216497835722877</v>
      </c>
      <c r="AF69" s="60">
        <f t="shared" si="27"/>
        <v>0.98889825680281462</v>
      </c>
      <c r="AG69" s="60">
        <f t="shared" si="28"/>
        <v>0.14859420477378796</v>
      </c>
      <c r="AH69" s="60">
        <f t="shared" si="29"/>
        <v>0.32359244017133298</v>
      </c>
      <c r="AI69" s="60">
        <f t="shared" si="5"/>
        <v>0.10001463954158307</v>
      </c>
      <c r="AJ69" s="60">
        <f t="shared" si="30"/>
        <v>1.8002635117484953</v>
      </c>
      <c r="AK69" s="60">
        <f t="shared" si="6"/>
        <v>24.922219790851464</v>
      </c>
      <c r="AL69" s="60">
        <f t="shared" si="7"/>
        <v>4.8538866025699949</v>
      </c>
      <c r="AM69" s="60">
        <f t="shared" si="8"/>
        <v>1.7802774485538004</v>
      </c>
      <c r="AN69" s="60">
        <f t="shared" si="9"/>
        <v>0.26750872491153455</v>
      </c>
      <c r="AO69" s="60">
        <f t="shared" si="31"/>
        <v>0.14223691208719891</v>
      </c>
      <c r="AP69" s="60">
        <f t="shared" ca="1" si="10"/>
        <v>0.90492937581613675</v>
      </c>
      <c r="AQ69" s="60">
        <f t="shared" ca="1" si="11"/>
        <v>0.79703393330616912</v>
      </c>
      <c r="AR69" s="66">
        <f t="shared" ca="1" si="32"/>
        <v>1.0577809873940676</v>
      </c>
      <c r="AV69" s="184">
        <f t="shared" si="45"/>
        <v>7.7495838864207087</v>
      </c>
      <c r="AW69" s="190">
        <f t="shared" si="33"/>
        <v>5.7600000000000007</v>
      </c>
      <c r="AX69" s="32">
        <f t="shared" si="34"/>
        <v>8.6067667667861336E-2</v>
      </c>
      <c r="AY69" s="60">
        <f t="shared" si="35"/>
        <v>-0.32000000000000028</v>
      </c>
      <c r="AZ69" s="60">
        <f t="shared" si="36"/>
        <v>7.7065500525867776</v>
      </c>
      <c r="BA69" s="60">
        <f t="shared" si="37"/>
        <v>5.9200000000000008</v>
      </c>
      <c r="BB69" s="60">
        <f t="shared" si="12"/>
        <v>2.0799999999999992</v>
      </c>
      <c r="BC69" s="60">
        <f t="shared" si="38"/>
        <v>1.308052718364149</v>
      </c>
      <c r="BD69" s="60">
        <f t="shared" si="39"/>
        <v>0.96568101345633572</v>
      </c>
      <c r="BE69" s="60">
        <f t="shared" si="40"/>
        <v>0.25973097668538553</v>
      </c>
      <c r="BF69" s="60">
        <f t="shared" si="41"/>
        <v>0.33137236369043455</v>
      </c>
      <c r="BG69" s="60">
        <f t="shared" si="13"/>
        <v>0.1790207487491515</v>
      </c>
      <c r="BH69" s="60">
        <f t="shared" si="42"/>
        <v>3.222373477484727</v>
      </c>
      <c r="BI69" s="60">
        <f t="shared" si="14"/>
        <v>60.524068549002635</v>
      </c>
      <c r="BJ69" s="60">
        <f t="shared" si="15"/>
        <v>4.9705854553565185</v>
      </c>
      <c r="BK69" s="60">
        <f t="shared" si="16"/>
        <v>3.1117848854722681</v>
      </c>
      <c r="BL69" s="60">
        <f t="shared" si="17"/>
        <v>0.83695021055219032</v>
      </c>
      <c r="BM69" s="60">
        <f t="shared" si="43"/>
        <v>0.44501432078166009</v>
      </c>
      <c r="BN69" s="60">
        <f t="shared" ca="1" si="18"/>
        <v>0.60232037787765735</v>
      </c>
      <c r="BO69" s="60">
        <f t="shared" ca="1" si="19"/>
        <v>2.1434025187176209</v>
      </c>
      <c r="BP69" s="66">
        <f t="shared" ca="1" si="44"/>
        <v>2.8446096682826232</v>
      </c>
    </row>
    <row r="70" spans="2:68" x14ac:dyDescent="0.2">
      <c r="B70" t="s">
        <v>109</v>
      </c>
      <c r="F70">
        <f>ATAN(($Y$77-$Y$76)/($X$77-$X$76))</f>
        <v>1.2852652647155244E-5</v>
      </c>
      <c r="G70">
        <f>F70*180/PI()</f>
        <v>7.364027522296406E-4</v>
      </c>
      <c r="P70" s="19"/>
      <c r="Q70" s="19"/>
      <c r="R70" s="19"/>
      <c r="S70" s="19"/>
      <c r="T70" s="19"/>
      <c r="U70" s="19"/>
      <c r="X70" s="77">
        <f t="shared" si="20"/>
        <v>12.621307003647374</v>
      </c>
      <c r="Y70" s="92">
        <f t="shared" si="21"/>
        <v>6.080000000000001</v>
      </c>
      <c r="Z70" s="32">
        <f t="shared" si="22"/>
        <v>4.0557224323919172E-2</v>
      </c>
      <c r="AA70" s="60">
        <f t="shared" si="23"/>
        <v>-0.32000000000000028</v>
      </c>
      <c r="AB70" s="60">
        <f t="shared" si="24"/>
        <v>12.601028391485414</v>
      </c>
      <c r="AC70" s="60">
        <f t="shared" si="25"/>
        <v>6.2400000000000011</v>
      </c>
      <c r="AD70" s="60">
        <f t="shared" si="4"/>
        <v>1.7599999999999989</v>
      </c>
      <c r="AE70" s="60">
        <f t="shared" si="26"/>
        <v>1.4447271649214404</v>
      </c>
      <c r="AF70" s="60">
        <f t="shared" si="27"/>
        <v>0.99206380268915506</v>
      </c>
      <c r="AG70" s="60">
        <f t="shared" si="28"/>
        <v>0.12573548184157599</v>
      </c>
      <c r="AH70" s="60">
        <f t="shared" si="29"/>
        <v>0.32255989900305476</v>
      </c>
      <c r="AI70" s="60">
        <f t="shared" si="5"/>
        <v>7.1380714810097695E-2</v>
      </c>
      <c r="AJ70" s="60">
        <f t="shared" si="30"/>
        <v>1.2848528665817585</v>
      </c>
      <c r="AK70" s="60">
        <f t="shared" si="6"/>
        <v>17.844000130720321</v>
      </c>
      <c r="AL70" s="60">
        <f t="shared" si="7"/>
        <v>4.838398485045821</v>
      </c>
      <c r="AM70" s="60">
        <f t="shared" si="8"/>
        <v>1.2746560207171609</v>
      </c>
      <c r="AN70" s="60">
        <f t="shared" si="9"/>
        <v>0.16155159427518753</v>
      </c>
      <c r="AO70" s="60">
        <f t="shared" si="31"/>
        <v>8.5898506376065775E-2</v>
      </c>
      <c r="AP70" s="60">
        <f t="shared" ca="1" si="10"/>
        <v>0.8844917449153018</v>
      </c>
      <c r="AQ70" s="60">
        <f t="shared" ca="1" si="11"/>
        <v>0.6878055881878733</v>
      </c>
      <c r="AR70" s="66">
        <f t="shared" ca="1" si="32"/>
        <v>0.77238526123748985</v>
      </c>
      <c r="AV70" s="184">
        <f t="shared" si="45"/>
        <v>7.6635162187528474</v>
      </c>
      <c r="AW70" s="190">
        <f t="shared" si="33"/>
        <v>6.080000000000001</v>
      </c>
      <c r="AX70" s="32">
        <f t="shared" si="34"/>
        <v>7.2089337479589233E-2</v>
      </c>
      <c r="AY70" s="60">
        <f t="shared" si="35"/>
        <v>-0.32000000000000028</v>
      </c>
      <c r="AZ70" s="60">
        <f t="shared" si="36"/>
        <v>7.6274715500130528</v>
      </c>
      <c r="BA70" s="60">
        <f t="shared" si="37"/>
        <v>6.2400000000000011</v>
      </c>
      <c r="BB70" s="60">
        <f t="shared" si="12"/>
        <v>1.7599999999999989</v>
      </c>
      <c r="BC70" s="60">
        <f t="shared" si="38"/>
        <v>1.3492161731548928</v>
      </c>
      <c r="BD70" s="60">
        <f t="shared" si="39"/>
        <v>0.97555139478898589</v>
      </c>
      <c r="BE70" s="60">
        <f t="shared" si="40"/>
        <v>0.21977141789883481</v>
      </c>
      <c r="BF70" s="60">
        <f t="shared" si="41"/>
        <v>0.32801962224575271</v>
      </c>
      <c r="BG70" s="60">
        <f t="shared" si="13"/>
        <v>0.12687723396407696</v>
      </c>
      <c r="BH70" s="60">
        <f t="shared" si="42"/>
        <v>2.2837902113533852</v>
      </c>
      <c r="BI70" s="60">
        <f t="shared" si="14"/>
        <v>43.07577404260276</v>
      </c>
      <c r="BJ70" s="60">
        <f t="shared" si="15"/>
        <v>4.9202943336862903</v>
      </c>
      <c r="BK70" s="60">
        <f t="shared" si="16"/>
        <v>2.227954726091228</v>
      </c>
      <c r="BL70" s="60">
        <f t="shared" si="17"/>
        <v>0.50191181293261311</v>
      </c>
      <c r="BM70" s="60">
        <f t="shared" si="43"/>
        <v>0.26687124479858215</v>
      </c>
      <c r="BN70" s="60">
        <f t="shared" ca="1" si="18"/>
        <v>0.56586248059544664</v>
      </c>
      <c r="BO70" s="60">
        <f t="shared" ca="1" si="19"/>
        <v>1.9109591098105043</v>
      </c>
      <c r="BP70" s="66">
        <f t="shared" ca="1" si="44"/>
        <v>2.1459503624183709</v>
      </c>
    </row>
    <row r="71" spans="2:68" x14ac:dyDescent="0.2">
      <c r="B71" t="s">
        <v>110</v>
      </c>
      <c r="F71">
        <f>ATAN(($Y$50-$Y$51)/($X$50-$X$51))</f>
        <v>0.60826124051312669</v>
      </c>
      <c r="G71">
        <f>F71*180/PI()</f>
        <v>34.850801922794048</v>
      </c>
      <c r="X71" s="77">
        <f t="shared" si="20"/>
        <v>12.580749779323455</v>
      </c>
      <c r="Y71" s="92">
        <f t="shared" si="21"/>
        <v>6.4000000000000012</v>
      </c>
      <c r="Z71" s="32">
        <f t="shared" si="22"/>
        <v>3.3096176310850822E-2</v>
      </c>
      <c r="AA71" s="60">
        <f t="shared" si="23"/>
        <v>-0.32000000000000028</v>
      </c>
      <c r="AB71" s="60">
        <f t="shared" si="24"/>
        <v>12.56420169116803</v>
      </c>
      <c r="AC71" s="60">
        <f t="shared" si="25"/>
        <v>6.5600000000000014</v>
      </c>
      <c r="AD71" s="60">
        <f t="shared" si="4"/>
        <v>1.4399999999999986</v>
      </c>
      <c r="AE71" s="60">
        <f t="shared" si="26"/>
        <v>1.467737202598661</v>
      </c>
      <c r="AF71" s="60">
        <f t="shared" si="27"/>
        <v>0.99469410719322626</v>
      </c>
      <c r="AG71" s="60">
        <f t="shared" si="28"/>
        <v>0.10287678608447302</v>
      </c>
      <c r="AH71" s="60">
        <f t="shared" si="29"/>
        <v>0.32170694255237808</v>
      </c>
      <c r="AI71" s="60">
        <f t="shared" si="5"/>
        <v>4.7658493887625136E-2</v>
      </c>
      <c r="AJ71" s="60">
        <f t="shared" si="30"/>
        <v>0.8578528899772524</v>
      </c>
      <c r="AK71" s="60">
        <f t="shared" si="6"/>
        <v>11.945428470589899</v>
      </c>
      <c r="AL71" s="60">
        <f t="shared" si="7"/>
        <v>4.8256041382856711</v>
      </c>
      <c r="AM71" s="60">
        <f t="shared" si="8"/>
        <v>0.85330121449905205</v>
      </c>
      <c r="AN71" s="60">
        <f t="shared" si="9"/>
        <v>8.8253148254136771E-2</v>
      </c>
      <c r="AO71" s="60">
        <f t="shared" si="31"/>
        <v>4.6925031300543291E-2</v>
      </c>
      <c r="AP71" s="60">
        <f t="shared" ca="1" si="10"/>
        <v>0.86364477462469114</v>
      </c>
      <c r="AQ71" s="60">
        <f t="shared" ca="1" si="11"/>
        <v>0.57482272717796323</v>
      </c>
      <c r="AR71" s="66">
        <f t="shared" ca="1" si="32"/>
        <v>0.52814361411169186</v>
      </c>
      <c r="AV71" s="184">
        <f t="shared" si="45"/>
        <v>7.5914268812732582</v>
      </c>
      <c r="AW71" s="190">
        <f t="shared" si="33"/>
        <v>6.4000000000000012</v>
      </c>
      <c r="AX71" s="32">
        <f t="shared" si="34"/>
        <v>5.8493341092601625E-2</v>
      </c>
      <c r="AY71" s="60">
        <f t="shared" si="35"/>
        <v>-0.32000000000000028</v>
      </c>
      <c r="AZ71" s="60">
        <f t="shared" si="36"/>
        <v>7.5621802107269573</v>
      </c>
      <c r="BA71" s="60">
        <f t="shared" si="37"/>
        <v>6.5600000000000014</v>
      </c>
      <c r="BB71" s="60">
        <f t="shared" si="12"/>
        <v>1.4399999999999986</v>
      </c>
      <c r="BC71" s="60">
        <f t="shared" si="38"/>
        <v>1.3900006319095988</v>
      </c>
      <c r="BD71" s="60">
        <f t="shared" si="39"/>
        <v>0.98370092843662671</v>
      </c>
      <c r="BE71" s="60">
        <f t="shared" si="40"/>
        <v>0.17981235606297638</v>
      </c>
      <c r="BF71" s="60">
        <f t="shared" si="41"/>
        <v>0.32530212257557684</v>
      </c>
      <c r="BG71" s="60">
        <f t="shared" si="13"/>
        <v>8.4230411173346259E-2</v>
      </c>
      <c r="BH71" s="60">
        <f t="shared" si="42"/>
        <v>1.5161474011202327</v>
      </c>
      <c r="BI71" s="60">
        <f t="shared" si="14"/>
        <v>28.695848633224141</v>
      </c>
      <c r="BJ71" s="60">
        <f t="shared" si="15"/>
        <v>4.8795318386336524</v>
      </c>
      <c r="BK71" s="60">
        <f t="shared" si="16"/>
        <v>1.4914356061287517</v>
      </c>
      <c r="BL71" s="60">
        <f t="shared" si="17"/>
        <v>0.27262203633418758</v>
      </c>
      <c r="BM71" s="60">
        <f t="shared" si="43"/>
        <v>0.1449557079976459</v>
      </c>
      <c r="BN71" s="60">
        <f t="shared" ca="1" si="18"/>
        <v>0.5287945844897175</v>
      </c>
      <c r="BO71" s="60">
        <f t="shared" ca="1" si="19"/>
        <v>1.6592456544079557</v>
      </c>
      <c r="BP71" s="66">
        <f t="shared" ca="1" si="44"/>
        <v>1.524504782405431</v>
      </c>
    </row>
    <row r="72" spans="2:68" x14ac:dyDescent="0.2">
      <c r="B72" t="s">
        <v>108</v>
      </c>
      <c r="F72">
        <f>F71-F70</f>
        <v>0.60824838786047952</v>
      </c>
      <c r="G72">
        <f>F72*180/PI()</f>
        <v>34.850065520041817</v>
      </c>
      <c r="X72" s="77">
        <f t="shared" si="20"/>
        <v>12.547653603012604</v>
      </c>
      <c r="Y72" s="92">
        <f t="shared" si="21"/>
        <v>6.7200000000000015</v>
      </c>
      <c r="Z72" s="32">
        <f t="shared" si="22"/>
        <v>2.5688167322257982E-2</v>
      </c>
      <c r="AA72" s="60">
        <f t="shared" si="23"/>
        <v>-0.32000000000000028</v>
      </c>
      <c r="AB72" s="60">
        <f t="shared" si="24"/>
        <v>12.534809519351475</v>
      </c>
      <c r="AC72" s="60">
        <f t="shared" si="25"/>
        <v>6.8800000000000017</v>
      </c>
      <c r="AD72" s="60">
        <f t="shared" si="4"/>
        <v>1.1199999999999983</v>
      </c>
      <c r="AE72" s="60">
        <f t="shared" si="26"/>
        <v>1.4906925763361403</v>
      </c>
      <c r="AF72" s="60">
        <f t="shared" si="27"/>
        <v>0.99679340975160824</v>
      </c>
      <c r="AG72" s="60">
        <f t="shared" si="28"/>
        <v>8.0018112173197972E-2</v>
      </c>
      <c r="AH72" s="60">
        <f t="shared" si="29"/>
        <v>0.32102940977483124</v>
      </c>
      <c r="AI72" s="60">
        <f t="shared" si="5"/>
        <v>2.8770747400928897E-2</v>
      </c>
      <c r="AJ72" s="60">
        <f t="shared" si="30"/>
        <v>0.51787345321672018</v>
      </c>
      <c r="AK72" s="60">
        <f t="shared" si="6"/>
        <v>7.2265048104585023</v>
      </c>
      <c r="AL72" s="60">
        <f t="shared" si="7"/>
        <v>4.8154411466224687</v>
      </c>
      <c r="AM72" s="60">
        <f t="shared" si="8"/>
        <v>0.5162128452517345</v>
      </c>
      <c r="AN72" s="60">
        <f t="shared" si="9"/>
        <v>4.1439256071016908E-2</v>
      </c>
      <c r="AO72" s="60">
        <f t="shared" si="31"/>
        <v>2.2033643293994883E-2</v>
      </c>
      <c r="AP72" s="60">
        <f t="shared" ca="1" si="10"/>
        <v>0.84239170204665825</v>
      </c>
      <c r="AQ72" s="60">
        <f t="shared" ca="1" si="11"/>
        <v>0.45741489249917561</v>
      </c>
      <c r="AR72" s="66">
        <f t="shared" ca="1" si="32"/>
        <v>0.32687667603256876</v>
      </c>
      <c r="AV72" s="184">
        <f t="shared" si="45"/>
        <v>7.5329335401806565</v>
      </c>
      <c r="AW72" s="190">
        <f t="shared" si="33"/>
        <v>6.7200000000000015</v>
      </c>
      <c r="AX72" s="32">
        <f t="shared" si="34"/>
        <v>4.5197368802039506E-2</v>
      </c>
      <c r="AY72" s="60">
        <f t="shared" si="35"/>
        <v>-0.32000000000000028</v>
      </c>
      <c r="AZ72" s="60">
        <f t="shared" si="36"/>
        <v>7.5103348557796368</v>
      </c>
      <c r="BA72" s="60">
        <f t="shared" si="37"/>
        <v>6.8800000000000017</v>
      </c>
      <c r="BB72" s="60">
        <f t="shared" si="12"/>
        <v>1.1199999999999983</v>
      </c>
      <c r="BC72" s="60">
        <f t="shared" si="38"/>
        <v>1.4304826870025502</v>
      </c>
      <c r="BD72" s="60">
        <f t="shared" si="39"/>
        <v>0.99017218123612094</v>
      </c>
      <c r="BE72" s="60">
        <f t="shared" si="40"/>
        <v>0.13985367891515249</v>
      </c>
      <c r="BF72" s="60">
        <f t="shared" si="41"/>
        <v>0.32317611629980914</v>
      </c>
      <c r="BG72" s="60">
        <f t="shared" si="13"/>
        <v>5.0621053058284168E-2</v>
      </c>
      <c r="BH72" s="60">
        <f t="shared" si="42"/>
        <v>0.91117895504911506</v>
      </c>
      <c r="BI72" s="60">
        <f t="shared" si="14"/>
        <v>17.292960273284148</v>
      </c>
      <c r="BJ72" s="60">
        <f t="shared" si="15"/>
        <v>4.8476417444971371</v>
      </c>
      <c r="BK72" s="60">
        <f t="shared" si="16"/>
        <v>0.90222405341743162</v>
      </c>
      <c r="BL72" s="60">
        <f t="shared" si="17"/>
        <v>0.1274317290136831</v>
      </c>
      <c r="BM72" s="60">
        <f t="shared" si="43"/>
        <v>6.7756652209505011E-2</v>
      </c>
      <c r="BN72" s="60">
        <f t="shared" ca="1" si="18"/>
        <v>0.49113167850302231</v>
      </c>
      <c r="BO72" s="60">
        <f t="shared" ca="1" si="19"/>
        <v>1.3804048113879108</v>
      </c>
      <c r="BP72" s="66">
        <f t="shared" ca="1" si="44"/>
        <v>0.98646140238352331</v>
      </c>
    </row>
    <row r="73" spans="2:68" x14ac:dyDescent="0.2">
      <c r="B73" t="s">
        <v>111</v>
      </c>
      <c r="F73">
        <f>F72*B18</f>
        <v>8.5154774300467135</v>
      </c>
      <c r="X73" s="77">
        <f t="shared" si="20"/>
        <v>12.521965435690346</v>
      </c>
      <c r="Y73" s="92">
        <f t="shared" si="21"/>
        <v>7.0400000000000018</v>
      </c>
      <c r="Z73" s="32">
        <f t="shared" si="22"/>
        <v>1.8320979273449112E-2</v>
      </c>
      <c r="AA73" s="60">
        <f t="shared" si="23"/>
        <v>-0.32000000000000028</v>
      </c>
      <c r="AB73" s="60">
        <f t="shared" si="24"/>
        <v>12.51280494605362</v>
      </c>
      <c r="AC73" s="60">
        <f t="shared" si="25"/>
        <v>7.200000000000002</v>
      </c>
      <c r="AD73" s="60">
        <f t="shared" si="4"/>
        <v>0.79999999999999805</v>
      </c>
      <c r="AE73" s="60">
        <f t="shared" si="26"/>
        <v>1.5136057006675001</v>
      </c>
      <c r="AF73" s="60">
        <f t="shared" si="27"/>
        <v>0.99836506183971063</v>
      </c>
      <c r="AG73" s="60">
        <f t="shared" si="28"/>
        <v>5.7159455016565774E-2</v>
      </c>
      <c r="AH73" s="60">
        <f t="shared" si="29"/>
        <v>0.32052403697934784</v>
      </c>
      <c r="AI73" s="60">
        <f t="shared" si="5"/>
        <v>1.4656783418759254E-2</v>
      </c>
      <c r="AJ73" s="60">
        <f t="shared" si="30"/>
        <v>0.26382210153766655</v>
      </c>
      <c r="AK73" s="60">
        <f t="shared" si="6"/>
        <v>3.6872291503274086</v>
      </c>
      <c r="AL73" s="60">
        <f t="shared" si="7"/>
        <v>4.8078605546902171</v>
      </c>
      <c r="AM73" s="60">
        <f t="shared" si="8"/>
        <v>0.26339076871633488</v>
      </c>
      <c r="AN73" s="60">
        <f t="shared" si="9"/>
        <v>1.50799275452181E-2</v>
      </c>
      <c r="AO73" s="60">
        <f t="shared" si="31"/>
        <v>8.018139704564194E-3</v>
      </c>
      <c r="AP73" s="60">
        <f t="shared" ca="1" si="10"/>
        <v>0.82073508538579665</v>
      </c>
      <c r="AQ73" s="60">
        <f t="shared" ca="1" si="11"/>
        <v>0.33483969918570822</v>
      </c>
      <c r="AR73" s="66">
        <f t="shared" ca="1" si="32"/>
        <v>0.17091592910566364</v>
      </c>
      <c r="AV73" s="184">
        <f t="shared" si="45"/>
        <v>7.487736171378617</v>
      </c>
      <c r="AW73" s="190">
        <f t="shared" si="33"/>
        <v>7.0400000000000018</v>
      </c>
      <c r="AX73" s="32">
        <f t="shared" si="34"/>
        <v>3.2127193867433235E-2</v>
      </c>
      <c r="AY73" s="60">
        <f t="shared" si="35"/>
        <v>-0.32000000000000028</v>
      </c>
      <c r="AZ73" s="60">
        <f t="shared" si="36"/>
        <v>7.4716725744449004</v>
      </c>
      <c r="BA73" s="60">
        <f t="shared" si="37"/>
        <v>7.200000000000002</v>
      </c>
      <c r="BB73" s="60">
        <f t="shared" si="12"/>
        <v>0.79999999999999805</v>
      </c>
      <c r="BC73" s="60">
        <f t="shared" si="38"/>
        <v>1.4707341444293269</v>
      </c>
      <c r="BD73" s="60">
        <f t="shared" si="39"/>
        <v>0.99499795547635506</v>
      </c>
      <c r="BE73" s="60">
        <f t="shared" si="40"/>
        <v>9.9895288166526694E-2</v>
      </c>
      <c r="BF73" s="60">
        <f t="shared" si="41"/>
        <v>0.321608701041803</v>
      </c>
      <c r="BG73" s="60">
        <f t="shared" si="13"/>
        <v>2.5701755093946524E-2</v>
      </c>
      <c r="BH73" s="60">
        <f t="shared" si="42"/>
        <v>0.4626315916910374</v>
      </c>
      <c r="BI73" s="60">
        <f t="shared" si="14"/>
        <v>8.7980164560592176</v>
      </c>
      <c r="BJ73" s="60">
        <f t="shared" si="15"/>
        <v>4.8241305156270453</v>
      </c>
      <c r="BK73" s="60">
        <f t="shared" si="16"/>
        <v>0.46031748787135413</v>
      </c>
      <c r="BL73" s="60">
        <f t="shared" si="17"/>
        <v>4.6214716166915096E-2</v>
      </c>
      <c r="BM73" s="60">
        <f t="shared" si="43"/>
        <v>2.457280046750698E-2</v>
      </c>
      <c r="BN73" s="60">
        <f t="shared" ca="1" si="18"/>
        <v>0.45288530143615419</v>
      </c>
      <c r="BO73" s="60">
        <f t="shared" ca="1" si="19"/>
        <v>1.0640837900530447</v>
      </c>
      <c r="BP73" s="66">
        <f t="shared" ca="1" si="44"/>
        <v>0.54315205175932335</v>
      </c>
    </row>
    <row r="74" spans="2:68" x14ac:dyDescent="0.2">
      <c r="B74" t="s">
        <v>112</v>
      </c>
      <c r="F74">
        <f>SQRT(($X$51-$X$76)^2+($Y$51-$Y$76)^2)</f>
        <v>8.3848149055301153</v>
      </c>
      <c r="X74" s="77">
        <f t="shared" si="20"/>
        <v>12.503644456416897</v>
      </c>
      <c r="Y74" s="92">
        <f t="shared" si="21"/>
        <v>7.3600000000000021</v>
      </c>
      <c r="Z74" s="32">
        <f t="shared" si="22"/>
        <v>1.0982721842742293E-2</v>
      </c>
      <c r="AA74" s="60">
        <f t="shared" si="23"/>
        <v>-0.32000000000000028</v>
      </c>
      <c r="AB74" s="60">
        <f t="shared" si="24"/>
        <v>12.498153095495525</v>
      </c>
      <c r="AC74" s="60">
        <f t="shared" si="25"/>
        <v>7.5200000000000022</v>
      </c>
      <c r="AD74" s="60">
        <f t="shared" si="4"/>
        <v>0.47999999999999776</v>
      </c>
      <c r="AE74" s="60">
        <f t="shared" si="26"/>
        <v>1.5364887874506357</v>
      </c>
      <c r="AF74" s="60">
        <f t="shared" si="27"/>
        <v>0.99941155409255977</v>
      </c>
      <c r="AG74" s="60">
        <f t="shared" si="28"/>
        <v>3.4300809703191847E-2</v>
      </c>
      <c r="AH74" s="60">
        <f t="shared" si="29"/>
        <v>0.32018841356157041</v>
      </c>
      <c r="AI74" s="60">
        <f t="shared" si="5"/>
        <v>5.2717064845162762E-3</v>
      </c>
      <c r="AJ74" s="60">
        <f t="shared" si="30"/>
        <v>9.489071672129297E-2</v>
      </c>
      <c r="AK74" s="60">
        <f t="shared" si="6"/>
        <v>1.3276014901965876</v>
      </c>
      <c r="AL74" s="60">
        <f t="shared" si="7"/>
        <v>4.8028262034235558</v>
      </c>
      <c r="AM74" s="60">
        <f t="shared" si="8"/>
        <v>9.4834878667384256E-2</v>
      </c>
      <c r="AN74" s="60">
        <f t="shared" si="9"/>
        <v>3.2548284168565549E-3</v>
      </c>
      <c r="AO74" s="60">
        <f t="shared" si="31"/>
        <v>1.7306229676824294E-3</v>
      </c>
      <c r="AP74" s="60">
        <f t="shared" ca="1" si="10"/>
        <v>0.79867682463333001</v>
      </c>
      <c r="AQ74" s="60">
        <f t="shared" ca="1" si="11"/>
        <v>0.20626719413921443</v>
      </c>
      <c r="AR74" s="66">
        <f t="shared" ca="1" si="32"/>
        <v>6.3172346438113397E-2</v>
      </c>
      <c r="AV74" s="184">
        <f t="shared" si="45"/>
        <v>7.4556089775111838</v>
      </c>
      <c r="AW74" s="190">
        <f t="shared" si="33"/>
        <v>7.3600000000000021</v>
      </c>
      <c r="AX74" s="32">
        <f t="shared" si="34"/>
        <v>1.9214415062438484E-2</v>
      </c>
      <c r="AY74" s="60">
        <f t="shared" si="35"/>
        <v>-0.32000000000000028</v>
      </c>
      <c r="AZ74" s="60">
        <f t="shared" si="36"/>
        <v>7.446001769979965</v>
      </c>
      <c r="BA74" s="60">
        <f t="shared" si="37"/>
        <v>7.5200000000000022</v>
      </c>
      <c r="BB74" s="60">
        <f t="shared" si="12"/>
        <v>0.47999999999999776</v>
      </c>
      <c r="BC74" s="60">
        <f t="shared" si="38"/>
        <v>1.5108232863122173</v>
      </c>
      <c r="BD74" s="60">
        <f t="shared" si="39"/>
        <v>0.99820215617312147</v>
      </c>
      <c r="BE74" s="60">
        <f t="shared" si="40"/>
        <v>5.993709545291058E-2</v>
      </c>
      <c r="BF74" s="60">
        <f t="shared" si="41"/>
        <v>0.32057634620506836</v>
      </c>
      <c r="BG74" s="60">
        <f t="shared" si="13"/>
        <v>9.2229192299704294E-3</v>
      </c>
      <c r="BH74" s="60">
        <f t="shared" si="42"/>
        <v>0.16601254613946773</v>
      </c>
      <c r="BI74" s="60">
        <f t="shared" si="14"/>
        <v>3.1613766221030377</v>
      </c>
      <c r="BJ74" s="60">
        <f t="shared" si="15"/>
        <v>4.8086451930760257</v>
      </c>
      <c r="BK74" s="60">
        <f t="shared" si="16"/>
        <v>0.16571408150820649</v>
      </c>
      <c r="BL74" s="60">
        <f t="shared" si="17"/>
        <v>9.9503098243419984E-3</v>
      </c>
      <c r="BM74" s="60">
        <f t="shared" si="43"/>
        <v>5.2906735815565122E-3</v>
      </c>
      <c r="BN74" s="60">
        <f t="shared" ca="1" si="18"/>
        <v>0.4140638455773677</v>
      </c>
      <c r="BO74" s="60">
        <f t="shared" ca="1" si="19"/>
        <v>0.69606711384011466</v>
      </c>
      <c r="BP74" s="66">
        <f t="shared" ca="1" si="44"/>
        <v>0.21318073891094677</v>
      </c>
    </row>
    <row r="75" spans="2:68" ht="13.5" thickBot="1" x14ac:dyDescent="0.25">
      <c r="B75" t="s">
        <v>113</v>
      </c>
      <c r="F75">
        <f>0.5*$F$72*$B$18^2</f>
        <v>59.608342010326993</v>
      </c>
      <c r="X75" s="77">
        <f t="shared" si="20"/>
        <v>12.492661734574154</v>
      </c>
      <c r="Y75" s="92">
        <f t="shared" si="21"/>
        <v>7.6800000000000024</v>
      </c>
      <c r="Z75" s="97">
        <f t="shared" si="22"/>
        <v>3.6617345741518648E-3</v>
      </c>
      <c r="AA75" s="61">
        <f t="shared" si="23"/>
        <v>-0.31999999999999762</v>
      </c>
      <c r="AB75" s="61">
        <f t="shared" si="24"/>
        <v>12.490830867287078</v>
      </c>
      <c r="AC75" s="61">
        <f t="shared" si="25"/>
        <v>7.8400000000000016</v>
      </c>
      <c r="AD75" s="61">
        <f t="shared" si="4"/>
        <v>0.15999999999999837</v>
      </c>
      <c r="AE75" s="61">
        <f t="shared" si="26"/>
        <v>1.559353905658418</v>
      </c>
      <c r="AF75" s="61">
        <f t="shared" si="27"/>
        <v>0.99993453621353146</v>
      </c>
      <c r="AG75" s="61">
        <f t="shared" si="28"/>
        <v>1.1442171447317554E-2</v>
      </c>
      <c r="AH75" s="61">
        <f t="shared" si="29"/>
        <v>0.32002094978311968</v>
      </c>
      <c r="AI75" s="61">
        <f t="shared" si="5"/>
        <v>5.8587753186429236E-4</v>
      </c>
      <c r="AJ75" s="61">
        <f t="shared" si="30"/>
        <v>1.0545795573557263E-2</v>
      </c>
      <c r="AK75" s="61">
        <f t="shared" si="6"/>
        <v>0.14762183006547538</v>
      </c>
      <c r="AL75" s="61">
        <f t="shared" si="7"/>
        <v>4.8003142467467956</v>
      </c>
      <c r="AM75" s="61">
        <f t="shared" si="8"/>
        <v>1.0545105205847694E-2</v>
      </c>
      <c r="AN75" s="61">
        <f t="shared" si="9"/>
        <v>1.2066680100100475E-4</v>
      </c>
      <c r="AO75" s="61">
        <f t="shared" si="31"/>
        <v>6.4159676180652994E-5</v>
      </c>
      <c r="AP75" s="61">
        <f t="shared" ca="1" si="10"/>
        <v>0.77621817673965543</v>
      </c>
      <c r="AQ75" s="61">
        <f t="shared" ca="1" si="11"/>
        <v>7.0761056953063631E-2</v>
      </c>
      <c r="AR75" s="71">
        <f t="shared" ca="1" si="32"/>
        <v>7.2238697042454935E-3</v>
      </c>
      <c r="AV75" s="184">
        <f t="shared" si="45"/>
        <v>7.4363945624487453</v>
      </c>
      <c r="AW75" s="190">
        <f t="shared" si="33"/>
        <v>7.6800000000000024</v>
      </c>
      <c r="AX75" s="97">
        <f t="shared" si="34"/>
        <v>6.3945624487455888E-3</v>
      </c>
      <c r="AY75" s="61">
        <f t="shared" si="35"/>
        <v>-0.31999999999999762</v>
      </c>
      <c r="AZ75" s="61">
        <f t="shared" si="36"/>
        <v>7.4331972812243725</v>
      </c>
      <c r="BA75" s="61">
        <f t="shared" si="37"/>
        <v>7.8400000000000016</v>
      </c>
      <c r="BB75" s="61">
        <f t="shared" si="12"/>
        <v>0.15999999999999837</v>
      </c>
      <c r="BC75" s="61">
        <f t="shared" si="38"/>
        <v>1.5508159783809632</v>
      </c>
      <c r="BD75" s="61">
        <f t="shared" si="39"/>
        <v>0.99980039947904364</v>
      </c>
      <c r="BE75" s="61">
        <f t="shared" si="40"/>
        <v>1.9979019033592386E-2</v>
      </c>
      <c r="BF75" s="61">
        <f t="shared" si="41"/>
        <v>0.32006388491816656</v>
      </c>
      <c r="BG75" s="61">
        <f t="shared" si="13"/>
        <v>1.0231299917992838E-3</v>
      </c>
      <c r="BH75" s="61">
        <f t="shared" si="42"/>
        <v>1.8416339852387109E-2</v>
      </c>
      <c r="BI75" s="61">
        <f t="shared" si="14"/>
        <v>0.35093813900771875</v>
      </c>
      <c r="BJ75" s="61">
        <f t="shared" si="15"/>
        <v>4.8009582737724985</v>
      </c>
      <c r="BK75" s="61">
        <f t="shared" si="16"/>
        <v>1.8412663941358463E-2</v>
      </c>
      <c r="BL75" s="61">
        <f t="shared" si="17"/>
        <v>3.6794040443994803E-4</v>
      </c>
      <c r="BM75" s="61">
        <f t="shared" si="43"/>
        <v>1.956373833300594E-4</v>
      </c>
      <c r="BN75" s="61">
        <f t="shared" ca="1" si="18"/>
        <v>0.37467276924348736</v>
      </c>
      <c r="BO75" s="61">
        <f t="shared" ca="1" si="19"/>
        <v>0.2560058926215949</v>
      </c>
      <c r="BP75" s="71">
        <f t="shared" ca="1" si="44"/>
        <v>2.6135183552220748E-2</v>
      </c>
    </row>
    <row r="76" spans="2:68" ht="13.5" thickBot="1" x14ac:dyDescent="0.25">
      <c r="B76" t="s">
        <v>125</v>
      </c>
      <c r="F76">
        <f>2*$B$18*SIN(0.5*$F$72)/(3*0.5*$F$72)</f>
        <v>9.1901215280638802</v>
      </c>
      <c r="X76" s="88">
        <f>$X$77-SQRT($B$18^2-($Y$76-$Y$77)^2)</f>
        <v>12.489000000000003</v>
      </c>
      <c r="Y76" s="93">
        <f>+$D$5</f>
        <v>8</v>
      </c>
      <c r="Z76" s="45"/>
      <c r="AA76" s="80"/>
      <c r="AB76" s="80"/>
      <c r="AC76" s="80"/>
      <c r="AD76" s="80"/>
      <c r="AE76" s="80"/>
      <c r="AF76" s="80"/>
      <c r="AG76" s="80"/>
      <c r="AH76" s="80"/>
      <c r="AI76" s="78" t="s">
        <v>202</v>
      </c>
      <c r="AJ76" s="79">
        <f t="shared" ref="AJ76:AO76" si="46">SUM(AJ51:AJ75)</f>
        <v>245.63114111677993</v>
      </c>
      <c r="AK76" s="79">
        <f t="shared" si="46"/>
        <v>3070.8748437909426</v>
      </c>
      <c r="AL76" s="79">
        <f t="shared" si="46"/>
        <v>127.72897837966383</v>
      </c>
      <c r="AM76" s="79">
        <f t="shared" si="46"/>
        <v>219.3662146944896</v>
      </c>
      <c r="AN76" s="81">
        <f t="shared" si="46"/>
        <v>106.6181544763616</v>
      </c>
      <c r="AO76" s="81">
        <f t="shared" si="46"/>
        <v>56.689878321421986</v>
      </c>
      <c r="AP76" s="81"/>
      <c r="AQ76" s="81">
        <f ca="1">SUM(AQ51:AQ75)</f>
        <v>35.026989347308898</v>
      </c>
      <c r="AR76" s="82">
        <f ca="1">SUM(AR51:AR75)</f>
        <v>117.47707576150374</v>
      </c>
      <c r="AV76" s="184">
        <f t="shared" si="45"/>
        <v>7.43</v>
      </c>
      <c r="AW76" s="191">
        <f>+$D$5</f>
        <v>8</v>
      </c>
      <c r="AX76" s="45"/>
      <c r="AY76" s="80"/>
      <c r="AZ76" s="80"/>
      <c r="BA76" s="80"/>
      <c r="BB76" s="80"/>
      <c r="BC76" s="80"/>
      <c r="BD76" s="80"/>
      <c r="BE76" s="80"/>
      <c r="BF76" s="80"/>
      <c r="BG76" s="78" t="s">
        <v>202</v>
      </c>
      <c r="BH76" s="79">
        <f t="shared" ref="BH76:BM76" si="47">SUM(BH51:BH75)</f>
        <v>841.9410358399266</v>
      </c>
      <c r="BI76" s="79">
        <f t="shared" si="47"/>
        <v>12371.013944021781</v>
      </c>
      <c r="BJ76" s="79">
        <f t="shared" si="47"/>
        <v>182.04319217224983</v>
      </c>
      <c r="BK76" s="79">
        <f t="shared" si="47"/>
        <v>383.8772318392775</v>
      </c>
      <c r="BL76" s="81">
        <f t="shared" si="47"/>
        <v>705.37584025209628</v>
      </c>
      <c r="BM76" s="81">
        <f t="shared" si="47"/>
        <v>375.05498712818007</v>
      </c>
      <c r="BN76" s="81"/>
      <c r="BO76" s="81">
        <f ca="1">SUM(BO51:BO75)</f>
        <v>121.78991494566091</v>
      </c>
      <c r="BP76" s="82">
        <f ca="1">SUM(BP51:BP75)</f>
        <v>453.55262762085903</v>
      </c>
    </row>
    <row r="77" spans="2:68" ht="17.25" thickTop="1" thickBot="1" x14ac:dyDescent="0.35">
      <c r="B77" t="s">
        <v>116</v>
      </c>
      <c r="F77">
        <f>$F$72/2+F70</f>
        <v>0.30413704658288693</v>
      </c>
      <c r="G77">
        <f>F77*180/PI()</f>
        <v>17.425769162773136</v>
      </c>
      <c r="X77" s="87">
        <f>+$B$15</f>
        <v>26.488999998843667</v>
      </c>
      <c r="Y77" s="94">
        <f>+$B$16</f>
        <v>8.0001799371370552</v>
      </c>
      <c r="Z77" s="98"/>
      <c r="AA77" s="70"/>
      <c r="AB77" s="70"/>
      <c r="AC77" s="70"/>
      <c r="AD77" s="70"/>
      <c r="AE77" s="70"/>
      <c r="AF77" s="70"/>
      <c r="AG77" s="70"/>
      <c r="AH77" s="70"/>
      <c r="AI77" s="85"/>
      <c r="AJ77" s="85"/>
      <c r="AK77" s="85"/>
      <c r="AL77" s="85"/>
      <c r="AM77" s="86"/>
      <c r="AN77" s="72" t="s">
        <v>194</v>
      </c>
      <c r="AO77" s="99">
        <f>(AL76+AO76)/AM76</f>
        <v>0.84068942411175385</v>
      </c>
      <c r="AP77" s="100"/>
      <c r="AQ77" s="83" t="s">
        <v>195</v>
      </c>
      <c r="AR77" s="84">
        <f ca="1">(AR76+AQ76)/AM76</f>
        <v>0.69520306634822693</v>
      </c>
      <c r="AV77" s="87">
        <f>+$B$15</f>
        <v>26.488999998843667</v>
      </c>
      <c r="AW77" s="94">
        <f>+$B$16</f>
        <v>8.0001799371370552</v>
      </c>
      <c r="AX77" s="98"/>
      <c r="AY77" s="70"/>
      <c r="AZ77" s="70"/>
      <c r="BA77" s="70"/>
      <c r="BB77" s="70"/>
      <c r="BC77" s="70"/>
      <c r="BD77" s="70"/>
      <c r="BE77" s="70"/>
      <c r="BF77" s="70"/>
      <c r="BG77" s="85"/>
      <c r="BH77" s="85"/>
      <c r="BI77" s="85"/>
      <c r="BJ77" s="85"/>
      <c r="BK77" s="86"/>
      <c r="BL77" s="72" t="s">
        <v>194</v>
      </c>
      <c r="BM77" s="99">
        <f>(BJ76+BM76)/BK76</f>
        <v>1.4512404828783305</v>
      </c>
      <c r="BN77" s="100"/>
      <c r="BO77" s="83" t="s">
        <v>195</v>
      </c>
      <c r="BP77" s="84">
        <f ca="1">(BP76+BO76)/BK76</f>
        <v>1.4987670402067645</v>
      </c>
    </row>
    <row r="78" spans="2:68" ht="13.5" thickTop="1" x14ac:dyDescent="0.2">
      <c r="B78" t="s">
        <v>114</v>
      </c>
      <c r="C78">
        <f>$B$15-$F$76*COS($F$77)</f>
        <v>17.72065233072507</v>
      </c>
      <c r="D78" t="s">
        <v>115</v>
      </c>
      <c r="E78">
        <f>$B$16-$F$76*SIN($F$77)</f>
        <v>5.248014812806332</v>
      </c>
    </row>
    <row r="79" spans="2:68" x14ac:dyDescent="0.2">
      <c r="B79" t="s">
        <v>146</v>
      </c>
      <c r="F79">
        <f>F75*($B$15-C78)</f>
        <v>522.66666666666652</v>
      </c>
    </row>
    <row r="81" spans="2:10" x14ac:dyDescent="0.2">
      <c r="B81" t="s">
        <v>121</v>
      </c>
    </row>
    <row r="82" spans="2:10" x14ac:dyDescent="0.2">
      <c r="B82" t="s">
        <v>126</v>
      </c>
      <c r="C82">
        <f>+$B$15</f>
        <v>26.488999998843667</v>
      </c>
      <c r="D82" t="s">
        <v>129</v>
      </c>
      <c r="E82">
        <f>+$B$16</f>
        <v>8.0001799371370552</v>
      </c>
      <c r="G82">
        <f>+C82</f>
        <v>26.488999998843667</v>
      </c>
      <c r="H82">
        <f>+E82</f>
        <v>8.0001799371370552</v>
      </c>
      <c r="I82">
        <v>1</v>
      </c>
    </row>
    <row r="83" spans="2:10" x14ac:dyDescent="0.2">
      <c r="B83" t="s">
        <v>127</v>
      </c>
      <c r="C83">
        <f>+$X$76</f>
        <v>12.489000000000003</v>
      </c>
      <c r="D83" t="s">
        <v>130</v>
      </c>
      <c r="E83">
        <f>+$Y$76</f>
        <v>8</v>
      </c>
      <c r="G83">
        <f>+C83</f>
        <v>12.489000000000003</v>
      </c>
      <c r="H83">
        <f>+E83</f>
        <v>8</v>
      </c>
      <c r="I83">
        <v>1</v>
      </c>
      <c r="J83">
        <f>MDETERM(G82:I84)</f>
        <v>4.518221511353468E-4</v>
      </c>
    </row>
    <row r="84" spans="2:10" x14ac:dyDescent="0.2">
      <c r="B84" t="s">
        <v>128</v>
      </c>
      <c r="C84">
        <f>+$D$4</f>
        <v>15</v>
      </c>
      <c r="D84" t="s">
        <v>131</v>
      </c>
      <c r="E84">
        <f>+$D$5</f>
        <v>8</v>
      </c>
      <c r="G84">
        <f>+C84</f>
        <v>15</v>
      </c>
      <c r="H84">
        <f>+E84</f>
        <v>8</v>
      </c>
      <c r="I84">
        <v>1</v>
      </c>
    </row>
    <row r="85" spans="2:10" x14ac:dyDescent="0.2">
      <c r="B85" t="s">
        <v>123</v>
      </c>
      <c r="F85">
        <f>J83/2</f>
        <v>2.259110755676734E-4</v>
      </c>
    </row>
    <row r="86" spans="2:10" x14ac:dyDescent="0.2">
      <c r="B86" t="s">
        <v>117</v>
      </c>
      <c r="C86">
        <f>AVERAGE(C82:C84)</f>
        <v>17.992666666281224</v>
      </c>
      <c r="D86" t="s">
        <v>118</v>
      </c>
      <c r="E86">
        <f>AVERAGE(E82:E84)</f>
        <v>8.0000599790456857</v>
      </c>
    </row>
    <row r="87" spans="2:10" x14ac:dyDescent="0.2">
      <c r="B87" t="s">
        <v>147</v>
      </c>
      <c r="F87">
        <f>F85*($B$15-C86)</f>
        <v>1.9194158015406566E-3</v>
      </c>
    </row>
    <row r="89" spans="2:10" x14ac:dyDescent="0.2">
      <c r="B89" t="s">
        <v>122</v>
      </c>
    </row>
    <row r="90" spans="2:10" x14ac:dyDescent="0.2">
      <c r="B90" t="s">
        <v>137</v>
      </c>
      <c r="C90">
        <f>+$B$15</f>
        <v>26.488999998843667</v>
      </c>
      <c r="D90" t="s">
        <v>132</v>
      </c>
      <c r="E90">
        <f>+$B$16</f>
        <v>8.0001799371370552</v>
      </c>
      <c r="G90">
        <f>+C90</f>
        <v>26.488999998843667</v>
      </c>
      <c r="H90">
        <f>+E90</f>
        <v>8.0001799371370552</v>
      </c>
      <c r="I90">
        <v>1</v>
      </c>
    </row>
    <row r="91" spans="2:10" x14ac:dyDescent="0.2">
      <c r="B91" t="s">
        <v>133</v>
      </c>
      <c r="C91">
        <f>+$B$4</f>
        <v>15</v>
      </c>
      <c r="D91" t="s">
        <v>134</v>
      </c>
      <c r="E91">
        <f>+$D$5</f>
        <v>8</v>
      </c>
      <c r="G91">
        <f>+C91</f>
        <v>15</v>
      </c>
      <c r="H91">
        <f>+E91</f>
        <v>8</v>
      </c>
      <c r="I91">
        <v>1</v>
      </c>
      <c r="J91">
        <f>MDETERM(G90:I92)</f>
        <v>91.911999990749308</v>
      </c>
    </row>
    <row r="92" spans="2:10" x14ac:dyDescent="0.2">
      <c r="B92" t="s">
        <v>135</v>
      </c>
      <c r="C92">
        <f>+$X$51</f>
        <v>15</v>
      </c>
      <c r="D92" t="s">
        <v>136</v>
      </c>
      <c r="E92">
        <f>+$Y$51</f>
        <v>0</v>
      </c>
      <c r="G92">
        <f>+C92</f>
        <v>15</v>
      </c>
      <c r="H92">
        <f>+E92</f>
        <v>0</v>
      </c>
      <c r="I92">
        <v>1</v>
      </c>
    </row>
    <row r="93" spans="2:10" x14ac:dyDescent="0.2">
      <c r="B93" t="s">
        <v>124</v>
      </c>
      <c r="F93">
        <f>J91/2</f>
        <v>45.955999995374654</v>
      </c>
    </row>
    <row r="94" spans="2:10" x14ac:dyDescent="0.2">
      <c r="B94" t="s">
        <v>119</v>
      </c>
      <c r="C94">
        <f>AVERAGE(C90:C92)</f>
        <v>18.829666666281224</v>
      </c>
      <c r="D94" t="s">
        <v>120</v>
      </c>
      <c r="E94">
        <f>AVERAGE(E90:E92)</f>
        <v>5.3333933123790187</v>
      </c>
    </row>
    <row r="95" spans="2:10" x14ac:dyDescent="0.2">
      <c r="B95" t="s">
        <v>148</v>
      </c>
      <c r="F95">
        <f>F93*($B$15-C94)</f>
        <v>351.9923225958126</v>
      </c>
    </row>
    <row r="97" spans="2:8" x14ac:dyDescent="0.2">
      <c r="B97" t="s">
        <v>145</v>
      </c>
      <c r="F97">
        <f>F75-F85-F93</f>
        <v>13.652116103876772</v>
      </c>
    </row>
    <row r="98" spans="2:8" x14ac:dyDescent="0.2">
      <c r="B98" t="s">
        <v>157</v>
      </c>
      <c r="F98">
        <f>F79-F87-F95</f>
        <v>170.67242465505234</v>
      </c>
    </row>
    <row r="99" spans="2:8" x14ac:dyDescent="0.2">
      <c r="B99" t="s">
        <v>149</v>
      </c>
      <c r="C99" s="11">
        <f>$B$15-F98/F97</f>
        <v>13.987463727365084</v>
      </c>
      <c r="E99" s="14" t="s">
        <v>203</v>
      </c>
      <c r="G99" s="19">
        <f>$B$15-H99</f>
        <v>13.987023132925991</v>
      </c>
      <c r="H99" s="19">
        <f>AK76/AJ76</f>
        <v>12.501976865917676</v>
      </c>
    </row>
    <row r="100" spans="2:8" x14ac:dyDescent="0.2">
      <c r="B100" t="s">
        <v>150</v>
      </c>
      <c r="F100">
        <f>F97*$B$8</f>
        <v>245.7380898697819</v>
      </c>
    </row>
    <row r="101" spans="2:8" x14ac:dyDescent="0.2">
      <c r="B101" t="s">
        <v>158</v>
      </c>
      <c r="F101">
        <f>F98*$B$8</f>
        <v>3072.103643790942</v>
      </c>
    </row>
    <row r="102" spans="2:8" x14ac:dyDescent="0.2">
      <c r="B102" t="s">
        <v>159</v>
      </c>
      <c r="F102">
        <f>$B$9*F73</f>
        <v>127.7321614507007</v>
      </c>
    </row>
  </sheetData>
  <customSheetViews>
    <customSheetView guid="{65CB7F87-8B61-4450-8125-973C590B6FFE}" scale="75" showPageBreaks="1" view="pageBreakPreview" showRuler="0" topLeftCell="M23">
      <selection activeCell="K28" sqref="K28"/>
      <pageMargins left="0.98425196850393704" right="0.78740157480314965" top="0.98425196850393704" bottom="0.98425196850393704" header="0.51181102362204722" footer="0.51181102362204722"/>
      <pageSetup paperSize="9" pageOrder="overThenDown" orientation="landscape" cellComments="asDisplayed" r:id="rId1"/>
      <headerFooter alignWithMargins="0"/>
    </customSheetView>
    <customSheetView guid="{533BC808-3373-4EA5-8805-CE1614BAA043}" scale="139" showPageBreaks="1" showRuler="0">
      <selection activeCell="E3" sqref="E3"/>
      <pageMargins left="0.98425196850393704" right="0.78740157480314965" top="0.98425196850393704" bottom="0.98425196850393704" header="0.51181102362204722" footer="0.51181102362204722"/>
      <pageSetup paperSize="9" pageOrder="overThenDown" orientation="landscape" cellComments="asDisplayed" r:id="rId2"/>
      <headerFooter alignWithMargins="0"/>
    </customSheetView>
    <customSheetView guid="{3F34EFE4-6851-4D60-99E9-E35395341F53}" scale="139" showPageBreaks="1" showRuler="0" topLeftCell="G1">
      <selection activeCell="E3" sqref="E3"/>
      <pageMargins left="0.98425196850393704" right="0.78740157480314965" top="0.98425196850393704" bottom="0.98425196850393704" header="0.51181102362204722" footer="0.51181102362204722"/>
      <pageSetup paperSize="9" pageOrder="overThenDown" orientation="landscape" cellComments="asDisplayed" r:id="rId3"/>
      <headerFooter alignWithMargins="0"/>
    </customSheetView>
    <customSheetView guid="{4A3C3A86-9336-4985-91DC-3DF49C5B2CFC}" scale="95" showPageBreaks="1" showRuler="0">
      <selection activeCell="K28" sqref="K28"/>
      <pageMargins left="0.98425196850393704" right="0.78740157480314965" top="0.98425196850393704" bottom="0.98425196850393704" header="0.51181102362204722" footer="0.51181102362204722"/>
      <pageSetup paperSize="9" pageOrder="overThenDown" orientation="landscape" cellComments="asDisplayed" r:id="rId4"/>
      <headerFooter alignWithMargins="0"/>
    </customSheetView>
  </customSheetViews>
  <phoneticPr fontId="0" type="noConversion"/>
  <conditionalFormatting sqref="B16">
    <cfRule type="cellIs" dxfId="1" priority="2" stopIfTrue="1" operator="lessThan">
      <formula>$D$5</formula>
    </cfRule>
  </conditionalFormatting>
  <conditionalFormatting sqref="I16">
    <cfRule type="cellIs" dxfId="0" priority="1" stopIfTrue="1" operator="lessThan">
      <formula>$D$5</formula>
    </cfRule>
  </conditionalFormatting>
  <pageMargins left="0.98425196850393704" right="0.78740157480314965" top="0.98425196850393704" bottom="0.98425196850393704" header="0.51181102362204722" footer="0.51181102362204722"/>
  <pageSetup paperSize="9" pageOrder="overThenDown" orientation="landscape" cellComments="asDisplayed" r:id="rId5"/>
  <headerFooter alignWithMargins="0"/>
  <drawing r:id="rId6"/>
  <legacy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10"/>
  <dimension ref="A1"/>
  <sheetViews>
    <sheetView workbookViewId="0"/>
  </sheetViews>
  <sheetFormatPr defaultRowHeight="12.75" x14ac:dyDescent="0.2"/>
  <sheetData/>
  <sheetProtection password="CC2B" sheet="1" objects="1" scenarios="1"/>
  <customSheetViews>
    <customSheetView guid="{65CB7F87-8B61-4450-8125-973C590B6FFE}" showRuler="0"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L33"/>
  <sheetViews>
    <sheetView workbookViewId="0">
      <selection activeCell="C43" sqref="C43"/>
    </sheetView>
  </sheetViews>
  <sheetFormatPr defaultRowHeight="12.75" x14ac:dyDescent="0.2"/>
  <sheetData>
    <row r="1" spans="1:12" x14ac:dyDescent="0.2">
      <c r="A1" s="7" t="s">
        <v>8</v>
      </c>
      <c r="B1" s="8"/>
      <c r="C1" s="9"/>
      <c r="D1" s="8"/>
      <c r="E1" s="10"/>
      <c r="F1" s="10"/>
      <c r="G1" s="10"/>
      <c r="H1" s="10"/>
      <c r="I1" s="10"/>
      <c r="J1" s="10"/>
      <c r="K1" s="11"/>
    </row>
    <row r="2" spans="1:12" x14ac:dyDescent="0.2">
      <c r="A2" s="1" t="s">
        <v>9</v>
      </c>
      <c r="B2" s="2"/>
      <c r="H2" s="17" t="s">
        <v>33</v>
      </c>
    </row>
    <row r="3" spans="1:12" x14ac:dyDescent="0.2">
      <c r="A3" s="1" t="s">
        <v>10</v>
      </c>
      <c r="B3" s="2">
        <f>+Resultados!$B$4</f>
        <v>15</v>
      </c>
      <c r="H3" s="17" t="s">
        <v>34</v>
      </c>
      <c r="I3">
        <f>+B15-Resultados!$B$15</f>
        <v>-11.488999998843667</v>
      </c>
    </row>
    <row r="4" spans="1:12" x14ac:dyDescent="0.2">
      <c r="A4" s="1" t="s">
        <v>11</v>
      </c>
      <c r="B4" s="20">
        <f>+Resultados!$S$31</f>
        <v>0</v>
      </c>
      <c r="H4" s="17" t="s">
        <v>35</v>
      </c>
      <c r="I4">
        <f>+B16-Resultados!$B$16</f>
        <v>-8.0001799371370552</v>
      </c>
    </row>
    <row r="5" spans="1:12" x14ac:dyDescent="0.2">
      <c r="A5" s="1" t="s">
        <v>19</v>
      </c>
      <c r="B5" s="11">
        <f>+MIN(B21:B22)</f>
        <v>0</v>
      </c>
      <c r="C5" t="s">
        <v>20</v>
      </c>
      <c r="D5" s="2"/>
      <c r="H5" s="18"/>
    </row>
    <row r="6" spans="1:12" ht="15.75" x14ac:dyDescent="0.3">
      <c r="A6" s="1" t="s">
        <v>56</v>
      </c>
      <c r="B6" s="11">
        <f>+Resultados!$V$31</f>
        <v>0</v>
      </c>
      <c r="C6" t="s">
        <v>54</v>
      </c>
      <c r="D6" s="20"/>
      <c r="H6" s="18"/>
    </row>
    <row r="7" spans="1:12" x14ac:dyDescent="0.2">
      <c r="A7" s="1" t="s">
        <v>13</v>
      </c>
      <c r="B7" s="11">
        <f>+Resultados!$P$31</f>
        <v>0</v>
      </c>
      <c r="C7" t="s">
        <v>14</v>
      </c>
      <c r="D7" s="2"/>
      <c r="H7" s="18"/>
    </row>
    <row r="8" spans="1:12" x14ac:dyDescent="0.2">
      <c r="A8" s="1"/>
      <c r="B8">
        <f>(B7+180)/180*PI()</f>
        <v>3.1415926535897931</v>
      </c>
      <c r="C8" t="s">
        <v>15</v>
      </c>
      <c r="D8" s="2"/>
      <c r="H8" s="18"/>
    </row>
    <row r="9" spans="1:12" x14ac:dyDescent="0.2">
      <c r="A9" s="1"/>
      <c r="B9">
        <f>TAN(B8)</f>
        <v>-1.22514845490862E-16</v>
      </c>
      <c r="C9" t="s">
        <v>16</v>
      </c>
      <c r="D9" s="2"/>
      <c r="H9" s="18"/>
    </row>
    <row r="10" spans="1:12" x14ac:dyDescent="0.2">
      <c r="A10" s="1"/>
      <c r="B10">
        <f>COS(B8)</f>
        <v>-1</v>
      </c>
      <c r="C10" t="s">
        <v>18</v>
      </c>
      <c r="D10" s="1" t="s">
        <v>36</v>
      </c>
      <c r="E10">
        <f>B5*B10</f>
        <v>0</v>
      </c>
      <c r="F10" s="1"/>
      <c r="H10" s="17" t="s">
        <v>37</v>
      </c>
      <c r="I10">
        <f>+I3</f>
        <v>-11.488999998843667</v>
      </c>
      <c r="J10">
        <f>+E10</f>
        <v>0</v>
      </c>
    </row>
    <row r="11" spans="1:12" x14ac:dyDescent="0.2">
      <c r="A11" s="1"/>
      <c r="B11">
        <f>SIN(B8)</f>
        <v>1.22514845490862E-16</v>
      </c>
      <c r="C11" t="s">
        <v>17</v>
      </c>
      <c r="D11" s="1" t="s">
        <v>38</v>
      </c>
      <c r="E11">
        <f>B5*B11</f>
        <v>0</v>
      </c>
      <c r="F11" s="1"/>
      <c r="H11" s="17" t="s">
        <v>39</v>
      </c>
      <c r="I11">
        <f>+I4</f>
        <v>-8.0001799371370552</v>
      </c>
      <c r="J11">
        <f>+E11</f>
        <v>0</v>
      </c>
    </row>
    <row r="12" spans="1:12" x14ac:dyDescent="0.2">
      <c r="A12" s="1"/>
      <c r="D12" s="1"/>
      <c r="F12" s="1"/>
      <c r="H12" s="17" t="s">
        <v>40</v>
      </c>
      <c r="I12">
        <v>0</v>
      </c>
      <c r="J12">
        <v>0</v>
      </c>
      <c r="K12" s="12" t="s">
        <v>41</v>
      </c>
      <c r="L12" s="13">
        <f>+J11*I10-(I11*J10)</f>
        <v>0</v>
      </c>
    </row>
    <row r="13" spans="1:12" x14ac:dyDescent="0.2">
      <c r="A13" s="1"/>
      <c r="D13" s="1"/>
      <c r="F13" s="1"/>
      <c r="H13" s="17"/>
      <c r="K13" s="3"/>
    </row>
    <row r="14" spans="1:12" x14ac:dyDescent="0.2">
      <c r="A14" t="s">
        <v>59</v>
      </c>
      <c r="H14" s="17" t="s">
        <v>33</v>
      </c>
      <c r="I14" s="2"/>
    </row>
    <row r="15" spans="1:12" x14ac:dyDescent="0.2">
      <c r="A15" s="1" t="str">
        <f>+"Xc"&amp;RIGHT($A$1,1)&amp;" ="</f>
        <v>Xc1 =</v>
      </c>
      <c r="B15">
        <f>+I32</f>
        <v>15</v>
      </c>
      <c r="H15" s="17" t="s">
        <v>34</v>
      </c>
      <c r="I15" s="2">
        <f>B15-Resultados!$B$15</f>
        <v>-11.488999998843667</v>
      </c>
      <c r="J15">
        <f>+I15/Resultados!$B$18</f>
        <v>-0.82064285706026197</v>
      </c>
      <c r="K15" t="s">
        <v>17</v>
      </c>
    </row>
    <row r="16" spans="1:12" x14ac:dyDescent="0.2">
      <c r="A16" s="1" t="str">
        <f>+"Yc"&amp;RIGHT($A$1,1)&amp;" ="</f>
        <v>Yc1 =</v>
      </c>
      <c r="B16">
        <f>+I33</f>
        <v>0</v>
      </c>
      <c r="H16" s="17" t="s">
        <v>35</v>
      </c>
      <c r="I16" s="2">
        <f>B16-Resultados!$B$16</f>
        <v>-8.0001799371370552</v>
      </c>
      <c r="J16">
        <f>+I16/Resultados!$B$18</f>
        <v>-0.57144142408121823</v>
      </c>
      <c r="K16" t="s">
        <v>18</v>
      </c>
    </row>
    <row r="17" spans="1:12" x14ac:dyDescent="0.2">
      <c r="A17" s="1"/>
      <c r="H17" s="17"/>
      <c r="I17" s="2"/>
    </row>
    <row r="18" spans="1:12" ht="15.75" x14ac:dyDescent="0.3">
      <c r="A18" s="1" t="s">
        <v>57</v>
      </c>
      <c r="B18">
        <f>MIN(IF(B6&gt;0,SQRT((B3-B15)^2+(B4-B16)^2),0),B6)</f>
        <v>0</v>
      </c>
      <c r="F18" s="14" t="s">
        <v>42</v>
      </c>
      <c r="H18" s="17" t="s">
        <v>43</v>
      </c>
      <c r="I18" s="2">
        <f>+I15</f>
        <v>-11.488999998843667</v>
      </c>
      <c r="J18" s="2">
        <f>-F20</f>
        <v>0</v>
      </c>
    </row>
    <row r="19" spans="1:12" ht="15.75" x14ac:dyDescent="0.3">
      <c r="A19" s="1" t="s">
        <v>58</v>
      </c>
      <c r="B19">
        <f>+$B$6-B18</f>
        <v>0</v>
      </c>
      <c r="D19" s="1" t="s">
        <v>44</v>
      </c>
      <c r="E19">
        <f>+E10*J15</f>
        <v>0</v>
      </c>
      <c r="F19">
        <f>E19*Resultados!$B$11</f>
        <v>0</v>
      </c>
      <c r="H19" s="17" t="s">
        <v>39</v>
      </c>
      <c r="I19">
        <f>+I16</f>
        <v>-8.0001799371370552</v>
      </c>
      <c r="J19">
        <f>+F19</f>
        <v>0</v>
      </c>
    </row>
    <row r="20" spans="1:12" x14ac:dyDescent="0.2">
      <c r="A20" s="1"/>
      <c r="D20" s="1" t="s">
        <v>45</v>
      </c>
      <c r="E20">
        <f>+E11*J16</f>
        <v>0</v>
      </c>
      <c r="F20">
        <f>E20*Resultados!$B$11</f>
        <v>0</v>
      </c>
      <c r="H20" s="17" t="s">
        <v>40</v>
      </c>
      <c r="I20">
        <v>0</v>
      </c>
      <c r="J20">
        <v>0</v>
      </c>
      <c r="K20" s="15" t="s">
        <v>46</v>
      </c>
      <c r="L20" s="16">
        <f>+J19*I18-(I19*J18)</f>
        <v>0</v>
      </c>
    </row>
    <row r="21" spans="1:12" ht="15.75" x14ac:dyDescent="0.3">
      <c r="A21" s="1" t="s">
        <v>60</v>
      </c>
      <c r="B21">
        <f>(Resultados!$P$34*'Linha 1'!B18)/(1-Resultados!$P$32)</f>
        <v>0</v>
      </c>
    </row>
    <row r="22" spans="1:12" ht="15.75" x14ac:dyDescent="0.3">
      <c r="A22" s="1" t="s">
        <v>61</v>
      </c>
      <c r="B22">
        <f>Resultados!$P$34*'Linha 1'!B19</f>
        <v>0</v>
      </c>
    </row>
    <row r="23" spans="1:12" x14ac:dyDescent="0.2">
      <c r="H23" s="44" t="s">
        <v>143</v>
      </c>
      <c r="I23">
        <f>+Resultados!$B$15</f>
        <v>26.488999998843667</v>
      </c>
    </row>
    <row r="24" spans="1:12" x14ac:dyDescent="0.2">
      <c r="H24" s="44" t="s">
        <v>142</v>
      </c>
      <c r="I24">
        <f>+Resultados!$B$16</f>
        <v>8.0001799371370552</v>
      </c>
    </row>
    <row r="25" spans="1:12" x14ac:dyDescent="0.2">
      <c r="H25" s="1" t="s">
        <v>26</v>
      </c>
      <c r="I25">
        <f>+Resultados!$B$18</f>
        <v>14</v>
      </c>
    </row>
    <row r="26" spans="1:12" x14ac:dyDescent="0.2">
      <c r="H26" s="1" t="s">
        <v>138</v>
      </c>
      <c r="I26">
        <f>+B9</f>
        <v>-1.22514845490862E-16</v>
      </c>
    </row>
    <row r="27" spans="1:12" x14ac:dyDescent="0.2">
      <c r="H27" s="1" t="s">
        <v>139</v>
      </c>
      <c r="I27">
        <f>1+I26^2</f>
        <v>1</v>
      </c>
    </row>
    <row r="28" spans="1:12" x14ac:dyDescent="0.2">
      <c r="H28" s="1" t="s">
        <v>140</v>
      </c>
      <c r="I28">
        <f>-2*(I23+B3*I26^2-B4*I26+I24*I26)</f>
        <v>-52.977999997687334</v>
      </c>
    </row>
    <row r="29" spans="1:12" x14ac:dyDescent="0.2">
      <c r="H29" s="1" t="s">
        <v>141</v>
      </c>
      <c r="I29">
        <f>+I23^2+I24^2+B4^2-2*I24*B4+I26^2*B3^2+2*I26*I24*B3-2*I26*B3*B4-I25^2</f>
        <v>569.66999996531001</v>
      </c>
    </row>
    <row r="30" spans="1:12" x14ac:dyDescent="0.2">
      <c r="I30">
        <f>(-I28+SQRT(I28^2-4*I27*I29))/(2*I27)</f>
        <v>37.977999997687334</v>
      </c>
    </row>
    <row r="31" spans="1:12" x14ac:dyDescent="0.2">
      <c r="I31">
        <f>(-I28-SQRT(I28^2-4*I27*I29))/(2*I27)</f>
        <v>15</v>
      </c>
    </row>
    <row r="32" spans="1:12" x14ac:dyDescent="0.2">
      <c r="H32" s="1" t="str">
        <f>+A15</f>
        <v>Xc1 =</v>
      </c>
      <c r="I32">
        <f>MIN(I31,I30)</f>
        <v>15</v>
      </c>
    </row>
    <row r="33" spans="8:9" x14ac:dyDescent="0.2">
      <c r="H33" s="1" t="str">
        <f>+A16</f>
        <v>Yc1 =</v>
      </c>
      <c r="I33">
        <f>B4-I26*(B3-I32)</f>
        <v>0</v>
      </c>
    </row>
  </sheetData>
  <sheetProtection password="CC2B" sheet="1"/>
  <customSheetViews>
    <customSheetView guid="{65CB7F87-8B61-4450-8125-973C590B6FFE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selection activeCell="A3" sqref="A3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legacyDrawing r:id="rId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L33"/>
  <sheetViews>
    <sheetView workbookViewId="0">
      <selection activeCell="B18" sqref="B18"/>
    </sheetView>
  </sheetViews>
  <sheetFormatPr defaultRowHeight="12.75" x14ac:dyDescent="0.2"/>
  <sheetData>
    <row r="1" spans="1:12" x14ac:dyDescent="0.2">
      <c r="A1" s="7" t="s">
        <v>12</v>
      </c>
      <c r="B1" s="8"/>
      <c r="C1" s="9"/>
      <c r="D1" s="8"/>
      <c r="E1" s="10"/>
      <c r="F1" s="10"/>
      <c r="G1" s="10"/>
      <c r="H1" s="10"/>
      <c r="I1" s="10"/>
      <c r="J1" s="10"/>
      <c r="K1" s="11"/>
    </row>
    <row r="2" spans="1:12" x14ac:dyDescent="0.2">
      <c r="A2" s="1" t="s">
        <v>9</v>
      </c>
      <c r="B2" s="2"/>
      <c r="H2" s="17" t="s">
        <v>33</v>
      </c>
    </row>
    <row r="3" spans="1:12" x14ac:dyDescent="0.2">
      <c r="A3" s="1" t="s">
        <v>47</v>
      </c>
      <c r="B3" s="2">
        <f>+Resultados!$B$4</f>
        <v>15</v>
      </c>
      <c r="H3" s="17" t="s">
        <v>34</v>
      </c>
      <c r="I3">
        <f>+B15-Resultados!$B$15</f>
        <v>-11.488999998843667</v>
      </c>
    </row>
    <row r="4" spans="1:12" x14ac:dyDescent="0.2">
      <c r="A4" s="1" t="s">
        <v>48</v>
      </c>
      <c r="B4" s="20">
        <f>+Resultados!$S$32</f>
        <v>0</v>
      </c>
      <c r="H4" s="17" t="s">
        <v>35</v>
      </c>
      <c r="I4">
        <f>+B16-Resultados!$B$16</f>
        <v>-8.0001799371370552</v>
      </c>
    </row>
    <row r="5" spans="1:12" x14ac:dyDescent="0.2">
      <c r="A5" s="1" t="s">
        <v>19</v>
      </c>
      <c r="B5" s="11">
        <f>+MIN(B21:B22)</f>
        <v>0</v>
      </c>
      <c r="C5" t="s">
        <v>20</v>
      </c>
      <c r="D5" s="2"/>
      <c r="H5" s="18"/>
    </row>
    <row r="6" spans="1:12" ht="15.75" x14ac:dyDescent="0.3">
      <c r="A6" s="1" t="s">
        <v>56</v>
      </c>
      <c r="B6" s="11">
        <f>+Resultados!$V$32</f>
        <v>0</v>
      </c>
      <c r="C6" t="s">
        <v>54</v>
      </c>
      <c r="D6" s="20"/>
      <c r="H6" s="18"/>
    </row>
    <row r="7" spans="1:12" x14ac:dyDescent="0.2">
      <c r="A7" s="1" t="s">
        <v>13</v>
      </c>
      <c r="B7" s="11">
        <f>+Resultados!$P$31</f>
        <v>0</v>
      </c>
      <c r="C7" t="s">
        <v>14</v>
      </c>
      <c r="D7" s="2"/>
      <c r="H7" s="18"/>
    </row>
    <row r="8" spans="1:12" x14ac:dyDescent="0.2">
      <c r="A8" s="1"/>
      <c r="B8">
        <f>(B7+180)/180*PI()</f>
        <v>3.1415926535897931</v>
      </c>
      <c r="C8" t="s">
        <v>15</v>
      </c>
      <c r="D8" s="2"/>
      <c r="H8" s="18"/>
    </row>
    <row r="9" spans="1:12" x14ac:dyDescent="0.2">
      <c r="A9" s="1"/>
      <c r="B9">
        <f>TAN(B8)</f>
        <v>-1.22514845490862E-16</v>
      </c>
      <c r="C9" t="s">
        <v>16</v>
      </c>
      <c r="D9" s="2"/>
      <c r="H9" s="18"/>
    </row>
    <row r="10" spans="1:12" x14ac:dyDescent="0.2">
      <c r="A10" s="1"/>
      <c r="B10">
        <f>COS(B8)</f>
        <v>-1</v>
      </c>
      <c r="C10" t="s">
        <v>18</v>
      </c>
      <c r="D10" s="1" t="s">
        <v>36</v>
      </c>
      <c r="E10">
        <f>B5*B10</f>
        <v>0</v>
      </c>
      <c r="F10" s="1"/>
      <c r="H10" s="17" t="s">
        <v>37</v>
      </c>
      <c r="I10">
        <f>+I3</f>
        <v>-11.488999998843667</v>
      </c>
      <c r="J10">
        <f>+E10</f>
        <v>0</v>
      </c>
    </row>
    <row r="11" spans="1:12" x14ac:dyDescent="0.2">
      <c r="A11" s="1"/>
      <c r="B11">
        <f>SIN(B8)</f>
        <v>1.22514845490862E-16</v>
      </c>
      <c r="C11" t="s">
        <v>17</v>
      </c>
      <c r="D11" s="1" t="s">
        <v>38</v>
      </c>
      <c r="E11">
        <f>B5*B11</f>
        <v>0</v>
      </c>
      <c r="F11" s="1"/>
      <c r="H11" s="17" t="s">
        <v>39</v>
      </c>
      <c r="I11">
        <f>+I4</f>
        <v>-8.0001799371370552</v>
      </c>
      <c r="J11">
        <f>+E11</f>
        <v>0</v>
      </c>
    </row>
    <row r="12" spans="1:12" x14ac:dyDescent="0.2">
      <c r="A12" s="1"/>
      <c r="D12" s="1"/>
      <c r="F12" s="1"/>
      <c r="H12" s="17" t="s">
        <v>40</v>
      </c>
      <c r="I12">
        <v>0</v>
      </c>
      <c r="J12">
        <v>0</v>
      </c>
      <c r="K12" s="12" t="s">
        <v>92</v>
      </c>
      <c r="L12" s="13">
        <f>+J11*I10-(I11*J10)</f>
        <v>0</v>
      </c>
    </row>
    <row r="13" spans="1:12" x14ac:dyDescent="0.2">
      <c r="A13" s="1"/>
      <c r="D13" s="1"/>
      <c r="F13" s="1"/>
      <c r="H13" s="17"/>
      <c r="K13" s="3"/>
    </row>
    <row r="14" spans="1:12" x14ac:dyDescent="0.2">
      <c r="A14" t="s">
        <v>59</v>
      </c>
      <c r="H14" s="17" t="s">
        <v>33</v>
      </c>
      <c r="I14" s="2"/>
    </row>
    <row r="15" spans="1:12" x14ac:dyDescent="0.2">
      <c r="A15" s="1" t="str">
        <f>+"Xc"&amp;RIGHT($A$1,1)&amp;" ="</f>
        <v>Xc2 =</v>
      </c>
      <c r="B15">
        <f>+I32</f>
        <v>15</v>
      </c>
      <c r="H15" s="17" t="s">
        <v>34</v>
      </c>
      <c r="I15" s="2">
        <f>B15-Resultados!$B$15</f>
        <v>-11.488999998843667</v>
      </c>
      <c r="J15">
        <f>+I15/Resultados!$B$18</f>
        <v>-0.82064285706026197</v>
      </c>
      <c r="K15" t="s">
        <v>17</v>
      </c>
    </row>
    <row r="16" spans="1:12" x14ac:dyDescent="0.2">
      <c r="A16" s="1" t="str">
        <f>+"Yc"&amp;RIGHT($A$1,1)&amp;" ="</f>
        <v>Yc2 =</v>
      </c>
      <c r="B16">
        <f>+I33</f>
        <v>0</v>
      </c>
      <c r="H16" s="17" t="s">
        <v>35</v>
      </c>
      <c r="I16" s="2">
        <f>B16-Resultados!$B$16</f>
        <v>-8.0001799371370552</v>
      </c>
      <c r="J16">
        <f>+I16/Resultados!$B$18</f>
        <v>-0.57144142408121823</v>
      </c>
      <c r="K16" t="s">
        <v>18</v>
      </c>
    </row>
    <row r="17" spans="1:12" x14ac:dyDescent="0.2">
      <c r="A17" s="1"/>
      <c r="H17" s="17"/>
      <c r="I17" s="2"/>
    </row>
    <row r="18" spans="1:12" ht="15.75" x14ac:dyDescent="0.3">
      <c r="A18" s="1" t="s">
        <v>57</v>
      </c>
      <c r="B18">
        <f>MIN(IF(B6&gt;0,SQRT((B3-B15)^2+(B4-B16)^2),0),B6)</f>
        <v>0</v>
      </c>
      <c r="F18" s="14" t="s">
        <v>42</v>
      </c>
      <c r="H18" s="17" t="s">
        <v>43</v>
      </c>
      <c r="I18" s="2">
        <f>+I15</f>
        <v>-11.488999998843667</v>
      </c>
      <c r="J18" s="2">
        <f>-F20</f>
        <v>0</v>
      </c>
    </row>
    <row r="19" spans="1:12" ht="15.75" x14ac:dyDescent="0.3">
      <c r="A19" s="1" t="s">
        <v>58</v>
      </c>
      <c r="B19">
        <f>+$B$6-B18</f>
        <v>0</v>
      </c>
      <c r="D19" s="1" t="s">
        <v>44</v>
      </c>
      <c r="E19">
        <f>+E10*J15</f>
        <v>0</v>
      </c>
      <c r="F19">
        <f>E19*Resultados!$B$11</f>
        <v>0</v>
      </c>
      <c r="H19" s="17" t="s">
        <v>39</v>
      </c>
      <c r="I19">
        <f>+I16</f>
        <v>-8.0001799371370552</v>
      </c>
      <c r="J19">
        <f>+F19</f>
        <v>0</v>
      </c>
    </row>
    <row r="20" spans="1:12" x14ac:dyDescent="0.2">
      <c r="A20" s="1"/>
      <c r="D20" s="1" t="s">
        <v>45</v>
      </c>
      <c r="E20">
        <f>+E11*J16</f>
        <v>0</v>
      </c>
      <c r="F20">
        <f>E20*Resultados!$B$11</f>
        <v>0</v>
      </c>
      <c r="H20" s="17" t="s">
        <v>40</v>
      </c>
      <c r="I20">
        <v>0</v>
      </c>
      <c r="J20">
        <v>0</v>
      </c>
      <c r="K20" s="15" t="s">
        <v>93</v>
      </c>
      <c r="L20" s="16">
        <f>+J19*I18-(I19*J18)</f>
        <v>0</v>
      </c>
    </row>
    <row r="21" spans="1:12" ht="15.75" x14ac:dyDescent="0.3">
      <c r="A21" s="1" t="s">
        <v>60</v>
      </c>
      <c r="B21">
        <f>(Resultados!$P$34*'Linha 2'!B18)/(1-Resultados!$P$32)</f>
        <v>0</v>
      </c>
    </row>
    <row r="22" spans="1:12" ht="15.75" x14ac:dyDescent="0.3">
      <c r="A22" s="1" t="s">
        <v>61</v>
      </c>
      <c r="B22">
        <f>Resultados!$P$34*'Linha 2'!B19</f>
        <v>0</v>
      </c>
    </row>
    <row r="23" spans="1:12" x14ac:dyDescent="0.2">
      <c r="H23" s="44" t="s">
        <v>143</v>
      </c>
      <c r="I23">
        <f>+Resultados!$B$15</f>
        <v>26.488999998843667</v>
      </c>
    </row>
    <row r="24" spans="1:12" x14ac:dyDescent="0.2">
      <c r="H24" s="44" t="s">
        <v>142</v>
      </c>
      <c r="I24">
        <f>+Resultados!$B$16</f>
        <v>8.0001799371370552</v>
      </c>
    </row>
    <row r="25" spans="1:12" x14ac:dyDescent="0.2">
      <c r="H25" s="1" t="s">
        <v>26</v>
      </c>
      <c r="I25">
        <f>+Resultados!$B$18</f>
        <v>14</v>
      </c>
    </row>
    <row r="26" spans="1:12" x14ac:dyDescent="0.2">
      <c r="H26" s="1" t="s">
        <v>138</v>
      </c>
      <c r="I26">
        <f>+B9</f>
        <v>-1.22514845490862E-16</v>
      </c>
    </row>
    <row r="27" spans="1:12" x14ac:dyDescent="0.2">
      <c r="H27" s="1" t="s">
        <v>139</v>
      </c>
      <c r="I27">
        <f>1+I26^2</f>
        <v>1</v>
      </c>
    </row>
    <row r="28" spans="1:12" x14ac:dyDescent="0.2">
      <c r="H28" s="1" t="s">
        <v>140</v>
      </c>
      <c r="I28">
        <f>-2*(I23+B3*I26^2-B4*I26+I24*I26)</f>
        <v>-52.977999997687334</v>
      </c>
    </row>
    <row r="29" spans="1:12" x14ac:dyDescent="0.2">
      <c r="H29" s="1" t="s">
        <v>141</v>
      </c>
      <c r="I29">
        <f>+I23^2+I24^2+B4^2-2*I24*B4+I26^2*B3^2+2*I26*I24*B3-2*I26*B3*B4-I25^2</f>
        <v>569.66999996531001</v>
      </c>
    </row>
    <row r="30" spans="1:12" x14ac:dyDescent="0.2">
      <c r="I30">
        <f>(-I28+SQRT(I28^2-4*I27*I29))/(2*I27)</f>
        <v>37.977999997687334</v>
      </c>
    </row>
    <row r="31" spans="1:12" x14ac:dyDescent="0.2">
      <c r="I31">
        <f>(-I28-SQRT(I28^2-4*I27*I29))/(2*I27)</f>
        <v>15</v>
      </c>
    </row>
    <row r="32" spans="1:12" x14ac:dyDescent="0.2">
      <c r="H32" s="1" t="str">
        <f>+A15</f>
        <v>Xc2 =</v>
      </c>
      <c r="I32">
        <f>MIN(I31,I30)</f>
        <v>15</v>
      </c>
    </row>
    <row r="33" spans="8:9" x14ac:dyDescent="0.2">
      <c r="H33" s="1" t="str">
        <f>+A16</f>
        <v>Yc2 =</v>
      </c>
      <c r="I33">
        <f>B4-I26*(B3-I32)</f>
        <v>0</v>
      </c>
    </row>
  </sheetData>
  <sheetProtection password="CC2B" sheet="1" objects="1" scenarios="1"/>
  <customSheetViews>
    <customSheetView guid="{65CB7F87-8B61-4450-8125-973C590B6FFE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L33"/>
  <sheetViews>
    <sheetView workbookViewId="0">
      <selection activeCell="B18" sqref="B18"/>
    </sheetView>
  </sheetViews>
  <sheetFormatPr defaultRowHeight="12.75" x14ac:dyDescent="0.2"/>
  <sheetData>
    <row r="1" spans="1:12" x14ac:dyDescent="0.2">
      <c r="A1" s="7" t="s">
        <v>49</v>
      </c>
      <c r="B1" s="8"/>
      <c r="C1" s="9"/>
      <c r="D1" s="8"/>
      <c r="E1" s="10"/>
      <c r="F1" s="10"/>
      <c r="G1" s="10"/>
      <c r="H1" s="10"/>
      <c r="I1" s="10"/>
      <c r="J1" s="10"/>
      <c r="K1" s="11"/>
    </row>
    <row r="2" spans="1:12" x14ac:dyDescent="0.2">
      <c r="A2" s="1" t="s">
        <v>9</v>
      </c>
      <c r="B2" s="2"/>
      <c r="H2" s="17" t="s">
        <v>33</v>
      </c>
    </row>
    <row r="3" spans="1:12" x14ac:dyDescent="0.2">
      <c r="A3" s="1" t="s">
        <v>50</v>
      </c>
      <c r="B3" s="2">
        <f>+Resultados!$B$4</f>
        <v>15</v>
      </c>
      <c r="H3" s="17" t="s">
        <v>34</v>
      </c>
      <c r="I3">
        <f>+B15-Resultados!$B$15</f>
        <v>-11.488999998843667</v>
      </c>
    </row>
    <row r="4" spans="1:12" x14ac:dyDescent="0.2">
      <c r="A4" s="1" t="s">
        <v>51</v>
      </c>
      <c r="B4" s="20">
        <f>+Resultados!$S$33</f>
        <v>0</v>
      </c>
      <c r="H4" s="17" t="s">
        <v>35</v>
      </c>
      <c r="I4">
        <f>+B16-Resultados!$B$16</f>
        <v>-8.0001799371370552</v>
      </c>
    </row>
    <row r="5" spans="1:12" x14ac:dyDescent="0.2">
      <c r="A5" s="1" t="s">
        <v>19</v>
      </c>
      <c r="B5" s="11">
        <f>+MIN(B21:B22)</f>
        <v>0</v>
      </c>
      <c r="C5" t="s">
        <v>20</v>
      </c>
      <c r="D5" s="2"/>
      <c r="H5" s="18"/>
    </row>
    <row r="6" spans="1:12" ht="15.75" x14ac:dyDescent="0.3">
      <c r="A6" s="1" t="s">
        <v>56</v>
      </c>
      <c r="B6" s="11">
        <f>+Resultados!$V$33</f>
        <v>0</v>
      </c>
      <c r="C6" t="s">
        <v>54</v>
      </c>
      <c r="D6" s="20"/>
      <c r="H6" s="18"/>
    </row>
    <row r="7" spans="1:12" x14ac:dyDescent="0.2">
      <c r="A7" s="1" t="s">
        <v>13</v>
      </c>
      <c r="B7" s="11">
        <f>+Resultados!$P$31</f>
        <v>0</v>
      </c>
      <c r="C7" t="s">
        <v>14</v>
      </c>
      <c r="D7" s="2"/>
      <c r="H7" s="18"/>
    </row>
    <row r="8" spans="1:12" x14ac:dyDescent="0.2">
      <c r="A8" s="1"/>
      <c r="B8">
        <f>(B7+180)/180*PI()</f>
        <v>3.1415926535897931</v>
      </c>
      <c r="C8" t="s">
        <v>15</v>
      </c>
      <c r="D8" s="2"/>
      <c r="H8" s="18"/>
    </row>
    <row r="9" spans="1:12" x14ac:dyDescent="0.2">
      <c r="A9" s="1"/>
      <c r="B9">
        <f>TAN(B8)</f>
        <v>-1.22514845490862E-16</v>
      </c>
      <c r="C9" t="s">
        <v>16</v>
      </c>
      <c r="D9" s="2"/>
      <c r="H9" s="18"/>
    </row>
    <row r="10" spans="1:12" x14ac:dyDescent="0.2">
      <c r="A10" s="1"/>
      <c r="B10">
        <f>COS(B8)</f>
        <v>-1</v>
      </c>
      <c r="C10" t="s">
        <v>18</v>
      </c>
      <c r="D10" s="1" t="s">
        <v>36</v>
      </c>
      <c r="E10">
        <f>B5*B10</f>
        <v>0</v>
      </c>
      <c r="F10" s="1"/>
      <c r="H10" s="17" t="s">
        <v>37</v>
      </c>
      <c r="I10">
        <f>+I3</f>
        <v>-11.488999998843667</v>
      </c>
      <c r="J10">
        <f>+E10</f>
        <v>0</v>
      </c>
    </row>
    <row r="11" spans="1:12" x14ac:dyDescent="0.2">
      <c r="A11" s="1"/>
      <c r="B11">
        <f>SIN(B8)</f>
        <v>1.22514845490862E-16</v>
      </c>
      <c r="C11" t="s">
        <v>17</v>
      </c>
      <c r="D11" s="1" t="s">
        <v>38</v>
      </c>
      <c r="E11">
        <f>B5*B11</f>
        <v>0</v>
      </c>
      <c r="F11" s="1"/>
      <c r="H11" s="17" t="s">
        <v>39</v>
      </c>
      <c r="I11">
        <f>+I4</f>
        <v>-8.0001799371370552</v>
      </c>
      <c r="J11">
        <f>+E11</f>
        <v>0</v>
      </c>
    </row>
    <row r="12" spans="1:12" x14ac:dyDescent="0.2">
      <c r="A12" s="1"/>
      <c r="D12" s="1"/>
      <c r="F12" s="1"/>
      <c r="H12" s="17" t="s">
        <v>40</v>
      </c>
      <c r="I12">
        <v>0</v>
      </c>
      <c r="J12">
        <v>0</v>
      </c>
      <c r="K12" s="12" t="s">
        <v>90</v>
      </c>
      <c r="L12" s="13">
        <f>+J11*I10-(I11*J10)</f>
        <v>0</v>
      </c>
    </row>
    <row r="13" spans="1:12" x14ac:dyDescent="0.2">
      <c r="A13" s="1"/>
      <c r="D13" s="1"/>
      <c r="F13" s="1"/>
      <c r="H13" s="17"/>
      <c r="K13" s="3"/>
    </row>
    <row r="14" spans="1:12" x14ac:dyDescent="0.2">
      <c r="A14" t="s">
        <v>59</v>
      </c>
      <c r="H14" s="17" t="s">
        <v>33</v>
      </c>
      <c r="I14" s="2"/>
    </row>
    <row r="15" spans="1:12" x14ac:dyDescent="0.2">
      <c r="A15" s="1" t="str">
        <f>+"Xc"&amp;RIGHT($A$1,1)&amp;" ="</f>
        <v>Xc3 =</v>
      </c>
      <c r="B15">
        <f>+I32</f>
        <v>15</v>
      </c>
      <c r="H15" s="17" t="s">
        <v>34</v>
      </c>
      <c r="I15" s="2">
        <f>B15-Resultados!$B$15</f>
        <v>-11.488999998843667</v>
      </c>
      <c r="J15">
        <f>+I15/Resultados!$B$18</f>
        <v>-0.82064285706026197</v>
      </c>
      <c r="K15" t="s">
        <v>17</v>
      </c>
    </row>
    <row r="16" spans="1:12" x14ac:dyDescent="0.2">
      <c r="A16" s="1" t="str">
        <f>+"Yc"&amp;RIGHT($A$1,1)&amp;" ="</f>
        <v>Yc3 =</v>
      </c>
      <c r="B16">
        <f>+I33</f>
        <v>0</v>
      </c>
      <c r="H16" s="17" t="s">
        <v>35</v>
      </c>
      <c r="I16" s="2">
        <f>B16-Resultados!$B$16</f>
        <v>-8.0001799371370552</v>
      </c>
      <c r="J16">
        <f>+I16/Resultados!$B$18</f>
        <v>-0.57144142408121823</v>
      </c>
      <c r="K16" t="s">
        <v>18</v>
      </c>
    </row>
    <row r="17" spans="1:12" x14ac:dyDescent="0.2">
      <c r="A17" s="1"/>
      <c r="H17" s="17"/>
      <c r="I17" s="2"/>
    </row>
    <row r="18" spans="1:12" ht="15.75" x14ac:dyDescent="0.3">
      <c r="A18" s="1" t="s">
        <v>57</v>
      </c>
      <c r="B18">
        <f>MIN(IF(B6&gt;0,SQRT((B3-B15)^2+(B4-B16)^2),0),B6)</f>
        <v>0</v>
      </c>
      <c r="F18" s="14" t="s">
        <v>42</v>
      </c>
      <c r="H18" s="17" t="s">
        <v>43</v>
      </c>
      <c r="I18" s="2">
        <f>+I15</f>
        <v>-11.488999998843667</v>
      </c>
      <c r="J18" s="2">
        <f>-F20</f>
        <v>0</v>
      </c>
    </row>
    <row r="19" spans="1:12" ht="15.75" x14ac:dyDescent="0.3">
      <c r="A19" s="1" t="s">
        <v>58</v>
      </c>
      <c r="B19">
        <f>+$B$6-B18</f>
        <v>0</v>
      </c>
      <c r="D19" s="1" t="s">
        <v>44</v>
      </c>
      <c r="E19">
        <f>+E10*J15</f>
        <v>0</v>
      </c>
      <c r="F19">
        <f>E19*Resultados!$B$11</f>
        <v>0</v>
      </c>
      <c r="H19" s="17" t="s">
        <v>39</v>
      </c>
      <c r="I19">
        <f>+I16</f>
        <v>-8.0001799371370552</v>
      </c>
      <c r="J19">
        <f>+F19</f>
        <v>0</v>
      </c>
    </row>
    <row r="20" spans="1:12" x14ac:dyDescent="0.2">
      <c r="A20" s="1"/>
      <c r="D20" s="1" t="s">
        <v>45</v>
      </c>
      <c r="E20">
        <f>+E11*J16</f>
        <v>0</v>
      </c>
      <c r="F20">
        <f>E20*Resultados!$B$11</f>
        <v>0</v>
      </c>
      <c r="H20" s="17" t="s">
        <v>40</v>
      </c>
      <c r="I20">
        <v>0</v>
      </c>
      <c r="J20">
        <v>0</v>
      </c>
      <c r="K20" s="15" t="s">
        <v>91</v>
      </c>
      <c r="L20" s="16">
        <f>+J19*I18-(I19*J18)</f>
        <v>0</v>
      </c>
    </row>
    <row r="21" spans="1:12" ht="15.75" x14ac:dyDescent="0.3">
      <c r="A21" s="1" t="s">
        <v>60</v>
      </c>
      <c r="B21">
        <f>(Resultados!$P$34*'Linha 3'!B18)/(1-Resultados!$P$32)</f>
        <v>0</v>
      </c>
    </row>
    <row r="22" spans="1:12" ht="15.75" x14ac:dyDescent="0.3">
      <c r="A22" s="1" t="s">
        <v>61</v>
      </c>
      <c r="B22">
        <f>Resultados!$P$34*'Linha 3'!B19</f>
        <v>0</v>
      </c>
    </row>
    <row r="23" spans="1:12" x14ac:dyDescent="0.2">
      <c r="H23" s="44" t="s">
        <v>143</v>
      </c>
      <c r="I23">
        <f>+Resultados!$B$15</f>
        <v>26.488999998843667</v>
      </c>
    </row>
    <row r="24" spans="1:12" x14ac:dyDescent="0.2">
      <c r="H24" s="44" t="s">
        <v>142</v>
      </c>
      <c r="I24">
        <f>+Resultados!$B$16</f>
        <v>8.0001799371370552</v>
      </c>
    </row>
    <row r="25" spans="1:12" x14ac:dyDescent="0.2">
      <c r="H25" s="1" t="s">
        <v>26</v>
      </c>
      <c r="I25">
        <f>+Resultados!$B$18</f>
        <v>14</v>
      </c>
    </row>
    <row r="26" spans="1:12" x14ac:dyDescent="0.2">
      <c r="H26" s="1" t="s">
        <v>138</v>
      </c>
      <c r="I26">
        <f>+B9</f>
        <v>-1.22514845490862E-16</v>
      </c>
    </row>
    <row r="27" spans="1:12" x14ac:dyDescent="0.2">
      <c r="H27" s="1" t="s">
        <v>139</v>
      </c>
      <c r="I27">
        <f>1+I26^2</f>
        <v>1</v>
      </c>
    </row>
    <row r="28" spans="1:12" x14ac:dyDescent="0.2">
      <c r="H28" s="1" t="s">
        <v>140</v>
      </c>
      <c r="I28">
        <f>-2*(I23+B3*I26^2-B4*I26+I24*I26)</f>
        <v>-52.977999997687334</v>
      </c>
    </row>
    <row r="29" spans="1:12" x14ac:dyDescent="0.2">
      <c r="H29" s="1" t="s">
        <v>141</v>
      </c>
      <c r="I29">
        <f>+I23^2+I24^2+B4^2-2*I24*B4+I26^2*B3^2+2*I26*I24*B3-2*I26*B3*B4-I25^2</f>
        <v>569.66999996531001</v>
      </c>
    </row>
    <row r="30" spans="1:12" x14ac:dyDescent="0.2">
      <c r="I30">
        <f>(-I28+SQRT(I28^2-4*I27*I29))/(2*I27)</f>
        <v>37.977999997687334</v>
      </c>
    </row>
    <row r="31" spans="1:12" x14ac:dyDescent="0.2">
      <c r="I31">
        <f>(-I28-SQRT(I28^2-4*I27*I29))/(2*I27)</f>
        <v>15</v>
      </c>
    </row>
    <row r="32" spans="1:12" x14ac:dyDescent="0.2">
      <c r="H32" s="1" t="str">
        <f>+A15</f>
        <v>Xc3 =</v>
      </c>
      <c r="I32">
        <f>MIN(I31,I30)</f>
        <v>15</v>
      </c>
    </row>
    <row r="33" spans="8:9" x14ac:dyDescent="0.2">
      <c r="H33" s="1" t="str">
        <f>+A16</f>
        <v>Yc3 =</v>
      </c>
      <c r="I33">
        <f>B4-I26*(B3-I32)</f>
        <v>0</v>
      </c>
    </row>
  </sheetData>
  <sheetProtection password="CC2B" sheet="1" objects="1" scenarios="1"/>
  <customSheetViews>
    <customSheetView guid="{65CB7F87-8B61-4450-8125-973C590B6FFE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legacy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L33"/>
  <sheetViews>
    <sheetView workbookViewId="0">
      <selection activeCell="B18" sqref="B18"/>
    </sheetView>
  </sheetViews>
  <sheetFormatPr defaultRowHeight="12.75" x14ac:dyDescent="0.2"/>
  <sheetData>
    <row r="1" spans="1:12" x14ac:dyDescent="0.2">
      <c r="A1" s="7" t="s">
        <v>63</v>
      </c>
      <c r="B1" s="8"/>
      <c r="C1" s="9"/>
      <c r="D1" s="8"/>
      <c r="E1" s="10"/>
      <c r="F1" s="10"/>
      <c r="G1" s="10"/>
      <c r="H1" s="10"/>
      <c r="I1" s="10"/>
      <c r="J1" s="10"/>
      <c r="K1" s="11"/>
    </row>
    <row r="2" spans="1:12" x14ac:dyDescent="0.2">
      <c r="A2" s="1" t="s">
        <v>9</v>
      </c>
      <c r="B2" s="2"/>
      <c r="H2" s="17" t="s">
        <v>33</v>
      </c>
    </row>
    <row r="3" spans="1:12" x14ac:dyDescent="0.2">
      <c r="A3" s="1" t="s">
        <v>73</v>
      </c>
      <c r="B3" s="2">
        <f>+Resultados!$B$4</f>
        <v>15</v>
      </c>
      <c r="H3" s="17" t="s">
        <v>34</v>
      </c>
      <c r="I3">
        <f>+B15-Resultados!$B$15</f>
        <v>-11.488999998843667</v>
      </c>
    </row>
    <row r="4" spans="1:12" x14ac:dyDescent="0.2">
      <c r="A4" s="1" t="s">
        <v>72</v>
      </c>
      <c r="B4" s="20">
        <f>+Resultados!$S$34</f>
        <v>0</v>
      </c>
      <c r="H4" s="17" t="s">
        <v>35</v>
      </c>
      <c r="I4">
        <f>+B16-Resultados!$B$16</f>
        <v>-8.0001799371370552</v>
      </c>
    </row>
    <row r="5" spans="1:12" x14ac:dyDescent="0.2">
      <c r="A5" s="1" t="s">
        <v>19</v>
      </c>
      <c r="B5" s="11">
        <f>+MIN(B21:B22)</f>
        <v>0</v>
      </c>
      <c r="C5" t="s">
        <v>20</v>
      </c>
      <c r="D5" s="2"/>
      <c r="H5" s="18"/>
    </row>
    <row r="6" spans="1:12" ht="15.75" x14ac:dyDescent="0.3">
      <c r="A6" s="1" t="s">
        <v>56</v>
      </c>
      <c r="B6" s="11">
        <f>+Resultados!$V$34</f>
        <v>0</v>
      </c>
      <c r="C6" t="s">
        <v>54</v>
      </c>
      <c r="D6" s="20"/>
      <c r="H6" s="18"/>
    </row>
    <row r="7" spans="1:12" x14ac:dyDescent="0.2">
      <c r="A7" s="1" t="s">
        <v>13</v>
      </c>
      <c r="B7" s="11">
        <f>+Resultados!$P$31</f>
        <v>0</v>
      </c>
      <c r="C7" t="s">
        <v>14</v>
      </c>
      <c r="D7" s="2"/>
      <c r="H7" s="18"/>
    </row>
    <row r="8" spans="1:12" x14ac:dyDescent="0.2">
      <c r="A8" s="1"/>
      <c r="B8">
        <f>(B7+180)/180*PI()</f>
        <v>3.1415926535897931</v>
      </c>
      <c r="C8" t="s">
        <v>15</v>
      </c>
      <c r="D8" s="2"/>
      <c r="H8" s="18"/>
    </row>
    <row r="9" spans="1:12" x14ac:dyDescent="0.2">
      <c r="A9" s="1"/>
      <c r="B9">
        <f>TAN(B8)</f>
        <v>-1.22514845490862E-16</v>
      </c>
      <c r="C9" t="s">
        <v>16</v>
      </c>
      <c r="D9" s="2"/>
      <c r="H9" s="18"/>
    </row>
    <row r="10" spans="1:12" x14ac:dyDescent="0.2">
      <c r="A10" s="1"/>
      <c r="B10">
        <f>COS(B8)</f>
        <v>-1</v>
      </c>
      <c r="C10" t="s">
        <v>18</v>
      </c>
      <c r="D10" s="1" t="s">
        <v>36</v>
      </c>
      <c r="E10">
        <f>B5*B10</f>
        <v>0</v>
      </c>
      <c r="F10" s="1"/>
      <c r="H10" s="17" t="s">
        <v>37</v>
      </c>
      <c r="I10">
        <f>+I3</f>
        <v>-11.488999998843667</v>
      </c>
      <c r="J10">
        <f>+E10</f>
        <v>0</v>
      </c>
    </row>
    <row r="11" spans="1:12" x14ac:dyDescent="0.2">
      <c r="A11" s="1"/>
      <c r="B11">
        <f>SIN(B8)</f>
        <v>1.22514845490862E-16</v>
      </c>
      <c r="C11" t="s">
        <v>17</v>
      </c>
      <c r="D11" s="1" t="s">
        <v>38</v>
      </c>
      <c r="E11">
        <f>B5*B11</f>
        <v>0</v>
      </c>
      <c r="F11" s="1"/>
      <c r="H11" s="17" t="s">
        <v>39</v>
      </c>
      <c r="I11">
        <f>+I4</f>
        <v>-8.0001799371370552</v>
      </c>
      <c r="J11">
        <f>+E11</f>
        <v>0</v>
      </c>
    </row>
    <row r="12" spans="1:12" x14ac:dyDescent="0.2">
      <c r="A12" s="1"/>
      <c r="D12" s="1"/>
      <c r="F12" s="1"/>
      <c r="H12" s="17" t="s">
        <v>40</v>
      </c>
      <c r="I12">
        <v>0</v>
      </c>
      <c r="J12">
        <v>0</v>
      </c>
      <c r="K12" s="12" t="s">
        <v>88</v>
      </c>
      <c r="L12" s="13">
        <f>+J11*I10-(I11*J10)</f>
        <v>0</v>
      </c>
    </row>
    <row r="13" spans="1:12" x14ac:dyDescent="0.2">
      <c r="A13" s="1"/>
      <c r="D13" s="1"/>
      <c r="F13" s="1"/>
      <c r="H13" s="17"/>
      <c r="K13" s="3"/>
    </row>
    <row r="14" spans="1:12" x14ac:dyDescent="0.2">
      <c r="A14" t="s">
        <v>59</v>
      </c>
      <c r="H14" s="17" t="s">
        <v>33</v>
      </c>
      <c r="I14" s="2"/>
    </row>
    <row r="15" spans="1:12" x14ac:dyDescent="0.2">
      <c r="A15" s="1" t="str">
        <f>+"Xc"&amp;RIGHT($A$1,1)&amp;" ="</f>
        <v>Xc4 =</v>
      </c>
      <c r="B15">
        <f>+I32</f>
        <v>15</v>
      </c>
      <c r="H15" s="17" t="s">
        <v>34</v>
      </c>
      <c r="I15" s="2">
        <f>B15-Resultados!$B$15</f>
        <v>-11.488999998843667</v>
      </c>
      <c r="J15">
        <f>+I15/Resultados!$B$18</f>
        <v>-0.82064285706026197</v>
      </c>
      <c r="K15" t="s">
        <v>17</v>
      </c>
    </row>
    <row r="16" spans="1:12" x14ac:dyDescent="0.2">
      <c r="A16" s="1" t="str">
        <f>+"Yc"&amp;RIGHT($A$1,1)&amp;" ="</f>
        <v>Yc4 =</v>
      </c>
      <c r="B16">
        <f>+I33</f>
        <v>0</v>
      </c>
      <c r="H16" s="17" t="s">
        <v>35</v>
      </c>
      <c r="I16" s="2">
        <f>B16-Resultados!$B$16</f>
        <v>-8.0001799371370552</v>
      </c>
      <c r="J16">
        <f>+I16/Resultados!$B$18</f>
        <v>-0.57144142408121823</v>
      </c>
      <c r="K16" t="s">
        <v>18</v>
      </c>
    </row>
    <row r="17" spans="1:12" x14ac:dyDescent="0.2">
      <c r="A17" s="1"/>
      <c r="H17" s="17"/>
      <c r="I17" s="2"/>
    </row>
    <row r="18" spans="1:12" ht="15.75" x14ac:dyDescent="0.3">
      <c r="A18" s="1" t="s">
        <v>57</v>
      </c>
      <c r="B18">
        <f>MIN(IF(B6&gt;0,SQRT((B3-B15)^2+(B4-B16)^2),0),B6)</f>
        <v>0</v>
      </c>
      <c r="F18" s="14" t="s">
        <v>42</v>
      </c>
      <c r="H18" s="17" t="s">
        <v>43</v>
      </c>
      <c r="I18" s="2">
        <f>+I15</f>
        <v>-11.488999998843667</v>
      </c>
      <c r="J18" s="2">
        <f>-F20</f>
        <v>0</v>
      </c>
    </row>
    <row r="19" spans="1:12" ht="15.75" x14ac:dyDescent="0.3">
      <c r="A19" s="1" t="s">
        <v>58</v>
      </c>
      <c r="B19">
        <f>+$B$6-B18</f>
        <v>0</v>
      </c>
      <c r="D19" s="1" t="s">
        <v>44</v>
      </c>
      <c r="E19">
        <f>+E10*J15</f>
        <v>0</v>
      </c>
      <c r="F19">
        <f>E19*Resultados!$B$11</f>
        <v>0</v>
      </c>
      <c r="H19" s="17" t="s">
        <v>39</v>
      </c>
      <c r="I19">
        <f>+I16</f>
        <v>-8.0001799371370552</v>
      </c>
      <c r="J19">
        <f>+F19</f>
        <v>0</v>
      </c>
    </row>
    <row r="20" spans="1:12" x14ac:dyDescent="0.2">
      <c r="A20" s="1"/>
      <c r="D20" s="1" t="s">
        <v>45</v>
      </c>
      <c r="E20">
        <f>+E11*J16</f>
        <v>0</v>
      </c>
      <c r="F20">
        <f>E20*Resultados!$B$11</f>
        <v>0</v>
      </c>
      <c r="H20" s="17" t="s">
        <v>40</v>
      </c>
      <c r="I20">
        <v>0</v>
      </c>
      <c r="J20">
        <v>0</v>
      </c>
      <c r="K20" s="15" t="s">
        <v>89</v>
      </c>
      <c r="L20" s="16">
        <f>+J19*I18-(I19*J18)</f>
        <v>0</v>
      </c>
    </row>
    <row r="21" spans="1:12" ht="15.75" x14ac:dyDescent="0.3">
      <c r="A21" s="1" t="s">
        <v>60</v>
      </c>
      <c r="B21">
        <f>(Resultados!$P$34*'Linha 4'!B18)/(1-Resultados!$P$32)</f>
        <v>0</v>
      </c>
    </row>
    <row r="22" spans="1:12" ht="15.75" x14ac:dyDescent="0.3">
      <c r="A22" s="1" t="s">
        <v>61</v>
      </c>
      <c r="B22">
        <f>Resultados!$P$34*'Linha 4'!B19</f>
        <v>0</v>
      </c>
    </row>
    <row r="23" spans="1:12" x14ac:dyDescent="0.2">
      <c r="H23" s="44" t="s">
        <v>143</v>
      </c>
      <c r="I23">
        <f>+Resultados!$B$15</f>
        <v>26.488999998843667</v>
      </c>
    </row>
    <row r="24" spans="1:12" x14ac:dyDescent="0.2">
      <c r="H24" s="44" t="s">
        <v>142</v>
      </c>
      <c r="I24">
        <f>+Resultados!$B$16</f>
        <v>8.0001799371370552</v>
      </c>
    </row>
    <row r="25" spans="1:12" x14ac:dyDescent="0.2">
      <c r="H25" s="1" t="s">
        <v>26</v>
      </c>
      <c r="I25">
        <f>+Resultados!$B$18</f>
        <v>14</v>
      </c>
    </row>
    <row r="26" spans="1:12" x14ac:dyDescent="0.2">
      <c r="H26" s="1" t="s">
        <v>138</v>
      </c>
      <c r="I26">
        <f>+B9</f>
        <v>-1.22514845490862E-16</v>
      </c>
    </row>
    <row r="27" spans="1:12" x14ac:dyDescent="0.2">
      <c r="H27" s="1" t="s">
        <v>139</v>
      </c>
      <c r="I27">
        <f>1+I26^2</f>
        <v>1</v>
      </c>
    </row>
    <row r="28" spans="1:12" x14ac:dyDescent="0.2">
      <c r="H28" s="1" t="s">
        <v>140</v>
      </c>
      <c r="I28">
        <f>-2*(I23+B3*I26^2-B4*I26+I24*I26)</f>
        <v>-52.977999997687334</v>
      </c>
    </row>
    <row r="29" spans="1:12" x14ac:dyDescent="0.2">
      <c r="H29" s="1" t="s">
        <v>141</v>
      </c>
      <c r="I29">
        <f>+I23^2+I24^2+B4^2-2*I24*B4+I26^2*B3^2+2*I26*I24*B3-2*I26*B3*B4-I25^2</f>
        <v>569.66999996531001</v>
      </c>
    </row>
    <row r="30" spans="1:12" x14ac:dyDescent="0.2">
      <c r="I30">
        <f>(-I28+SQRT(I28^2-4*I27*I29))/(2*I27)</f>
        <v>37.977999997687334</v>
      </c>
    </row>
    <row r="31" spans="1:12" x14ac:dyDescent="0.2">
      <c r="I31">
        <f>(-I28-SQRT(I28^2-4*I27*I29))/(2*I27)</f>
        <v>15</v>
      </c>
    </row>
    <row r="32" spans="1:12" x14ac:dyDescent="0.2">
      <c r="H32" s="1" t="str">
        <f>+A15</f>
        <v>Xc4 =</v>
      </c>
      <c r="I32">
        <f>MIN(I31,I30)</f>
        <v>15</v>
      </c>
    </row>
    <row r="33" spans="8:9" x14ac:dyDescent="0.2">
      <c r="H33" s="1" t="str">
        <f>+A16</f>
        <v>Yc4 =</v>
      </c>
      <c r="I33">
        <f>B4-I26*(B3-I32)</f>
        <v>0</v>
      </c>
    </row>
  </sheetData>
  <sheetProtection password="CC2B" sheet="1" objects="1" scenarios="1"/>
  <customSheetViews>
    <customSheetView guid="{65CB7F87-8B61-4450-8125-973C590B6FFE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legacyDrawing r:id="rId6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L33"/>
  <sheetViews>
    <sheetView workbookViewId="0">
      <selection activeCell="B18" sqref="B18"/>
    </sheetView>
  </sheetViews>
  <sheetFormatPr defaultRowHeight="12.75" x14ac:dyDescent="0.2"/>
  <sheetData>
    <row r="1" spans="1:12" x14ac:dyDescent="0.2">
      <c r="A1" s="7" t="s">
        <v>64</v>
      </c>
      <c r="B1" s="8"/>
      <c r="C1" s="9"/>
      <c r="D1" s="8"/>
      <c r="E1" s="10"/>
      <c r="F1" s="10"/>
      <c r="G1" s="10"/>
      <c r="H1" s="10"/>
      <c r="I1" s="10"/>
      <c r="J1" s="10"/>
      <c r="K1" s="11"/>
    </row>
    <row r="2" spans="1:12" x14ac:dyDescent="0.2">
      <c r="A2" s="1" t="s">
        <v>9</v>
      </c>
      <c r="B2" s="2"/>
      <c r="H2" s="17" t="s">
        <v>33</v>
      </c>
    </row>
    <row r="3" spans="1:12" x14ac:dyDescent="0.2">
      <c r="A3" s="1" t="s">
        <v>74</v>
      </c>
      <c r="B3" s="2">
        <f>+Resultados!$B$4</f>
        <v>15</v>
      </c>
      <c r="H3" s="17" t="s">
        <v>34</v>
      </c>
      <c r="I3">
        <f>+B15-Resultados!$B$15</f>
        <v>-11.488999998843667</v>
      </c>
    </row>
    <row r="4" spans="1:12" x14ac:dyDescent="0.2">
      <c r="A4" s="1" t="s">
        <v>75</v>
      </c>
      <c r="B4" s="20">
        <f>+Resultados!$S$35</f>
        <v>0</v>
      </c>
      <c r="H4" s="17" t="s">
        <v>35</v>
      </c>
      <c r="I4">
        <f>+B16-Resultados!$B$16</f>
        <v>-8.0001799371370552</v>
      </c>
    </row>
    <row r="5" spans="1:12" x14ac:dyDescent="0.2">
      <c r="A5" s="1" t="s">
        <v>19</v>
      </c>
      <c r="B5" s="11">
        <f>+MIN(B21:B22)</f>
        <v>0</v>
      </c>
      <c r="C5" t="s">
        <v>20</v>
      </c>
      <c r="D5" s="2"/>
      <c r="H5" s="18"/>
    </row>
    <row r="6" spans="1:12" ht="15.75" x14ac:dyDescent="0.3">
      <c r="A6" s="1" t="s">
        <v>56</v>
      </c>
      <c r="B6" s="11">
        <f>+Resultados!$V$35</f>
        <v>0</v>
      </c>
      <c r="C6" t="s">
        <v>54</v>
      </c>
      <c r="D6" s="20"/>
      <c r="H6" s="18"/>
    </row>
    <row r="7" spans="1:12" x14ac:dyDescent="0.2">
      <c r="A7" s="1" t="s">
        <v>13</v>
      </c>
      <c r="B7" s="11">
        <f>+Resultados!$P$31</f>
        <v>0</v>
      </c>
      <c r="C7" t="s">
        <v>14</v>
      </c>
      <c r="D7" s="2"/>
      <c r="H7" s="18"/>
    </row>
    <row r="8" spans="1:12" x14ac:dyDescent="0.2">
      <c r="A8" s="1"/>
      <c r="B8">
        <f>(B7+180)/180*PI()</f>
        <v>3.1415926535897931</v>
      </c>
      <c r="C8" t="s">
        <v>15</v>
      </c>
      <c r="D8" s="2"/>
      <c r="H8" s="18"/>
    </row>
    <row r="9" spans="1:12" x14ac:dyDescent="0.2">
      <c r="A9" s="1"/>
      <c r="B9">
        <f>TAN(B8)</f>
        <v>-1.22514845490862E-16</v>
      </c>
      <c r="C9" t="s">
        <v>16</v>
      </c>
      <c r="D9" s="2"/>
      <c r="H9" s="18"/>
    </row>
    <row r="10" spans="1:12" x14ac:dyDescent="0.2">
      <c r="A10" s="1"/>
      <c r="B10">
        <f>COS(B8)</f>
        <v>-1</v>
      </c>
      <c r="C10" t="s">
        <v>18</v>
      </c>
      <c r="D10" s="1" t="s">
        <v>36</v>
      </c>
      <c r="E10">
        <f>B5*B10</f>
        <v>0</v>
      </c>
      <c r="F10" s="1"/>
      <c r="H10" s="17" t="s">
        <v>37</v>
      </c>
      <c r="I10">
        <f>+I3</f>
        <v>-11.488999998843667</v>
      </c>
      <c r="J10">
        <f>+E10</f>
        <v>0</v>
      </c>
    </row>
    <row r="11" spans="1:12" x14ac:dyDescent="0.2">
      <c r="A11" s="1"/>
      <c r="B11">
        <f>SIN(B8)</f>
        <v>1.22514845490862E-16</v>
      </c>
      <c r="C11" t="s">
        <v>17</v>
      </c>
      <c r="D11" s="1" t="s">
        <v>38</v>
      </c>
      <c r="E11">
        <f>B5*B11</f>
        <v>0</v>
      </c>
      <c r="F11" s="1"/>
      <c r="H11" s="17" t="s">
        <v>39</v>
      </c>
      <c r="I11">
        <f>+I4</f>
        <v>-8.0001799371370552</v>
      </c>
      <c r="J11">
        <f>+E11</f>
        <v>0</v>
      </c>
    </row>
    <row r="12" spans="1:12" x14ac:dyDescent="0.2">
      <c r="A12" s="1"/>
      <c r="D12" s="1"/>
      <c r="F12" s="1"/>
      <c r="H12" s="17" t="s">
        <v>40</v>
      </c>
      <c r="I12">
        <v>0</v>
      </c>
      <c r="J12">
        <v>0</v>
      </c>
      <c r="K12" s="12" t="s">
        <v>86</v>
      </c>
      <c r="L12" s="13">
        <f>+J11*I10-(I11*J10)</f>
        <v>0</v>
      </c>
    </row>
    <row r="13" spans="1:12" x14ac:dyDescent="0.2">
      <c r="A13" s="1"/>
      <c r="D13" s="1"/>
      <c r="F13" s="1"/>
      <c r="H13" s="17"/>
      <c r="K13" s="3"/>
    </row>
    <row r="14" spans="1:12" x14ac:dyDescent="0.2">
      <c r="A14" t="s">
        <v>59</v>
      </c>
      <c r="H14" s="17" t="s">
        <v>33</v>
      </c>
      <c r="I14" s="2"/>
    </row>
    <row r="15" spans="1:12" x14ac:dyDescent="0.2">
      <c r="A15" s="1" t="str">
        <f>+"Xc"&amp;RIGHT($A$1,1)&amp;" ="</f>
        <v>Xc5 =</v>
      </c>
      <c r="B15">
        <f>+I32</f>
        <v>15</v>
      </c>
      <c r="H15" s="17" t="s">
        <v>34</v>
      </c>
      <c r="I15" s="2">
        <f>B15-Resultados!$B$15</f>
        <v>-11.488999998843667</v>
      </c>
      <c r="J15">
        <f>+I15/Resultados!$B$18</f>
        <v>-0.82064285706026197</v>
      </c>
      <c r="K15" t="s">
        <v>17</v>
      </c>
    </row>
    <row r="16" spans="1:12" x14ac:dyDescent="0.2">
      <c r="A16" s="1" t="str">
        <f>+"Yc"&amp;RIGHT($A$1,1)&amp;" ="</f>
        <v>Yc5 =</v>
      </c>
      <c r="B16">
        <f>+I33</f>
        <v>0</v>
      </c>
      <c r="H16" s="17" t="s">
        <v>35</v>
      </c>
      <c r="I16" s="2">
        <f>B16-Resultados!$B$16</f>
        <v>-8.0001799371370552</v>
      </c>
      <c r="J16">
        <f>+I16/Resultados!$B$18</f>
        <v>-0.57144142408121823</v>
      </c>
      <c r="K16" t="s">
        <v>18</v>
      </c>
    </row>
    <row r="17" spans="1:12" x14ac:dyDescent="0.2">
      <c r="A17" s="1"/>
      <c r="H17" s="17"/>
      <c r="I17" s="2"/>
    </row>
    <row r="18" spans="1:12" ht="15.75" x14ac:dyDescent="0.3">
      <c r="A18" s="1" t="s">
        <v>57</v>
      </c>
      <c r="B18">
        <f>MIN(IF(B6&gt;0,SQRT((B3-B15)^2+(B4-B16)^2),0),B6)</f>
        <v>0</v>
      </c>
      <c r="F18" s="14" t="s">
        <v>42</v>
      </c>
      <c r="H18" s="17" t="s">
        <v>43</v>
      </c>
      <c r="I18" s="2">
        <f>+I15</f>
        <v>-11.488999998843667</v>
      </c>
      <c r="J18" s="2">
        <f>-F20</f>
        <v>0</v>
      </c>
    </row>
    <row r="19" spans="1:12" ht="15.75" x14ac:dyDescent="0.3">
      <c r="A19" s="1" t="s">
        <v>58</v>
      </c>
      <c r="B19">
        <f>+$B$6-B18</f>
        <v>0</v>
      </c>
      <c r="D19" s="1" t="s">
        <v>44</v>
      </c>
      <c r="E19">
        <f>+E10*J15</f>
        <v>0</v>
      </c>
      <c r="F19">
        <f>E19*Resultados!$B$11</f>
        <v>0</v>
      </c>
      <c r="H19" s="17" t="s">
        <v>39</v>
      </c>
      <c r="I19">
        <f>+I16</f>
        <v>-8.0001799371370552</v>
      </c>
      <c r="J19">
        <f>+F19</f>
        <v>0</v>
      </c>
    </row>
    <row r="20" spans="1:12" x14ac:dyDescent="0.2">
      <c r="A20" s="1"/>
      <c r="D20" s="1" t="s">
        <v>45</v>
      </c>
      <c r="E20">
        <f>+E11*J16</f>
        <v>0</v>
      </c>
      <c r="F20">
        <f>E20*Resultados!$B$11</f>
        <v>0</v>
      </c>
      <c r="H20" s="17" t="s">
        <v>40</v>
      </c>
      <c r="I20">
        <v>0</v>
      </c>
      <c r="J20">
        <v>0</v>
      </c>
      <c r="K20" s="15" t="s">
        <v>87</v>
      </c>
      <c r="L20" s="16">
        <f>+J19*I18-(I19*J18)</f>
        <v>0</v>
      </c>
    </row>
    <row r="21" spans="1:12" ht="15.75" x14ac:dyDescent="0.3">
      <c r="A21" s="1" t="s">
        <v>60</v>
      </c>
      <c r="B21">
        <f>(Resultados!$P$34*'Linha 5'!B18)/(1-Resultados!$P$32)</f>
        <v>0</v>
      </c>
    </row>
    <row r="22" spans="1:12" ht="15.75" x14ac:dyDescent="0.3">
      <c r="A22" s="1" t="s">
        <v>61</v>
      </c>
      <c r="B22">
        <f>Resultados!$P$34*'Linha 5'!B19</f>
        <v>0</v>
      </c>
    </row>
    <row r="23" spans="1:12" x14ac:dyDescent="0.2">
      <c r="H23" s="44" t="s">
        <v>143</v>
      </c>
      <c r="I23">
        <f>+Resultados!$B$15</f>
        <v>26.488999998843667</v>
      </c>
    </row>
    <row r="24" spans="1:12" x14ac:dyDescent="0.2">
      <c r="H24" s="44" t="s">
        <v>142</v>
      </c>
      <c r="I24">
        <f>+Resultados!$B$16</f>
        <v>8.0001799371370552</v>
      </c>
    </row>
    <row r="25" spans="1:12" x14ac:dyDescent="0.2">
      <c r="H25" s="1" t="s">
        <v>26</v>
      </c>
      <c r="I25">
        <f>+Resultados!$B$18</f>
        <v>14</v>
      </c>
    </row>
    <row r="26" spans="1:12" x14ac:dyDescent="0.2">
      <c r="H26" s="1" t="s">
        <v>138</v>
      </c>
      <c r="I26">
        <f>+B9</f>
        <v>-1.22514845490862E-16</v>
      </c>
    </row>
    <row r="27" spans="1:12" x14ac:dyDescent="0.2">
      <c r="H27" s="1" t="s">
        <v>139</v>
      </c>
      <c r="I27">
        <f>1+I26^2</f>
        <v>1</v>
      </c>
    </row>
    <row r="28" spans="1:12" x14ac:dyDescent="0.2">
      <c r="H28" s="1" t="s">
        <v>140</v>
      </c>
      <c r="I28">
        <f>-2*(I23+B3*I26^2-B4*I26+I24*I26)</f>
        <v>-52.977999997687334</v>
      </c>
    </row>
    <row r="29" spans="1:12" x14ac:dyDescent="0.2">
      <c r="H29" s="1" t="s">
        <v>141</v>
      </c>
      <c r="I29">
        <f>+I23^2+I24^2+B4^2-2*I24*B4+I26^2*B3^2+2*I26*I24*B3-2*I26*B3*B4-I25^2</f>
        <v>569.66999996531001</v>
      </c>
    </row>
    <row r="30" spans="1:12" x14ac:dyDescent="0.2">
      <c r="I30">
        <f>(-I28+SQRT(I28^2-4*I27*I29))/(2*I27)</f>
        <v>37.977999997687334</v>
      </c>
    </row>
    <row r="31" spans="1:12" x14ac:dyDescent="0.2">
      <c r="I31">
        <f>(-I28-SQRT(I28^2-4*I27*I29))/(2*I27)</f>
        <v>15</v>
      </c>
    </row>
    <row r="32" spans="1:12" x14ac:dyDescent="0.2">
      <c r="H32" s="1" t="str">
        <f>+A15</f>
        <v>Xc5 =</v>
      </c>
      <c r="I32">
        <f>MIN(I31,I30)</f>
        <v>15</v>
      </c>
    </row>
    <row r="33" spans="8:9" x14ac:dyDescent="0.2">
      <c r="H33" s="1" t="str">
        <f>+A16</f>
        <v>Yc5 =</v>
      </c>
      <c r="I33">
        <f>B4-I26*(B3-I32)</f>
        <v>0</v>
      </c>
    </row>
  </sheetData>
  <sheetProtection password="CC2B" sheet="1" objects="1" scenarios="1"/>
  <customSheetViews>
    <customSheetView guid="{65CB7F87-8B61-4450-8125-973C590B6FFE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legacyDrawing r:id="rId6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L33"/>
  <sheetViews>
    <sheetView workbookViewId="0">
      <selection activeCell="B18" sqref="B18"/>
    </sheetView>
  </sheetViews>
  <sheetFormatPr defaultRowHeight="12.75" x14ac:dyDescent="0.2"/>
  <sheetData>
    <row r="1" spans="1:12" x14ac:dyDescent="0.2">
      <c r="A1" s="7" t="s">
        <v>65</v>
      </c>
      <c r="B1" s="8"/>
      <c r="C1" s="9"/>
      <c r="D1" s="8"/>
      <c r="E1" s="10"/>
      <c r="F1" s="10"/>
      <c r="G1" s="10"/>
      <c r="H1" s="10"/>
      <c r="I1" s="10"/>
      <c r="J1" s="10"/>
    </row>
    <row r="2" spans="1:12" x14ac:dyDescent="0.2">
      <c r="A2" s="1" t="s">
        <v>9</v>
      </c>
      <c r="B2" s="2"/>
      <c r="H2" s="17" t="s">
        <v>33</v>
      </c>
    </row>
    <row r="3" spans="1:12" x14ac:dyDescent="0.2">
      <c r="A3" s="1" t="s">
        <v>76</v>
      </c>
      <c r="B3" s="2">
        <f>+Resultados!$B$4</f>
        <v>15</v>
      </c>
      <c r="H3" s="17" t="s">
        <v>34</v>
      </c>
      <c r="I3">
        <f>+B15-Resultados!$B$15</f>
        <v>-11.488999998843667</v>
      </c>
    </row>
    <row r="4" spans="1:12" x14ac:dyDescent="0.2">
      <c r="A4" s="1" t="s">
        <v>77</v>
      </c>
      <c r="B4" s="20">
        <f>+Resultados!$S$36</f>
        <v>0</v>
      </c>
      <c r="H4" s="17" t="s">
        <v>35</v>
      </c>
      <c r="I4">
        <f>+B16-Resultados!$B$16</f>
        <v>-8.0001799371370552</v>
      </c>
    </row>
    <row r="5" spans="1:12" x14ac:dyDescent="0.2">
      <c r="A5" s="1" t="s">
        <v>19</v>
      </c>
      <c r="B5" s="11">
        <f>+MIN(B21:B22)</f>
        <v>0</v>
      </c>
      <c r="C5" t="s">
        <v>20</v>
      </c>
      <c r="D5" s="2"/>
      <c r="H5" s="18"/>
    </row>
    <row r="6" spans="1:12" ht="15.75" x14ac:dyDescent="0.3">
      <c r="A6" s="1" t="s">
        <v>56</v>
      </c>
      <c r="B6" s="11">
        <f>+Resultados!$V$36</f>
        <v>0</v>
      </c>
      <c r="C6" t="s">
        <v>54</v>
      </c>
      <c r="D6" s="20"/>
      <c r="H6" s="18"/>
    </row>
    <row r="7" spans="1:12" x14ac:dyDescent="0.2">
      <c r="A7" s="1" t="s">
        <v>13</v>
      </c>
      <c r="B7" s="11">
        <f>+Resultados!$P$31</f>
        <v>0</v>
      </c>
      <c r="C7" t="s">
        <v>14</v>
      </c>
      <c r="D7" s="2"/>
      <c r="H7" s="18"/>
    </row>
    <row r="8" spans="1:12" x14ac:dyDescent="0.2">
      <c r="A8" s="1"/>
      <c r="B8">
        <f>(B7+180)/180*PI()</f>
        <v>3.1415926535897931</v>
      </c>
      <c r="C8" t="s">
        <v>15</v>
      </c>
      <c r="D8" s="2"/>
      <c r="H8" s="18"/>
    </row>
    <row r="9" spans="1:12" x14ac:dyDescent="0.2">
      <c r="A9" s="1"/>
      <c r="B9">
        <f>TAN(B8)</f>
        <v>-1.22514845490862E-16</v>
      </c>
      <c r="C9" t="s">
        <v>16</v>
      </c>
      <c r="D9" s="2"/>
      <c r="H9" s="18"/>
    </row>
    <row r="10" spans="1:12" x14ac:dyDescent="0.2">
      <c r="A10" s="1"/>
      <c r="B10">
        <f>COS(B8)</f>
        <v>-1</v>
      </c>
      <c r="C10" t="s">
        <v>18</v>
      </c>
      <c r="D10" s="1" t="s">
        <v>36</v>
      </c>
      <c r="E10">
        <f>B5*B10</f>
        <v>0</v>
      </c>
      <c r="F10" s="1"/>
      <c r="H10" s="17" t="s">
        <v>37</v>
      </c>
      <c r="I10">
        <f>+I3</f>
        <v>-11.488999998843667</v>
      </c>
      <c r="J10">
        <f>+E10</f>
        <v>0</v>
      </c>
    </row>
    <row r="11" spans="1:12" x14ac:dyDescent="0.2">
      <c r="A11" s="1"/>
      <c r="B11">
        <f>SIN(B8)</f>
        <v>1.22514845490862E-16</v>
      </c>
      <c r="C11" t="s">
        <v>17</v>
      </c>
      <c r="D11" s="1" t="s">
        <v>38</v>
      </c>
      <c r="E11">
        <f>B5*B11</f>
        <v>0</v>
      </c>
      <c r="F11" s="1"/>
      <c r="H11" s="17" t="s">
        <v>39</v>
      </c>
      <c r="I11">
        <f>+I4</f>
        <v>-8.0001799371370552</v>
      </c>
      <c r="J11">
        <f>+E11</f>
        <v>0</v>
      </c>
    </row>
    <row r="12" spans="1:12" x14ac:dyDescent="0.2">
      <c r="A12" s="1"/>
      <c r="D12" s="1"/>
      <c r="F12" s="1"/>
      <c r="H12" s="17" t="s">
        <v>40</v>
      </c>
      <c r="I12">
        <v>0</v>
      </c>
      <c r="J12">
        <v>0</v>
      </c>
      <c r="K12" s="12" t="s">
        <v>84</v>
      </c>
      <c r="L12" s="13">
        <f>+J11*I10-(I11*J10)</f>
        <v>0</v>
      </c>
    </row>
    <row r="13" spans="1:12" x14ac:dyDescent="0.2">
      <c r="A13" s="1"/>
      <c r="D13" s="1"/>
      <c r="F13" s="1"/>
      <c r="H13" s="17"/>
      <c r="K13" s="3"/>
    </row>
    <row r="14" spans="1:12" x14ac:dyDescent="0.2">
      <c r="A14" t="s">
        <v>59</v>
      </c>
      <c r="H14" s="17" t="s">
        <v>33</v>
      </c>
      <c r="I14" s="2"/>
    </row>
    <row r="15" spans="1:12" x14ac:dyDescent="0.2">
      <c r="A15" s="1" t="str">
        <f>+"Xc"&amp;RIGHT($A$1,1)&amp;" ="</f>
        <v>Xc6 =</v>
      </c>
      <c r="B15">
        <f>+I32</f>
        <v>15</v>
      </c>
      <c r="H15" s="17" t="s">
        <v>34</v>
      </c>
      <c r="I15" s="2">
        <f>B15-Resultados!$B$15</f>
        <v>-11.488999998843667</v>
      </c>
      <c r="J15">
        <f>+I15/Resultados!$B$18</f>
        <v>-0.82064285706026197</v>
      </c>
      <c r="K15" t="s">
        <v>17</v>
      </c>
    </row>
    <row r="16" spans="1:12" x14ac:dyDescent="0.2">
      <c r="A16" s="1" t="str">
        <f>+"Yc"&amp;RIGHT($A$1,1)&amp;" ="</f>
        <v>Yc6 =</v>
      </c>
      <c r="B16">
        <f>+I33</f>
        <v>0</v>
      </c>
      <c r="H16" s="17" t="s">
        <v>35</v>
      </c>
      <c r="I16" s="2">
        <f>B16-Resultados!$B$16</f>
        <v>-8.0001799371370552</v>
      </c>
      <c r="J16">
        <f>+I16/Resultados!$B$18</f>
        <v>-0.57144142408121823</v>
      </c>
      <c r="K16" t="s">
        <v>18</v>
      </c>
    </row>
    <row r="17" spans="1:12" x14ac:dyDescent="0.2">
      <c r="A17" s="1"/>
      <c r="H17" s="17"/>
      <c r="I17" s="2"/>
    </row>
    <row r="18" spans="1:12" ht="15.75" x14ac:dyDescent="0.3">
      <c r="A18" s="1" t="s">
        <v>57</v>
      </c>
      <c r="B18">
        <f>MIN(IF(B6&gt;0,SQRT((B3-B15)^2+(B4-B16)^2),0),B6)</f>
        <v>0</v>
      </c>
      <c r="F18" s="14" t="s">
        <v>42</v>
      </c>
      <c r="H18" s="17" t="s">
        <v>43</v>
      </c>
      <c r="I18" s="2">
        <f>+I15</f>
        <v>-11.488999998843667</v>
      </c>
      <c r="J18" s="2">
        <f>-F20</f>
        <v>0</v>
      </c>
    </row>
    <row r="19" spans="1:12" ht="15.75" x14ac:dyDescent="0.3">
      <c r="A19" s="1" t="s">
        <v>58</v>
      </c>
      <c r="B19">
        <f>+$B$6-B18</f>
        <v>0</v>
      </c>
      <c r="D19" s="1" t="s">
        <v>44</v>
      </c>
      <c r="E19">
        <f>+E10*J15</f>
        <v>0</v>
      </c>
      <c r="F19">
        <f>E19*Resultados!$B$11</f>
        <v>0</v>
      </c>
      <c r="H19" s="17" t="s">
        <v>39</v>
      </c>
      <c r="I19">
        <f>+I16</f>
        <v>-8.0001799371370552</v>
      </c>
      <c r="J19">
        <f>+F19</f>
        <v>0</v>
      </c>
    </row>
    <row r="20" spans="1:12" x14ac:dyDescent="0.2">
      <c r="A20" s="1"/>
      <c r="D20" s="1" t="s">
        <v>45</v>
      </c>
      <c r="E20">
        <f>+E11*J16</f>
        <v>0</v>
      </c>
      <c r="F20">
        <f>E20*Resultados!$B$11</f>
        <v>0</v>
      </c>
      <c r="H20" s="17" t="s">
        <v>40</v>
      </c>
      <c r="I20">
        <v>0</v>
      </c>
      <c r="J20">
        <v>0</v>
      </c>
      <c r="K20" s="15" t="s">
        <v>85</v>
      </c>
      <c r="L20" s="16">
        <f>+J19*I18-(I19*J18)</f>
        <v>0</v>
      </c>
    </row>
    <row r="21" spans="1:12" ht="15.75" x14ac:dyDescent="0.3">
      <c r="A21" s="1" t="s">
        <v>60</v>
      </c>
      <c r="B21">
        <f>(Resultados!$P$34*'Linha 6'!B18)/(1-Resultados!$P$32)</f>
        <v>0</v>
      </c>
    </row>
    <row r="22" spans="1:12" ht="15.75" x14ac:dyDescent="0.3">
      <c r="A22" s="1" t="s">
        <v>61</v>
      </c>
      <c r="B22">
        <f>Resultados!$P$34*'Linha 6'!B19</f>
        <v>0</v>
      </c>
    </row>
    <row r="23" spans="1:12" x14ac:dyDescent="0.2">
      <c r="H23" s="44" t="s">
        <v>143</v>
      </c>
      <c r="I23">
        <f>+Resultados!$B$15</f>
        <v>26.488999998843667</v>
      </c>
    </row>
    <row r="24" spans="1:12" x14ac:dyDescent="0.2">
      <c r="H24" s="44" t="s">
        <v>142</v>
      </c>
      <c r="I24">
        <f>+Resultados!$B$16</f>
        <v>8.0001799371370552</v>
      </c>
    </row>
    <row r="25" spans="1:12" x14ac:dyDescent="0.2">
      <c r="H25" s="1" t="s">
        <v>26</v>
      </c>
      <c r="I25">
        <f>+Resultados!$B$18</f>
        <v>14</v>
      </c>
    </row>
    <row r="26" spans="1:12" x14ac:dyDescent="0.2">
      <c r="H26" s="1" t="s">
        <v>138</v>
      </c>
      <c r="I26">
        <f>+B9</f>
        <v>-1.22514845490862E-16</v>
      </c>
    </row>
    <row r="27" spans="1:12" x14ac:dyDescent="0.2">
      <c r="H27" s="1" t="s">
        <v>139</v>
      </c>
      <c r="I27">
        <f>1+I26^2</f>
        <v>1</v>
      </c>
    </row>
    <row r="28" spans="1:12" x14ac:dyDescent="0.2">
      <c r="H28" s="1" t="s">
        <v>140</v>
      </c>
      <c r="I28">
        <f>-2*(I23+B3*I26^2-B4*I26+I24*I26)</f>
        <v>-52.977999997687334</v>
      </c>
    </row>
    <row r="29" spans="1:12" x14ac:dyDescent="0.2">
      <c r="H29" s="1" t="s">
        <v>141</v>
      </c>
      <c r="I29">
        <f>+I23^2+I24^2+B4^2-2*I24*B4+I26^2*B3^2+2*I26*I24*B3-2*I26*B3*B4-I25^2</f>
        <v>569.66999996531001</v>
      </c>
    </row>
    <row r="30" spans="1:12" x14ac:dyDescent="0.2">
      <c r="I30">
        <f>(-I28+SQRT(I28^2-4*I27*I29))/(2*I27)</f>
        <v>37.977999997687334</v>
      </c>
    </row>
    <row r="31" spans="1:12" x14ac:dyDescent="0.2">
      <c r="I31">
        <f>(-I28-SQRT(I28^2-4*I27*I29))/(2*I27)</f>
        <v>15</v>
      </c>
    </row>
    <row r="32" spans="1:12" x14ac:dyDescent="0.2">
      <c r="H32" s="1" t="str">
        <f>+A15</f>
        <v>Xc6 =</v>
      </c>
      <c r="I32">
        <f>MIN(I31,I30)</f>
        <v>15</v>
      </c>
    </row>
    <row r="33" spans="8:9" x14ac:dyDescent="0.2">
      <c r="H33" s="1" t="str">
        <f>+A16</f>
        <v>Yc6 =</v>
      </c>
      <c r="I33">
        <f>B4-I26*(B3-I32)</f>
        <v>0</v>
      </c>
    </row>
  </sheetData>
  <sheetProtection password="CC2B" sheet="1" objects="1" scenarios="1"/>
  <customSheetViews>
    <customSheetView guid="{65CB7F87-8B61-4450-8125-973C590B6FFE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selection activeCell="B18" sqref="B18"/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legacyDrawing r:id="rId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8"/>
  <dimension ref="A1"/>
  <sheetViews>
    <sheetView workbookViewId="0"/>
  </sheetViews>
  <sheetFormatPr defaultRowHeight="12.75" x14ac:dyDescent="0.2"/>
  <sheetData/>
  <sheetProtection password="CC2B" sheet="1" objects="1" scenarios="1"/>
  <customSheetViews>
    <customSheetView guid="{65CB7F87-8B61-4450-8125-973C590B6FFE}" showRuler="0"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drawing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9"/>
  <dimension ref="A1"/>
  <sheetViews>
    <sheetView workbookViewId="0"/>
  </sheetViews>
  <sheetFormatPr defaultRowHeight="12.75" x14ac:dyDescent="0.2"/>
  <sheetData/>
  <sheetProtection password="CC2B" sheet="1" objects="1" scenarios="1"/>
  <customSheetViews>
    <customSheetView guid="{65CB7F87-8B61-4450-8125-973C590B6FFE}" showRuler="0">
      <pageMargins left="0.78740157499999996" right="0.78740157499999996" top="0.984251969" bottom="0.984251969" header="0.49212598499999999" footer="0.49212598499999999"/>
      <pageSetup paperSize="9" orientation="portrait" r:id="rId1"/>
      <headerFooter alignWithMargins="0"/>
    </customSheetView>
    <customSheetView guid="{533BC808-3373-4EA5-8805-CE1614BAA043}" showRuler="0">
      <pageMargins left="0.78740157499999996" right="0.78740157499999996" top="0.984251969" bottom="0.984251969" header="0.49212598499999999" footer="0.49212598499999999"/>
      <pageSetup paperSize="9" orientation="portrait" r:id="rId2"/>
      <headerFooter alignWithMargins="0"/>
    </customSheetView>
    <customSheetView guid="{3F34EFE4-6851-4D60-99E9-E35395341F53}" showRuler="0">
      <pageMargins left="0.78740157499999996" right="0.78740157499999996" top="0.984251969" bottom="0.984251969" header="0.49212598499999999" footer="0.49212598499999999"/>
      <pageSetup paperSize="9" orientation="portrait" r:id="rId3"/>
      <headerFooter alignWithMargins="0"/>
    </customSheetView>
    <customSheetView guid="{4A3C3A86-9336-4985-91DC-3DF49C5B2CFC}" showRuler="0">
      <pageMargins left="0.78740157499999996" right="0.78740157499999996" top="0.984251969" bottom="0.984251969" header="0.49212598499999999" footer="0.49212598499999999"/>
      <pageSetup paperSize="9" orientation="portrait" r:id="rId4"/>
      <headerFooter alignWithMargins="0"/>
    </customSheetView>
  </customSheetViews>
  <phoneticPr fontId="0" type="noConversion"/>
  <pageMargins left="0.78740157499999996" right="0.78740157499999996" top="0.984251969" bottom="0.984251969" header="0.49212598499999999" footer="0.49212598499999999"/>
  <pageSetup paperSize="9" orientation="portrait" r:id="rId5"/>
  <headerFooter alignWithMargins="0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Resultados</vt:lpstr>
      <vt:lpstr>Linha 1</vt:lpstr>
      <vt:lpstr>Linha 2</vt:lpstr>
      <vt:lpstr>Linha 3</vt:lpstr>
      <vt:lpstr>Linha 4</vt:lpstr>
      <vt:lpstr>Linha 5</vt:lpstr>
      <vt:lpstr>Linha 6</vt:lpstr>
      <vt:lpstr>Antes</vt:lpstr>
      <vt:lpstr>Distr. Grampo</vt:lpstr>
      <vt:lpstr>Esf. do Grampo</vt:lpstr>
    </vt:vector>
  </TitlesOfParts>
  <Company>EPUSP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Contenção com tirantes</dc:title>
  <dc:subject>Escavações e contenções</dc:subject>
  <dc:creator>Waldemar Hachich</dc:creator>
  <cp:lastModifiedBy>Waldemar</cp:lastModifiedBy>
  <cp:lastPrinted>2010-11-21T12:12:43Z</cp:lastPrinted>
  <dcterms:created xsi:type="dcterms:W3CDTF">2009-05-12T05:32:59Z</dcterms:created>
  <dcterms:modified xsi:type="dcterms:W3CDTF">2020-07-06T14:54:58Z</dcterms:modified>
</cp:coreProperties>
</file>