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eu Drive\GRADUAÇÃO\DISCIPLINAS\2020 introducao a engenharia civil\"/>
    </mc:Choice>
  </mc:AlternateContent>
  <xr:revisionPtr revIDLastSave="0" documentId="13_ncr:1_{4D32F5D1-6850-4A24-A147-4CF3DCDCDEDC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Projeto Temático" sheetId="5" r:id="rId1"/>
    <sheet name="Notas e Frequências" sheetId="2" r:id="rId2"/>
    <sheet name="Avaliação Final Disciplina" sheetId="6" r:id="rId3"/>
    <sheet name="Sheet1" sheetId="7" r:id="rId4"/>
  </sheets>
  <definedNames>
    <definedName name="_xlnm._FilterDatabase" localSheetId="1" hidden="1">'Notas e Frequências'!$A$7:$AE$37</definedName>
    <definedName name="_xlnm.Print_Area" localSheetId="2">'Avaliação Final Disciplina'!$B$1:$N$33</definedName>
    <definedName name="_xlnm.Print_Area" localSheetId="1">'Notas e Frequências'!$A$1:$AE$55</definedName>
    <definedName name="_xlnm.Print_Area" localSheetId="0">'Projeto Temático'!$A$1:$D$34</definedName>
    <definedName name="_xlnm.Print_Titles" localSheetId="1">'Notas e Frequências'!$A:$B,'Notas e Frequências'!$1:$1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8" i="2" l="1"/>
  <c r="E17" i="2"/>
  <c r="E10" i="2"/>
  <c r="E9" i="2"/>
  <c r="E8" i="2"/>
  <c r="AN27" i="2"/>
  <c r="AP25" i="2" s="1"/>
  <c r="AK28" i="2"/>
  <c r="AK26" i="2"/>
  <c r="AK25" i="2"/>
  <c r="AK24" i="2"/>
  <c r="AC20" i="2"/>
  <c r="AD20" i="2" s="1"/>
  <c r="AP26" i="2" l="1"/>
  <c r="AP24" i="2"/>
  <c r="Z8" i="2"/>
  <c r="AD9" i="2"/>
  <c r="AD10" i="2"/>
  <c r="AD11" i="2"/>
  <c r="AD12" i="2"/>
  <c r="AD13" i="2"/>
  <c r="AD14" i="2"/>
  <c r="AD15" i="2"/>
  <c r="AD16" i="2"/>
  <c r="AD17" i="2"/>
  <c r="AD18" i="2"/>
  <c r="AD19" i="2"/>
  <c r="AD21" i="2"/>
  <c r="AD22" i="2"/>
  <c r="AD23" i="2"/>
  <c r="AD24" i="2"/>
  <c r="AD25" i="2"/>
  <c r="AD26" i="2"/>
  <c r="AD27" i="2"/>
  <c r="AD28" i="2"/>
  <c r="AD29" i="2"/>
  <c r="AD30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9" i="2"/>
  <c r="AD50" i="2"/>
  <c r="AD51" i="2"/>
  <c r="AD52" i="2"/>
  <c r="E47" i="2" l="1"/>
  <c r="E40" i="2"/>
  <c r="E24" i="2"/>
  <c r="E16" i="2"/>
  <c r="AC32" i="2" l="1"/>
  <c r="D18" i="2"/>
  <c r="E18" i="2" s="1"/>
  <c r="H18" i="2"/>
  <c r="I18" i="2" s="1"/>
  <c r="H38" i="2"/>
  <c r="I38" i="2" s="1"/>
  <c r="AE8" i="2"/>
  <c r="H8" i="2"/>
  <c r="I8" i="2" s="1"/>
  <c r="AC8" i="2" s="1"/>
  <c r="J8" i="2"/>
  <c r="F8" i="2"/>
  <c r="AC18" i="2" l="1"/>
  <c r="AE52" i="2"/>
  <c r="AE51" i="2"/>
  <c r="AE50" i="2"/>
  <c r="AE49" i="2"/>
  <c r="AE48" i="2"/>
  <c r="AE47" i="2"/>
  <c r="AE46" i="2"/>
  <c r="J52" i="2"/>
  <c r="J51" i="2"/>
  <c r="J50" i="2"/>
  <c r="J49" i="2"/>
  <c r="J48" i="2"/>
  <c r="J47" i="2"/>
  <c r="J46" i="2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AC47" i="2" s="1"/>
  <c r="AD47" i="2" s="1"/>
  <c r="H46" i="2"/>
  <c r="I46" i="2" s="1"/>
  <c r="F52" i="2"/>
  <c r="F51" i="2"/>
  <c r="F50" i="2"/>
  <c r="F49" i="2"/>
  <c r="F48" i="2"/>
  <c r="F47" i="2"/>
  <c r="F46" i="2"/>
  <c r="D52" i="2"/>
  <c r="E52" i="2" s="1"/>
  <c r="AC52" i="2" s="1"/>
  <c r="D51" i="2"/>
  <c r="E51" i="2" s="1"/>
  <c r="D50" i="2"/>
  <c r="E50" i="2" s="1"/>
  <c r="D49" i="2"/>
  <c r="E49" i="2" s="1"/>
  <c r="D48" i="2"/>
  <c r="E48" i="2" s="1"/>
  <c r="AC48" i="2" s="1"/>
  <c r="AD48" i="2" s="1"/>
  <c r="D47" i="2"/>
  <c r="D46" i="2"/>
  <c r="E46" i="2" s="1"/>
  <c r="AC49" i="2" l="1"/>
  <c r="AC46" i="2"/>
  <c r="AC50" i="2"/>
  <c r="AC51" i="2"/>
  <c r="Z46" i="2"/>
  <c r="Z50" i="2"/>
  <c r="Z47" i="2"/>
  <c r="Z51" i="2"/>
  <c r="Z48" i="2"/>
  <c r="Z52" i="2"/>
  <c r="Z49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1" i="2"/>
  <c r="F10" i="2"/>
  <c r="F9" i="2"/>
  <c r="F16" i="2"/>
  <c r="J45" i="2" l="1"/>
  <c r="J44" i="2"/>
  <c r="Z44" i="2" s="1"/>
  <c r="J43" i="2"/>
  <c r="Z43" i="2" s="1"/>
  <c r="J42" i="2"/>
  <c r="Z42" i="2" s="1"/>
  <c r="J41" i="2"/>
  <c r="J40" i="2"/>
  <c r="Z40" i="2" s="1"/>
  <c r="J39" i="2"/>
  <c r="Z39" i="2" s="1"/>
  <c r="J38" i="2"/>
  <c r="Z38" i="2" s="1"/>
  <c r="J37" i="2"/>
  <c r="J36" i="2"/>
  <c r="Z36" i="2" s="1"/>
  <c r="J35" i="2"/>
  <c r="Z35" i="2" s="1"/>
  <c r="J34" i="2"/>
  <c r="Z34" i="2" s="1"/>
  <c r="J33" i="2"/>
  <c r="J32" i="2"/>
  <c r="Z32" i="2" s="1"/>
  <c r="AD32" i="2" s="1"/>
  <c r="J31" i="2"/>
  <c r="Z31" i="2" s="1"/>
  <c r="AD31" i="2" s="1"/>
  <c r="J30" i="2"/>
  <c r="Z30" i="2" s="1"/>
  <c r="J29" i="2"/>
  <c r="J28" i="2"/>
  <c r="Z28" i="2" s="1"/>
  <c r="J27" i="2"/>
  <c r="Z27" i="2" s="1"/>
  <c r="J26" i="2"/>
  <c r="Z26" i="2" s="1"/>
  <c r="J25" i="2"/>
  <c r="Z25" i="2" s="1"/>
  <c r="J24" i="2"/>
  <c r="Z24" i="2" s="1"/>
  <c r="J23" i="2"/>
  <c r="Z23" i="2" s="1"/>
  <c r="J22" i="2"/>
  <c r="Z22" i="2" s="1"/>
  <c r="J21" i="2"/>
  <c r="J20" i="2"/>
  <c r="Z20" i="2" s="1"/>
  <c r="J19" i="2"/>
  <c r="Z19" i="2" s="1"/>
  <c r="J18" i="2"/>
  <c r="Z18" i="2" s="1"/>
  <c r="J17" i="2"/>
  <c r="Z17" i="2" s="1"/>
  <c r="J16" i="2"/>
  <c r="Z16" i="2" s="1"/>
  <c r="J15" i="2"/>
  <c r="Z15" i="2" s="1"/>
  <c r="J14" i="2"/>
  <c r="Z14" i="2" s="1"/>
  <c r="J13" i="2"/>
  <c r="Z13" i="2" s="1"/>
  <c r="J12" i="2"/>
  <c r="Z12" i="2" s="1"/>
  <c r="J11" i="2"/>
  <c r="Z11" i="2" s="1"/>
  <c r="J9" i="2"/>
  <c r="Z9" i="2" s="1"/>
  <c r="J10" i="2"/>
  <c r="Z10" i="2" s="1"/>
  <c r="Z45" i="2"/>
  <c r="Z41" i="2"/>
  <c r="Z37" i="2"/>
  <c r="Z33" i="2"/>
  <c r="Z29" i="2"/>
  <c r="Z21" i="2"/>
  <c r="AE45" i="2"/>
  <c r="D45" i="2"/>
  <c r="E45" i="2" s="1"/>
  <c r="H45" i="2"/>
  <c r="I45" i="2" s="1"/>
  <c r="AE44" i="2"/>
  <c r="D44" i="2"/>
  <c r="E44" i="2" s="1"/>
  <c r="H44" i="2"/>
  <c r="I44" i="2" s="1"/>
  <c r="AE43" i="2"/>
  <c r="D43" i="2"/>
  <c r="E43" i="2" s="1"/>
  <c r="H43" i="2"/>
  <c r="I43" i="2" s="1"/>
  <c r="AE42" i="2"/>
  <c r="D42" i="2"/>
  <c r="E42" i="2" s="1"/>
  <c r="H42" i="2"/>
  <c r="I42" i="2" s="1"/>
  <c r="AE41" i="2"/>
  <c r="D41" i="2"/>
  <c r="E41" i="2" s="1"/>
  <c r="H41" i="2"/>
  <c r="I41" i="2" s="1"/>
  <c r="AE40" i="2"/>
  <c r="D40" i="2"/>
  <c r="H40" i="2"/>
  <c r="I40" i="2" s="1"/>
  <c r="AC40" i="2" s="1"/>
  <c r="AE39" i="2"/>
  <c r="D39" i="2"/>
  <c r="E39" i="2" s="1"/>
  <c r="H39" i="2"/>
  <c r="I39" i="2" s="1"/>
  <c r="AE38" i="2"/>
  <c r="D38" i="2"/>
  <c r="E38" i="2" s="1"/>
  <c r="AC38" i="2" s="1"/>
  <c r="B5" i="5"/>
  <c r="B4" i="5"/>
  <c r="B3" i="5"/>
  <c r="B2" i="5"/>
  <c r="D37" i="2"/>
  <c r="E37" i="2" s="1"/>
  <c r="D36" i="2"/>
  <c r="E36" i="2" s="1"/>
  <c r="D35" i="2"/>
  <c r="E35" i="2" s="1"/>
  <c r="D34" i="2"/>
  <c r="E34" i="2" s="1"/>
  <c r="D33" i="2"/>
  <c r="E33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D23" i="2"/>
  <c r="E23" i="2" s="1"/>
  <c r="D22" i="2"/>
  <c r="E22" i="2" s="1"/>
  <c r="D21" i="2"/>
  <c r="E21" i="2" s="1"/>
  <c r="D20" i="2"/>
  <c r="E20" i="2" s="1"/>
  <c r="D19" i="2"/>
  <c r="E19" i="2" s="1"/>
  <c r="D17" i="2"/>
  <c r="D16" i="2"/>
  <c r="D15" i="2"/>
  <c r="E15" i="2" s="1"/>
  <c r="D14" i="2"/>
  <c r="E14" i="2" s="1"/>
  <c r="D13" i="2"/>
  <c r="E13" i="2" s="1"/>
  <c r="D12" i="2"/>
  <c r="E12" i="2" s="1"/>
  <c r="D11" i="2"/>
  <c r="E11" i="2" s="1"/>
  <c r="D10" i="2"/>
  <c r="D9" i="2"/>
  <c r="D8" i="2"/>
  <c r="H29" i="2"/>
  <c r="I29" i="2" s="1"/>
  <c r="H20" i="2"/>
  <c r="I20" i="2" s="1"/>
  <c r="H33" i="2"/>
  <c r="I33" i="2" s="1"/>
  <c r="H14" i="2"/>
  <c r="I14" i="2" s="1"/>
  <c r="H37" i="2"/>
  <c r="I37" i="2" s="1"/>
  <c r="H36" i="2"/>
  <c r="I36" i="2" s="1"/>
  <c r="H35" i="2"/>
  <c r="I35" i="2" s="1"/>
  <c r="H34" i="2"/>
  <c r="I34" i="2" s="1"/>
  <c r="H31" i="2"/>
  <c r="I31" i="2" s="1"/>
  <c r="H30" i="2"/>
  <c r="I30" i="2" s="1"/>
  <c r="H28" i="2"/>
  <c r="I28" i="2" s="1"/>
  <c r="H27" i="2"/>
  <c r="I27" i="2" s="1"/>
  <c r="H26" i="2"/>
  <c r="I26" i="2" s="1"/>
  <c r="H25" i="2"/>
  <c r="I25" i="2" s="1"/>
  <c r="H24" i="2"/>
  <c r="I24" i="2" s="1"/>
  <c r="AC24" i="2" s="1"/>
  <c r="H23" i="2"/>
  <c r="I23" i="2" s="1"/>
  <c r="H22" i="2"/>
  <c r="I22" i="2" s="1"/>
  <c r="H21" i="2"/>
  <c r="I21" i="2" s="1"/>
  <c r="H19" i="2"/>
  <c r="I19" i="2" s="1"/>
  <c r="H17" i="2"/>
  <c r="I17" i="2" s="1"/>
  <c r="H16" i="2"/>
  <c r="I16" i="2" s="1"/>
  <c r="AC16" i="2" s="1"/>
  <c r="H15" i="2"/>
  <c r="I15" i="2" s="1"/>
  <c r="H13" i="2"/>
  <c r="I13" i="2" s="1"/>
  <c r="H12" i="2"/>
  <c r="I12" i="2" s="1"/>
  <c r="H11" i="2"/>
  <c r="I11" i="2" s="1"/>
  <c r="H10" i="2"/>
  <c r="I10" i="2" s="1"/>
  <c r="H9" i="2"/>
  <c r="I9" i="2" s="1"/>
  <c r="Y59" i="2"/>
  <c r="AE24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C17" i="5"/>
  <c r="D17" i="5"/>
  <c r="C28" i="5"/>
  <c r="D28" i="5"/>
  <c r="AC22" i="2" l="1"/>
  <c r="AC26" i="2"/>
  <c r="I59" i="2"/>
  <c r="AC14" i="2"/>
  <c r="AC19" i="2"/>
  <c r="AC23" i="2"/>
  <c r="AC27" i="2"/>
  <c r="AC31" i="2"/>
  <c r="AC44" i="2"/>
  <c r="AC29" i="2"/>
  <c r="AC42" i="2"/>
  <c r="AC36" i="2"/>
  <c r="AC11" i="2"/>
  <c r="AC15" i="2"/>
  <c r="AC28" i="2"/>
  <c r="AC33" i="2"/>
  <c r="AC37" i="2"/>
  <c r="AC39" i="2"/>
  <c r="AC43" i="2"/>
  <c r="AC21" i="2"/>
  <c r="AC10" i="2"/>
  <c r="AC12" i="2"/>
  <c r="AC25" i="2"/>
  <c r="AC34" i="2"/>
  <c r="AC9" i="2"/>
  <c r="AC13" i="2"/>
  <c r="AC17" i="2"/>
  <c r="AC30" i="2"/>
  <c r="AC35" i="2"/>
  <c r="AC41" i="2"/>
  <c r="AC45" i="2"/>
  <c r="E59" i="2"/>
  <c r="H59" i="2"/>
  <c r="D59" i="2"/>
  <c r="AC59" i="2" l="1"/>
  <c r="AD5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***</author>
  </authors>
  <commentList>
    <comment ref="D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Este valor é preenchido automaticamente a partir das notas digitadas em "Projeto Temático"</t>
        </r>
      </text>
    </comment>
    <comment ref="F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Este valor é preenchido automaticamente a partir das notas digitadas em "Projeto Temático"</t>
        </r>
      </text>
    </comment>
    <comment ref="H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Este valor é preenchido automaticamente a partir das notas digitadas em "Projeto Temático"</t>
        </r>
      </text>
    </comment>
    <comment ref="J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Este valor é preenchido automaticamente a partir das notas digitadas em "Projeto Temático"</t>
        </r>
      </text>
    </comment>
    <comment ref="X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1,0 -&gt; Participação satisfatória do aluno
0,9 -&gt; Participação insatisfatória do aluno
0,0 -&gt; Se aluno faltar
</t>
        </r>
      </text>
    </comment>
  </commentList>
</comments>
</file>

<file path=xl/sharedStrings.xml><?xml version="1.0" encoding="utf-8"?>
<sst xmlns="http://schemas.openxmlformats.org/spreadsheetml/2006/main" count="119" uniqueCount="92">
  <si>
    <t>Ordem</t>
  </si>
  <si>
    <t>Nome</t>
  </si>
  <si>
    <t>Grupo</t>
  </si>
  <si>
    <t>Turma:</t>
  </si>
  <si>
    <t>Local:</t>
  </si>
  <si>
    <t>Horário:</t>
  </si>
  <si>
    <t>Docente:</t>
  </si>
  <si>
    <t>Fator de Grupo</t>
  </si>
  <si>
    <t>Fator de Participação</t>
  </si>
  <si>
    <t>Prêmio</t>
  </si>
  <si>
    <t>Média Final</t>
  </si>
  <si>
    <t>Média de FATOR DE GRUPO</t>
  </si>
  <si>
    <t>Média de FATOR DE PARTICIPAÇÃO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</si>
  <si>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</si>
  <si>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</si>
  <si>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</si>
  <si>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</si>
  <si>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</si>
  <si>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</si>
  <si>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</si>
  <si>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</si>
  <si>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</si>
  <si>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</si>
  <si>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</si>
  <si>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</si>
  <si>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FATOR DE GRUPO</t>
  </si>
  <si>
    <t>Sub-tema</t>
  </si>
  <si>
    <t>Fator Partic. Final:</t>
  </si>
  <si>
    <t>Conferência*:</t>
  </si>
  <si>
    <t>* A soma das notas atribuídas pelo docente aos relatórios deve ser igual à soma das notas distribuídas entre os alunos</t>
  </si>
  <si>
    <t>1a. Etapa do Projeto Temático</t>
  </si>
  <si>
    <t>2a. Etapa do Projeto Temático</t>
  </si>
  <si>
    <t>OBS: As colunas em cinza são preenchidas automaticamente</t>
  </si>
  <si>
    <r>
      <t>FATOR DE PARTICIPAÇÃO</t>
    </r>
    <r>
      <rPr>
        <sz val="8"/>
        <rFont val="Times New Roman"/>
        <family val="1"/>
      </rPr>
      <t xml:space="preserve"> (</t>
    </r>
    <r>
      <rPr>
        <sz val="8"/>
        <color indexed="10"/>
        <rFont val="Times New Roman"/>
        <family val="1"/>
      </rPr>
      <t>Docente</t>
    </r>
    <r>
      <rPr>
        <sz val="8"/>
        <rFont val="Times New Roman"/>
        <family val="1"/>
      </rPr>
      <t>)</t>
    </r>
  </si>
  <si>
    <r>
      <t>FATOR DE PARTICIPAÇÃO</t>
    </r>
    <r>
      <rPr>
        <sz val="8"/>
        <rFont val="Times New Roman"/>
        <family val="1"/>
      </rPr>
      <t xml:space="preserve"> (</t>
    </r>
    <r>
      <rPr>
        <sz val="8"/>
        <color indexed="10"/>
        <rFont val="Times New Roman"/>
        <family val="1"/>
      </rPr>
      <t>Alunos</t>
    </r>
    <r>
      <rPr>
        <sz val="8"/>
        <rFont val="Times New Roman"/>
        <family val="1"/>
      </rPr>
      <t>)</t>
    </r>
  </si>
  <si>
    <t>FATOR INDIVIDUAL</t>
  </si>
  <si>
    <r>
      <t>Frequências por Aula</t>
    </r>
    <r>
      <rPr>
        <b/>
        <sz val="9"/>
        <rFont val="Times New Roman"/>
        <family val="1"/>
      </rPr>
      <t>: 1 - Presente; 0 - Ausente</t>
    </r>
  </si>
  <si>
    <t>Frequência</t>
  </si>
  <si>
    <t>0303131 - Introdução à Eng Civil</t>
  </si>
  <si>
    <t>0303131 - Introdução à Engenharia Civil</t>
  </si>
  <si>
    <t>FATOR S11</t>
  </si>
  <si>
    <t>Relatório Integrado Final</t>
  </si>
  <si>
    <t>Sérgio Cirelli Ângulo</t>
  </si>
  <si>
    <t>salas de aula</t>
  </si>
  <si>
    <t>salas de estudo</t>
  </si>
  <si>
    <t>restaurante</t>
  </si>
  <si>
    <t>areas de vivência - CEC</t>
  </si>
  <si>
    <t>Ana Caroline Vieira Tavares</t>
  </si>
  <si>
    <t>Anderson Roque Sampaio Ferreira</t>
  </si>
  <si>
    <t>Andre Assumpcao Ribeiro Lima</t>
  </si>
  <si>
    <t>Arthur Gregori Melchert de Almeida</t>
  </si>
  <si>
    <t>Arthur Poreto de Oliveira</t>
  </si>
  <si>
    <t>Camila Ribeiro Kawase</t>
  </si>
  <si>
    <t>Carlos Eduardo Carreiro Tuma Delbin</t>
  </si>
  <si>
    <t>Giulia Gallego Goulart Viana</t>
  </si>
  <si>
    <t>Eduardo Silva Cavalcante</t>
  </si>
  <si>
    <t>Erick Hagiwara de Araujo</t>
  </si>
  <si>
    <t>Evandro Alcantara Almeida</t>
  </si>
  <si>
    <t>Felipe Santos Rossi Baumeister</t>
  </si>
  <si>
    <t>Fernando Maia Rodrigues dos Santos</t>
  </si>
  <si>
    <t>Flavio Seiji Taniguchi Nakamura</t>
  </si>
  <si>
    <t>Gabriel Serafim Vieira</t>
  </si>
  <si>
    <t>Laura Nasciutti Barros</t>
  </si>
  <si>
    <t>Guilherme Xavier da Silva Green</t>
  </si>
  <si>
    <t>Gustavo de Souza Dimianos</t>
  </si>
  <si>
    <t>Igor Augusto Gois da Silva</t>
  </si>
  <si>
    <t>Isabel Caram de Souza</t>
  </si>
  <si>
    <t>Joao Paulo Moreira Leite</t>
  </si>
  <si>
    <t>Joao Paulo Tacach Dias Chohfi</t>
  </si>
  <si>
    <t>Jose Saturnino da Silva Neto</t>
  </si>
  <si>
    <t>Pedro Cruz Martins</t>
  </si>
  <si>
    <t>Leonardo Citro</t>
  </si>
  <si>
    <t>Luann Silva Calixto</t>
  </si>
  <si>
    <t>Lucas Costa Guimaraes</t>
  </si>
  <si>
    <t>Luis Felipe Santos Oliveira</t>
  </si>
  <si>
    <t>Matheus Augusto Brito de Oliveira</t>
  </si>
  <si>
    <t>Matheus Felix Cavalcante dos Reis</t>
  </si>
  <si>
    <t>Matheus Pereira de Medeiros</t>
  </si>
  <si>
    <t>Thomaz Proenca Leite de Barros</t>
  </si>
  <si>
    <t>Reinaldo Avelino da Silva Junior</t>
  </si>
  <si>
    <t>Ricardo Siqueira de Carvalho</t>
  </si>
  <si>
    <t>Ronaldo Machado Tamochumas Filho</t>
  </si>
  <si>
    <t>Rossana Morais dos Santos</t>
  </si>
  <si>
    <t>Sabrina Franco Honorato</t>
  </si>
  <si>
    <t>Thiago Machado Orlandi do Couto Dafico</t>
  </si>
  <si>
    <t>Victor Calegari Nunes</t>
  </si>
  <si>
    <t>Victor Simon Tworoger</t>
  </si>
  <si>
    <t>Vinicius Lopes de Queiroz</t>
  </si>
  <si>
    <t>Vitor Cazzoto Remigio</t>
  </si>
  <si>
    <t>Vitoria Pimentel de Araujo</t>
  </si>
  <si>
    <t>Yasmin Bezerra de Freitas</t>
  </si>
  <si>
    <t xml:space="preserve">Yonatan Klapp Zimmermann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</si>
</sst>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"/>
    <numFmt numFmtId="166" formatCode="d/m;@"/>
    <numFmt numFmtId="167" formatCode="0.0"/>
  </numFmts>
  <fonts count="19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0"/>
      <name val="Palatino Linotype"/>
      <family val="1"/>
    </font>
    <font>
      <sz val="10"/>
      <name val="Verdan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5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top" wrapText="1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right"/>
    </xf>
    <xf numFmtId="0" fontId="6" fillId="0" borderId="0" xfId="0" applyFont="1" applyFill="1"/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9" fontId="6" fillId="0" borderId="15" xfId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/>
    </xf>
    <xf numFmtId="9" fontId="6" fillId="0" borderId="15" xfId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right"/>
    </xf>
    <xf numFmtId="2" fontId="7" fillId="3" borderId="0" xfId="0" applyNumberFormat="1" applyFont="1" applyFill="1"/>
    <xf numFmtId="2" fontId="6" fillId="0" borderId="0" xfId="0" applyNumberFormat="1" applyFont="1"/>
    <xf numFmtId="2" fontId="4" fillId="0" borderId="0" xfId="0" applyNumberFormat="1" applyFont="1"/>
    <xf numFmtId="0" fontId="7" fillId="0" borderId="0" xfId="0" applyFont="1"/>
    <xf numFmtId="0" fontId="12" fillId="0" borderId="0" xfId="0" applyFont="1"/>
    <xf numFmtId="0" fontId="6" fillId="0" borderId="0" xfId="0" applyFont="1" applyAlignment="1">
      <alignment horizontal="left"/>
    </xf>
    <xf numFmtId="0" fontId="13" fillId="0" borderId="0" xfId="0" applyFont="1" applyBorder="1" applyAlignment="1"/>
    <xf numFmtId="0" fontId="7" fillId="0" borderId="0" xfId="0" applyFont="1" applyBorder="1" applyAlignment="1"/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16" xfId="0" applyFont="1" applyBorder="1"/>
    <xf numFmtId="165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166" fontId="3" fillId="0" borderId="0" xfId="0" applyNumberFormat="1" applyFont="1" applyAlignment="1">
      <alignment textRotation="90"/>
    </xf>
    <xf numFmtId="166" fontId="3" fillId="0" borderId="0" xfId="0" applyNumberFormat="1" applyFont="1" applyFill="1" applyAlignment="1">
      <alignment textRotation="90"/>
    </xf>
    <xf numFmtId="2" fontId="6" fillId="0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6" fillId="4" borderId="0" xfId="0" applyFont="1" applyFill="1"/>
    <xf numFmtId="2" fontId="7" fillId="4" borderId="0" xfId="0" applyNumberFormat="1" applyFont="1" applyFill="1"/>
    <xf numFmtId="2" fontId="6" fillId="4" borderId="0" xfId="0" applyNumberFormat="1" applyFont="1" applyFill="1"/>
    <xf numFmtId="2" fontId="4" fillId="4" borderId="0" xfId="0" applyNumberFormat="1" applyFont="1" applyFill="1"/>
    <xf numFmtId="0" fontId="3" fillId="4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/>
    </xf>
    <xf numFmtId="2" fontId="6" fillId="6" borderId="23" xfId="0" applyNumberFormat="1" applyFont="1" applyFill="1" applyBorder="1" applyAlignment="1">
      <alignment horizontal="center"/>
    </xf>
    <xf numFmtId="2" fontId="6" fillId="6" borderId="22" xfId="0" applyNumberFormat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165" fontId="6" fillId="6" borderId="16" xfId="0" applyNumberFormat="1" applyFont="1" applyFill="1" applyBorder="1" applyAlignment="1">
      <alignment horizontal="center"/>
    </xf>
    <xf numFmtId="0" fontId="14" fillId="6" borderId="16" xfId="0" applyFont="1" applyFill="1" applyBorder="1" applyAlignment="1">
      <alignment horizontal="left"/>
    </xf>
    <xf numFmtId="4" fontId="6" fillId="6" borderId="1" xfId="0" applyNumberFormat="1" applyFont="1" applyFill="1" applyBorder="1" applyAlignment="1">
      <alignment horizontal="center"/>
    </xf>
    <xf numFmtId="165" fontId="6" fillId="6" borderId="13" xfId="0" applyNumberFormat="1" applyFont="1" applyFill="1" applyBorder="1" applyAlignment="1">
      <alignment horizontal="center"/>
    </xf>
    <xf numFmtId="165" fontId="6" fillId="6" borderId="18" xfId="0" applyNumberFormat="1" applyFont="1" applyFill="1" applyBorder="1" applyAlignment="1">
      <alignment horizontal="center"/>
    </xf>
    <xf numFmtId="165" fontId="6" fillId="6" borderId="19" xfId="0" applyNumberFormat="1" applyFont="1" applyFill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0" fontId="15" fillId="0" borderId="16" xfId="0" applyFont="1" applyBorder="1"/>
    <xf numFmtId="0" fontId="3" fillId="4" borderId="11" xfId="0" applyFont="1" applyFill="1" applyBorder="1" applyAlignment="1">
      <alignment horizontal="center" vertical="center" textRotation="90" wrapText="1"/>
    </xf>
    <xf numFmtId="0" fontId="18" fillId="0" borderId="0" xfId="0" applyFont="1"/>
    <xf numFmtId="0" fontId="18" fillId="0" borderId="16" xfId="0" applyFont="1" applyBorder="1"/>
    <xf numFmtId="0" fontId="18" fillId="6" borderId="16" xfId="0" applyFont="1" applyFill="1" applyBorder="1"/>
    <xf numFmtId="0" fontId="18" fillId="4" borderId="16" xfId="0" applyFont="1" applyFill="1" applyBorder="1"/>
    <xf numFmtId="167" fontId="6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top" textRotation="90" wrapText="1"/>
    </xf>
    <xf numFmtId="0" fontId="4" fillId="0" borderId="5" xfId="0" applyFont="1" applyBorder="1" applyAlignment="1">
      <alignment horizontal="center" vertical="top" textRotation="90" wrapText="1"/>
    </xf>
    <xf numFmtId="0" fontId="4" fillId="0" borderId="28" xfId="0" applyFont="1" applyBorder="1" applyAlignment="1">
      <alignment horizontal="center" vertical="top" textRotation="90" wrapText="1"/>
    </xf>
  </cellXfs>
  <cellStyles count="28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Normal" xfId="0" builtinId="0"/>
    <cellStyle name="Porcentagem" xfId="1" builtinId="5"/>
  </cellStyles>
  <dxfs count="5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1028700</xdr:colOff>
      <xdr:row>0</xdr:row>
      <xdr:rowOff>133350</xdr:rowOff>
    </xdr:from>
    <xdr:to>
      <xdr:col>9</xdr:col>
      <xdr:colOff>76200</xdr:colOff>
      <xdr:row>17</xdr:row>
      <xdr:rowOff>180975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572250" y="133350"/>
          <a:ext cx="2838450" cy="2962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Trebuchet MS"/>
            </a:rPr>
            <a:t>Instruções Fator de Grupo</a:t>
          </a: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Trebuchet MS"/>
            </a:rPr>
            <a:t>Grupo que ganhar a competição: 1,00</a:t>
          </a:r>
        </a:p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Trebuchet MS"/>
            </a:rPr>
            <a:t>Grupo que perder a competição: 0,90</a:t>
          </a:r>
        </a:p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Trebuchet MS"/>
            </a:rPr>
            <a:t>Em caso de empate: 0,95 para cada grupo</a:t>
          </a:r>
        </a:p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Trebuchet MS"/>
            </a:rPr>
            <a:t>Aluno que faltar à competição: 0,00</a:t>
          </a:r>
        </a:p>
        <a:p>
          <a:pPr algn="ctr" rtl="0">
            <a:defRPr sz="1000"/>
          </a:pPr>
          <a:r>
            <a:rPr lang="pt-BR" sz="1000" b="0" i="0" u="sng" strike="noStrike">
              <a:solidFill>
                <a:srgbClr val="000000"/>
              </a:solidFill>
              <a:latin typeface="Trebuchet MS"/>
            </a:rPr>
            <a:t>Observar que a média dos fatores de grupo de sua turma deverá ser 0,95 em cada etapa do projeto temático</a:t>
          </a: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Trebuchet MS"/>
            </a:rPr>
            <a:t>Observação: Ao digitar um fator de grupo igual a 1,00, 0,90 ou 0,95, a formatação em vermelho desaparecerá. O mesmo vale para a média dos fatores de grupo, que deixará de ser vermelho quando a média for 0,95 (média válida).</a:t>
          </a:r>
        </a:p>
      </xdr:txBody>
    </xdr:sp>
    <xdr:clientData/>
  </xdr:twoCellAnchor>
  <xdr:twoCellAnchor>
    <xdr:from>
      <xdr:col>4</xdr:col>
      <xdr:colOff>1038225</xdr:colOff>
      <xdr:row>18</xdr:row>
      <xdr:rowOff>47625</xdr:rowOff>
    </xdr:from>
    <xdr:to>
      <xdr:col>9</xdr:col>
      <xdr:colOff>38100</xdr:colOff>
      <xdr:row>26</xdr:row>
      <xdr:rowOff>101600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7324725" y="3082925"/>
          <a:ext cx="3279775" cy="1273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Trebuchet MS"/>
            </a:rPr>
            <a:t>Instruções Fator de Participação</a:t>
          </a: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Trebuchet MS"/>
            </a:rPr>
            <a:t>Nota do relatório atribuído pelo docentes:       0,5 a 1,0</a:t>
          </a: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r>
            <a:rPr lang="pt-BR" sz="1000" b="0" i="0" u="sng" strike="noStrike">
              <a:solidFill>
                <a:srgbClr val="000000"/>
              </a:solidFill>
              <a:latin typeface="Trebuchet MS"/>
            </a:rPr>
            <a:t>Observar que a média dos fatores de participação de sua turma deverá ser 0,75 em cada etapa do projeto temático</a:t>
          </a:r>
        </a:p>
      </xdr:txBody>
    </xdr:sp>
    <xdr:clientData/>
  </xdr:twoCellAnchor>
  <xdr:twoCellAnchor>
    <xdr:from>
      <xdr:col>4</xdr:col>
      <xdr:colOff>1035051</xdr:colOff>
      <xdr:row>27</xdr:row>
      <xdr:rowOff>53975</xdr:rowOff>
    </xdr:from>
    <xdr:to>
      <xdr:col>9</xdr:col>
      <xdr:colOff>50801</xdr:colOff>
      <xdr:row>33</xdr:row>
      <xdr:rowOff>114300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7321551" y="4473575"/>
          <a:ext cx="3295650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r>
            <a:rPr lang="pt-BR" sz="1000" b="0" i="0" u="sng" strike="noStrike">
              <a:solidFill>
                <a:srgbClr val="000000"/>
              </a:solidFill>
              <a:latin typeface="Trebuchet MS"/>
            </a:rPr>
            <a:t>Avaliação Docente</a:t>
          </a: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Trebuchet MS"/>
            </a:rPr>
            <a:t>Ao final da exposição, os docentes efetuam a sua avaliação das turmas A</a:t>
          </a:r>
          <a:r>
            <a:rPr lang="pt-BR" sz="1000" b="0" i="0" strike="noStrike" baseline="0">
              <a:solidFill>
                <a:srgbClr val="000000"/>
              </a:solidFill>
              <a:latin typeface="Trebuchet MS"/>
            </a:rPr>
            <a:t> e B</a:t>
          </a:r>
          <a:r>
            <a:rPr lang="pt-BR" sz="1000" b="0" i="0" strike="noStrike">
              <a:solidFill>
                <a:srgbClr val="000000"/>
              </a:solidFill>
              <a:latin typeface="Trebuchet MS"/>
            </a:rPr>
            <a:t>.</a:t>
          </a: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4</xdr:col>
      <xdr:colOff>1037326</xdr:colOff>
      <xdr:row>34</xdr:row>
      <xdr:rowOff>66675</xdr:rowOff>
    </xdr:from>
    <xdr:to>
      <xdr:col>9</xdr:col>
      <xdr:colOff>66679</xdr:colOff>
      <xdr:row>41</xdr:row>
      <xdr:rowOff>117475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7323826" y="5616575"/>
          <a:ext cx="3309253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Trebuchet MS"/>
            </a:rPr>
            <a:t>Instruções Fator de Participação Final</a:t>
          </a: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Trebuchet MS"/>
          </a:endParaRPr>
        </a:p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Trebuchet MS"/>
            </a:rPr>
            <a:t>O docente atribuirá ao fator de participação final (fpf) um valor entre 0,7 e 1,0, de acordo com o empenho da turma na elaboração do relatório integrado do projeto temático.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showGridLines="0" topLeftCell="A5" zoomScale="160" zoomScaleNormal="160" workbookViewId="0">
      <selection activeCell="D13" sqref="D13"/>
    </sheetView>
  </sheetViews>
  <sheetFormatPr defaultColWidth="8.81640625" defaultRowHeight="13" x14ac:dyDescent="0.3"/>
  <cols>
    <col min="1" max="1" width="20.453125" style="16" customWidth="1"/>
    <col min="2" max="2" width="21.453125" style="16" customWidth="1"/>
    <col min="3" max="3" width="19" style="16" customWidth="1"/>
    <col min="4" max="4" width="21.453125" style="16" customWidth="1"/>
    <col min="5" max="5" width="20.81640625" style="16" customWidth="1"/>
    <col min="6" max="16384" width="8.81640625" style="16"/>
  </cols>
  <sheetData>
    <row r="1" spans="1:4" ht="17.5" x14ac:dyDescent="0.35">
      <c r="A1" s="14" t="s">
        <v>39</v>
      </c>
    </row>
    <row r="2" spans="1:4" ht="14.5" x14ac:dyDescent="0.4">
      <c r="A2" s="17" t="s">
        <v>3</v>
      </c>
      <c r="B2" s="54">
        <f>'Notas e Frequências'!B2</f>
        <v>3</v>
      </c>
    </row>
    <row r="3" spans="1:4" ht="14.5" x14ac:dyDescent="0.4">
      <c r="A3" s="17" t="s">
        <v>4</v>
      </c>
      <c r="B3" s="55">
        <f>'Notas e Frequências'!B3</f>
        <v>0</v>
      </c>
    </row>
    <row r="4" spans="1:4" ht="14.5" x14ac:dyDescent="0.4">
      <c r="A4" s="17" t="s">
        <v>5</v>
      </c>
      <c r="B4" s="55">
        <f>'Notas e Frequências'!B4</f>
        <v>0</v>
      </c>
    </row>
    <row r="5" spans="1:4" ht="14.5" x14ac:dyDescent="0.4">
      <c r="A5" s="17" t="s">
        <v>6</v>
      </c>
      <c r="B5" s="55" t="str">
        <f>'Notas e Frequências'!B5</f>
        <v>Sérgio Cirelli Ângulo</v>
      </c>
    </row>
    <row r="7" spans="1:4" ht="17" thickBot="1" x14ac:dyDescent="0.4">
      <c r="A7" s="46" t="s">
        <v>30</v>
      </c>
      <c r="B7" s="47"/>
      <c r="C7" s="47"/>
    </row>
    <row r="8" spans="1:4" x14ac:dyDescent="0.3">
      <c r="A8" s="48" t="s">
        <v>2</v>
      </c>
      <c r="B8" s="49" t="s">
        <v>26</v>
      </c>
      <c r="C8" s="49" t="s">
        <v>7</v>
      </c>
      <c r="D8" s="50" t="s">
        <v>8</v>
      </c>
    </row>
    <row r="9" spans="1:4" x14ac:dyDescent="0.3">
      <c r="A9" s="30">
        <v>1</v>
      </c>
      <c r="B9" s="51" t="s">
        <v>43</v>
      </c>
      <c r="C9" s="76">
        <v>0.9</v>
      </c>
      <c r="D9" s="79">
        <v>0.56999999999999995</v>
      </c>
    </row>
    <row r="10" spans="1:4" x14ac:dyDescent="0.3">
      <c r="A10" s="30">
        <v>2</v>
      </c>
      <c r="B10" s="51" t="s">
        <v>44</v>
      </c>
      <c r="C10" s="76">
        <v>0.9</v>
      </c>
      <c r="D10" s="79">
        <v>0.86</v>
      </c>
    </row>
    <row r="11" spans="1:4" x14ac:dyDescent="0.3">
      <c r="A11" s="30">
        <v>3</v>
      </c>
      <c r="B11" s="51" t="s">
        <v>46</v>
      </c>
      <c r="C11" s="76">
        <v>0.9</v>
      </c>
      <c r="D11" s="79">
        <v>0.67</v>
      </c>
    </row>
    <row r="12" spans="1:4" x14ac:dyDescent="0.3">
      <c r="A12" s="30">
        <v>4</v>
      </c>
      <c r="B12" s="51" t="s">
        <v>45</v>
      </c>
      <c r="C12" s="76">
        <v>1</v>
      </c>
      <c r="D12" s="79">
        <v>0.86</v>
      </c>
    </row>
    <row r="13" spans="1:4" x14ac:dyDescent="0.3">
      <c r="A13" s="30">
        <v>5</v>
      </c>
      <c r="B13" s="51" t="s">
        <v>43</v>
      </c>
      <c r="C13" s="76">
        <v>1</v>
      </c>
      <c r="D13" s="79">
        <v>0.86</v>
      </c>
    </row>
    <row r="14" spans="1:4" x14ac:dyDescent="0.3">
      <c r="A14" s="30">
        <v>6</v>
      </c>
      <c r="B14" s="51" t="s">
        <v>44</v>
      </c>
      <c r="C14" s="76">
        <v>1</v>
      </c>
      <c r="D14" s="79">
        <v>0.81</v>
      </c>
    </row>
    <row r="15" spans="1:4" x14ac:dyDescent="0.3">
      <c r="A15" s="30">
        <v>7</v>
      </c>
      <c r="B15" s="51" t="s">
        <v>46</v>
      </c>
      <c r="C15" s="76">
        <v>1</v>
      </c>
      <c r="D15" s="79">
        <v>0.81</v>
      </c>
    </row>
    <row r="16" spans="1:4" ht="13.5" thickBot="1" x14ac:dyDescent="0.35">
      <c r="A16" s="38">
        <v>8</v>
      </c>
      <c r="B16" s="51" t="s">
        <v>45</v>
      </c>
      <c r="C16" s="80">
        <v>0.9</v>
      </c>
      <c r="D16" s="81">
        <v>0.56999999999999995</v>
      </c>
    </row>
    <row r="17" spans="1:4" x14ac:dyDescent="0.3">
      <c r="C17" s="52">
        <f>SUM(C9:C16)/8</f>
        <v>0.95000000000000007</v>
      </c>
      <c r="D17" s="52">
        <f>SUM(D9:D16)/8</f>
        <v>0.75124999999999997</v>
      </c>
    </row>
    <row r="18" spans="1:4" ht="17" thickBot="1" x14ac:dyDescent="0.4">
      <c r="A18" s="46" t="s">
        <v>31</v>
      </c>
      <c r="B18" s="47"/>
      <c r="C18" s="47"/>
    </row>
    <row r="19" spans="1:4" x14ac:dyDescent="0.3">
      <c r="A19" s="48" t="s">
        <v>2</v>
      </c>
      <c r="B19" s="49" t="s">
        <v>26</v>
      </c>
      <c r="C19" s="49" t="s">
        <v>7</v>
      </c>
      <c r="D19" s="50" t="s">
        <v>8</v>
      </c>
    </row>
    <row r="20" spans="1:4" x14ac:dyDescent="0.3">
      <c r="A20" s="30">
        <v>1</v>
      </c>
      <c r="B20" s="51" t="s">
        <v>43</v>
      </c>
      <c r="C20" s="76">
        <v>0.9</v>
      </c>
      <c r="D20" s="79">
        <v>0.89</v>
      </c>
    </row>
    <row r="21" spans="1:4" x14ac:dyDescent="0.3">
      <c r="A21" s="30">
        <v>2</v>
      </c>
      <c r="B21" s="51" t="s">
        <v>44</v>
      </c>
      <c r="C21" s="76">
        <v>1</v>
      </c>
      <c r="D21" s="79">
        <v>0.79</v>
      </c>
    </row>
    <row r="22" spans="1:4" x14ac:dyDescent="0.3">
      <c r="A22" s="30">
        <v>3</v>
      </c>
      <c r="B22" s="51" t="s">
        <v>46</v>
      </c>
      <c r="C22" s="76">
        <v>1</v>
      </c>
      <c r="D22" s="79">
        <v>0.75</v>
      </c>
    </row>
    <row r="23" spans="1:4" x14ac:dyDescent="0.3">
      <c r="A23" s="30">
        <v>4</v>
      </c>
      <c r="B23" s="51" t="s">
        <v>45</v>
      </c>
      <c r="C23" s="76">
        <v>0.9</v>
      </c>
      <c r="D23" s="79">
        <v>0.91</v>
      </c>
    </row>
    <row r="24" spans="1:4" x14ac:dyDescent="0.3">
      <c r="A24" s="30">
        <v>5</v>
      </c>
      <c r="B24" s="51" t="s">
        <v>43</v>
      </c>
      <c r="C24" s="76">
        <v>1</v>
      </c>
      <c r="D24" s="79">
        <v>0.6</v>
      </c>
    </row>
    <row r="25" spans="1:4" x14ac:dyDescent="0.3">
      <c r="A25" s="30">
        <v>6</v>
      </c>
      <c r="B25" s="51" t="s">
        <v>44</v>
      </c>
      <c r="C25" s="76">
        <v>0.9</v>
      </c>
      <c r="D25" s="79">
        <v>0.82</v>
      </c>
    </row>
    <row r="26" spans="1:4" x14ac:dyDescent="0.3">
      <c r="A26" s="30">
        <v>7</v>
      </c>
      <c r="B26" s="51" t="s">
        <v>46</v>
      </c>
      <c r="C26" s="76">
        <v>0.9</v>
      </c>
      <c r="D26" s="79">
        <v>0.72</v>
      </c>
    </row>
    <row r="27" spans="1:4" ht="13.5" thickBot="1" x14ac:dyDescent="0.35">
      <c r="A27" s="38">
        <v>8</v>
      </c>
      <c r="B27" s="51" t="s">
        <v>45</v>
      </c>
      <c r="C27" s="80">
        <v>1</v>
      </c>
      <c r="D27" s="81">
        <v>0.52</v>
      </c>
    </row>
    <row r="28" spans="1:4" x14ac:dyDescent="0.3">
      <c r="C28" s="52">
        <f>SUM(C20:C27)/8</f>
        <v>0.95000000000000007</v>
      </c>
      <c r="D28" s="52">
        <f>SUM(D20:D27)/8</f>
        <v>0.75</v>
      </c>
    </row>
    <row r="30" spans="1:4" ht="16.5" x14ac:dyDescent="0.35">
      <c r="A30" s="46" t="s">
        <v>41</v>
      </c>
    </row>
    <row r="32" spans="1:4" ht="14" thickBot="1" x14ac:dyDescent="0.4">
      <c r="A32" s="53" t="s">
        <v>27</v>
      </c>
      <c r="B32" s="78">
        <v>1</v>
      </c>
    </row>
    <row r="33" spans="1:2" x14ac:dyDescent="0.3">
      <c r="B33" s="45"/>
    </row>
    <row r="35" spans="1:2" ht="14.5" x14ac:dyDescent="0.4">
      <c r="A35" s="56"/>
    </row>
  </sheetData>
  <phoneticPr fontId="0" type="noConversion"/>
  <conditionalFormatting sqref="C17 C28">
    <cfRule type="cellIs" dxfId="4" priority="1" stopIfTrue="1" operator="notEqual">
      <formula>0.95</formula>
    </cfRule>
  </conditionalFormatting>
  <conditionalFormatting sqref="C9:C16 C20:C27">
    <cfRule type="cellIs" dxfId="3" priority="2" stopIfTrue="1" operator="equal">
      <formula>1</formula>
    </cfRule>
    <cfRule type="cellIs" dxfId="2" priority="3" stopIfTrue="1" operator="equal">
      <formula>0.9</formula>
    </cfRule>
    <cfRule type="cellIs" dxfId="1" priority="4" stopIfTrue="1" operator="equal">
      <formula>0.95</formula>
    </cfRule>
  </conditionalFormatting>
  <conditionalFormatting sqref="D17 D28">
    <cfRule type="cellIs" dxfId="0" priority="5" stopIfTrue="1" operator="notEqual">
      <formula>0.75</formula>
    </cfRule>
  </conditionalFormatting>
  <pageMargins left="0.78740157499999996" right="0.78740157499999996" top="0.984251969" bottom="0.984251969" header="0.49212598499999999" footer="0.49212598499999999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132"/>
  <sheetViews>
    <sheetView showGridLines="0" tabSelected="1" topLeftCell="A4" zoomScale="175" zoomScaleNormal="175" zoomScalePageLayoutView="96" workbookViewId="0">
      <pane xSplit="2" topLeftCell="K1" activePane="topRight" state="frozen"/>
      <selection pane="topRight" activeCell="B8" sqref="B8"/>
    </sheetView>
  </sheetViews>
  <sheetFormatPr defaultColWidth="8.81640625" defaultRowHeight="13" x14ac:dyDescent="0.3"/>
  <cols>
    <col min="1" max="1" width="8.453125" style="16" customWidth="1"/>
    <col min="2" max="2" width="39.453125" style="16" customWidth="1"/>
    <col min="3" max="3" width="3.453125" style="16" hidden="1" customWidth="1"/>
    <col min="4" max="6" width="7.453125" style="16" hidden="1" customWidth="1"/>
    <col min="7" max="7" width="3.453125" style="2" hidden="1" customWidth="1"/>
    <col min="8" max="10" width="7.453125" style="16" hidden="1" customWidth="1"/>
    <col min="11" max="20" width="2.453125" style="16" customWidth="1"/>
    <col min="21" max="21" width="3.26953125" style="16" customWidth="1"/>
    <col min="22" max="22" width="2.453125" style="16" customWidth="1"/>
    <col min="23" max="23" width="3.81640625" style="16" customWidth="1"/>
    <col min="24" max="24" width="5" style="16" customWidth="1"/>
    <col min="25" max="25" width="5.453125" style="16" customWidth="1"/>
    <col min="26" max="29" width="6.81640625" style="16" customWidth="1"/>
    <col min="30" max="30" width="8.453125" style="16" bestFit="1" customWidth="1"/>
    <col min="31" max="31" width="6.81640625" style="16" customWidth="1"/>
    <col min="32" max="16384" width="8.81640625" style="16"/>
  </cols>
  <sheetData>
    <row r="1" spans="1:31" ht="17.5" x14ac:dyDescent="0.35">
      <c r="A1" s="14" t="s">
        <v>38</v>
      </c>
      <c r="B1" s="15"/>
    </row>
    <row r="2" spans="1:31" ht="15" customHeight="1" x14ac:dyDescent="0.4">
      <c r="A2" s="17" t="s">
        <v>3</v>
      </c>
      <c r="B2" s="77">
        <v>3</v>
      </c>
    </row>
    <row r="3" spans="1:31" ht="15" customHeight="1" x14ac:dyDescent="0.4">
      <c r="A3" s="17" t="s">
        <v>4</v>
      </c>
      <c r="B3" s="77"/>
    </row>
    <row r="4" spans="1:31" ht="15" customHeight="1" x14ac:dyDescent="0.4">
      <c r="A4" s="17" t="s">
        <v>5</v>
      </c>
      <c r="B4" s="77"/>
    </row>
    <row r="5" spans="1:31" ht="39.65" customHeight="1" thickBot="1" x14ac:dyDescent="0.45">
      <c r="A5" s="17" t="s">
        <v>6</v>
      </c>
      <c r="B5" s="77" t="s">
        <v>42</v>
      </c>
      <c r="K5" s="57"/>
      <c r="L5" s="57"/>
      <c r="M5" s="57"/>
      <c r="N5" s="58"/>
      <c r="O5" s="58"/>
      <c r="P5" s="58"/>
      <c r="Q5" s="58"/>
      <c r="R5" s="58"/>
      <c r="S5" s="57"/>
      <c r="T5" s="58"/>
      <c r="U5" s="57"/>
      <c r="V5" s="57"/>
      <c r="W5" s="57"/>
    </row>
    <row r="6" spans="1:31" ht="15" customHeight="1" thickBot="1" x14ac:dyDescent="0.35">
      <c r="A6" s="18"/>
      <c r="B6" s="18"/>
      <c r="C6" s="91" t="s">
        <v>30</v>
      </c>
      <c r="D6" s="92"/>
      <c r="E6" s="92"/>
      <c r="F6" s="93"/>
      <c r="G6" s="91" t="s">
        <v>31</v>
      </c>
      <c r="H6" s="92"/>
      <c r="I6" s="92"/>
      <c r="J6" s="93"/>
      <c r="K6" s="94" t="s">
        <v>36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6"/>
      <c r="Y6" s="18"/>
      <c r="Z6" s="18"/>
      <c r="AA6" s="18"/>
      <c r="AB6" s="18"/>
      <c r="AC6" s="18"/>
      <c r="AD6" s="18"/>
      <c r="AE6" s="18"/>
    </row>
    <row r="7" spans="1:31" ht="88.5" customHeight="1" x14ac:dyDescent="0.3">
      <c r="A7" s="19" t="s">
        <v>0</v>
      </c>
      <c r="B7" s="20" t="s">
        <v>1</v>
      </c>
      <c r="C7" s="21" t="s">
        <v>2</v>
      </c>
      <c r="D7" s="22" t="s">
        <v>33</v>
      </c>
      <c r="E7" s="23" t="s">
        <v>34</v>
      </c>
      <c r="F7" s="24" t="s">
        <v>25</v>
      </c>
      <c r="G7" s="25" t="s">
        <v>2</v>
      </c>
      <c r="H7" s="22" t="s">
        <v>33</v>
      </c>
      <c r="I7" s="23" t="s">
        <v>34</v>
      </c>
      <c r="J7" s="24" t="s">
        <v>25</v>
      </c>
      <c r="K7" s="26" t="s">
        <v>13</v>
      </c>
      <c r="L7" s="27" t="s">
        <v>14</v>
      </c>
      <c r="M7" s="27" t="s">
        <v>15</v>
      </c>
      <c r="N7" s="69" t="s">
        <v>16</v>
      </c>
      <c r="O7" s="70" t="s">
        <v>17</v>
      </c>
      <c r="P7" s="27" t="s">
        <v>18</v>
      </c>
      <c r="Q7" s="27" t="s">
        <v>19</v>
      </c>
      <c r="R7" s="69" t="s">
        <v>20</v>
      </c>
      <c r="S7" s="70" t="s">
        <v>21</v>
      </c>
      <c r="T7" s="27" t="s">
        <v>22</v>
      </c>
      <c r="U7" s="69" t="s">
        <v>23</v>
      </c>
      <c r="V7" s="69" t="s">
        <v>24</v>
      </c>
      <c r="W7" s="69"/>
      <c r="X7" s="20"/>
      <c r="Y7" s="28" t="s">
        <v>9</v>
      </c>
      <c r="Z7" s="29" t="s">
        <v>11</v>
      </c>
      <c r="AA7" s="85" t="s">
        <v>40</v>
      </c>
      <c r="AB7" s="85" t="s">
        <v>35</v>
      </c>
      <c r="AC7" s="29" t="s">
        <v>12</v>
      </c>
      <c r="AD7" s="29" t="s">
        <v>10</v>
      </c>
      <c r="AE7" s="29" t="s">
        <v>37</v>
      </c>
    </row>
    <row r="8" spans="1:31" ht="15" customHeight="1" x14ac:dyDescent="0.3">
      <c r="A8" s="30">
        <v>1</v>
      </c>
      <c r="B8" s="87" t="s">
        <v>47</v>
      </c>
      <c r="C8" s="32">
        <v>1</v>
      </c>
      <c r="D8" s="36">
        <f>IF($C8&gt;0,VLOOKUP($C8,'Projeto Temático'!$A$9:$D$16,4),0)</f>
        <v>0.56999999999999995</v>
      </c>
      <c r="E8" s="36">
        <f>(D8*5)*0.2</f>
        <v>0.56999999999999995</v>
      </c>
      <c r="F8" s="31">
        <f>IF($C8&gt;0,VLOOKUP($C8,'Projeto Temático'!$A$9:$D$16,3),0)*O8</f>
        <v>0.9</v>
      </c>
      <c r="G8" s="32">
        <v>1</v>
      </c>
      <c r="H8" s="36">
        <f>IF($G8&gt;0,VLOOKUP($G8,'Projeto Temático'!$A$20:$D$27,4),0)</f>
        <v>0.89</v>
      </c>
      <c r="I8" s="36">
        <f>H8*6*0.16</f>
        <v>0.85440000000000005</v>
      </c>
      <c r="J8" s="59">
        <f>IF($G8&gt;0,VLOOKUP($G8,'Projeto Temático'!$A$20:$D$27,3),0)*S8</f>
        <v>0.9</v>
      </c>
      <c r="K8" s="72">
        <v>1</v>
      </c>
      <c r="L8" s="72">
        <v>1</v>
      </c>
      <c r="M8" s="72">
        <v>1</v>
      </c>
      <c r="N8" s="72">
        <v>1</v>
      </c>
      <c r="O8" s="72">
        <v>1</v>
      </c>
      <c r="P8" s="72">
        <v>1</v>
      </c>
      <c r="Q8" s="72">
        <v>1</v>
      </c>
      <c r="R8" s="72">
        <v>1</v>
      </c>
      <c r="S8" s="72">
        <v>1</v>
      </c>
      <c r="T8" s="72">
        <v>1</v>
      </c>
      <c r="U8" s="72">
        <v>1</v>
      </c>
      <c r="V8" s="72">
        <v>1</v>
      </c>
      <c r="W8" s="72">
        <v>1</v>
      </c>
      <c r="X8" s="73">
        <v>1</v>
      </c>
      <c r="Y8" s="71"/>
      <c r="Z8" s="33">
        <f>(F8+J8)/2</f>
        <v>0.9</v>
      </c>
      <c r="AA8" s="71">
        <v>1</v>
      </c>
      <c r="AB8" s="71">
        <v>1</v>
      </c>
      <c r="AC8" s="33">
        <f>((E8+I8)/2)*IF(W8=0,0,X8)*V8*'Projeto Temático'!$B$32*AB8</f>
        <v>0.71219999999999994</v>
      </c>
      <c r="AD8" s="90">
        <f>MIN(10*(Z8*IF(AB8=0,0,AA8)+Y8)*AC8,10)</f>
        <v>6.4097999999999997</v>
      </c>
      <c r="AE8" s="34">
        <f>SUM(K8:W8)/COUNTA(K8:W8)</f>
        <v>1</v>
      </c>
    </row>
    <row r="9" spans="1:31" ht="15" customHeight="1" x14ac:dyDescent="0.3">
      <c r="A9" s="30">
        <v>2</v>
      </c>
      <c r="B9" s="87" t="s">
        <v>48</v>
      </c>
      <c r="C9" s="32">
        <v>2</v>
      </c>
      <c r="D9" s="36">
        <f>IF($C9&gt;0,VLOOKUP($C9,'Projeto Temático'!$A$9:$D$16,4),0)</f>
        <v>0.86</v>
      </c>
      <c r="E9" s="36">
        <f>D9*6*0.155</f>
        <v>0.79980000000000007</v>
      </c>
      <c r="F9" s="31">
        <f>IF($C9&gt;0,VLOOKUP($C9,'Projeto Temático'!$A$9:$D$16,3),0)*O9</f>
        <v>0.9</v>
      </c>
      <c r="G9" s="32">
        <v>2</v>
      </c>
      <c r="H9" s="36">
        <f>IF($G9&gt;0,VLOOKUP($G9,'Projeto Temático'!$A$20:$D$27,4),0)</f>
        <v>0.79</v>
      </c>
      <c r="I9" s="82">
        <f>H9*5*0.22</f>
        <v>0.86899999999999999</v>
      </c>
      <c r="J9" s="59">
        <f>IF($G9&gt;0,VLOOKUP($G9,'Projeto Temático'!$A$20:$D$27,3),0)*S9</f>
        <v>1</v>
      </c>
      <c r="K9" s="72">
        <v>1</v>
      </c>
      <c r="L9" s="72">
        <v>1</v>
      </c>
      <c r="M9" s="72">
        <v>1</v>
      </c>
      <c r="N9" s="72">
        <v>1</v>
      </c>
      <c r="O9" s="72">
        <v>1</v>
      </c>
      <c r="P9" s="72">
        <v>1</v>
      </c>
      <c r="Q9" s="72">
        <v>1</v>
      </c>
      <c r="R9" s="72">
        <v>1</v>
      </c>
      <c r="S9" s="72">
        <v>1</v>
      </c>
      <c r="T9" s="72">
        <v>1</v>
      </c>
      <c r="U9" s="72">
        <v>1</v>
      </c>
      <c r="V9" s="72">
        <v>1</v>
      </c>
      <c r="W9" s="72">
        <v>1</v>
      </c>
      <c r="X9" s="73">
        <v>1</v>
      </c>
      <c r="Y9" s="71"/>
      <c r="Z9" s="33">
        <f t="shared" ref="Z9:Z52" si="0">(F9+J9)/2</f>
        <v>0.95</v>
      </c>
      <c r="AA9" s="71">
        <v>1</v>
      </c>
      <c r="AB9" s="71">
        <v>1</v>
      </c>
      <c r="AC9" s="33">
        <f>((E9+I9)/2)*IF(W9=0,0,X9)*V9*'Projeto Temático'!$B$32*AB9</f>
        <v>0.83440000000000003</v>
      </c>
      <c r="AD9" s="90">
        <f t="shared" ref="AD9:AD52" si="1">MIN(10*(Z9*IF(AB9=0,0,AA9)+Y9)*AC9,10)</f>
        <v>7.9268000000000001</v>
      </c>
      <c r="AE9" s="34">
        <f t="shared" ref="AE9:AE37" si="2">SUM(K9:W9)/COUNTA(K9:W9)</f>
        <v>1</v>
      </c>
    </row>
    <row r="10" spans="1:31" ht="15" customHeight="1" x14ac:dyDescent="0.3">
      <c r="A10" s="30">
        <v>3</v>
      </c>
      <c r="B10" s="87" t="s">
        <v>49</v>
      </c>
      <c r="C10" s="32">
        <v>3</v>
      </c>
      <c r="D10" s="36">
        <f>IF($C10&gt;0,VLOOKUP($C10,'Projeto Temático'!$A$9:$D$16,4),0)</f>
        <v>0.67</v>
      </c>
      <c r="E10" s="36">
        <f>D10*6*0.14</f>
        <v>0.56280000000000008</v>
      </c>
      <c r="F10" s="31">
        <f>IF($C10&gt;0,VLOOKUP($C10,'Projeto Temático'!$A$9:$D$16,3),0)*O10</f>
        <v>0.9</v>
      </c>
      <c r="G10" s="32">
        <v>3</v>
      </c>
      <c r="H10" s="36">
        <f>IF($G10&gt;0,VLOOKUP($G10,'Projeto Temático'!$A$20:$D$27,4),0)</f>
        <v>0.75</v>
      </c>
      <c r="I10" s="82">
        <f>H10*5*0.17</f>
        <v>0.63750000000000007</v>
      </c>
      <c r="J10" s="59">
        <f>IF($G10&gt;0,VLOOKUP($G10,'Projeto Temático'!$A$20:$D$27,3),0)*S10</f>
        <v>1</v>
      </c>
      <c r="K10" s="72">
        <v>1</v>
      </c>
      <c r="L10" s="72">
        <v>1</v>
      </c>
      <c r="M10" s="72">
        <v>1</v>
      </c>
      <c r="N10" s="72">
        <v>1</v>
      </c>
      <c r="O10" s="72">
        <v>1</v>
      </c>
      <c r="P10" s="72">
        <v>1</v>
      </c>
      <c r="Q10" s="72">
        <v>1</v>
      </c>
      <c r="R10" s="72">
        <v>1</v>
      </c>
      <c r="S10" s="72">
        <v>1</v>
      </c>
      <c r="T10" s="72">
        <v>1</v>
      </c>
      <c r="U10" s="72">
        <v>1</v>
      </c>
      <c r="V10" s="72">
        <v>1</v>
      </c>
      <c r="W10" s="72">
        <v>1</v>
      </c>
      <c r="X10" s="73">
        <v>1</v>
      </c>
      <c r="Y10" s="71"/>
      <c r="Z10" s="33">
        <f t="shared" si="0"/>
        <v>0.95</v>
      </c>
      <c r="AA10" s="71">
        <v>1</v>
      </c>
      <c r="AB10" s="71">
        <v>1</v>
      </c>
      <c r="AC10" s="33">
        <f>((E10+I10)/2)*IF(W10=0,0,X10)*V10*'Projeto Temático'!$B$32*AB10</f>
        <v>0.60015000000000007</v>
      </c>
      <c r="AD10" s="90">
        <f t="shared" si="1"/>
        <v>5.7014250000000004</v>
      </c>
      <c r="AE10" s="34">
        <f t="shared" si="2"/>
        <v>1</v>
      </c>
    </row>
    <row r="11" spans="1:31" s="18" customFormat="1" ht="15" customHeight="1" x14ac:dyDescent="0.3">
      <c r="A11" s="30">
        <v>4</v>
      </c>
      <c r="B11" s="87" t="s">
        <v>50</v>
      </c>
      <c r="C11" s="32">
        <v>4</v>
      </c>
      <c r="D11" s="36">
        <f>IF($C11&gt;0,VLOOKUP($C11,'Projeto Temático'!$A$9:$D$16,4),0)</f>
        <v>0.86</v>
      </c>
      <c r="E11" s="36">
        <f>D11</f>
        <v>0.86</v>
      </c>
      <c r="F11" s="31">
        <f>IF($C11&gt;0,VLOOKUP($C11,'Projeto Temático'!$A$9:$D$16,3),0)*O11</f>
        <v>1</v>
      </c>
      <c r="G11" s="32">
        <v>4</v>
      </c>
      <c r="H11" s="36">
        <f>IF($G11&gt;0,VLOOKUP($G11,'Projeto Temático'!$A$20:$D$27,4),0)</f>
        <v>0.91</v>
      </c>
      <c r="I11" s="82">
        <f>H11*5*0.19</f>
        <v>0.86449999999999994</v>
      </c>
      <c r="J11" s="59">
        <f>IF($G11&gt;0,VLOOKUP($G11,'Projeto Temático'!$A$20:$D$27,3),0)*S11</f>
        <v>0.9</v>
      </c>
      <c r="K11" s="72">
        <v>1</v>
      </c>
      <c r="L11" s="72">
        <v>1</v>
      </c>
      <c r="M11" s="72">
        <v>1</v>
      </c>
      <c r="N11" s="72">
        <v>1</v>
      </c>
      <c r="O11" s="72">
        <v>1</v>
      </c>
      <c r="P11" s="72">
        <v>1</v>
      </c>
      <c r="Q11" s="72">
        <v>1</v>
      </c>
      <c r="R11" s="72">
        <v>1</v>
      </c>
      <c r="S11" s="72">
        <v>1</v>
      </c>
      <c r="T11" s="72">
        <v>1</v>
      </c>
      <c r="U11" s="72">
        <v>1</v>
      </c>
      <c r="V11" s="72">
        <v>1</v>
      </c>
      <c r="W11" s="72">
        <v>1</v>
      </c>
      <c r="X11" s="73">
        <v>1</v>
      </c>
      <c r="Y11" s="71"/>
      <c r="Z11" s="33">
        <f t="shared" si="0"/>
        <v>0.95</v>
      </c>
      <c r="AA11" s="71">
        <v>1</v>
      </c>
      <c r="AB11" s="71">
        <v>1</v>
      </c>
      <c r="AC11" s="33">
        <f>((E11+I11)/2)*IF(W11=0,0,X11)*V11*'Projeto Temático'!$B$32*AB11</f>
        <v>0.86224999999999996</v>
      </c>
      <c r="AD11" s="90">
        <f t="shared" si="1"/>
        <v>8.191374999999999</v>
      </c>
      <c r="AE11" s="34">
        <f t="shared" si="2"/>
        <v>1</v>
      </c>
    </row>
    <row r="12" spans="1:31" s="35" customFormat="1" ht="15" customHeight="1" x14ac:dyDescent="0.3">
      <c r="A12" s="30">
        <v>5</v>
      </c>
      <c r="B12" s="87" t="s">
        <v>51</v>
      </c>
      <c r="C12" s="32">
        <v>5</v>
      </c>
      <c r="D12" s="36">
        <f>IF($C12&gt;0,VLOOKUP($C12,'Projeto Temático'!$A$9:$D$16,4),0)</f>
        <v>0.86</v>
      </c>
      <c r="E12" s="36">
        <f>D12*6*0.1</f>
        <v>0.51600000000000001</v>
      </c>
      <c r="F12" s="31">
        <f>IF($C12&gt;0,VLOOKUP($C12,'Projeto Temático'!$A$9:$D$16,3),0)*O12</f>
        <v>1</v>
      </c>
      <c r="G12" s="32">
        <v>5</v>
      </c>
      <c r="H12" s="36">
        <f>IF($G12&gt;0,VLOOKUP($G12,'Projeto Temático'!$A$20:$D$27,4),0)</f>
        <v>0.6</v>
      </c>
      <c r="I12" s="82">
        <f>H12*6*0.17</f>
        <v>0.61199999999999999</v>
      </c>
      <c r="J12" s="59">
        <f>IF($G12&gt;0,VLOOKUP($G12,'Projeto Temático'!$A$20:$D$27,3),0)*S12</f>
        <v>1</v>
      </c>
      <c r="K12" s="72">
        <v>1</v>
      </c>
      <c r="L12" s="72">
        <v>1</v>
      </c>
      <c r="M12" s="72">
        <v>1</v>
      </c>
      <c r="N12" s="72">
        <v>1</v>
      </c>
      <c r="O12" s="72">
        <v>1</v>
      </c>
      <c r="P12" s="72">
        <v>1</v>
      </c>
      <c r="Q12" s="72">
        <v>1</v>
      </c>
      <c r="R12" s="72">
        <v>1</v>
      </c>
      <c r="S12" s="72">
        <v>1</v>
      </c>
      <c r="T12" s="72">
        <v>1</v>
      </c>
      <c r="U12" s="72">
        <v>1</v>
      </c>
      <c r="V12" s="72">
        <v>1</v>
      </c>
      <c r="W12" s="72">
        <v>1</v>
      </c>
      <c r="X12" s="73">
        <v>1</v>
      </c>
      <c r="Y12" s="71">
        <v>0.03</v>
      </c>
      <c r="Z12" s="33">
        <f t="shared" si="0"/>
        <v>1</v>
      </c>
      <c r="AA12" s="71">
        <v>1</v>
      </c>
      <c r="AB12" s="71">
        <v>1</v>
      </c>
      <c r="AC12" s="33">
        <f>((E12+I12)/2)*IF(W12=0,0,X12)*V12*'Projeto Temático'!$B$32*AB12</f>
        <v>0.56400000000000006</v>
      </c>
      <c r="AD12" s="90">
        <f t="shared" si="1"/>
        <v>5.8092000000000006</v>
      </c>
      <c r="AE12" s="34">
        <f t="shared" si="2"/>
        <v>1</v>
      </c>
    </row>
    <row r="13" spans="1:31" ht="15" customHeight="1" x14ac:dyDescent="0.3">
      <c r="A13" s="30">
        <v>6</v>
      </c>
      <c r="B13" s="87" t="s">
        <v>52</v>
      </c>
      <c r="C13" s="32">
        <v>6</v>
      </c>
      <c r="D13" s="36">
        <f>IF($C13&gt;0,VLOOKUP($C13,'Projeto Temático'!$A$9:$D$16,4),0)</f>
        <v>0.81</v>
      </c>
      <c r="E13" s="36">
        <f>D13*5*0.2</f>
        <v>0.81000000000000016</v>
      </c>
      <c r="F13" s="31">
        <f>IF($C13&gt;0,VLOOKUP($C13,'Projeto Temático'!$A$9:$D$16,3),0)*O13</f>
        <v>1</v>
      </c>
      <c r="G13" s="32">
        <v>6</v>
      </c>
      <c r="H13" s="36">
        <f>IF($G13&gt;0,VLOOKUP($G13,'Projeto Temático'!$A$20:$D$27,4),0)</f>
        <v>0.82</v>
      </c>
      <c r="I13" s="82">
        <f>H13*5*0.19</f>
        <v>0.77899999999999991</v>
      </c>
      <c r="J13" s="59">
        <f>IF($G13&gt;0,VLOOKUP($G13,'Projeto Temático'!$A$20:$D$27,3),0)*S13</f>
        <v>0.9</v>
      </c>
      <c r="K13" s="72">
        <v>1</v>
      </c>
      <c r="L13" s="72">
        <v>1</v>
      </c>
      <c r="M13" s="72">
        <v>1</v>
      </c>
      <c r="N13" s="72">
        <v>1</v>
      </c>
      <c r="O13" s="72">
        <v>1</v>
      </c>
      <c r="P13" s="72">
        <v>1</v>
      </c>
      <c r="Q13" s="72">
        <v>1</v>
      </c>
      <c r="R13" s="72">
        <v>1</v>
      </c>
      <c r="S13" s="72">
        <v>1</v>
      </c>
      <c r="T13" s="72">
        <v>1</v>
      </c>
      <c r="U13" s="72">
        <v>1</v>
      </c>
      <c r="V13" s="72">
        <v>1</v>
      </c>
      <c r="W13" s="72">
        <v>1</v>
      </c>
      <c r="X13" s="73">
        <v>1</v>
      </c>
      <c r="Y13" s="71">
        <v>0.1</v>
      </c>
      <c r="Z13" s="33">
        <f t="shared" si="0"/>
        <v>0.95</v>
      </c>
      <c r="AA13" s="71">
        <v>1</v>
      </c>
      <c r="AB13" s="71">
        <v>1</v>
      </c>
      <c r="AC13" s="33">
        <f>((E13+I13)/2)*IF(W13=0,0,X13)*V13*'Projeto Temático'!$B$32*AB13</f>
        <v>0.79449999999999998</v>
      </c>
      <c r="AD13" s="90">
        <f t="shared" si="1"/>
        <v>8.3422499999999999</v>
      </c>
      <c r="AE13" s="34">
        <f t="shared" si="2"/>
        <v>1</v>
      </c>
    </row>
    <row r="14" spans="1:31" s="18" customFormat="1" ht="15" customHeight="1" x14ac:dyDescent="0.3">
      <c r="A14" s="30">
        <v>7</v>
      </c>
      <c r="B14" s="87" t="s">
        <v>53</v>
      </c>
      <c r="C14" s="32">
        <v>7</v>
      </c>
      <c r="D14" s="36">
        <f>IF($C14&gt;0,VLOOKUP($C14,'Projeto Temático'!$A$9:$D$16,4),0)</f>
        <v>0.81</v>
      </c>
      <c r="E14" s="36">
        <f>D14*5*0.201</f>
        <v>0.81405000000000016</v>
      </c>
      <c r="F14" s="31">
        <f>IF($C14&gt;0,VLOOKUP($C14,'Projeto Temático'!$A$9:$D$16,3),0)*O14</f>
        <v>1</v>
      </c>
      <c r="G14" s="32">
        <v>7</v>
      </c>
      <c r="H14" s="36">
        <f>IF($G14&gt;0,VLOOKUP($G14,'Projeto Temático'!$A$20:$D$27,4),0)</f>
        <v>0.72</v>
      </c>
      <c r="I14" s="36">
        <f>H14</f>
        <v>0.72</v>
      </c>
      <c r="J14" s="59">
        <f>IF($G14&gt;0,VLOOKUP($G14,'Projeto Temático'!$A$20:$D$27,3),0)*S14</f>
        <v>0.9</v>
      </c>
      <c r="K14" s="72">
        <v>1</v>
      </c>
      <c r="L14" s="72">
        <v>1</v>
      </c>
      <c r="M14" s="72">
        <v>1</v>
      </c>
      <c r="N14" s="72">
        <v>1</v>
      </c>
      <c r="O14" s="72">
        <v>1</v>
      </c>
      <c r="P14" s="72">
        <v>1</v>
      </c>
      <c r="Q14" s="72">
        <v>1</v>
      </c>
      <c r="R14" s="72">
        <v>1</v>
      </c>
      <c r="S14" s="72">
        <v>1</v>
      </c>
      <c r="T14" s="72">
        <v>1</v>
      </c>
      <c r="U14" s="72">
        <v>1</v>
      </c>
      <c r="V14" s="72">
        <v>1</v>
      </c>
      <c r="W14" s="72">
        <v>1</v>
      </c>
      <c r="X14" s="73">
        <v>1</v>
      </c>
      <c r="Y14" s="71"/>
      <c r="Z14" s="33">
        <f t="shared" si="0"/>
        <v>0.95</v>
      </c>
      <c r="AA14" s="71">
        <v>1</v>
      </c>
      <c r="AB14" s="71">
        <v>1</v>
      </c>
      <c r="AC14" s="33">
        <f>((E14+I14)/2)*IF(W14=0,0,X14)*V14*'Projeto Temático'!$B$32*AB14</f>
        <v>0.76702500000000007</v>
      </c>
      <c r="AD14" s="90">
        <f t="shared" si="1"/>
        <v>7.286737500000001</v>
      </c>
      <c r="AE14" s="34">
        <f t="shared" si="2"/>
        <v>1</v>
      </c>
    </row>
    <row r="15" spans="1:31" ht="15" customHeight="1" x14ac:dyDescent="0.3">
      <c r="A15" s="30">
        <v>8</v>
      </c>
      <c r="B15" s="86" t="s">
        <v>54</v>
      </c>
      <c r="C15" s="32">
        <v>8</v>
      </c>
      <c r="D15" s="36">
        <f>IF($C15&gt;0,VLOOKUP($C15,'Projeto Temático'!$A$9:$D$16,4),0)</f>
        <v>0.56999999999999995</v>
      </c>
      <c r="E15" s="36">
        <f>D15*5*0.22</f>
        <v>0.62699999999999989</v>
      </c>
      <c r="F15" s="31">
        <f>IF($C15&gt;0,VLOOKUP($C15,'Projeto Temático'!$A$9:$D$16,3),0)*O15</f>
        <v>0.9</v>
      </c>
      <c r="G15" s="32">
        <v>8</v>
      </c>
      <c r="H15" s="36">
        <f>IF($G15&gt;0,VLOOKUP($G15,'Projeto Temático'!$A$20:$D$27,4),0)</f>
        <v>0.52</v>
      </c>
      <c r="I15" s="82">
        <f>H15*6*0.15</f>
        <v>0.46799999999999997</v>
      </c>
      <c r="J15" s="59">
        <f>IF($G15&gt;0,VLOOKUP($G15,'Projeto Temático'!$A$20:$D$27,3),0)*S15</f>
        <v>1</v>
      </c>
      <c r="K15" s="72">
        <v>1</v>
      </c>
      <c r="L15" s="72">
        <v>1</v>
      </c>
      <c r="M15" s="72">
        <v>1</v>
      </c>
      <c r="N15" s="72">
        <v>1</v>
      </c>
      <c r="O15" s="72">
        <v>1</v>
      </c>
      <c r="P15" s="72">
        <v>1</v>
      </c>
      <c r="Q15" s="72">
        <v>1</v>
      </c>
      <c r="R15" s="72">
        <v>1</v>
      </c>
      <c r="S15" s="72">
        <v>1</v>
      </c>
      <c r="T15" s="72">
        <v>1</v>
      </c>
      <c r="U15" s="72">
        <v>1</v>
      </c>
      <c r="V15" s="72">
        <v>1</v>
      </c>
      <c r="W15" s="72">
        <v>1</v>
      </c>
      <c r="X15" s="73">
        <v>1</v>
      </c>
      <c r="Y15" s="71">
        <v>7.0000000000000007E-2</v>
      </c>
      <c r="Z15" s="33">
        <f t="shared" si="0"/>
        <v>0.95</v>
      </c>
      <c r="AA15" s="71">
        <v>1</v>
      </c>
      <c r="AB15" s="71">
        <v>1</v>
      </c>
      <c r="AC15" s="33">
        <f>((E15+I15)/2)*IF(W15=0,0,X15)*V15*'Projeto Temático'!$B$32*AB15</f>
        <v>0.54749999999999988</v>
      </c>
      <c r="AD15" s="90">
        <f t="shared" si="1"/>
        <v>5.5844999999999985</v>
      </c>
      <c r="AE15" s="34">
        <f t="shared" si="2"/>
        <v>1</v>
      </c>
    </row>
    <row r="16" spans="1:31" ht="15" customHeight="1" x14ac:dyDescent="0.3">
      <c r="A16" s="30">
        <v>9</v>
      </c>
      <c r="B16" s="87" t="s">
        <v>55</v>
      </c>
      <c r="C16" s="32">
        <v>1</v>
      </c>
      <c r="D16" s="36">
        <f>IF($C16&gt;0,VLOOKUP($C16,'Projeto Temático'!$A$9:$D$16,4),0)</f>
        <v>0.56999999999999995</v>
      </c>
      <c r="E16" s="36">
        <f>(D16*5)*0.2</f>
        <v>0.56999999999999995</v>
      </c>
      <c r="F16" s="31">
        <f>IF($C16&gt;0,VLOOKUP($C16,'Projeto Temático'!$A$9:$D$16,3),0)*O16</f>
        <v>0.9</v>
      </c>
      <c r="G16" s="32">
        <v>8</v>
      </c>
      <c r="H16" s="36">
        <f>IF($G16&gt;0,VLOOKUP($G16,'Projeto Temático'!$A$20:$D$27,4),0)</f>
        <v>0.52</v>
      </c>
      <c r="I16" s="82">
        <f>H16*6*0.2</f>
        <v>0.62400000000000011</v>
      </c>
      <c r="J16" s="59">
        <f>IF($G16&gt;0,VLOOKUP($G16,'Projeto Temático'!$A$20:$D$27,3),0)*S16</f>
        <v>1</v>
      </c>
      <c r="K16" s="72">
        <v>1</v>
      </c>
      <c r="L16" s="72">
        <v>1</v>
      </c>
      <c r="M16" s="72">
        <v>1</v>
      </c>
      <c r="N16" s="72">
        <v>1</v>
      </c>
      <c r="O16" s="72">
        <v>1</v>
      </c>
      <c r="P16" s="72">
        <v>1</v>
      </c>
      <c r="Q16" s="72">
        <v>1</v>
      </c>
      <c r="R16" s="72">
        <v>1</v>
      </c>
      <c r="S16" s="72">
        <v>1</v>
      </c>
      <c r="T16" s="72">
        <v>1</v>
      </c>
      <c r="U16" s="72">
        <v>1</v>
      </c>
      <c r="V16" s="72">
        <v>1</v>
      </c>
      <c r="W16" s="72">
        <v>1</v>
      </c>
      <c r="X16" s="73">
        <v>1</v>
      </c>
      <c r="Y16" s="71"/>
      <c r="Z16" s="33">
        <f t="shared" si="0"/>
        <v>0.95</v>
      </c>
      <c r="AA16" s="71">
        <v>1</v>
      </c>
      <c r="AB16" s="71">
        <v>1</v>
      </c>
      <c r="AC16" s="33">
        <f>((E16+I16)/2)*IF(W16=0,0,X16)*V16*'Projeto Temático'!$B$32*AB16</f>
        <v>0.59699999999999998</v>
      </c>
      <c r="AD16" s="90">
        <f t="shared" si="1"/>
        <v>5.6715</v>
      </c>
      <c r="AE16" s="34">
        <f t="shared" si="2"/>
        <v>1</v>
      </c>
    </row>
    <row r="17" spans="1:42" ht="15" customHeight="1" x14ac:dyDescent="0.3">
      <c r="A17" s="30">
        <v>10</v>
      </c>
      <c r="B17" s="87" t="s">
        <v>56</v>
      </c>
      <c r="C17" s="32">
        <v>2</v>
      </c>
      <c r="D17" s="36">
        <f>IF($C17&gt;0,VLOOKUP($C17,'Projeto Temático'!$A$9:$D$16,4),0)</f>
        <v>0.86</v>
      </c>
      <c r="E17" s="36">
        <f>D17*6*0.16</f>
        <v>0.8256</v>
      </c>
      <c r="F17" s="31">
        <f>IF($C17&gt;0,VLOOKUP($C17,'Projeto Temático'!$A$9:$D$16,3),0)*O17</f>
        <v>0.9</v>
      </c>
      <c r="G17" s="32">
        <v>1</v>
      </c>
      <c r="H17" s="36">
        <f>IF($G17&gt;0,VLOOKUP($G17,'Projeto Temático'!$A$20:$D$27,4),0)</f>
        <v>0.89</v>
      </c>
      <c r="I17" s="82">
        <f>H17*6*0.15</f>
        <v>0.80099999999999993</v>
      </c>
      <c r="J17" s="59">
        <f>IF($G17&gt;0,VLOOKUP($G17,'Projeto Temático'!$A$20:$D$27,3),0)*S17</f>
        <v>0.9</v>
      </c>
      <c r="K17" s="72">
        <v>0</v>
      </c>
      <c r="L17" s="72">
        <v>1</v>
      </c>
      <c r="M17" s="72">
        <v>1</v>
      </c>
      <c r="N17" s="72">
        <v>1</v>
      </c>
      <c r="O17" s="72">
        <v>1</v>
      </c>
      <c r="P17" s="72">
        <v>1</v>
      </c>
      <c r="Q17" s="72">
        <v>1</v>
      </c>
      <c r="R17" s="72">
        <v>1</v>
      </c>
      <c r="S17" s="72">
        <v>1</v>
      </c>
      <c r="T17" s="72">
        <v>1</v>
      </c>
      <c r="U17" s="72">
        <v>1</v>
      </c>
      <c r="V17" s="72">
        <v>1</v>
      </c>
      <c r="W17" s="72">
        <v>1</v>
      </c>
      <c r="X17" s="73">
        <v>1</v>
      </c>
      <c r="Y17" s="71">
        <v>7.0000000000000007E-2</v>
      </c>
      <c r="Z17" s="33">
        <f t="shared" si="0"/>
        <v>0.9</v>
      </c>
      <c r="AA17" s="71">
        <v>1</v>
      </c>
      <c r="AB17" s="71">
        <v>1</v>
      </c>
      <c r="AC17" s="33">
        <f>((E17+I17)/2)*IF(W17=0,0,X17)*V17*'Projeto Temático'!$B$32*AB17</f>
        <v>0.81329999999999991</v>
      </c>
      <c r="AD17" s="90">
        <f t="shared" si="1"/>
        <v>7.889009999999999</v>
      </c>
      <c r="AE17" s="34">
        <f t="shared" si="2"/>
        <v>0.92307692307692313</v>
      </c>
    </row>
    <row r="18" spans="1:42" ht="15" customHeight="1" x14ac:dyDescent="0.3">
      <c r="A18" s="30">
        <v>11</v>
      </c>
      <c r="B18" s="87" t="s">
        <v>57</v>
      </c>
      <c r="C18" s="32">
        <v>3</v>
      </c>
      <c r="D18" s="36">
        <f>IF($C18&gt;0,VLOOKUP($C18,'Projeto Temático'!$A$9:$D$16,4),0)</f>
        <v>0.67</v>
      </c>
      <c r="E18" s="36">
        <f>D18*6*0.14</f>
        <v>0.56280000000000008</v>
      </c>
      <c r="F18" s="31">
        <f>IF($C18&gt;0,VLOOKUP($C18,'Projeto Temático'!$A$9:$D$16,3),0)*O18</f>
        <v>0.9</v>
      </c>
      <c r="G18" s="32">
        <v>2</v>
      </c>
      <c r="H18" s="36">
        <f>IF($G18&gt;0,VLOOKUP($G18,'Projeto Temático'!$A$20:$D$27,4),0)</f>
        <v>0.79</v>
      </c>
      <c r="I18" s="82">
        <f>H18*5*0.2</f>
        <v>0.79</v>
      </c>
      <c r="J18" s="59">
        <f>IF($G18&gt;0,VLOOKUP($G18,'Projeto Temático'!$A$20:$D$27,3),0)*S18</f>
        <v>1</v>
      </c>
      <c r="K18" s="72">
        <v>1</v>
      </c>
      <c r="L18" s="72">
        <v>1</v>
      </c>
      <c r="M18" s="72">
        <v>1</v>
      </c>
      <c r="N18" s="72">
        <v>1</v>
      </c>
      <c r="O18" s="72">
        <v>1</v>
      </c>
      <c r="P18" s="72">
        <v>1</v>
      </c>
      <c r="Q18" s="72">
        <v>1</v>
      </c>
      <c r="R18" s="72">
        <v>1</v>
      </c>
      <c r="S18" s="72">
        <v>1</v>
      </c>
      <c r="T18" s="72">
        <v>1</v>
      </c>
      <c r="U18" s="72">
        <v>1</v>
      </c>
      <c r="V18" s="72">
        <v>1</v>
      </c>
      <c r="W18" s="72">
        <v>1</v>
      </c>
      <c r="X18" s="73">
        <v>1</v>
      </c>
      <c r="Y18" s="71"/>
      <c r="Z18" s="33">
        <f t="shared" si="0"/>
        <v>0.95</v>
      </c>
      <c r="AA18" s="71">
        <v>1</v>
      </c>
      <c r="AB18" s="71">
        <v>1</v>
      </c>
      <c r="AC18" s="33">
        <f>((E18+I18)/2)*IF(W18=0,0,X18)*V18*'Projeto Temático'!$B$32*AB18</f>
        <v>0.67640000000000011</v>
      </c>
      <c r="AD18" s="90">
        <f t="shared" si="1"/>
        <v>6.4258000000000006</v>
      </c>
      <c r="AE18" s="34">
        <f t="shared" si="2"/>
        <v>1</v>
      </c>
    </row>
    <row r="19" spans="1:42" s="18" customFormat="1" ht="15" customHeight="1" x14ac:dyDescent="0.3">
      <c r="A19" s="30">
        <v>12</v>
      </c>
      <c r="B19" s="87" t="s">
        <v>58</v>
      </c>
      <c r="C19" s="32">
        <v>4</v>
      </c>
      <c r="D19" s="36">
        <f>IF($C19&gt;0,VLOOKUP($C19,'Projeto Temático'!$A$9:$D$16,4),0)</f>
        <v>0.86</v>
      </c>
      <c r="E19" s="36">
        <f>D19</f>
        <v>0.86</v>
      </c>
      <c r="F19" s="31">
        <f>IF($C19&gt;0,VLOOKUP($C19,'Projeto Temático'!$A$9:$D$16,3),0)*O19</f>
        <v>1</v>
      </c>
      <c r="G19" s="32">
        <v>3</v>
      </c>
      <c r="H19" s="36">
        <f>IF($G19&gt;0,VLOOKUP($G19,'Projeto Temático'!$A$20:$D$27,4),0)</f>
        <v>0.75</v>
      </c>
      <c r="I19" s="82">
        <f>H19*5*0.2</f>
        <v>0.75</v>
      </c>
      <c r="J19" s="59">
        <f>IF($G19&gt;0,VLOOKUP($G19,'Projeto Temático'!$A$20:$D$27,3),0)*S19</f>
        <v>1</v>
      </c>
      <c r="K19" s="72">
        <v>1</v>
      </c>
      <c r="L19" s="72">
        <v>1</v>
      </c>
      <c r="M19" s="72">
        <v>1</v>
      </c>
      <c r="N19" s="72">
        <v>1</v>
      </c>
      <c r="O19" s="72">
        <v>1</v>
      </c>
      <c r="P19" s="72">
        <v>1</v>
      </c>
      <c r="Q19" s="72">
        <v>1</v>
      </c>
      <c r="R19" s="72">
        <v>1</v>
      </c>
      <c r="S19" s="72">
        <v>1</v>
      </c>
      <c r="T19" s="72">
        <v>1</v>
      </c>
      <c r="U19" s="72">
        <v>1</v>
      </c>
      <c r="V19" s="72">
        <v>1</v>
      </c>
      <c r="W19" s="72">
        <v>1</v>
      </c>
      <c r="X19" s="73">
        <v>1</v>
      </c>
      <c r="Y19" s="71">
        <v>0.03</v>
      </c>
      <c r="Z19" s="33">
        <f t="shared" si="0"/>
        <v>1</v>
      </c>
      <c r="AA19" s="71">
        <v>1</v>
      </c>
      <c r="AB19" s="71">
        <v>1</v>
      </c>
      <c r="AC19" s="33">
        <f>((E19+I19)/2)*IF(W19=0,0,X19)*V19*'Projeto Temático'!$B$32*AB19</f>
        <v>0.80499999999999994</v>
      </c>
      <c r="AD19" s="90">
        <f t="shared" si="1"/>
        <v>8.2914999999999992</v>
      </c>
      <c r="AE19" s="34">
        <f t="shared" si="2"/>
        <v>1</v>
      </c>
    </row>
    <row r="20" spans="1:42" ht="15" customHeight="1" x14ac:dyDescent="0.3">
      <c r="A20" s="30">
        <v>13</v>
      </c>
      <c r="B20" s="89" t="s">
        <v>59</v>
      </c>
      <c r="C20" s="32">
        <v>5</v>
      </c>
      <c r="D20" s="36">
        <f>IF($C20&gt;0,VLOOKUP($C20,'Projeto Temático'!$A$9:$D$16,4),0)</f>
        <v>0.86</v>
      </c>
      <c r="E20" s="36">
        <f>D20*6*0.23</f>
        <v>1.1868000000000001</v>
      </c>
      <c r="F20" s="31">
        <f>IF($C20&gt;0,VLOOKUP($C20,'Projeto Temático'!$A$9:$D$16,3),0)*O20</f>
        <v>1</v>
      </c>
      <c r="G20" s="32">
        <v>4</v>
      </c>
      <c r="H20" s="36">
        <f>IF($G20&gt;0,VLOOKUP($G20,'Projeto Temático'!$A$20:$D$27,4),0)</f>
        <v>0.91</v>
      </c>
      <c r="I20" s="82">
        <f>H20*5*0.28</f>
        <v>1.274</v>
      </c>
      <c r="J20" s="59">
        <f>IF($G20&gt;0,VLOOKUP($G20,'Projeto Temático'!$A$20:$D$27,3),0)*S20</f>
        <v>0.9</v>
      </c>
      <c r="K20" s="72">
        <v>1</v>
      </c>
      <c r="L20" s="72">
        <v>1</v>
      </c>
      <c r="M20" s="72">
        <v>1</v>
      </c>
      <c r="N20" s="72">
        <v>1</v>
      </c>
      <c r="O20" s="72">
        <v>1</v>
      </c>
      <c r="P20" s="72">
        <v>1</v>
      </c>
      <c r="Q20" s="72">
        <v>1</v>
      </c>
      <c r="R20" s="72">
        <v>1</v>
      </c>
      <c r="S20" s="72">
        <v>1</v>
      </c>
      <c r="T20" s="72">
        <v>1</v>
      </c>
      <c r="U20" s="72">
        <v>1</v>
      </c>
      <c r="V20" s="72">
        <v>1</v>
      </c>
      <c r="W20" s="72">
        <v>1</v>
      </c>
      <c r="X20" s="73">
        <v>1</v>
      </c>
      <c r="Y20" s="71">
        <v>0.1</v>
      </c>
      <c r="Z20" s="33">
        <f t="shared" si="0"/>
        <v>0.95</v>
      </c>
      <c r="AA20" s="71">
        <v>1</v>
      </c>
      <c r="AB20" s="71">
        <v>1</v>
      </c>
      <c r="AC20" s="33">
        <f>((E20+I20)/2)*IF(W20=0,0,X20)*V20*'Projeto Temático'!$B$32*AB20</f>
        <v>1.2303999999999999</v>
      </c>
      <c r="AD20" s="90">
        <f>MIN(10*(Z20*IF(AB20=0,0,AA20)+Y20)*AC20,10)</f>
        <v>10</v>
      </c>
      <c r="AE20" s="34">
        <f t="shared" si="2"/>
        <v>1</v>
      </c>
    </row>
    <row r="21" spans="1:42" ht="15" customHeight="1" x14ac:dyDescent="0.3">
      <c r="A21" s="30">
        <v>14</v>
      </c>
      <c r="B21" s="87" t="s">
        <v>60</v>
      </c>
      <c r="C21" s="32">
        <v>6</v>
      </c>
      <c r="D21" s="36">
        <f>IF($C21&gt;0,VLOOKUP($C21,'Projeto Temático'!$A$9:$D$16,4),0)</f>
        <v>0.81</v>
      </c>
      <c r="E21" s="36">
        <f>D21*5*0.205</f>
        <v>0.83025000000000004</v>
      </c>
      <c r="F21" s="31">
        <f>IF($C21&gt;0,VLOOKUP($C21,'Projeto Temático'!$A$9:$D$16,3),0)*O21</f>
        <v>1</v>
      </c>
      <c r="G21" s="32">
        <v>5</v>
      </c>
      <c r="H21" s="36">
        <f>IF($G21&gt;0,VLOOKUP($G21,'Projeto Temático'!$A$20:$D$27,4),0)</f>
        <v>0.6</v>
      </c>
      <c r="I21" s="82">
        <f>H21*6*0.17</f>
        <v>0.61199999999999999</v>
      </c>
      <c r="J21" s="59">
        <f>IF($G21&gt;0,VLOOKUP($G21,'Projeto Temático'!$A$20:$D$27,3),0)*S21</f>
        <v>1</v>
      </c>
      <c r="K21" s="72">
        <v>1</v>
      </c>
      <c r="L21" s="72">
        <v>1</v>
      </c>
      <c r="M21" s="72">
        <v>1</v>
      </c>
      <c r="N21" s="72">
        <v>1</v>
      </c>
      <c r="O21" s="72">
        <v>1</v>
      </c>
      <c r="P21" s="72">
        <v>1</v>
      </c>
      <c r="Q21" s="72">
        <v>1</v>
      </c>
      <c r="R21" s="72">
        <v>1</v>
      </c>
      <c r="S21" s="72">
        <v>1</v>
      </c>
      <c r="T21" s="72">
        <v>1</v>
      </c>
      <c r="U21" s="72">
        <v>1</v>
      </c>
      <c r="V21" s="72">
        <v>1</v>
      </c>
      <c r="W21" s="72">
        <v>1</v>
      </c>
      <c r="X21" s="73">
        <v>1</v>
      </c>
      <c r="Y21" s="71">
        <v>7.0000000000000007E-2</v>
      </c>
      <c r="Z21" s="33">
        <f t="shared" si="0"/>
        <v>1</v>
      </c>
      <c r="AA21" s="71">
        <v>1</v>
      </c>
      <c r="AB21" s="71">
        <v>1</v>
      </c>
      <c r="AC21" s="33">
        <f>((E21+I21)/2)*IF(W21=0,0,X21)*V21*'Projeto Temático'!$B$32*AB21</f>
        <v>0.72112500000000002</v>
      </c>
      <c r="AD21" s="90">
        <f t="shared" si="1"/>
        <v>7.7160375000000005</v>
      </c>
      <c r="AE21" s="34">
        <f t="shared" si="2"/>
        <v>1</v>
      </c>
    </row>
    <row r="22" spans="1:42" s="18" customFormat="1" ht="15" customHeight="1" x14ac:dyDescent="0.3">
      <c r="A22" s="30">
        <v>15</v>
      </c>
      <c r="B22" s="87" t="s">
        <v>61</v>
      </c>
      <c r="C22" s="32">
        <v>7</v>
      </c>
      <c r="D22" s="36">
        <f>IF($C22&gt;0,VLOOKUP($C22,'Projeto Temático'!$A$9:$D$16,4),0)</f>
        <v>0.81</v>
      </c>
      <c r="E22" s="36">
        <f>D22*5*0.198</f>
        <v>0.80190000000000017</v>
      </c>
      <c r="F22" s="31">
        <f>IF($C22&gt;0,VLOOKUP($C22,'Projeto Temático'!$A$9:$D$16,3),0)*O22</f>
        <v>1</v>
      </c>
      <c r="G22" s="32">
        <v>6</v>
      </c>
      <c r="H22" s="36">
        <f>IF($G22&gt;0,VLOOKUP($G22,'Projeto Temático'!$A$20:$D$27,4),0)</f>
        <v>0.82</v>
      </c>
      <c r="I22" s="82">
        <f>H22*5*0.2</f>
        <v>0.82</v>
      </c>
      <c r="J22" s="59">
        <f>IF($G22&gt;0,VLOOKUP($G22,'Projeto Temático'!$A$20:$D$27,3),0)*S22</f>
        <v>0.9</v>
      </c>
      <c r="K22" s="72">
        <v>1</v>
      </c>
      <c r="L22" s="72">
        <v>1</v>
      </c>
      <c r="M22" s="72">
        <v>1</v>
      </c>
      <c r="N22" s="72">
        <v>1</v>
      </c>
      <c r="O22" s="72">
        <v>1</v>
      </c>
      <c r="P22" s="72">
        <v>1</v>
      </c>
      <c r="Q22" s="72">
        <v>1</v>
      </c>
      <c r="R22" s="72">
        <v>1</v>
      </c>
      <c r="S22" s="72">
        <v>1</v>
      </c>
      <c r="T22" s="72">
        <v>1</v>
      </c>
      <c r="U22" s="72">
        <v>1</v>
      </c>
      <c r="V22" s="72">
        <v>1</v>
      </c>
      <c r="W22" s="72">
        <v>1</v>
      </c>
      <c r="X22" s="73">
        <v>1</v>
      </c>
      <c r="Y22" s="71">
        <v>0.03</v>
      </c>
      <c r="Z22" s="33">
        <f t="shared" si="0"/>
        <v>0.95</v>
      </c>
      <c r="AA22" s="71">
        <v>1</v>
      </c>
      <c r="AB22" s="71">
        <v>1</v>
      </c>
      <c r="AC22" s="33">
        <f>((E22+I22)/2)*IF(W22=0,0,X22)*V22*'Projeto Temático'!$B$32*AB22</f>
        <v>0.81095000000000006</v>
      </c>
      <c r="AD22" s="90">
        <f t="shared" si="1"/>
        <v>7.9473100000000008</v>
      </c>
      <c r="AE22" s="34">
        <f t="shared" si="2"/>
        <v>1</v>
      </c>
    </row>
    <row r="23" spans="1:42" s="18" customFormat="1" ht="15" customHeight="1" x14ac:dyDescent="0.3">
      <c r="A23" s="30">
        <v>16</v>
      </c>
      <c r="B23" s="86" t="s">
        <v>62</v>
      </c>
      <c r="C23" s="32">
        <v>8</v>
      </c>
      <c r="D23" s="36">
        <f>IF($C23&gt;0,VLOOKUP($C23,'Projeto Temático'!$A$9:$D$16,4),0)</f>
        <v>0.56999999999999995</v>
      </c>
      <c r="E23" s="36">
        <f>D23*5*0.22</f>
        <v>0.62699999999999989</v>
      </c>
      <c r="F23" s="31">
        <f>IF($C23&gt;0,VLOOKUP($C23,'Projeto Temático'!$A$9:$D$16,3),0)*O23</f>
        <v>0.9</v>
      </c>
      <c r="G23" s="32">
        <v>7</v>
      </c>
      <c r="H23" s="36">
        <f>IF($G23&gt;0,VLOOKUP($G23,'Projeto Temático'!$A$20:$D$27,4),0)</f>
        <v>0.72</v>
      </c>
      <c r="I23" s="82">
        <f>H23</f>
        <v>0.72</v>
      </c>
      <c r="J23" s="59">
        <f>IF($G23&gt;0,VLOOKUP($G23,'Projeto Temático'!$A$20:$D$27,3),0)*S23</f>
        <v>0.9</v>
      </c>
      <c r="K23" s="72">
        <v>1</v>
      </c>
      <c r="L23" s="72">
        <v>1</v>
      </c>
      <c r="M23" s="72">
        <v>1</v>
      </c>
      <c r="N23" s="72">
        <v>1</v>
      </c>
      <c r="O23" s="72">
        <v>1</v>
      </c>
      <c r="P23" s="72">
        <v>1</v>
      </c>
      <c r="Q23" s="72">
        <v>1</v>
      </c>
      <c r="R23" s="72">
        <v>1</v>
      </c>
      <c r="S23" s="72">
        <v>1</v>
      </c>
      <c r="T23" s="72">
        <v>1</v>
      </c>
      <c r="U23" s="72">
        <v>1</v>
      </c>
      <c r="V23" s="72">
        <v>1</v>
      </c>
      <c r="W23" s="72">
        <v>1</v>
      </c>
      <c r="X23" s="73">
        <v>1</v>
      </c>
      <c r="Y23" s="71"/>
      <c r="Z23" s="33">
        <f t="shared" si="0"/>
        <v>0.9</v>
      </c>
      <c r="AA23" s="71">
        <v>1</v>
      </c>
      <c r="AB23" s="71">
        <v>1</v>
      </c>
      <c r="AC23" s="33">
        <f>((E23+I23)/2)*IF(W23=0,0,X23)*V23*'Projeto Temático'!$B$32*AB23</f>
        <v>0.67349999999999999</v>
      </c>
      <c r="AD23" s="90">
        <f t="shared" si="1"/>
        <v>6.0614999999999997</v>
      </c>
      <c r="AE23" s="34">
        <f t="shared" si="2"/>
        <v>1</v>
      </c>
    </row>
    <row r="24" spans="1:42" s="18" customFormat="1" ht="15" customHeight="1" x14ac:dyDescent="0.3">
      <c r="A24" s="30">
        <v>17</v>
      </c>
      <c r="B24" s="87" t="s">
        <v>63</v>
      </c>
      <c r="C24" s="32">
        <v>1</v>
      </c>
      <c r="D24" s="36">
        <f>IF($C24&gt;0,VLOOKUP($C24,'Projeto Temático'!$A$9:$D$16,4),0)</f>
        <v>0.56999999999999995</v>
      </c>
      <c r="E24" s="36">
        <f>(D24*5)*0.2</f>
        <v>0.56999999999999995</v>
      </c>
      <c r="F24" s="31">
        <f>IF($C24&gt;0,VLOOKUP($C24,'Projeto Temático'!$A$9:$D$16,3),0)*O24</f>
        <v>0.9</v>
      </c>
      <c r="G24" s="32">
        <v>7</v>
      </c>
      <c r="H24" s="36">
        <f>IF($G24&gt;0,VLOOKUP($G24,'Projeto Temático'!$A$20:$D$27,4),0)</f>
        <v>0.72</v>
      </c>
      <c r="I24" s="82">
        <f>H24</f>
        <v>0.72</v>
      </c>
      <c r="J24" s="59">
        <f>IF($G24&gt;0,VLOOKUP($G24,'Projeto Temático'!$A$20:$D$27,3),0)*S24</f>
        <v>0.9</v>
      </c>
      <c r="K24" s="72">
        <v>1</v>
      </c>
      <c r="L24" s="72">
        <v>1</v>
      </c>
      <c r="M24" s="72">
        <v>1</v>
      </c>
      <c r="N24" s="72">
        <v>1</v>
      </c>
      <c r="O24" s="72">
        <v>1</v>
      </c>
      <c r="P24" s="72">
        <v>1</v>
      </c>
      <c r="Q24" s="72">
        <v>1</v>
      </c>
      <c r="R24" s="72">
        <v>1</v>
      </c>
      <c r="S24" s="72">
        <v>1</v>
      </c>
      <c r="T24" s="72">
        <v>1</v>
      </c>
      <c r="U24" s="72">
        <v>1</v>
      </c>
      <c r="V24" s="72">
        <v>1</v>
      </c>
      <c r="W24" s="72">
        <v>1</v>
      </c>
      <c r="X24" s="73">
        <v>1</v>
      </c>
      <c r="Y24" s="71"/>
      <c r="Z24" s="33">
        <f t="shared" si="0"/>
        <v>0.9</v>
      </c>
      <c r="AA24" s="71">
        <v>1</v>
      </c>
      <c r="AB24" s="71">
        <v>1</v>
      </c>
      <c r="AC24" s="33">
        <f>((E24+I24)/2)*IF(W24=0,0,X24)*V24*'Projeto Temático'!$B$32*AB24</f>
        <v>0.64500000000000002</v>
      </c>
      <c r="AD24" s="90">
        <f t="shared" si="1"/>
        <v>5.8049999999999997</v>
      </c>
      <c r="AE24" s="34">
        <f t="shared" si="2"/>
        <v>1</v>
      </c>
      <c r="AK24" s="18">
        <f>22*0.1</f>
        <v>2.2000000000000002</v>
      </c>
      <c r="AL24" s="18">
        <v>3</v>
      </c>
      <c r="AN24" s="18">
        <v>4</v>
      </c>
      <c r="AP24" s="18">
        <f>AN24/AN27</f>
        <v>0.18181818181818182</v>
      </c>
    </row>
    <row r="25" spans="1:42" s="18" customFormat="1" ht="15" customHeight="1" x14ac:dyDescent="0.3">
      <c r="A25" s="30">
        <v>18</v>
      </c>
      <c r="B25" s="87" t="s">
        <v>64</v>
      </c>
      <c r="C25" s="32">
        <v>2</v>
      </c>
      <c r="D25" s="36">
        <f>IF($C25&gt;0,VLOOKUP($C25,'Projeto Temático'!$A$9:$D$16,4),0)</f>
        <v>0.86</v>
      </c>
      <c r="E25" s="36">
        <f>D25*6*0.145</f>
        <v>0.74819999999999998</v>
      </c>
      <c r="F25" s="31">
        <f>IF($C25&gt;0,VLOOKUP($C25,'Projeto Temático'!$A$9:$D$16,3),0)*O25</f>
        <v>0.9</v>
      </c>
      <c r="G25" s="32">
        <v>8</v>
      </c>
      <c r="H25" s="36">
        <f>IF($G25&gt;0,VLOOKUP($G25,'Projeto Temático'!$A$20:$D$27,4),0)</f>
        <v>0.52</v>
      </c>
      <c r="I25" s="82">
        <f>H25*6*0.14</f>
        <v>0.43680000000000008</v>
      </c>
      <c r="J25" s="59">
        <f>IF($G25&gt;0,VLOOKUP($G25,'Projeto Temático'!$A$20:$D$27,3),0)*S25</f>
        <v>1</v>
      </c>
      <c r="K25" s="72">
        <v>1</v>
      </c>
      <c r="L25" s="72">
        <v>1</v>
      </c>
      <c r="M25" s="72">
        <v>1</v>
      </c>
      <c r="N25" s="72">
        <v>1</v>
      </c>
      <c r="O25" s="72">
        <v>1</v>
      </c>
      <c r="P25" s="72">
        <v>1</v>
      </c>
      <c r="Q25" s="72">
        <v>1</v>
      </c>
      <c r="R25" s="72">
        <v>1</v>
      </c>
      <c r="S25" s="72">
        <v>1</v>
      </c>
      <c r="T25" s="72">
        <v>1</v>
      </c>
      <c r="U25" s="72">
        <v>1</v>
      </c>
      <c r="V25" s="72">
        <v>1</v>
      </c>
      <c r="W25" s="72">
        <v>1</v>
      </c>
      <c r="X25" s="73">
        <v>1</v>
      </c>
      <c r="Y25" s="71"/>
      <c r="Z25" s="33">
        <f t="shared" si="0"/>
        <v>0.95</v>
      </c>
      <c r="AA25" s="71">
        <v>1</v>
      </c>
      <c r="AB25" s="71">
        <v>1</v>
      </c>
      <c r="AC25" s="33">
        <f>((E25+I25)/2)*IF(W25=0,0,X25)*V25*'Projeto Temático'!$B$32*AB25</f>
        <v>0.59250000000000003</v>
      </c>
      <c r="AD25" s="90">
        <f t="shared" si="1"/>
        <v>5.6287500000000001</v>
      </c>
      <c r="AE25" s="34">
        <f t="shared" si="2"/>
        <v>1</v>
      </c>
      <c r="AK25" s="18">
        <f>22*0.2</f>
        <v>4.4000000000000004</v>
      </c>
      <c r="AL25" s="18">
        <v>5</v>
      </c>
      <c r="AN25" s="18">
        <v>9</v>
      </c>
      <c r="AP25" s="18">
        <f>AN25/AN27</f>
        <v>0.40909090909090912</v>
      </c>
    </row>
    <row r="26" spans="1:42" s="18" customFormat="1" ht="15" customHeight="1" x14ac:dyDescent="0.3">
      <c r="A26" s="30">
        <v>19</v>
      </c>
      <c r="B26" s="87" t="s">
        <v>65</v>
      </c>
      <c r="C26" s="32">
        <v>3</v>
      </c>
      <c r="D26" s="36">
        <f>IF($C26&gt;0,VLOOKUP($C26,'Projeto Temático'!$A$9:$D$16,4),0)</f>
        <v>0.67</v>
      </c>
      <c r="E26" s="36">
        <f>D26*6*0.14</f>
        <v>0.56280000000000008</v>
      </c>
      <c r="F26" s="31">
        <f>IF($C26&gt;0,VLOOKUP($C26,'Projeto Temático'!$A$9:$D$16,3),0)*O26</f>
        <v>0.9</v>
      </c>
      <c r="G26" s="32">
        <v>1</v>
      </c>
      <c r="H26" s="36">
        <f>IF($G26&gt;0,VLOOKUP($G26,'Projeto Temático'!$A$20:$D$27,4),0)</f>
        <v>0.89</v>
      </c>
      <c r="I26" s="82">
        <f>H26*6*0.17</f>
        <v>0.90780000000000005</v>
      </c>
      <c r="J26" s="59">
        <f>IF($G26&gt;0,VLOOKUP($G26,'Projeto Temático'!$A$20:$D$27,3),0)*S26</f>
        <v>0.9</v>
      </c>
      <c r="K26" s="72">
        <v>1</v>
      </c>
      <c r="L26" s="72">
        <v>1</v>
      </c>
      <c r="M26" s="72">
        <v>1</v>
      </c>
      <c r="N26" s="72">
        <v>1</v>
      </c>
      <c r="O26" s="72">
        <v>1</v>
      </c>
      <c r="P26" s="72">
        <v>1</v>
      </c>
      <c r="Q26" s="72">
        <v>1</v>
      </c>
      <c r="R26" s="72">
        <v>1</v>
      </c>
      <c r="S26" s="72">
        <v>1</v>
      </c>
      <c r="T26" s="72">
        <v>1</v>
      </c>
      <c r="U26" s="72">
        <v>1</v>
      </c>
      <c r="V26" s="72">
        <v>1</v>
      </c>
      <c r="W26" s="72">
        <v>1</v>
      </c>
      <c r="X26" s="73">
        <v>1</v>
      </c>
      <c r="Y26" s="71">
        <v>0.03</v>
      </c>
      <c r="Z26" s="33">
        <f t="shared" si="0"/>
        <v>0.9</v>
      </c>
      <c r="AA26" s="71">
        <v>1</v>
      </c>
      <c r="AB26" s="71">
        <v>1</v>
      </c>
      <c r="AC26" s="33">
        <f>((E26+I26)/2)*IF(W26=0,0,X26)*V26*'Projeto Temático'!$B$32*AB26</f>
        <v>0.73530000000000006</v>
      </c>
      <c r="AD26" s="90">
        <f t="shared" si="1"/>
        <v>6.8382900000000015</v>
      </c>
      <c r="AE26" s="34">
        <f t="shared" si="2"/>
        <v>1</v>
      </c>
      <c r="AK26" s="18">
        <f>22*0.2</f>
        <v>4.4000000000000004</v>
      </c>
      <c r="AL26" s="18">
        <v>5</v>
      </c>
      <c r="AN26" s="18">
        <v>9</v>
      </c>
      <c r="AP26" s="18">
        <f>AN26/AN27</f>
        <v>0.40909090909090912</v>
      </c>
    </row>
    <row r="27" spans="1:42" s="18" customFormat="1" ht="15" customHeight="1" x14ac:dyDescent="0.3">
      <c r="A27" s="30">
        <v>20</v>
      </c>
      <c r="B27" s="87" t="s">
        <v>66</v>
      </c>
      <c r="C27" s="32">
        <v>4</v>
      </c>
      <c r="D27" s="36">
        <f>IF($C27&gt;0,VLOOKUP($C27,'Projeto Temático'!$A$9:$D$16,4),0)</f>
        <v>0.86</v>
      </c>
      <c r="E27" s="36">
        <f>D27</f>
        <v>0.86</v>
      </c>
      <c r="F27" s="31">
        <f>IF($C27&gt;0,VLOOKUP($C27,'Projeto Temático'!$A$9:$D$16,3),0)*O27</f>
        <v>1</v>
      </c>
      <c r="G27" s="32">
        <v>2</v>
      </c>
      <c r="H27" s="36">
        <f>IF($G27&gt;0,VLOOKUP($G27,'Projeto Temático'!$A$20:$D$27,4),0)</f>
        <v>0.79</v>
      </c>
      <c r="I27" s="82">
        <f>H27*5*0.21</f>
        <v>0.82950000000000002</v>
      </c>
      <c r="J27" s="59">
        <f>IF($G27&gt;0,VLOOKUP($G27,'Projeto Temático'!$A$20:$D$27,3),0)*S27</f>
        <v>1</v>
      </c>
      <c r="K27" s="72">
        <v>1</v>
      </c>
      <c r="L27" s="72">
        <v>1</v>
      </c>
      <c r="M27" s="72">
        <v>1</v>
      </c>
      <c r="N27" s="72">
        <v>1</v>
      </c>
      <c r="O27" s="72">
        <v>1</v>
      </c>
      <c r="P27" s="72">
        <v>1</v>
      </c>
      <c r="Q27" s="72">
        <v>1</v>
      </c>
      <c r="R27" s="72">
        <v>1</v>
      </c>
      <c r="S27" s="72">
        <v>1</v>
      </c>
      <c r="T27" s="72">
        <v>1</v>
      </c>
      <c r="U27" s="72">
        <v>1</v>
      </c>
      <c r="V27" s="72">
        <v>1</v>
      </c>
      <c r="W27" s="72">
        <v>1</v>
      </c>
      <c r="X27" s="73">
        <v>1</v>
      </c>
      <c r="Y27" s="71">
        <v>7.0000000000000007E-2</v>
      </c>
      <c r="Z27" s="33">
        <f t="shared" si="0"/>
        <v>1</v>
      </c>
      <c r="AA27" s="71">
        <v>1</v>
      </c>
      <c r="AB27" s="71">
        <v>1</v>
      </c>
      <c r="AC27" s="33">
        <f>((E27+I27)/2)*IF(W27=0,0,X27)*V27*'Projeto Temático'!$B$32*AB27</f>
        <v>0.84475</v>
      </c>
      <c r="AD27" s="90">
        <f t="shared" si="1"/>
        <v>9.038825000000001</v>
      </c>
      <c r="AE27" s="34">
        <f t="shared" si="2"/>
        <v>1</v>
      </c>
      <c r="AN27" s="18">
        <f>SUM(AN24:AN26)</f>
        <v>22</v>
      </c>
    </row>
    <row r="28" spans="1:42" s="18" customFormat="1" ht="15" customHeight="1" x14ac:dyDescent="0.3">
      <c r="A28" s="30">
        <v>21</v>
      </c>
      <c r="B28" s="87" t="s">
        <v>67</v>
      </c>
      <c r="C28" s="32">
        <v>5</v>
      </c>
      <c r="D28" s="36">
        <f>IF($C28&gt;0,VLOOKUP($C28,'Projeto Temático'!$A$9:$D$16,4),0)</f>
        <v>0.86</v>
      </c>
      <c r="E28" s="36">
        <f>D28*6*0.14</f>
        <v>0.72240000000000004</v>
      </c>
      <c r="F28" s="31">
        <f>IF($C28&gt;0,VLOOKUP($C28,'Projeto Temático'!$A$9:$D$16,3),0)*O28</f>
        <v>1</v>
      </c>
      <c r="G28" s="32">
        <v>3</v>
      </c>
      <c r="H28" s="36">
        <f>IF($G28&gt;0,VLOOKUP($G28,'Projeto Temático'!$A$20:$D$27,4),0)</f>
        <v>0.75</v>
      </c>
      <c r="I28" s="82">
        <f>H28*5*0.19</f>
        <v>0.71250000000000002</v>
      </c>
      <c r="J28" s="59">
        <f>IF($G28&gt;0,VLOOKUP($G28,'Projeto Temático'!$A$20:$D$27,3),0)*S28</f>
        <v>1</v>
      </c>
      <c r="K28" s="72">
        <v>1</v>
      </c>
      <c r="L28" s="72">
        <v>1</v>
      </c>
      <c r="M28" s="72">
        <v>1</v>
      </c>
      <c r="N28" s="72">
        <v>1</v>
      </c>
      <c r="O28" s="72">
        <v>1</v>
      </c>
      <c r="P28" s="72">
        <v>1</v>
      </c>
      <c r="Q28" s="72">
        <v>1</v>
      </c>
      <c r="R28" s="72">
        <v>1</v>
      </c>
      <c r="S28" s="72">
        <v>1</v>
      </c>
      <c r="T28" s="72">
        <v>1</v>
      </c>
      <c r="U28" s="72">
        <v>1</v>
      </c>
      <c r="V28" s="72">
        <v>1</v>
      </c>
      <c r="W28" s="72">
        <v>1</v>
      </c>
      <c r="X28" s="73">
        <v>1</v>
      </c>
      <c r="Y28" s="71">
        <v>0.03</v>
      </c>
      <c r="Z28" s="33">
        <f t="shared" si="0"/>
        <v>1</v>
      </c>
      <c r="AA28" s="71">
        <v>1</v>
      </c>
      <c r="AB28" s="71">
        <v>1</v>
      </c>
      <c r="AC28" s="33">
        <f>((E28+I28)/2)*IF(W28=0,0,X28)*V28*'Projeto Temático'!$B$32*AB28</f>
        <v>0.71745000000000003</v>
      </c>
      <c r="AD28" s="90">
        <f t="shared" si="1"/>
        <v>7.3897350000000008</v>
      </c>
      <c r="AE28" s="34">
        <f t="shared" si="2"/>
        <v>1</v>
      </c>
      <c r="AK28" s="18">
        <f>44*0.5</f>
        <v>22</v>
      </c>
    </row>
    <row r="29" spans="1:42" s="18" customFormat="1" ht="15" customHeight="1" x14ac:dyDescent="0.3">
      <c r="A29" s="30">
        <v>22</v>
      </c>
      <c r="B29" s="87" t="s">
        <v>68</v>
      </c>
      <c r="C29" s="32">
        <v>6</v>
      </c>
      <c r="D29" s="36">
        <f>IF($C29&gt;0,VLOOKUP($C29,'Projeto Temático'!$A$9:$D$16,4),0)</f>
        <v>0.81</v>
      </c>
      <c r="E29" s="36">
        <f>D29*5*0.195</f>
        <v>0.78975000000000017</v>
      </c>
      <c r="F29" s="31">
        <f>IF($C29&gt;0,VLOOKUP($C29,'Projeto Temático'!$A$9:$D$16,3),0)*O29</f>
        <v>1</v>
      </c>
      <c r="G29" s="32">
        <v>4</v>
      </c>
      <c r="H29" s="36">
        <f>IF($G29&gt;0,VLOOKUP($G29,'Projeto Temático'!$A$20:$D$27,4),0)</f>
        <v>0.91</v>
      </c>
      <c r="I29" s="82">
        <f>H29*5*0.24</f>
        <v>1.0919999999999999</v>
      </c>
      <c r="J29" s="59">
        <f>IF($G29&gt;0,VLOOKUP($G29,'Projeto Temático'!$A$20:$D$27,3),0)*S29</f>
        <v>0.9</v>
      </c>
      <c r="K29" s="72">
        <v>0</v>
      </c>
      <c r="L29" s="72">
        <v>0</v>
      </c>
      <c r="M29" s="72">
        <v>1</v>
      </c>
      <c r="N29" s="72">
        <v>1</v>
      </c>
      <c r="O29" s="72">
        <v>1</v>
      </c>
      <c r="P29" s="72">
        <v>1</v>
      </c>
      <c r="Q29" s="72">
        <v>1</v>
      </c>
      <c r="R29" s="72">
        <v>1</v>
      </c>
      <c r="S29" s="72">
        <v>1</v>
      </c>
      <c r="T29" s="72">
        <v>1</v>
      </c>
      <c r="U29" s="72">
        <v>1</v>
      </c>
      <c r="V29" s="72">
        <v>1</v>
      </c>
      <c r="W29" s="72">
        <v>1</v>
      </c>
      <c r="X29" s="73">
        <v>1</v>
      </c>
      <c r="Y29" s="71"/>
      <c r="Z29" s="33">
        <f t="shared" si="0"/>
        <v>0.95</v>
      </c>
      <c r="AA29" s="71">
        <v>1</v>
      </c>
      <c r="AB29" s="71">
        <v>1</v>
      </c>
      <c r="AC29" s="33">
        <f>((E29+I29)/2)*IF(W29=0,0,X29)*V29*'Projeto Temático'!$B$32*AB29</f>
        <v>0.94087500000000002</v>
      </c>
      <c r="AD29" s="90">
        <f t="shared" si="1"/>
        <v>8.9383125000000003</v>
      </c>
      <c r="AE29" s="34">
        <f t="shared" si="2"/>
        <v>0.84615384615384615</v>
      </c>
    </row>
    <row r="30" spans="1:42" s="18" customFormat="1" ht="15" customHeight="1" x14ac:dyDescent="0.3">
      <c r="A30" s="30">
        <v>23</v>
      </c>
      <c r="B30" s="87" t="s">
        <v>69</v>
      </c>
      <c r="C30" s="32">
        <v>7</v>
      </c>
      <c r="D30" s="36">
        <f>IF($C30&gt;0,VLOOKUP($C30,'Projeto Temático'!$A$9:$D$16,4),0)</f>
        <v>0.81</v>
      </c>
      <c r="E30" s="36">
        <f>D30*5*0.205</f>
        <v>0.83025000000000004</v>
      </c>
      <c r="F30" s="31">
        <f>IF($C30&gt;0,VLOOKUP($C30,'Projeto Temático'!$A$9:$D$16,3),0)*O30</f>
        <v>1</v>
      </c>
      <c r="G30" s="32">
        <v>5</v>
      </c>
      <c r="H30" s="36">
        <f>IF($G30&gt;0,VLOOKUP($G30,'Projeto Temático'!$A$20:$D$27,4),0)</f>
        <v>0.6</v>
      </c>
      <c r="I30" s="82">
        <f>H30*6*0.17</f>
        <v>0.61199999999999999</v>
      </c>
      <c r="J30" s="59">
        <f>IF($G30&gt;0,VLOOKUP($G30,'Projeto Temático'!$A$20:$D$27,3),0)*S30</f>
        <v>1</v>
      </c>
      <c r="K30" s="72">
        <v>1</v>
      </c>
      <c r="L30" s="72">
        <v>1</v>
      </c>
      <c r="M30" s="72">
        <v>1</v>
      </c>
      <c r="N30" s="72">
        <v>1</v>
      </c>
      <c r="O30" s="72">
        <v>1</v>
      </c>
      <c r="P30" s="72">
        <v>1</v>
      </c>
      <c r="Q30" s="72">
        <v>1</v>
      </c>
      <c r="R30" s="72">
        <v>1</v>
      </c>
      <c r="S30" s="72">
        <v>1</v>
      </c>
      <c r="T30" s="72">
        <v>1</v>
      </c>
      <c r="U30" s="72">
        <v>1</v>
      </c>
      <c r="V30" s="72">
        <v>1</v>
      </c>
      <c r="W30" s="72">
        <v>1</v>
      </c>
      <c r="X30" s="73">
        <v>1</v>
      </c>
      <c r="Y30" s="71">
        <v>0.1</v>
      </c>
      <c r="Z30" s="33">
        <f t="shared" si="0"/>
        <v>1</v>
      </c>
      <c r="AA30" s="71">
        <v>1</v>
      </c>
      <c r="AB30" s="71">
        <v>1</v>
      </c>
      <c r="AC30" s="33">
        <f>((E30+I30)/2)*IF(W30=0,0,X30)*V30*'Projeto Temático'!$B$32*AB30</f>
        <v>0.72112500000000002</v>
      </c>
      <c r="AD30" s="90">
        <f t="shared" si="1"/>
        <v>7.9323750000000004</v>
      </c>
      <c r="AE30" s="34">
        <f t="shared" si="2"/>
        <v>1</v>
      </c>
    </row>
    <row r="31" spans="1:42" s="18" customFormat="1" ht="15" customHeight="1" x14ac:dyDescent="0.3">
      <c r="A31" s="30">
        <v>24</v>
      </c>
      <c r="B31" s="87" t="s">
        <v>70</v>
      </c>
      <c r="C31" s="32">
        <v>8</v>
      </c>
      <c r="D31" s="36">
        <f>IF($C31&gt;0,VLOOKUP($C31,'Projeto Temático'!$A$9:$D$16,4),0)</f>
        <v>0.56999999999999995</v>
      </c>
      <c r="E31" s="36">
        <f>D31*5*0.17</f>
        <v>0.48449999999999999</v>
      </c>
      <c r="F31" s="31">
        <f>IF($C31&gt;0,VLOOKUP($C31,'Projeto Temático'!$A$9:$D$16,3),0)*O31</f>
        <v>0.9</v>
      </c>
      <c r="G31" s="32">
        <v>6</v>
      </c>
      <c r="H31" s="36">
        <f>IF($G31&gt;0,VLOOKUP($G31,'Projeto Temático'!$A$20:$D$27,4),0)</f>
        <v>0.82</v>
      </c>
      <c r="I31" s="82">
        <f>H31*5*0.19</f>
        <v>0.77899999999999991</v>
      </c>
      <c r="J31" s="59">
        <f>IF($G31&gt;0,VLOOKUP($G31,'Projeto Temático'!$A$20:$D$27,3),0)*S31</f>
        <v>0.9</v>
      </c>
      <c r="K31" s="72">
        <v>0</v>
      </c>
      <c r="L31" s="72">
        <v>0</v>
      </c>
      <c r="M31" s="72">
        <v>0</v>
      </c>
      <c r="N31" s="72">
        <v>0</v>
      </c>
      <c r="O31" s="72">
        <v>1</v>
      </c>
      <c r="P31" s="72">
        <v>1</v>
      </c>
      <c r="Q31" s="72">
        <v>1</v>
      </c>
      <c r="R31" s="72">
        <v>1</v>
      </c>
      <c r="S31" s="72">
        <v>1</v>
      </c>
      <c r="T31" s="72">
        <v>1</v>
      </c>
      <c r="U31" s="72">
        <v>1</v>
      </c>
      <c r="V31" s="72">
        <v>1</v>
      </c>
      <c r="W31" s="72">
        <v>1</v>
      </c>
      <c r="X31" s="73">
        <v>1</v>
      </c>
      <c r="Y31" s="71">
        <v>7.0000000000000007E-2</v>
      </c>
      <c r="Z31" s="33">
        <f t="shared" si="0"/>
        <v>0.9</v>
      </c>
      <c r="AA31" s="71">
        <v>1</v>
      </c>
      <c r="AB31" s="71">
        <v>1</v>
      </c>
      <c r="AC31" s="33">
        <f>((E31+I31)/2)*IF(W31=0,0,X31)*V31*'Projeto Temático'!$B$32*AB31</f>
        <v>0.63174999999999992</v>
      </c>
      <c r="AD31" s="90">
        <f t="shared" si="1"/>
        <v>6.1279749999999984</v>
      </c>
      <c r="AE31" s="37">
        <f t="shared" si="2"/>
        <v>0.69230769230769229</v>
      </c>
    </row>
    <row r="32" spans="1:42" s="18" customFormat="1" ht="15" hidden="1" customHeight="1" x14ac:dyDescent="0.3">
      <c r="A32" s="30">
        <v>25</v>
      </c>
      <c r="B32" s="88" t="s">
        <v>71</v>
      </c>
      <c r="C32" s="32">
        <v>1</v>
      </c>
      <c r="D32" s="36">
        <v>0</v>
      </c>
      <c r="E32" s="36">
        <v>0</v>
      </c>
      <c r="F32" s="31">
        <f>IF($C32&gt;0,VLOOKUP($C32,'Projeto Temático'!$A$9:$D$16,3),0)*O32</f>
        <v>0</v>
      </c>
      <c r="G32" s="32">
        <v>6</v>
      </c>
      <c r="H32" s="36">
        <v>0</v>
      </c>
      <c r="I32" s="82">
        <v>0</v>
      </c>
      <c r="J32" s="59">
        <f>IF($G32&gt;0,VLOOKUP($G32,'Projeto Temático'!$A$20:$D$27,3),0)*S32</f>
        <v>0</v>
      </c>
      <c r="K32" s="72">
        <v>1</v>
      </c>
      <c r="L32" s="72">
        <v>1</v>
      </c>
      <c r="M32" s="72">
        <v>1</v>
      </c>
      <c r="N32" s="72">
        <v>1</v>
      </c>
      <c r="O32" s="72">
        <v>0</v>
      </c>
      <c r="P32" s="72">
        <v>1</v>
      </c>
      <c r="Q32" s="72">
        <v>1</v>
      </c>
      <c r="R32" s="72">
        <v>1</v>
      </c>
      <c r="S32" s="72">
        <v>0</v>
      </c>
      <c r="T32" s="72">
        <v>1</v>
      </c>
      <c r="U32" s="72">
        <v>1</v>
      </c>
      <c r="V32" s="72">
        <v>1</v>
      </c>
      <c r="W32" s="72">
        <v>1</v>
      </c>
      <c r="X32" s="73">
        <v>1</v>
      </c>
      <c r="Y32" s="71"/>
      <c r="Z32" s="33">
        <f t="shared" si="0"/>
        <v>0</v>
      </c>
      <c r="AA32" s="71">
        <v>1</v>
      </c>
      <c r="AB32" s="71">
        <v>0</v>
      </c>
      <c r="AC32" s="33">
        <f>((E32+I32)/2)*IF(W32=0,0,X32)*V32*'Projeto Temático'!$B$32*AB32</f>
        <v>0</v>
      </c>
      <c r="AD32" s="90">
        <f t="shared" si="1"/>
        <v>0</v>
      </c>
      <c r="AE32" s="34">
        <f t="shared" si="2"/>
        <v>0.84615384615384615</v>
      </c>
    </row>
    <row r="33" spans="1:31" s="18" customFormat="1" ht="15" customHeight="1" x14ac:dyDescent="0.3">
      <c r="A33" s="30">
        <v>26</v>
      </c>
      <c r="B33" s="87" t="s">
        <v>72</v>
      </c>
      <c r="C33" s="32">
        <v>2</v>
      </c>
      <c r="D33" s="36">
        <f>IF($C33&gt;0,VLOOKUP($C33,'Projeto Temático'!$A$9:$D$16,4),0)</f>
        <v>0.86</v>
      </c>
      <c r="E33" s="36">
        <f>D33*6*0.17</f>
        <v>0.87720000000000009</v>
      </c>
      <c r="F33" s="31">
        <f>IF($C33&gt;0,VLOOKUP($C33,'Projeto Temático'!$A$9:$D$16,3),0)*O33</f>
        <v>0.9</v>
      </c>
      <c r="G33" s="32">
        <v>7</v>
      </c>
      <c r="H33" s="36">
        <f>IF($G33&gt;0,VLOOKUP($G33,'Projeto Temático'!$A$20:$D$27,4),0)</f>
        <v>0.72</v>
      </c>
      <c r="I33" s="82">
        <f>H33</f>
        <v>0.72</v>
      </c>
      <c r="J33" s="59">
        <f>IF($G33&gt;0,VLOOKUP($G33,'Projeto Temático'!$A$20:$D$27,3),0)*S33</f>
        <v>0.9</v>
      </c>
      <c r="K33" s="72">
        <v>1</v>
      </c>
      <c r="L33" s="72">
        <v>1</v>
      </c>
      <c r="M33" s="72">
        <v>1</v>
      </c>
      <c r="N33" s="72">
        <v>1</v>
      </c>
      <c r="O33" s="72">
        <v>1</v>
      </c>
      <c r="P33" s="72">
        <v>1</v>
      </c>
      <c r="Q33" s="72">
        <v>1</v>
      </c>
      <c r="R33" s="72">
        <v>1</v>
      </c>
      <c r="S33" s="72">
        <v>1</v>
      </c>
      <c r="T33" s="72">
        <v>1</v>
      </c>
      <c r="U33" s="72">
        <v>1</v>
      </c>
      <c r="V33" s="72">
        <v>1</v>
      </c>
      <c r="W33" s="72">
        <v>1</v>
      </c>
      <c r="X33" s="73">
        <v>1</v>
      </c>
      <c r="Y33" s="71">
        <v>0.03</v>
      </c>
      <c r="Z33" s="33">
        <f t="shared" si="0"/>
        <v>0.9</v>
      </c>
      <c r="AA33" s="71">
        <v>1</v>
      </c>
      <c r="AB33" s="71">
        <v>1</v>
      </c>
      <c r="AC33" s="33">
        <f>((E33+I33)/2)*IF(W33=0,0,X33)*V33*'Projeto Temático'!$B$32*AB33</f>
        <v>0.79859999999999998</v>
      </c>
      <c r="AD33" s="90">
        <f t="shared" si="1"/>
        <v>7.4269800000000004</v>
      </c>
      <c r="AE33" s="34">
        <f t="shared" si="2"/>
        <v>1</v>
      </c>
    </row>
    <row r="34" spans="1:31" s="18" customFormat="1" ht="15" customHeight="1" x14ac:dyDescent="0.3">
      <c r="A34" s="30">
        <v>27</v>
      </c>
      <c r="B34" s="87" t="s">
        <v>73</v>
      </c>
      <c r="C34" s="32">
        <v>3</v>
      </c>
      <c r="D34" s="36">
        <f>IF($C34&gt;0,VLOOKUP($C34,'Projeto Temático'!$A$9:$D$16,4),0)</f>
        <v>0.67</v>
      </c>
      <c r="E34" s="36">
        <f>D34*6*0.2</f>
        <v>0.80400000000000016</v>
      </c>
      <c r="F34" s="31">
        <f>IF($C34&gt;0,VLOOKUP($C34,'Projeto Temático'!$A$9:$D$16,3),0)*O34</f>
        <v>0.9</v>
      </c>
      <c r="G34" s="32">
        <v>8</v>
      </c>
      <c r="H34" s="36">
        <f>IF($G34&gt;0,VLOOKUP($G34,'Projeto Temático'!$A$20:$D$27,4),0)</f>
        <v>0.52</v>
      </c>
      <c r="I34" s="82">
        <f>H34*6*0.18</f>
        <v>0.56159999999999999</v>
      </c>
      <c r="J34" s="59">
        <f>IF($G34&gt;0,VLOOKUP($G34,'Projeto Temático'!$A$20:$D$27,3),0)*S34</f>
        <v>1</v>
      </c>
      <c r="K34" s="72">
        <v>1</v>
      </c>
      <c r="L34" s="72">
        <v>1</v>
      </c>
      <c r="M34" s="72">
        <v>1</v>
      </c>
      <c r="N34" s="72">
        <v>1</v>
      </c>
      <c r="O34" s="72">
        <v>1</v>
      </c>
      <c r="P34" s="72">
        <v>1</v>
      </c>
      <c r="Q34" s="72">
        <v>1</v>
      </c>
      <c r="R34" s="72">
        <v>1</v>
      </c>
      <c r="S34" s="72">
        <v>1</v>
      </c>
      <c r="T34" s="72">
        <v>1</v>
      </c>
      <c r="U34" s="72">
        <v>1</v>
      </c>
      <c r="V34" s="72">
        <v>1</v>
      </c>
      <c r="W34" s="72">
        <v>1</v>
      </c>
      <c r="X34" s="73">
        <v>1</v>
      </c>
      <c r="Y34" s="71"/>
      <c r="Z34" s="33">
        <f t="shared" si="0"/>
        <v>0.95</v>
      </c>
      <c r="AA34" s="71">
        <v>1</v>
      </c>
      <c r="AB34" s="71">
        <v>1</v>
      </c>
      <c r="AC34" s="33">
        <f>((E34+I34)/2)*IF(W34=0,0,X34)*V34*'Projeto Temático'!$B$32*AB34</f>
        <v>0.68280000000000007</v>
      </c>
      <c r="AD34" s="90">
        <f t="shared" si="1"/>
        <v>6.486600000000001</v>
      </c>
      <c r="AE34" s="34">
        <f t="shared" si="2"/>
        <v>1</v>
      </c>
    </row>
    <row r="35" spans="1:31" s="18" customFormat="1" ht="15" customHeight="1" x14ac:dyDescent="0.3">
      <c r="A35" s="30">
        <v>28</v>
      </c>
      <c r="B35" s="87" t="s">
        <v>74</v>
      </c>
      <c r="C35" s="32">
        <v>4</v>
      </c>
      <c r="D35" s="36">
        <f>IF($C35&gt;0,VLOOKUP($C35,'Projeto Temático'!$A$9:$D$16,4),0)</f>
        <v>0.86</v>
      </c>
      <c r="E35" s="36">
        <f>D35</f>
        <v>0.86</v>
      </c>
      <c r="F35" s="31">
        <f>IF($C35&gt;0,VLOOKUP($C35,'Projeto Temático'!$A$9:$D$16,3),0)*O35</f>
        <v>1</v>
      </c>
      <c r="G35" s="32">
        <v>1</v>
      </c>
      <c r="H35" s="36">
        <f>IF($G35&gt;0,VLOOKUP($G35,'Projeto Temático'!$A$20:$D$27,4),0)</f>
        <v>0.89</v>
      </c>
      <c r="I35" s="82">
        <f>H35*6*0.2</f>
        <v>1.0680000000000001</v>
      </c>
      <c r="J35" s="59">
        <f>IF($G35&gt;0,VLOOKUP($G35,'Projeto Temático'!$A$20:$D$27,3),0)*S35</f>
        <v>0.9</v>
      </c>
      <c r="K35" s="72">
        <v>1</v>
      </c>
      <c r="L35" s="72">
        <v>1</v>
      </c>
      <c r="M35" s="72">
        <v>1</v>
      </c>
      <c r="N35" s="72">
        <v>1</v>
      </c>
      <c r="O35" s="72">
        <v>1</v>
      </c>
      <c r="P35" s="72">
        <v>1</v>
      </c>
      <c r="Q35" s="72">
        <v>1</v>
      </c>
      <c r="R35" s="72">
        <v>1</v>
      </c>
      <c r="S35" s="72">
        <v>1</v>
      </c>
      <c r="T35" s="72">
        <v>1</v>
      </c>
      <c r="U35" s="72">
        <v>1</v>
      </c>
      <c r="V35" s="72">
        <v>1</v>
      </c>
      <c r="W35" s="72">
        <v>1</v>
      </c>
      <c r="X35" s="73">
        <v>1</v>
      </c>
      <c r="Y35" s="71"/>
      <c r="Z35" s="33">
        <f t="shared" si="0"/>
        <v>0.95</v>
      </c>
      <c r="AA35" s="71">
        <v>1</v>
      </c>
      <c r="AB35" s="71">
        <v>1</v>
      </c>
      <c r="AC35" s="33">
        <f>((E35+I35)/2)*IF(W35=0,0,X35)*V35*'Projeto Temático'!$B$32*AB35</f>
        <v>0.96399999999999997</v>
      </c>
      <c r="AD35" s="90">
        <f t="shared" si="1"/>
        <v>9.1579999999999995</v>
      </c>
      <c r="AE35" s="34">
        <f t="shared" si="2"/>
        <v>1</v>
      </c>
    </row>
    <row r="36" spans="1:31" s="18" customFormat="1" ht="15" customHeight="1" x14ac:dyDescent="0.3">
      <c r="A36" s="30">
        <v>29</v>
      </c>
      <c r="B36" s="87" t="s">
        <v>75</v>
      </c>
      <c r="C36" s="32">
        <v>5</v>
      </c>
      <c r="D36" s="36">
        <f>IF($C36&gt;0,VLOOKUP($C36,'Projeto Temático'!$A$9:$D$16,4),0)</f>
        <v>0.86</v>
      </c>
      <c r="E36" s="36">
        <f>D36*6*0.13</f>
        <v>0.67080000000000006</v>
      </c>
      <c r="F36" s="31">
        <f>IF($C36&gt;0,VLOOKUP($C36,'Projeto Temático'!$A$9:$D$16,3),0)*O36</f>
        <v>1</v>
      </c>
      <c r="G36" s="32">
        <v>2</v>
      </c>
      <c r="H36" s="36">
        <f>IF($G36&gt;0,VLOOKUP($G36,'Projeto Temático'!$A$20:$D$27,4),0)</f>
        <v>0.79</v>
      </c>
      <c r="I36" s="82">
        <f>H36*5*0.18</f>
        <v>0.71099999999999997</v>
      </c>
      <c r="J36" s="59">
        <f>IF($G36&gt;0,VLOOKUP($G36,'Projeto Temático'!$A$20:$D$27,3),0)*S36</f>
        <v>1</v>
      </c>
      <c r="K36" s="72">
        <v>1</v>
      </c>
      <c r="L36" s="72">
        <v>1</v>
      </c>
      <c r="M36" s="72">
        <v>1</v>
      </c>
      <c r="N36" s="72">
        <v>1</v>
      </c>
      <c r="O36" s="72">
        <v>1</v>
      </c>
      <c r="P36" s="72">
        <v>1</v>
      </c>
      <c r="Q36" s="72">
        <v>1</v>
      </c>
      <c r="R36" s="72">
        <v>1</v>
      </c>
      <c r="S36" s="72">
        <v>1</v>
      </c>
      <c r="T36" s="72">
        <v>1</v>
      </c>
      <c r="U36" s="72">
        <v>1</v>
      </c>
      <c r="V36" s="72">
        <v>1</v>
      </c>
      <c r="W36" s="72">
        <v>1</v>
      </c>
      <c r="X36" s="73">
        <v>1</v>
      </c>
      <c r="Y36" s="71"/>
      <c r="Z36" s="33">
        <f t="shared" si="0"/>
        <v>1</v>
      </c>
      <c r="AA36" s="71">
        <v>1</v>
      </c>
      <c r="AB36" s="71">
        <v>1</v>
      </c>
      <c r="AC36" s="33">
        <f>((E36+I36)/2)*IF(W36=0,0,X36)*V36*'Projeto Temático'!$B$32*AB36</f>
        <v>0.69090000000000007</v>
      </c>
      <c r="AD36" s="90">
        <f t="shared" si="1"/>
        <v>6.9090000000000007</v>
      </c>
      <c r="AE36" s="34">
        <f t="shared" si="2"/>
        <v>1</v>
      </c>
    </row>
    <row r="37" spans="1:31" s="18" customFormat="1" ht="15" customHeight="1" x14ac:dyDescent="0.3">
      <c r="A37" s="30">
        <v>30</v>
      </c>
      <c r="B37" s="87" t="s">
        <v>76</v>
      </c>
      <c r="C37" s="32">
        <v>6</v>
      </c>
      <c r="D37" s="36">
        <f>IF($C37&gt;0,VLOOKUP($C37,'Projeto Temático'!$A$9:$D$16,4),0)</f>
        <v>0.81</v>
      </c>
      <c r="E37" s="36">
        <f>D37*5*0.21</f>
        <v>0.85050000000000014</v>
      </c>
      <c r="F37" s="31">
        <f>IF($C37&gt;0,VLOOKUP($C37,'Projeto Temático'!$A$9:$D$16,3),0)*O37</f>
        <v>1</v>
      </c>
      <c r="G37" s="32">
        <v>3</v>
      </c>
      <c r="H37" s="36">
        <f>IF($G37&gt;0,VLOOKUP($G37,'Projeto Temático'!$A$20:$D$27,4),0)</f>
        <v>0.75</v>
      </c>
      <c r="I37" s="82">
        <f>H37*5*0.23</f>
        <v>0.86250000000000004</v>
      </c>
      <c r="J37" s="59">
        <f>IF($G37&gt;0,VLOOKUP($G37,'Projeto Temático'!$A$20:$D$27,3),0)*S37</f>
        <v>1</v>
      </c>
      <c r="K37" s="72">
        <v>1</v>
      </c>
      <c r="L37" s="72">
        <v>1</v>
      </c>
      <c r="M37" s="72">
        <v>1</v>
      </c>
      <c r="N37" s="72">
        <v>1</v>
      </c>
      <c r="O37" s="72">
        <v>1</v>
      </c>
      <c r="P37" s="72">
        <v>1</v>
      </c>
      <c r="Q37" s="72">
        <v>1</v>
      </c>
      <c r="R37" s="72">
        <v>1</v>
      </c>
      <c r="S37" s="72">
        <v>1</v>
      </c>
      <c r="T37" s="72">
        <v>1</v>
      </c>
      <c r="U37" s="72">
        <v>1</v>
      </c>
      <c r="V37" s="72">
        <v>1</v>
      </c>
      <c r="W37" s="72">
        <v>1</v>
      </c>
      <c r="X37" s="73">
        <v>1</v>
      </c>
      <c r="Y37" s="71"/>
      <c r="Z37" s="33">
        <f t="shared" si="0"/>
        <v>1</v>
      </c>
      <c r="AA37" s="71">
        <v>1</v>
      </c>
      <c r="AB37" s="71">
        <v>1</v>
      </c>
      <c r="AC37" s="33">
        <f>((E37+I37)/2)*IF(W37=0,0,X37)*V37*'Projeto Temático'!$B$32*AB37</f>
        <v>0.85650000000000004</v>
      </c>
      <c r="AD37" s="90">
        <f t="shared" si="1"/>
        <v>8.5650000000000013</v>
      </c>
      <c r="AE37" s="34">
        <f t="shared" si="2"/>
        <v>1</v>
      </c>
    </row>
    <row r="38" spans="1:31" s="18" customFormat="1" ht="15" customHeight="1" x14ac:dyDescent="0.3">
      <c r="A38" s="30">
        <v>31</v>
      </c>
      <c r="B38" s="87" t="s">
        <v>77</v>
      </c>
      <c r="C38" s="32">
        <v>7</v>
      </c>
      <c r="D38" s="36">
        <f>IF($C38&gt;0,VLOOKUP($C38,'Projeto Temático'!$A$9:$D$16,4),0)</f>
        <v>0.81</v>
      </c>
      <c r="E38" s="36">
        <f>D38*5*0.198</f>
        <v>0.80190000000000017</v>
      </c>
      <c r="F38" s="31">
        <f>IF($C38&gt;0,VLOOKUP($C38,'Projeto Temático'!$A$9:$D$16,3),0)*O38</f>
        <v>1</v>
      </c>
      <c r="G38" s="32">
        <v>4</v>
      </c>
      <c r="H38" s="36">
        <f>IF($G38&gt;0,VLOOKUP($G38,'Projeto Temático'!$A$20:$D$27,4),0)</f>
        <v>0.91</v>
      </c>
      <c r="I38" s="82">
        <f>H38*5*0.15</f>
        <v>0.6825</v>
      </c>
      <c r="J38" s="59">
        <f>IF($G38&gt;0,VLOOKUP($G38,'Projeto Temático'!$A$20:$D$27,3),0)*S38</f>
        <v>0.9</v>
      </c>
      <c r="K38" s="72">
        <v>1</v>
      </c>
      <c r="L38" s="72">
        <v>1</v>
      </c>
      <c r="M38" s="72">
        <v>0</v>
      </c>
      <c r="N38" s="72">
        <v>0</v>
      </c>
      <c r="O38" s="72">
        <v>1</v>
      </c>
      <c r="P38" s="72">
        <v>1</v>
      </c>
      <c r="Q38" s="72">
        <v>1</v>
      </c>
      <c r="R38" s="72">
        <v>1</v>
      </c>
      <c r="S38" s="72">
        <v>1</v>
      </c>
      <c r="T38" s="72">
        <v>1</v>
      </c>
      <c r="U38" s="72">
        <v>1</v>
      </c>
      <c r="V38" s="72">
        <v>1</v>
      </c>
      <c r="W38" s="72">
        <v>1</v>
      </c>
      <c r="X38" s="73">
        <v>1</v>
      </c>
      <c r="Y38" s="71"/>
      <c r="Z38" s="33">
        <f t="shared" si="0"/>
        <v>0.95</v>
      </c>
      <c r="AA38" s="71">
        <v>1</v>
      </c>
      <c r="AB38" s="71">
        <v>1</v>
      </c>
      <c r="AC38" s="33">
        <f>((E38+I38)/2)*IF(W38=0,0,X38)*V38*'Projeto Temático'!$B$32*AB38</f>
        <v>0.74220000000000008</v>
      </c>
      <c r="AD38" s="90">
        <f t="shared" si="1"/>
        <v>7.0509000000000004</v>
      </c>
      <c r="AE38" s="34">
        <f t="shared" ref="AE38:AE45" si="3">SUM(K38:W38)/COUNTA(K38:W38)</f>
        <v>0.84615384615384615</v>
      </c>
    </row>
    <row r="39" spans="1:31" s="18" customFormat="1" ht="15" customHeight="1" x14ac:dyDescent="0.3">
      <c r="A39" s="30">
        <v>32</v>
      </c>
      <c r="B39" s="87" t="s">
        <v>78</v>
      </c>
      <c r="C39" s="32">
        <v>8</v>
      </c>
      <c r="D39" s="36">
        <f>IF($C39&gt;0,VLOOKUP($C39,'Projeto Temático'!$A$9:$D$16,4),0)</f>
        <v>0.56999999999999995</v>
      </c>
      <c r="E39" s="36">
        <f>D39*5*0.17</f>
        <v>0.48449999999999999</v>
      </c>
      <c r="F39" s="31">
        <f>IF($C39&gt;0,VLOOKUP($C39,'Projeto Temático'!$A$9:$D$16,3),0)*O39</f>
        <v>0.9</v>
      </c>
      <c r="G39" s="32">
        <v>5</v>
      </c>
      <c r="H39" s="36">
        <f>IF($G39&gt;0,VLOOKUP($G39,'Projeto Temático'!$A$20:$D$27,4),0)</f>
        <v>0.6</v>
      </c>
      <c r="I39" s="82">
        <f>H39*6*0.17</f>
        <v>0.61199999999999999</v>
      </c>
      <c r="J39" s="59">
        <f>IF($G39&gt;0,VLOOKUP($G39,'Projeto Temático'!$A$20:$D$27,3),0)*S39</f>
        <v>1</v>
      </c>
      <c r="K39" s="72">
        <v>0</v>
      </c>
      <c r="L39" s="72">
        <v>0</v>
      </c>
      <c r="M39" s="72">
        <v>0</v>
      </c>
      <c r="N39" s="72">
        <v>0</v>
      </c>
      <c r="O39" s="72">
        <v>1</v>
      </c>
      <c r="P39" s="72">
        <v>1</v>
      </c>
      <c r="Q39" s="72">
        <v>1</v>
      </c>
      <c r="R39" s="72">
        <v>1</v>
      </c>
      <c r="S39" s="72">
        <v>1</v>
      </c>
      <c r="T39" s="72">
        <v>1</v>
      </c>
      <c r="U39" s="72">
        <v>1</v>
      </c>
      <c r="V39" s="72">
        <v>1</v>
      </c>
      <c r="W39" s="72">
        <v>1</v>
      </c>
      <c r="X39" s="73">
        <v>1</v>
      </c>
      <c r="Y39" s="71"/>
      <c r="Z39" s="33">
        <f t="shared" si="0"/>
        <v>0.95</v>
      </c>
      <c r="AA39" s="71">
        <v>1</v>
      </c>
      <c r="AB39" s="71">
        <v>1</v>
      </c>
      <c r="AC39" s="33">
        <f>((E39+I39)/2)*IF(W39=0,0,X39)*V39*'Projeto Temático'!$B$32*AB39</f>
        <v>0.54825000000000002</v>
      </c>
      <c r="AD39" s="90">
        <f t="shared" si="1"/>
        <v>5.2083750000000002</v>
      </c>
      <c r="AE39" s="34">
        <f t="shared" si="3"/>
        <v>0.69230769230769229</v>
      </c>
    </row>
    <row r="40" spans="1:31" s="18" customFormat="1" ht="15" customHeight="1" x14ac:dyDescent="0.3">
      <c r="A40" s="30">
        <v>33</v>
      </c>
      <c r="B40" s="87" t="s">
        <v>79</v>
      </c>
      <c r="C40" s="62">
        <v>1</v>
      </c>
      <c r="D40" s="36">
        <f>IF($C40&gt;0,VLOOKUP($C40,'Projeto Temático'!$A$9:$D$16,4),0)</f>
        <v>0.56999999999999995</v>
      </c>
      <c r="E40" s="36">
        <f>(D40*5)*0.2</f>
        <v>0.56999999999999995</v>
      </c>
      <c r="F40" s="31">
        <f>IF($C40&gt;0,VLOOKUP($C40,'Projeto Temático'!$A$9:$D$16,3),0)*O40</f>
        <v>0.9</v>
      </c>
      <c r="G40" s="32">
        <v>5</v>
      </c>
      <c r="H40" s="36">
        <f>IF($G40&gt;0,VLOOKUP($G40,'Projeto Temático'!$A$20:$D$27,4),0)</f>
        <v>0.6</v>
      </c>
      <c r="I40" s="82">
        <f>H40*6*0.15</f>
        <v>0.53999999999999992</v>
      </c>
      <c r="J40" s="59">
        <f>IF($G40&gt;0,VLOOKUP($G40,'Projeto Temático'!$A$20:$D$27,3),0)*S40</f>
        <v>1</v>
      </c>
      <c r="K40" s="72">
        <v>1</v>
      </c>
      <c r="L40" s="72">
        <v>1</v>
      </c>
      <c r="M40" s="72">
        <v>1</v>
      </c>
      <c r="N40" s="72">
        <v>1</v>
      </c>
      <c r="O40" s="72">
        <v>1</v>
      </c>
      <c r="P40" s="72">
        <v>1</v>
      </c>
      <c r="Q40" s="72">
        <v>1</v>
      </c>
      <c r="R40" s="72">
        <v>1</v>
      </c>
      <c r="S40" s="72">
        <v>1</v>
      </c>
      <c r="T40" s="72">
        <v>1</v>
      </c>
      <c r="U40" s="72">
        <v>1</v>
      </c>
      <c r="V40" s="72">
        <v>1</v>
      </c>
      <c r="W40" s="72">
        <v>1</v>
      </c>
      <c r="X40" s="73">
        <v>1</v>
      </c>
      <c r="Y40" s="71"/>
      <c r="Z40" s="33">
        <f t="shared" si="0"/>
        <v>0.95</v>
      </c>
      <c r="AA40" s="71">
        <v>1</v>
      </c>
      <c r="AB40" s="71">
        <v>1</v>
      </c>
      <c r="AC40" s="33">
        <f>((E40+I40)/2)*IF(W40=0,0,X40)*V40*'Projeto Temático'!$B$32*AB40</f>
        <v>0.55499999999999994</v>
      </c>
      <c r="AD40" s="90">
        <f t="shared" si="1"/>
        <v>5.2724999999999991</v>
      </c>
      <c r="AE40" s="34">
        <f t="shared" si="3"/>
        <v>1</v>
      </c>
    </row>
    <row r="41" spans="1:31" s="18" customFormat="1" ht="15" customHeight="1" x14ac:dyDescent="0.3">
      <c r="A41" s="30">
        <v>34</v>
      </c>
      <c r="B41" s="87" t="s">
        <v>80</v>
      </c>
      <c r="C41" s="62">
        <v>2</v>
      </c>
      <c r="D41" s="36">
        <f>IF($C41&gt;0,VLOOKUP($C41,'Projeto Temático'!$A$9:$D$16,4),0)</f>
        <v>0.86</v>
      </c>
      <c r="E41" s="36">
        <f>D41*6*0.18</f>
        <v>0.92879999999999996</v>
      </c>
      <c r="F41" s="31">
        <f>IF($C41&gt;0,VLOOKUP($C41,'Projeto Temático'!$A$9:$D$16,3),0)*O41</f>
        <v>0.9</v>
      </c>
      <c r="G41" s="32">
        <v>6</v>
      </c>
      <c r="H41" s="36">
        <f>IF($G41&gt;0,VLOOKUP($G41,'Projeto Temático'!$A$20:$D$27,4),0)</f>
        <v>0.82</v>
      </c>
      <c r="I41" s="82">
        <f>H41*5*0.21</f>
        <v>0.86099999999999988</v>
      </c>
      <c r="J41" s="59">
        <f>IF($G41&gt;0,VLOOKUP($G41,'Projeto Temático'!$A$20:$D$27,3),0)*S41</f>
        <v>0.9</v>
      </c>
      <c r="K41" s="72">
        <v>1</v>
      </c>
      <c r="L41" s="72">
        <v>1</v>
      </c>
      <c r="M41" s="72">
        <v>1</v>
      </c>
      <c r="N41" s="72">
        <v>0</v>
      </c>
      <c r="O41" s="72">
        <v>1</v>
      </c>
      <c r="P41" s="72">
        <v>1</v>
      </c>
      <c r="Q41" s="72">
        <v>1</v>
      </c>
      <c r="R41" s="72">
        <v>1</v>
      </c>
      <c r="S41" s="72">
        <v>1</v>
      </c>
      <c r="T41" s="72">
        <v>1</v>
      </c>
      <c r="U41" s="72">
        <v>1</v>
      </c>
      <c r="V41" s="72">
        <v>1</v>
      </c>
      <c r="W41" s="72">
        <v>1</v>
      </c>
      <c r="X41" s="73">
        <v>1</v>
      </c>
      <c r="Y41" s="71"/>
      <c r="Z41" s="33">
        <f t="shared" si="0"/>
        <v>0.9</v>
      </c>
      <c r="AA41" s="71">
        <v>1</v>
      </c>
      <c r="AB41" s="71">
        <v>1</v>
      </c>
      <c r="AC41" s="33">
        <f>((E41+I41)/2)*IF(W41=0,0,X41)*V41*'Projeto Temático'!$B$32*AB41</f>
        <v>0.89489999999999992</v>
      </c>
      <c r="AD41" s="90">
        <f t="shared" si="1"/>
        <v>8.0541</v>
      </c>
      <c r="AE41" s="34">
        <f t="shared" si="3"/>
        <v>0.92307692307692313</v>
      </c>
    </row>
    <row r="42" spans="1:31" s="18" customFormat="1" ht="15" customHeight="1" x14ac:dyDescent="0.3">
      <c r="A42" s="30">
        <v>35</v>
      </c>
      <c r="B42" s="87" t="s">
        <v>81</v>
      </c>
      <c r="C42" s="62">
        <v>3</v>
      </c>
      <c r="D42" s="36">
        <f>IF($C42&gt;0,VLOOKUP($C42,'Projeto Temático'!$A$9:$D$16,4),0)</f>
        <v>0.67</v>
      </c>
      <c r="E42" s="36">
        <f>D42*6*0.19</f>
        <v>0.76380000000000015</v>
      </c>
      <c r="F42" s="31">
        <f>IF($C42&gt;0,VLOOKUP($C42,'Projeto Temático'!$A$9:$D$16,3),0)*O42</f>
        <v>0.9</v>
      </c>
      <c r="G42" s="32">
        <v>7</v>
      </c>
      <c r="H42" s="36">
        <f>IF($G42&gt;0,VLOOKUP($G42,'Projeto Temático'!$A$20:$D$27,4),0)</f>
        <v>0.72</v>
      </c>
      <c r="I42" s="82">
        <f>H42</f>
        <v>0.72</v>
      </c>
      <c r="J42" s="59">
        <f>IF($G42&gt;0,VLOOKUP($G42,'Projeto Temático'!$A$20:$D$27,3),0)*S42</f>
        <v>0.9</v>
      </c>
      <c r="K42" s="72">
        <v>1</v>
      </c>
      <c r="L42" s="72">
        <v>1</v>
      </c>
      <c r="M42" s="72">
        <v>1</v>
      </c>
      <c r="N42" s="72">
        <v>1</v>
      </c>
      <c r="O42" s="72">
        <v>1</v>
      </c>
      <c r="P42" s="72">
        <v>1</v>
      </c>
      <c r="Q42" s="72">
        <v>1</v>
      </c>
      <c r="R42" s="72">
        <v>1</v>
      </c>
      <c r="S42" s="72">
        <v>1</v>
      </c>
      <c r="T42" s="72">
        <v>1</v>
      </c>
      <c r="U42" s="72">
        <v>1</v>
      </c>
      <c r="V42" s="72">
        <v>1</v>
      </c>
      <c r="W42" s="72">
        <v>1</v>
      </c>
      <c r="X42" s="73">
        <v>1</v>
      </c>
      <c r="Y42" s="71"/>
      <c r="Z42" s="33">
        <f t="shared" si="0"/>
        <v>0.9</v>
      </c>
      <c r="AA42" s="71">
        <v>1</v>
      </c>
      <c r="AB42" s="71">
        <v>1</v>
      </c>
      <c r="AC42" s="33">
        <f>((E42+I42)/2)*IF(W42=0,0,X42)*V42*'Projeto Temático'!$B$32*AB42</f>
        <v>0.7419</v>
      </c>
      <c r="AD42" s="90">
        <f t="shared" si="1"/>
        <v>6.6771000000000003</v>
      </c>
      <c r="AE42" s="34">
        <f t="shared" si="3"/>
        <v>1</v>
      </c>
    </row>
    <row r="43" spans="1:31" s="18" customFormat="1" ht="15" customHeight="1" x14ac:dyDescent="0.3">
      <c r="A43" s="30">
        <v>36</v>
      </c>
      <c r="B43" s="87" t="s">
        <v>82</v>
      </c>
      <c r="C43" s="62">
        <v>4</v>
      </c>
      <c r="D43" s="36">
        <f>IF($C43&gt;0,VLOOKUP($C43,'Projeto Temático'!$A$9:$D$16,4),0)</f>
        <v>0.86</v>
      </c>
      <c r="E43" s="36">
        <f>D43</f>
        <v>0.86</v>
      </c>
      <c r="F43" s="31">
        <f>IF($C43&gt;0,VLOOKUP($C43,'Projeto Temático'!$A$9:$D$16,3),0)*O43</f>
        <v>1</v>
      </c>
      <c r="G43" s="32">
        <v>8</v>
      </c>
      <c r="H43" s="36">
        <f>IF($G43&gt;0,VLOOKUP($G43,'Projeto Temático'!$A$20:$D$27,4),0)</f>
        <v>0.52</v>
      </c>
      <c r="I43" s="82">
        <f>H43*6*0.17</f>
        <v>0.53040000000000009</v>
      </c>
      <c r="J43" s="59">
        <f>IF($G43&gt;0,VLOOKUP($G43,'Projeto Temático'!$A$20:$D$27,3),0)*S43</f>
        <v>1</v>
      </c>
      <c r="K43" s="72">
        <v>1</v>
      </c>
      <c r="L43" s="72">
        <v>1</v>
      </c>
      <c r="M43" s="72">
        <v>1</v>
      </c>
      <c r="N43" s="72">
        <v>1</v>
      </c>
      <c r="O43" s="72">
        <v>1</v>
      </c>
      <c r="P43" s="72">
        <v>1</v>
      </c>
      <c r="Q43" s="72">
        <v>1</v>
      </c>
      <c r="R43" s="72">
        <v>1</v>
      </c>
      <c r="S43" s="72">
        <v>1</v>
      </c>
      <c r="T43" s="72">
        <v>1</v>
      </c>
      <c r="U43" s="72">
        <v>1</v>
      </c>
      <c r="V43" s="72">
        <v>1</v>
      </c>
      <c r="W43" s="72">
        <v>1</v>
      </c>
      <c r="X43" s="73">
        <v>1</v>
      </c>
      <c r="Y43" s="71">
        <v>7.0000000000000007E-2</v>
      </c>
      <c r="Z43" s="33">
        <f t="shared" si="0"/>
        <v>1</v>
      </c>
      <c r="AA43" s="71">
        <v>1</v>
      </c>
      <c r="AB43" s="71">
        <v>1</v>
      </c>
      <c r="AC43" s="33">
        <f>((E43+I43)/2)*IF(W43=0,0,X43)*V43*'Projeto Temático'!$B$32*AB43</f>
        <v>0.69520000000000004</v>
      </c>
      <c r="AD43" s="90">
        <f t="shared" si="1"/>
        <v>7.4386400000000013</v>
      </c>
      <c r="AE43" s="34">
        <f t="shared" si="3"/>
        <v>1</v>
      </c>
    </row>
    <row r="44" spans="1:31" s="18" customFormat="1" ht="15" customHeight="1" x14ac:dyDescent="0.3">
      <c r="A44" s="30">
        <v>37</v>
      </c>
      <c r="B44" s="87" t="s">
        <v>83</v>
      </c>
      <c r="C44" s="62">
        <v>5</v>
      </c>
      <c r="D44" s="36">
        <f>IF($C44&gt;0,VLOOKUP($C44,'Projeto Temático'!$A$9:$D$16,4),0)</f>
        <v>0.86</v>
      </c>
      <c r="E44" s="36">
        <f>D44*6*0.21</f>
        <v>1.0835999999999999</v>
      </c>
      <c r="F44" s="31">
        <f>IF($C44&gt;0,VLOOKUP($C44,'Projeto Temático'!$A$9:$D$16,3),0)*O44</f>
        <v>1</v>
      </c>
      <c r="G44" s="32">
        <v>1</v>
      </c>
      <c r="H44" s="36">
        <f>IF($G44&gt;0,VLOOKUP($G44,'Projeto Temático'!$A$20:$D$27,4),0)</f>
        <v>0.89</v>
      </c>
      <c r="I44" s="82">
        <f>H44*6*0.15</f>
        <v>0.80099999999999993</v>
      </c>
      <c r="J44" s="59">
        <f>IF($G44&gt;0,VLOOKUP($G44,'Projeto Temático'!$A$20:$D$27,3),0)*S44</f>
        <v>0.9</v>
      </c>
      <c r="K44" s="72">
        <v>1</v>
      </c>
      <c r="L44" s="72">
        <v>1</v>
      </c>
      <c r="M44" s="72">
        <v>1</v>
      </c>
      <c r="N44" s="72">
        <v>1</v>
      </c>
      <c r="O44" s="72">
        <v>1</v>
      </c>
      <c r="P44" s="72">
        <v>1</v>
      </c>
      <c r="Q44" s="72">
        <v>1</v>
      </c>
      <c r="R44" s="72">
        <v>1</v>
      </c>
      <c r="S44" s="72">
        <v>1</v>
      </c>
      <c r="T44" s="72">
        <v>1</v>
      </c>
      <c r="U44" s="72">
        <v>1</v>
      </c>
      <c r="V44" s="72">
        <v>1</v>
      </c>
      <c r="W44" s="72">
        <v>1</v>
      </c>
      <c r="X44" s="73">
        <v>1</v>
      </c>
      <c r="Y44" s="71">
        <v>7.0000000000000007E-2</v>
      </c>
      <c r="Z44" s="33">
        <f t="shared" si="0"/>
        <v>0.95</v>
      </c>
      <c r="AA44" s="71">
        <v>1</v>
      </c>
      <c r="AB44" s="71">
        <v>1</v>
      </c>
      <c r="AC44" s="33">
        <f>((E44+I44)/2)*IF(W44=0,0,X44)*V44*'Projeto Temático'!$B$32*AB44</f>
        <v>0.94229999999999992</v>
      </c>
      <c r="AD44" s="90">
        <f t="shared" si="1"/>
        <v>9.6114599999999992</v>
      </c>
      <c r="AE44" s="34">
        <f t="shared" si="3"/>
        <v>1</v>
      </c>
    </row>
    <row r="45" spans="1:31" s="18" customFormat="1" ht="15" customHeight="1" x14ac:dyDescent="0.3">
      <c r="A45" s="30">
        <v>38</v>
      </c>
      <c r="B45" s="87" t="s">
        <v>84</v>
      </c>
      <c r="C45" s="62">
        <v>7</v>
      </c>
      <c r="D45" s="36">
        <f>IF($C45&gt;0,VLOOKUP($C45,'Projeto Temático'!$A$9:$D$16,4),0)</f>
        <v>0.81</v>
      </c>
      <c r="E45" s="36">
        <f>D45*5*0.198</f>
        <v>0.80190000000000017</v>
      </c>
      <c r="F45" s="31">
        <f>IF($C45&gt;0,VLOOKUP($C45,'Projeto Temático'!$A$9:$D$16,3),0)*O45</f>
        <v>1</v>
      </c>
      <c r="G45" s="32">
        <v>2</v>
      </c>
      <c r="H45" s="36">
        <f>IF($G45&gt;0,VLOOKUP($G45,'Projeto Temático'!$A$20:$D$27,4),0)</f>
        <v>0.79</v>
      </c>
      <c r="I45" s="82">
        <f>H45*5*0.19</f>
        <v>0.75050000000000006</v>
      </c>
      <c r="J45" s="59">
        <f>IF($G45&gt;0,VLOOKUP($G45,'Projeto Temático'!$A$20:$D$27,3),0)*S45</f>
        <v>1</v>
      </c>
      <c r="K45" s="72">
        <v>1</v>
      </c>
      <c r="L45" s="72">
        <v>1</v>
      </c>
      <c r="M45" s="72">
        <v>1</v>
      </c>
      <c r="N45" s="72">
        <v>1</v>
      </c>
      <c r="O45" s="72">
        <v>1</v>
      </c>
      <c r="P45" s="72">
        <v>1</v>
      </c>
      <c r="Q45" s="72">
        <v>1</v>
      </c>
      <c r="R45" s="72">
        <v>1</v>
      </c>
      <c r="S45" s="72">
        <v>1</v>
      </c>
      <c r="T45" s="72">
        <v>1</v>
      </c>
      <c r="U45" s="72">
        <v>1</v>
      </c>
      <c r="V45" s="72">
        <v>1</v>
      </c>
      <c r="W45" s="72">
        <v>1</v>
      </c>
      <c r="X45" s="73">
        <v>1</v>
      </c>
      <c r="Y45" s="71"/>
      <c r="Z45" s="33">
        <f t="shared" si="0"/>
        <v>1</v>
      </c>
      <c r="AA45" s="71">
        <v>1</v>
      </c>
      <c r="AB45" s="71">
        <v>1</v>
      </c>
      <c r="AC45" s="33">
        <f>((E45+I45)/2)*IF(W45=0,0,X45)*V45*'Projeto Temático'!$B$32*AB45</f>
        <v>0.77620000000000011</v>
      </c>
      <c r="AD45" s="90">
        <f t="shared" si="1"/>
        <v>7.7620000000000013</v>
      </c>
      <c r="AE45" s="34">
        <f t="shared" si="3"/>
        <v>1</v>
      </c>
    </row>
    <row r="46" spans="1:31" s="18" customFormat="1" ht="15" customHeight="1" x14ac:dyDescent="0.3">
      <c r="A46" s="30">
        <v>39</v>
      </c>
      <c r="B46" s="87" t="s">
        <v>85</v>
      </c>
      <c r="C46" s="62">
        <v>8</v>
      </c>
      <c r="D46" s="36">
        <f>IF($C46&gt;0,VLOOKUP($C46,'Projeto Temático'!$A$9:$D$16,4),0)</f>
        <v>0.56999999999999995</v>
      </c>
      <c r="E46" s="36">
        <f>D46*5*0.22</f>
        <v>0.62699999999999989</v>
      </c>
      <c r="F46" s="31">
        <f>IF($C46&gt;0,VLOOKUP($C46,'Projeto Temático'!$A$9:$D$16,3),0)*O46</f>
        <v>0.9</v>
      </c>
      <c r="G46" s="32">
        <v>3</v>
      </c>
      <c r="H46" s="36">
        <f>IF($G46&gt;0,VLOOKUP($G46,'Projeto Temático'!$A$20:$D$27,4),0)</f>
        <v>0.75</v>
      </c>
      <c r="I46" s="82">
        <f>H46*5*0.21</f>
        <v>0.78749999999999998</v>
      </c>
      <c r="J46" s="59">
        <f>IF($G46&gt;0,VLOOKUP($G46,'Projeto Temático'!$A$20:$D$27,3),0)*S46</f>
        <v>1</v>
      </c>
      <c r="K46" s="72">
        <v>1</v>
      </c>
      <c r="L46" s="72">
        <v>1</v>
      </c>
      <c r="M46" s="72">
        <v>1</v>
      </c>
      <c r="N46" s="72">
        <v>1</v>
      </c>
      <c r="O46" s="72">
        <v>1</v>
      </c>
      <c r="P46" s="72">
        <v>1</v>
      </c>
      <c r="Q46" s="72">
        <v>1</v>
      </c>
      <c r="R46" s="72">
        <v>1</v>
      </c>
      <c r="S46" s="72">
        <v>1</v>
      </c>
      <c r="T46" s="72">
        <v>1</v>
      </c>
      <c r="U46" s="72">
        <v>1</v>
      </c>
      <c r="V46" s="72">
        <v>1</v>
      </c>
      <c r="W46" s="72">
        <v>1</v>
      </c>
      <c r="X46" s="73">
        <v>1</v>
      </c>
      <c r="Y46" s="71">
        <v>7.0000000000000007E-2</v>
      </c>
      <c r="Z46" s="33">
        <f t="shared" si="0"/>
        <v>0.95</v>
      </c>
      <c r="AA46" s="71">
        <v>1</v>
      </c>
      <c r="AB46" s="71">
        <v>1</v>
      </c>
      <c r="AC46" s="33">
        <f>((E46+I46)/2)*IF(W46=0,0,X46)*V46*'Projeto Temático'!$B$32*AB46</f>
        <v>0.70724999999999993</v>
      </c>
      <c r="AD46" s="90">
        <f t="shared" si="1"/>
        <v>7.2139499999999988</v>
      </c>
      <c r="AE46" s="34">
        <f t="shared" ref="AE46:AE52" si="4">SUM(K46:W46)/COUNTA(K46:W46)</f>
        <v>1</v>
      </c>
    </row>
    <row r="47" spans="1:31" s="18" customFormat="1" ht="15" customHeight="1" x14ac:dyDescent="0.3">
      <c r="A47" s="30">
        <v>40</v>
      </c>
      <c r="B47" s="88" t="s">
        <v>86</v>
      </c>
      <c r="C47" s="32">
        <v>1</v>
      </c>
      <c r="D47" s="36">
        <f>IF($C47&gt;0,VLOOKUP($C47,'Projeto Temático'!$A$9:$D$16,4),0)</f>
        <v>0.56999999999999995</v>
      </c>
      <c r="E47" s="36">
        <f>(D47*5)*0.2</f>
        <v>0.56999999999999995</v>
      </c>
      <c r="F47" s="31">
        <f>IF($C47&gt;0,VLOOKUP($C47,'Projeto Temático'!$A$9:$D$16,3),0)*O47</f>
        <v>0.9</v>
      </c>
      <c r="G47" s="32">
        <v>4</v>
      </c>
      <c r="H47" s="36">
        <f>IF($G47&gt;0,VLOOKUP($G47,'Projeto Temático'!$A$20:$D$27,4),0)</f>
        <v>0.91</v>
      </c>
      <c r="I47" s="82">
        <f>H47*5*0.14</f>
        <v>0.63700000000000001</v>
      </c>
      <c r="J47" s="59">
        <f>IF($G47&gt;0,VLOOKUP($G47,'Projeto Temático'!$A$20:$D$27,3),0)*S47</f>
        <v>0.9</v>
      </c>
      <c r="K47" s="72">
        <v>1</v>
      </c>
      <c r="L47" s="72">
        <v>1</v>
      </c>
      <c r="M47" s="72">
        <v>1</v>
      </c>
      <c r="N47" s="72">
        <v>0</v>
      </c>
      <c r="O47" s="72">
        <v>1</v>
      </c>
      <c r="P47" s="72">
        <v>1</v>
      </c>
      <c r="Q47" s="72">
        <v>1</v>
      </c>
      <c r="R47" s="72">
        <v>1</v>
      </c>
      <c r="S47" s="72">
        <v>1</v>
      </c>
      <c r="T47" s="72">
        <v>1</v>
      </c>
      <c r="U47" s="72">
        <v>1</v>
      </c>
      <c r="V47" s="72">
        <v>1</v>
      </c>
      <c r="W47" s="72">
        <v>1</v>
      </c>
      <c r="X47" s="73">
        <v>1</v>
      </c>
      <c r="Y47" s="71">
        <v>0.03</v>
      </c>
      <c r="Z47" s="33">
        <f t="shared" si="0"/>
        <v>0.9</v>
      </c>
      <c r="AA47" s="71">
        <v>1</v>
      </c>
      <c r="AB47" s="71"/>
      <c r="AC47" s="33">
        <f>((E47+I47)/2)*IF(W47=0,0,X47)*V47*'Projeto Temático'!$B$32*AB47</f>
        <v>0</v>
      </c>
      <c r="AD47" s="90">
        <f t="shared" si="1"/>
        <v>0</v>
      </c>
      <c r="AE47" s="34">
        <f t="shared" si="4"/>
        <v>0.92307692307692313</v>
      </c>
    </row>
    <row r="48" spans="1:31" s="18" customFormat="1" ht="15" customHeight="1" x14ac:dyDescent="0.3">
      <c r="A48" s="30">
        <v>41</v>
      </c>
      <c r="B48" s="87" t="s">
        <v>87</v>
      </c>
      <c r="C48" s="32">
        <v>2</v>
      </c>
      <c r="D48" s="36">
        <f>IF($C48&gt;0,VLOOKUP($C48,'Projeto Temático'!$A$9:$D$16,4),0)</f>
        <v>0.86</v>
      </c>
      <c r="E48" s="36">
        <f>D48*6*0.19</f>
        <v>0.98040000000000005</v>
      </c>
      <c r="F48" s="31">
        <f>IF($C48&gt;0,VLOOKUP($C48,'Projeto Temático'!$A$9:$D$16,3),0)*O48</f>
        <v>0.9</v>
      </c>
      <c r="G48" s="32">
        <v>5</v>
      </c>
      <c r="H48" s="36">
        <f>IF($G48&gt;0,VLOOKUP($G48,'Projeto Temático'!$A$20:$D$27,4),0)</f>
        <v>0.6</v>
      </c>
      <c r="I48" s="82">
        <f>H48*6*0.17</f>
        <v>0.61199999999999999</v>
      </c>
      <c r="J48" s="59">
        <f>IF($G48&gt;0,VLOOKUP($G48,'Projeto Temático'!$A$20:$D$27,3),0)*S48</f>
        <v>1</v>
      </c>
      <c r="K48" s="72">
        <v>1</v>
      </c>
      <c r="L48" s="72">
        <v>1</v>
      </c>
      <c r="M48" s="72">
        <v>1</v>
      </c>
      <c r="N48" s="72">
        <v>1</v>
      </c>
      <c r="O48" s="72">
        <v>1</v>
      </c>
      <c r="P48" s="72">
        <v>1</v>
      </c>
      <c r="Q48" s="72">
        <v>1</v>
      </c>
      <c r="R48" s="72">
        <v>1</v>
      </c>
      <c r="S48" s="72">
        <v>1</v>
      </c>
      <c r="T48" s="72">
        <v>1</v>
      </c>
      <c r="U48" s="72">
        <v>1</v>
      </c>
      <c r="V48" s="72">
        <v>1</v>
      </c>
      <c r="W48" s="72">
        <v>1</v>
      </c>
      <c r="X48" s="73">
        <v>1</v>
      </c>
      <c r="Y48" s="71">
        <v>0.1</v>
      </c>
      <c r="Z48" s="33">
        <f t="shared" si="0"/>
        <v>0.95</v>
      </c>
      <c r="AA48" s="71">
        <v>1</v>
      </c>
      <c r="AB48" s="71">
        <v>1</v>
      </c>
      <c r="AC48" s="33">
        <f>((E48+I48)/2)*IF(W48=0,0,X48)*V48*'Projeto Temático'!$B$32*AB48</f>
        <v>0.79620000000000002</v>
      </c>
      <c r="AD48" s="90">
        <f t="shared" si="1"/>
        <v>8.360100000000001</v>
      </c>
      <c r="AE48" s="34">
        <f t="shared" si="4"/>
        <v>1</v>
      </c>
    </row>
    <row r="49" spans="1:31" s="18" customFormat="1" ht="15" customHeight="1" x14ac:dyDescent="0.3">
      <c r="A49" s="30">
        <v>42</v>
      </c>
      <c r="B49" s="87" t="s">
        <v>88</v>
      </c>
      <c r="C49" s="32">
        <v>3</v>
      </c>
      <c r="D49" s="36">
        <f>IF($C49&gt;0,VLOOKUP($C49,'Projeto Temático'!$A$9:$D$16,4),0)</f>
        <v>0.67</v>
      </c>
      <c r="E49" s="36">
        <f>D49*6*0.19</f>
        <v>0.76380000000000015</v>
      </c>
      <c r="F49" s="31">
        <f>IF($C49&gt;0,VLOOKUP($C49,'Projeto Temático'!$A$9:$D$16,3),0)*O49</f>
        <v>0.9</v>
      </c>
      <c r="G49" s="32">
        <v>6</v>
      </c>
      <c r="H49" s="36">
        <f>IF($G49&gt;0,VLOOKUP($G49,'Projeto Temático'!$A$20:$D$27,4),0)</f>
        <v>0.82</v>
      </c>
      <c r="I49" s="82">
        <f>H49*5*0.21</f>
        <v>0.86099999999999988</v>
      </c>
      <c r="J49" s="59">
        <f>IF($G49&gt;0,VLOOKUP($G49,'Projeto Temático'!$A$20:$D$27,3),0)*S49</f>
        <v>0.9</v>
      </c>
      <c r="K49" s="72">
        <v>1</v>
      </c>
      <c r="L49" s="72">
        <v>1</v>
      </c>
      <c r="M49" s="72">
        <v>1</v>
      </c>
      <c r="N49" s="72">
        <v>0</v>
      </c>
      <c r="O49" s="72">
        <v>1</v>
      </c>
      <c r="P49" s="72">
        <v>1</v>
      </c>
      <c r="Q49" s="72">
        <v>1</v>
      </c>
      <c r="R49" s="72">
        <v>1</v>
      </c>
      <c r="S49" s="72">
        <v>1</v>
      </c>
      <c r="T49" s="72">
        <v>1</v>
      </c>
      <c r="U49" s="72">
        <v>1</v>
      </c>
      <c r="V49" s="72">
        <v>1</v>
      </c>
      <c r="W49" s="72">
        <v>1</v>
      </c>
      <c r="X49" s="73">
        <v>1</v>
      </c>
      <c r="Y49" s="71"/>
      <c r="Z49" s="33">
        <f t="shared" si="0"/>
        <v>0.9</v>
      </c>
      <c r="AA49" s="71">
        <v>1</v>
      </c>
      <c r="AB49" s="71">
        <v>1</v>
      </c>
      <c r="AC49" s="33">
        <f>((E49+I49)/2)*IF(W49=0,0,X49)*V49*'Projeto Temático'!$B$32*AB49</f>
        <v>0.81240000000000001</v>
      </c>
      <c r="AD49" s="90">
        <f t="shared" si="1"/>
        <v>7.3116000000000003</v>
      </c>
      <c r="AE49" s="34">
        <f t="shared" si="4"/>
        <v>0.92307692307692313</v>
      </c>
    </row>
    <row r="50" spans="1:31" s="18" customFormat="1" ht="15" customHeight="1" x14ac:dyDescent="0.3">
      <c r="A50" s="60">
        <v>43</v>
      </c>
      <c r="B50" s="87" t="s">
        <v>89</v>
      </c>
      <c r="C50" s="32">
        <v>4</v>
      </c>
      <c r="D50" s="36">
        <f>IF($C50&gt;0,VLOOKUP($C50,'Projeto Temático'!$A$9:$D$16,4),0)</f>
        <v>0.86</v>
      </c>
      <c r="E50" s="36">
        <f>D50</f>
        <v>0.86</v>
      </c>
      <c r="F50" s="31">
        <f>IF($C50&gt;0,VLOOKUP($C50,'Projeto Temático'!$A$9:$D$16,3),0)*O50</f>
        <v>1</v>
      </c>
      <c r="G50" s="32">
        <v>7</v>
      </c>
      <c r="H50" s="36">
        <f>IF($G50&gt;0,VLOOKUP($G50,'Projeto Temático'!$A$20:$D$27,4),0)</f>
        <v>0.72</v>
      </c>
      <c r="I50" s="82">
        <f>H50</f>
        <v>0.72</v>
      </c>
      <c r="J50" s="59">
        <f>IF($G50&gt;0,VLOOKUP($G50,'Projeto Temático'!$A$20:$D$27,3),0)*S50</f>
        <v>0.9</v>
      </c>
      <c r="K50" s="72">
        <v>1</v>
      </c>
      <c r="L50" s="72">
        <v>1</v>
      </c>
      <c r="M50" s="72">
        <v>1</v>
      </c>
      <c r="N50" s="72">
        <v>0</v>
      </c>
      <c r="O50" s="72">
        <v>1</v>
      </c>
      <c r="P50" s="72">
        <v>1</v>
      </c>
      <c r="Q50" s="72">
        <v>1</v>
      </c>
      <c r="R50" s="72">
        <v>1</v>
      </c>
      <c r="S50" s="72">
        <v>1</v>
      </c>
      <c r="T50" s="72">
        <v>1</v>
      </c>
      <c r="U50" s="72">
        <v>1</v>
      </c>
      <c r="V50" s="72">
        <v>1</v>
      </c>
      <c r="W50" s="72">
        <v>1</v>
      </c>
      <c r="X50" s="73">
        <v>1</v>
      </c>
      <c r="Y50" s="71">
        <v>0.03</v>
      </c>
      <c r="Z50" s="33">
        <f t="shared" si="0"/>
        <v>0.95</v>
      </c>
      <c r="AA50" s="71">
        <v>1</v>
      </c>
      <c r="AB50" s="71">
        <v>1</v>
      </c>
      <c r="AC50" s="33">
        <f>((E50+I50)/2)*IF(W50=0,0,X50)*V50*'Projeto Temático'!$B$32*AB50</f>
        <v>0.79</v>
      </c>
      <c r="AD50" s="90">
        <f t="shared" si="1"/>
        <v>7.7420000000000009</v>
      </c>
      <c r="AE50" s="34">
        <f t="shared" si="4"/>
        <v>0.92307692307692313</v>
      </c>
    </row>
    <row r="51" spans="1:31" s="18" customFormat="1" ht="15" customHeight="1" x14ac:dyDescent="0.3">
      <c r="A51" s="60">
        <v>44</v>
      </c>
      <c r="B51" s="87" t="s">
        <v>90</v>
      </c>
      <c r="C51" s="32">
        <v>5</v>
      </c>
      <c r="D51" s="36">
        <f>IF($C51&gt;0,VLOOKUP($C51,'Projeto Temático'!$A$9:$D$16,4),0)</f>
        <v>0.86</v>
      </c>
      <c r="E51" s="36">
        <f>D51*6*0.19</f>
        <v>0.98040000000000005</v>
      </c>
      <c r="F51" s="31">
        <f>IF($C51&gt;0,VLOOKUP($C51,'Projeto Temático'!$A$9:$D$16,3),0)*O51</f>
        <v>1</v>
      </c>
      <c r="G51" s="32">
        <v>8</v>
      </c>
      <c r="H51" s="36">
        <f>IF($G51&gt;0,VLOOKUP($G51,'Projeto Temático'!$A$20:$D$27,4),0)</f>
        <v>0.52</v>
      </c>
      <c r="I51" s="82">
        <f>H51*6*0.16</f>
        <v>0.49920000000000003</v>
      </c>
      <c r="J51" s="59">
        <f>IF($G51&gt;0,VLOOKUP($G51,'Projeto Temático'!$A$20:$D$27,3),0)*S51</f>
        <v>1</v>
      </c>
      <c r="K51" s="72">
        <v>1</v>
      </c>
      <c r="L51" s="72">
        <v>1</v>
      </c>
      <c r="M51" s="72">
        <v>1</v>
      </c>
      <c r="N51" s="72">
        <v>1</v>
      </c>
      <c r="O51" s="72">
        <v>1</v>
      </c>
      <c r="P51" s="72">
        <v>1</v>
      </c>
      <c r="Q51" s="72">
        <v>1</v>
      </c>
      <c r="R51" s="72">
        <v>1</v>
      </c>
      <c r="S51" s="72">
        <v>1</v>
      </c>
      <c r="T51" s="72">
        <v>1</v>
      </c>
      <c r="U51" s="72">
        <v>1</v>
      </c>
      <c r="V51" s="72">
        <v>1</v>
      </c>
      <c r="W51" s="72">
        <v>1</v>
      </c>
      <c r="X51" s="73">
        <v>1</v>
      </c>
      <c r="Y51" s="71">
        <v>7.0000000000000007E-2</v>
      </c>
      <c r="Z51" s="33">
        <f t="shared" si="0"/>
        <v>1</v>
      </c>
      <c r="AA51" s="71">
        <v>1</v>
      </c>
      <c r="AB51" s="71">
        <v>1</v>
      </c>
      <c r="AC51" s="33">
        <f>((E51+I51)/2)*IF(W51=0,0,X51)*V51*'Projeto Temático'!$B$32*AB51</f>
        <v>0.73980000000000001</v>
      </c>
      <c r="AD51" s="90">
        <f t="shared" si="1"/>
        <v>7.9158600000000012</v>
      </c>
      <c r="AE51" s="34">
        <f t="shared" si="4"/>
        <v>1</v>
      </c>
    </row>
    <row r="52" spans="1:31" s="18" customFormat="1" ht="15" customHeight="1" x14ac:dyDescent="0.3">
      <c r="A52" s="60">
        <v>45</v>
      </c>
      <c r="B52" s="87" t="s">
        <v>91</v>
      </c>
      <c r="C52" s="32">
        <v>6</v>
      </c>
      <c r="D52" s="36">
        <f>IF($C52&gt;0,VLOOKUP($C52,'Projeto Temático'!$A$9:$D$16,4),0)</f>
        <v>0.81</v>
      </c>
      <c r="E52" s="36">
        <f>D52*5*0.19</f>
        <v>0.76950000000000018</v>
      </c>
      <c r="F52" s="31">
        <f>IF($C52&gt;0,VLOOKUP($C52,'Projeto Temático'!$A$9:$D$16,3),0)*O52</f>
        <v>1</v>
      </c>
      <c r="G52" s="32">
        <v>1</v>
      </c>
      <c r="H52" s="36">
        <f>IF($G52&gt;0,VLOOKUP($G52,'Projeto Temático'!$A$20:$D$27,4),0)</f>
        <v>0.89</v>
      </c>
      <c r="I52" s="82">
        <f>H52*6*0.17</f>
        <v>0.90780000000000005</v>
      </c>
      <c r="J52" s="59">
        <f>IF($G52&gt;0,VLOOKUP($G52,'Projeto Temático'!$A$20:$D$27,3),0)*S52</f>
        <v>0.9</v>
      </c>
      <c r="K52" s="72">
        <v>1</v>
      </c>
      <c r="L52" s="72">
        <v>1</v>
      </c>
      <c r="M52" s="72">
        <v>1</v>
      </c>
      <c r="N52" s="72">
        <v>1</v>
      </c>
      <c r="O52" s="72">
        <v>1</v>
      </c>
      <c r="P52" s="72">
        <v>1</v>
      </c>
      <c r="Q52" s="72">
        <v>1</v>
      </c>
      <c r="R52" s="72">
        <v>1</v>
      </c>
      <c r="S52" s="72">
        <v>1</v>
      </c>
      <c r="T52" s="72">
        <v>1</v>
      </c>
      <c r="U52" s="72">
        <v>1</v>
      </c>
      <c r="V52" s="72">
        <v>1</v>
      </c>
      <c r="W52" s="72">
        <v>1</v>
      </c>
      <c r="X52" s="73">
        <v>1</v>
      </c>
      <c r="Y52" s="71">
        <v>0.03</v>
      </c>
      <c r="Z52" s="33">
        <f t="shared" si="0"/>
        <v>0.95</v>
      </c>
      <c r="AA52" s="71">
        <v>1</v>
      </c>
      <c r="AB52" s="71">
        <v>1</v>
      </c>
      <c r="AC52" s="33">
        <f>((E52+I52)/2)*IF(W52=0,0,X52)*V52*'Projeto Temático'!$B$32*AB52</f>
        <v>0.83865000000000012</v>
      </c>
      <c r="AD52" s="90">
        <f t="shared" si="1"/>
        <v>8.218770000000001</v>
      </c>
      <c r="AE52" s="34">
        <f t="shared" si="4"/>
        <v>1</v>
      </c>
    </row>
    <row r="53" spans="1:31" s="18" customFormat="1" ht="15" customHeight="1" x14ac:dyDescent="0.3">
      <c r="A53" s="60">
        <v>46</v>
      </c>
      <c r="B53" s="84"/>
      <c r="C53" s="32"/>
      <c r="D53" s="36"/>
      <c r="E53" s="36"/>
      <c r="F53" s="31"/>
      <c r="G53" s="32"/>
      <c r="H53" s="36"/>
      <c r="I53" s="82"/>
      <c r="J53" s="59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  <c r="Y53" s="71"/>
      <c r="Z53" s="33"/>
      <c r="AA53" s="71"/>
      <c r="AB53" s="71"/>
      <c r="AC53" s="33"/>
      <c r="AD53" s="33"/>
      <c r="AE53" s="34"/>
    </row>
    <row r="54" spans="1:31" s="18" customFormat="1" ht="15" customHeight="1" x14ac:dyDescent="0.3">
      <c r="A54" s="60">
        <v>47</v>
      </c>
      <c r="B54" s="84"/>
      <c r="C54" s="32"/>
      <c r="D54" s="36"/>
      <c r="E54" s="36"/>
      <c r="F54" s="31"/>
      <c r="G54" s="32"/>
      <c r="H54" s="36"/>
      <c r="I54" s="82"/>
      <c r="J54" s="59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1"/>
      <c r="Z54" s="33"/>
      <c r="AA54" s="71"/>
      <c r="AB54" s="71"/>
      <c r="AC54" s="33"/>
      <c r="AD54" s="33"/>
      <c r="AE54" s="34"/>
    </row>
    <row r="55" spans="1:31" s="18" customFormat="1" ht="15" customHeight="1" x14ac:dyDescent="0.3">
      <c r="A55" s="60">
        <v>48</v>
      </c>
      <c r="B55" s="84"/>
      <c r="C55" s="32"/>
      <c r="D55" s="36"/>
      <c r="E55" s="36"/>
      <c r="F55" s="31"/>
      <c r="G55" s="61"/>
      <c r="H55" s="36"/>
      <c r="I55" s="83"/>
      <c r="J55" s="59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3"/>
      <c r="Y55" s="74"/>
      <c r="Z55" s="33"/>
      <c r="AA55" s="71"/>
      <c r="AB55" s="71"/>
      <c r="AC55" s="33"/>
      <c r="AD55" s="33"/>
      <c r="AE55" s="34"/>
    </row>
    <row r="56" spans="1:31" ht="15" customHeight="1" x14ac:dyDescent="0.3">
      <c r="A56" s="62">
        <v>49</v>
      </c>
      <c r="B56" s="84"/>
      <c r="C56" s="32"/>
      <c r="D56" s="36"/>
      <c r="E56" s="36"/>
      <c r="F56" s="31"/>
      <c r="G56" s="63"/>
      <c r="H56" s="36"/>
      <c r="I56" s="82"/>
      <c r="J56" s="59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3"/>
      <c r="Y56" s="75"/>
      <c r="Z56" s="33"/>
      <c r="AA56" s="71"/>
      <c r="AB56" s="71"/>
      <c r="AC56" s="33"/>
      <c r="AD56" s="33"/>
      <c r="AE56" s="34"/>
    </row>
    <row r="57" spans="1:31" ht="15" customHeight="1" x14ac:dyDescent="0.3">
      <c r="A57" s="32">
        <v>50</v>
      </c>
      <c r="B57" s="84"/>
      <c r="C57" s="32"/>
      <c r="D57" s="36"/>
      <c r="E57" s="36"/>
      <c r="F57" s="31"/>
      <c r="G57" s="32"/>
      <c r="H57" s="36"/>
      <c r="I57" s="82"/>
      <c r="J57" s="59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3"/>
      <c r="Y57" s="71"/>
      <c r="Z57" s="33"/>
      <c r="AA57" s="71"/>
      <c r="AB57" s="71"/>
      <c r="AC57" s="33"/>
      <c r="AD57" s="33"/>
      <c r="AE57" s="34"/>
    </row>
    <row r="58" spans="1:31" ht="15" customHeight="1" x14ac:dyDescent="0.3">
      <c r="A58" s="30">
        <v>51</v>
      </c>
      <c r="B58" s="84"/>
      <c r="C58" s="32"/>
      <c r="D58" s="36"/>
      <c r="E58" s="36"/>
      <c r="F58" s="31"/>
      <c r="G58" s="63"/>
      <c r="H58" s="36"/>
      <c r="I58" s="82"/>
      <c r="J58" s="59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3"/>
      <c r="Y58" s="75"/>
      <c r="Z58" s="33"/>
      <c r="AA58" s="71"/>
      <c r="AB58" s="71"/>
      <c r="AC58" s="33"/>
      <c r="AD58" s="33"/>
      <c r="AE58" s="34"/>
    </row>
    <row r="59" spans="1:31" ht="15" customHeight="1" x14ac:dyDescent="0.3">
      <c r="B59" s="39" t="s">
        <v>28</v>
      </c>
      <c r="D59" s="40">
        <f>SUM(D8:D58)</f>
        <v>33.299999999999997</v>
      </c>
      <c r="E59" s="40">
        <f>SUM(E8:E58)</f>
        <v>33.299999999999997</v>
      </c>
      <c r="F59" s="41"/>
      <c r="G59" s="42"/>
      <c r="H59" s="40">
        <f>SUM(H8:H58)</f>
        <v>32.730000000000004</v>
      </c>
      <c r="I59" s="40">
        <f>SUM(I8:I58)</f>
        <v>32.72999999999999</v>
      </c>
      <c r="Y59" s="40">
        <f>SUM(Y8:Y58)</f>
        <v>1.3000000000000005</v>
      </c>
      <c r="Z59" s="43"/>
      <c r="AA59" s="43"/>
      <c r="AB59" s="43">
        <v>1</v>
      </c>
      <c r="AC59" s="41">
        <f>AVERAGE(AC8:AC52)</f>
        <v>0.72025555555555532</v>
      </c>
      <c r="AD59" s="41">
        <f>AVERAGE(AD8:AD52)</f>
        <v>7.0074876111111113</v>
      </c>
    </row>
    <row r="60" spans="1:31" ht="15" customHeight="1" x14ac:dyDescent="0.3"/>
    <row r="61" spans="1:31" ht="15" customHeight="1" x14ac:dyDescent="0.3"/>
    <row r="62" spans="1:31" ht="15" customHeight="1" x14ac:dyDescent="0.3">
      <c r="B62" s="64"/>
      <c r="C62" s="65"/>
      <c r="D62" s="66"/>
      <c r="E62" s="66"/>
      <c r="F62" s="67"/>
      <c r="G62" s="68"/>
      <c r="H62" s="66"/>
      <c r="I62" s="66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43"/>
      <c r="AA62" s="43"/>
      <c r="AB62" s="43"/>
    </row>
    <row r="63" spans="1:31" ht="15" customHeight="1" x14ac:dyDescent="0.3">
      <c r="B63" s="64"/>
      <c r="C63" s="65"/>
      <c r="D63" s="66"/>
      <c r="E63" s="66"/>
      <c r="F63" s="67"/>
      <c r="G63" s="68"/>
      <c r="H63" s="66"/>
      <c r="I63" s="66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3"/>
      <c r="AA63" s="43"/>
      <c r="AB63" s="43"/>
    </row>
    <row r="64" spans="1:31" ht="15" customHeight="1" x14ac:dyDescent="0.3">
      <c r="A64" s="43" t="s">
        <v>32</v>
      </c>
    </row>
    <row r="65" spans="1:1" ht="15" customHeight="1" x14ac:dyDescent="0.35">
      <c r="A65" s="44" t="s">
        <v>29</v>
      </c>
    </row>
    <row r="66" spans="1:1" ht="15" customHeight="1" x14ac:dyDescent="0.35">
      <c r="A66" s="44"/>
    </row>
    <row r="67" spans="1:1" ht="15" customHeight="1" x14ac:dyDescent="0.3"/>
    <row r="68" spans="1:1" ht="15" customHeight="1" x14ac:dyDescent="0.3"/>
    <row r="69" spans="1:1" ht="15" customHeight="1" x14ac:dyDescent="0.3"/>
    <row r="70" spans="1:1" ht="15" customHeight="1" x14ac:dyDescent="0.3"/>
    <row r="71" spans="1:1" ht="15" customHeight="1" x14ac:dyDescent="0.3"/>
    <row r="72" spans="1:1" ht="15" customHeight="1" x14ac:dyDescent="0.3"/>
    <row r="73" spans="1:1" ht="15" customHeight="1" x14ac:dyDescent="0.3"/>
    <row r="74" spans="1:1" ht="15" customHeight="1" x14ac:dyDescent="0.3"/>
    <row r="75" spans="1:1" ht="15" customHeight="1" x14ac:dyDescent="0.3"/>
    <row r="76" spans="1:1" ht="15" customHeight="1" x14ac:dyDescent="0.3"/>
    <row r="77" spans="1:1" ht="15" customHeight="1" x14ac:dyDescent="0.3"/>
    <row r="78" spans="1:1" ht="15" customHeight="1" x14ac:dyDescent="0.3"/>
    <row r="79" spans="1:1" ht="15" customHeight="1" x14ac:dyDescent="0.3"/>
    <row r="80" spans="1:1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</sheetData>
  <sheetProtection algorithmName="SHA-512" hashValue="H9xBn0hCGsRsQ61mD8brJcYQF/cWbu7+ufTHaGElyAnm2p8MHovn6j9pyf9vm+0PQ2tK1XasD5ZTxFpgjqLgRQ==" saltValue="a4uHPemApCM5hWUI0KtFJQ==" spinCount="100000" sheet="1" formatCells="0" formatColumns="0" formatRows="0" insertColumns="0" insertRows="0" deleteColumns="0" deleteRows="0" sort="0" autoFilter="0" pivotTables="0"/>
  <protectedRanges>
    <protectedRange password="CC6F" sqref="B62:AE75 A59:A75 AF56:IV75 B59:AE60" name="Intervalo5"/>
    <protectedRange password="CC6F" sqref="B57 B8:B55" name="Intervalo1"/>
  </protectedRanges>
  <mergeCells count="3">
    <mergeCell ref="C6:F6"/>
    <mergeCell ref="G6:J6"/>
    <mergeCell ref="K6:X6"/>
  </mergeCells>
  <phoneticPr fontId="0" type="noConversion"/>
  <printOptions horizontalCentered="1" verticalCentered="1"/>
  <pageMargins left="0.25" right="0.25" top="0.75" bottom="0.75" header="0.3" footer="0.3"/>
  <pageSetup paperSize="9" scale="60" fitToHeight="0" orientation="landscape" horizontalDpi="300" verticalDpi="300" r:id="rId1"/>
  <headerFooter alignWithMargins="0">
    <oddFooter>&amp;C&amp;"Trebuchet MS,Itálico"&amp;9PNV 2100 - Introdução à Engenharia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33"/>
  <sheetViews>
    <sheetView showGridLines="0" workbookViewId="0">
      <selection activeCell="A23" sqref="A1:XFD1048576"/>
    </sheetView>
  </sheetViews>
  <sheetFormatPr defaultColWidth="8.81640625" defaultRowHeight="11.5" x14ac:dyDescent="0.25"/>
  <cols>
    <col min="1" max="1" width="2" style="2" customWidth="1"/>
    <col min="2" max="2" width="8.81640625" style="2"/>
    <col min="3" max="3" width="38.1796875" style="2" customWidth="1"/>
    <col min="4" max="5" width="8.1796875" style="2" customWidth="1"/>
    <col min="6" max="6" width="9" style="2" customWidth="1"/>
    <col min="7" max="8" width="8.1796875" style="2" customWidth="1"/>
    <col min="9" max="9" width="1.453125" style="2" customWidth="1"/>
    <col min="10" max="11" width="8.1796875" style="2" customWidth="1"/>
    <col min="12" max="12" width="9.453125" style="2" customWidth="1"/>
    <col min="13" max="14" width="8.1796875" style="2" customWidth="1"/>
    <col min="15" max="16384" width="8.81640625" style="2"/>
  </cols>
  <sheetData>
    <row r="1" spans="2:14" x14ac:dyDescent="0.25">
      <c r="B1" s="1"/>
    </row>
    <row r="2" spans="2:14" x14ac:dyDescent="0.25">
      <c r="B2" s="1"/>
    </row>
    <row r="4" spans="2:14" ht="12" thickBot="1" x14ac:dyDescent="0.3">
      <c r="B4" s="1"/>
    </row>
    <row r="5" spans="2:14" ht="12" thickBot="1" x14ac:dyDescent="0.3">
      <c r="B5" s="3"/>
      <c r="C5" s="3"/>
      <c r="D5" s="4"/>
      <c r="E5" s="5"/>
      <c r="F5" s="5"/>
      <c r="G5" s="5"/>
      <c r="H5" s="5"/>
      <c r="J5" s="6"/>
      <c r="K5" s="7"/>
      <c r="L5" s="7"/>
      <c r="M5" s="7"/>
      <c r="N5" s="7"/>
    </row>
    <row r="6" spans="2:14" ht="28.5" customHeight="1" thickBot="1" x14ac:dyDescent="0.3">
      <c r="B6" s="97"/>
      <c r="C6" s="8"/>
      <c r="D6" s="9"/>
      <c r="E6" s="9"/>
      <c r="F6" s="9"/>
      <c r="G6" s="9"/>
      <c r="H6" s="9"/>
      <c r="I6" s="10"/>
      <c r="J6" s="11"/>
      <c r="K6" s="11"/>
      <c r="L6" s="11"/>
      <c r="M6" s="11"/>
      <c r="N6" s="11"/>
    </row>
    <row r="7" spans="2:14" ht="28.5" customHeight="1" thickBot="1" x14ac:dyDescent="0.3">
      <c r="B7" s="98"/>
      <c r="C7" s="8"/>
      <c r="D7" s="9"/>
      <c r="E7" s="9"/>
      <c r="F7" s="9"/>
      <c r="G7" s="9"/>
      <c r="H7" s="9"/>
      <c r="I7" s="10"/>
      <c r="J7" s="11"/>
      <c r="K7" s="11"/>
      <c r="L7" s="11"/>
      <c r="M7" s="11"/>
      <c r="N7" s="11"/>
    </row>
    <row r="8" spans="2:14" ht="28.5" customHeight="1" thickBot="1" x14ac:dyDescent="0.3">
      <c r="B8" s="98"/>
      <c r="C8" s="8"/>
      <c r="D8" s="9"/>
      <c r="E8" s="9"/>
      <c r="F8" s="9"/>
      <c r="G8" s="9"/>
      <c r="H8" s="9"/>
      <c r="I8" s="10"/>
      <c r="J8" s="11"/>
      <c r="K8" s="11"/>
      <c r="L8" s="11"/>
      <c r="M8" s="11"/>
      <c r="N8" s="11"/>
    </row>
    <row r="9" spans="2:14" ht="28.5" customHeight="1" thickBot="1" x14ac:dyDescent="0.3">
      <c r="B9" s="99"/>
      <c r="C9" s="8"/>
      <c r="D9" s="9"/>
      <c r="E9" s="9"/>
      <c r="F9" s="9"/>
      <c r="G9" s="9"/>
      <c r="H9" s="9"/>
      <c r="I9" s="10"/>
      <c r="J9" s="11"/>
      <c r="K9" s="11"/>
      <c r="L9" s="11"/>
      <c r="M9" s="11"/>
      <c r="N9" s="11"/>
    </row>
    <row r="10" spans="2:14" ht="28.5" customHeight="1" thickBot="1" x14ac:dyDescent="0.3">
      <c r="B10" s="97"/>
      <c r="C10" s="8"/>
      <c r="D10" s="9"/>
      <c r="E10" s="9"/>
      <c r="F10" s="9"/>
      <c r="G10" s="9"/>
      <c r="H10" s="9"/>
      <c r="I10" s="10"/>
      <c r="J10" s="11"/>
      <c r="K10" s="11"/>
      <c r="L10" s="11"/>
      <c r="M10" s="11"/>
      <c r="N10" s="11"/>
    </row>
    <row r="11" spans="2:14" ht="28.5" customHeight="1" thickBot="1" x14ac:dyDescent="0.3">
      <c r="B11" s="98"/>
      <c r="C11" s="8"/>
      <c r="D11" s="9"/>
      <c r="E11" s="9"/>
      <c r="F11" s="9"/>
      <c r="G11" s="9"/>
      <c r="H11" s="9"/>
      <c r="I11" s="10"/>
      <c r="J11" s="11"/>
      <c r="K11" s="11"/>
      <c r="L11" s="11"/>
      <c r="M11" s="11"/>
      <c r="N11" s="11"/>
    </row>
    <row r="12" spans="2:14" ht="28.5" customHeight="1" thickBot="1" x14ac:dyDescent="0.3">
      <c r="B12" s="98"/>
      <c r="C12" s="8"/>
      <c r="D12" s="9"/>
      <c r="E12" s="9"/>
      <c r="F12" s="9"/>
      <c r="G12" s="9"/>
      <c r="H12" s="9"/>
      <c r="I12" s="10"/>
      <c r="J12" s="11"/>
      <c r="K12" s="11"/>
      <c r="L12" s="11"/>
      <c r="M12" s="11"/>
      <c r="N12" s="11"/>
    </row>
    <row r="13" spans="2:14" ht="28.5" customHeight="1" thickBot="1" x14ac:dyDescent="0.3">
      <c r="B13" s="98"/>
      <c r="C13" s="8"/>
      <c r="D13" s="9"/>
      <c r="E13" s="9"/>
      <c r="F13" s="9"/>
      <c r="G13" s="9"/>
      <c r="H13" s="9"/>
      <c r="I13" s="10"/>
      <c r="J13" s="11"/>
      <c r="K13" s="11"/>
      <c r="L13" s="11"/>
      <c r="M13" s="11"/>
      <c r="N13" s="11"/>
    </row>
    <row r="14" spans="2:14" ht="28.5" customHeight="1" thickBot="1" x14ac:dyDescent="0.3">
      <c r="B14" s="98"/>
      <c r="C14" s="8"/>
      <c r="D14" s="9"/>
      <c r="E14" s="9"/>
      <c r="F14" s="9"/>
      <c r="G14" s="9"/>
      <c r="H14" s="9"/>
      <c r="I14" s="10"/>
      <c r="J14" s="11"/>
      <c r="K14" s="11"/>
      <c r="L14" s="11"/>
      <c r="M14" s="11"/>
      <c r="N14" s="11"/>
    </row>
    <row r="15" spans="2:14" ht="28.5" customHeight="1" thickBot="1" x14ac:dyDescent="0.3">
      <c r="B15" s="98"/>
      <c r="C15" s="8"/>
      <c r="D15" s="9"/>
      <c r="E15" s="9"/>
      <c r="F15" s="9"/>
      <c r="G15" s="9"/>
      <c r="H15" s="9"/>
      <c r="I15" s="10"/>
      <c r="J15" s="11"/>
      <c r="K15" s="11"/>
      <c r="L15" s="11"/>
      <c r="M15" s="11"/>
      <c r="N15" s="11"/>
    </row>
    <row r="16" spans="2:14" ht="28.5" customHeight="1" thickBot="1" x14ac:dyDescent="0.3">
      <c r="B16" s="99"/>
      <c r="C16" s="8"/>
      <c r="D16" s="9"/>
      <c r="E16" s="9"/>
      <c r="F16" s="9"/>
      <c r="G16" s="9"/>
      <c r="H16" s="9"/>
      <c r="I16" s="10"/>
      <c r="J16" s="11"/>
      <c r="K16" s="11"/>
      <c r="L16" s="11"/>
      <c r="M16" s="11"/>
      <c r="N16" s="11"/>
    </row>
    <row r="19" spans="2:14" ht="12" thickBot="1" x14ac:dyDescent="0.3">
      <c r="B19" s="1"/>
    </row>
    <row r="20" spans="2:14" ht="12" thickBot="1" x14ac:dyDescent="0.3">
      <c r="B20" s="3"/>
      <c r="C20" s="3"/>
      <c r="D20" s="6"/>
      <c r="E20" s="7"/>
      <c r="F20" s="7"/>
      <c r="G20" s="7"/>
      <c r="H20" s="7"/>
      <c r="J20" s="6"/>
      <c r="K20" s="7"/>
      <c r="L20" s="7"/>
      <c r="M20" s="7"/>
      <c r="N20" s="7"/>
    </row>
    <row r="21" spans="2:14" ht="28.5" customHeight="1" thickBot="1" x14ac:dyDescent="0.3">
      <c r="B21" s="97"/>
      <c r="C21" s="12"/>
      <c r="D21" s="9"/>
      <c r="E21" s="9"/>
      <c r="F21" s="9"/>
      <c r="G21" s="9"/>
      <c r="H21" s="9"/>
      <c r="J21" s="11"/>
      <c r="K21" s="11"/>
      <c r="L21" s="11"/>
      <c r="M21" s="11"/>
      <c r="N21" s="11"/>
    </row>
    <row r="22" spans="2:14" ht="28.5" customHeight="1" thickBot="1" x14ac:dyDescent="0.3">
      <c r="B22" s="98"/>
      <c r="C22" s="12"/>
      <c r="D22" s="9"/>
      <c r="E22" s="9"/>
      <c r="F22" s="9"/>
      <c r="G22" s="9"/>
      <c r="H22" s="9"/>
      <c r="J22" s="11"/>
      <c r="K22" s="11"/>
      <c r="L22" s="11"/>
      <c r="M22" s="11"/>
      <c r="N22" s="11"/>
    </row>
    <row r="23" spans="2:14" ht="28.5" customHeight="1" thickBot="1" x14ac:dyDescent="0.3">
      <c r="B23" s="98"/>
      <c r="C23" s="12"/>
      <c r="D23" s="9"/>
      <c r="E23" s="9"/>
      <c r="F23" s="9"/>
      <c r="G23" s="9"/>
      <c r="H23" s="9"/>
      <c r="J23" s="11"/>
      <c r="K23" s="11"/>
      <c r="L23" s="11"/>
      <c r="M23" s="11"/>
      <c r="N23" s="11"/>
    </row>
    <row r="24" spans="2:14" ht="28.5" customHeight="1" thickBot="1" x14ac:dyDescent="0.3">
      <c r="B24" s="98"/>
      <c r="C24" s="12"/>
      <c r="D24" s="9"/>
      <c r="E24" s="9"/>
      <c r="F24" s="9"/>
      <c r="G24" s="9"/>
      <c r="H24" s="9"/>
      <c r="J24" s="11"/>
      <c r="K24" s="11"/>
      <c r="L24" s="11"/>
      <c r="M24" s="11"/>
      <c r="N24" s="11"/>
    </row>
    <row r="25" spans="2:14" ht="28.5" customHeight="1" thickBot="1" x14ac:dyDescent="0.3">
      <c r="B25" s="100"/>
      <c r="C25" s="12"/>
      <c r="D25" s="9"/>
      <c r="E25" s="9"/>
      <c r="F25" s="9"/>
      <c r="G25" s="9"/>
      <c r="H25" s="9"/>
      <c r="J25" s="11"/>
      <c r="K25" s="11"/>
      <c r="L25" s="11"/>
      <c r="M25" s="11"/>
      <c r="N25" s="11"/>
    </row>
    <row r="26" spans="2:14" ht="28.5" customHeight="1" thickBot="1" x14ac:dyDescent="0.3">
      <c r="B26" s="102"/>
      <c r="C26" s="12"/>
      <c r="D26" s="9"/>
      <c r="E26" s="9"/>
      <c r="F26" s="9"/>
      <c r="G26" s="9"/>
      <c r="H26" s="9"/>
      <c r="J26" s="11"/>
      <c r="K26" s="11"/>
      <c r="L26" s="11"/>
      <c r="M26" s="11"/>
      <c r="N26" s="11"/>
    </row>
    <row r="27" spans="2:14" ht="28.5" customHeight="1" thickBot="1" x14ac:dyDescent="0.3">
      <c r="B27" s="101"/>
      <c r="C27" s="12"/>
      <c r="D27" s="9"/>
      <c r="E27" s="9"/>
      <c r="F27" s="9"/>
      <c r="G27" s="9"/>
      <c r="H27" s="9"/>
      <c r="J27" s="11"/>
      <c r="K27" s="11"/>
      <c r="L27" s="11"/>
      <c r="M27" s="11"/>
      <c r="N27" s="11"/>
    </row>
    <row r="28" spans="2:14" ht="36.75" customHeight="1" thickBot="1" x14ac:dyDescent="0.3">
      <c r="B28" s="97"/>
      <c r="C28" s="12"/>
      <c r="D28" s="9"/>
      <c r="E28" s="9"/>
      <c r="F28" s="9"/>
      <c r="G28" s="9"/>
      <c r="H28" s="9"/>
      <c r="J28" s="11"/>
      <c r="K28" s="11"/>
      <c r="L28" s="11"/>
      <c r="M28" s="11"/>
      <c r="N28" s="11"/>
    </row>
    <row r="29" spans="2:14" ht="28.5" customHeight="1" thickBot="1" x14ac:dyDescent="0.3">
      <c r="B29" s="98"/>
      <c r="C29" s="12"/>
      <c r="D29" s="9"/>
      <c r="E29" s="9"/>
      <c r="F29" s="9"/>
      <c r="G29" s="9"/>
      <c r="H29" s="9"/>
      <c r="J29" s="11"/>
      <c r="K29" s="11"/>
      <c r="L29" s="11"/>
      <c r="M29" s="11"/>
      <c r="N29" s="11"/>
    </row>
    <row r="30" spans="2:14" ht="28.5" customHeight="1" thickBot="1" x14ac:dyDescent="0.3">
      <c r="B30" s="98"/>
      <c r="C30" s="12"/>
      <c r="D30" s="9"/>
      <c r="E30" s="9"/>
      <c r="F30" s="9"/>
      <c r="G30" s="9"/>
      <c r="H30" s="9"/>
      <c r="J30" s="11"/>
      <c r="K30" s="11"/>
      <c r="L30" s="11"/>
      <c r="M30" s="11"/>
      <c r="N30" s="11"/>
    </row>
    <row r="31" spans="2:14" ht="28.5" customHeight="1" thickBot="1" x14ac:dyDescent="0.3">
      <c r="B31" s="99"/>
      <c r="C31" s="12"/>
      <c r="D31" s="9"/>
      <c r="E31" s="9"/>
      <c r="F31" s="9"/>
      <c r="G31" s="9"/>
      <c r="H31" s="9"/>
      <c r="J31" s="11"/>
      <c r="K31" s="11"/>
      <c r="L31" s="11"/>
      <c r="M31" s="11"/>
      <c r="N31" s="11"/>
    </row>
    <row r="32" spans="2:14" ht="36.75" customHeight="1" thickBot="1" x14ac:dyDescent="0.3">
      <c r="B32" s="100"/>
      <c r="C32" s="13"/>
      <c r="D32" s="9"/>
      <c r="E32" s="9"/>
      <c r="F32" s="9"/>
      <c r="G32" s="9"/>
      <c r="H32" s="9"/>
      <c r="J32" s="11"/>
      <c r="K32" s="11"/>
      <c r="L32" s="11"/>
      <c r="M32" s="11"/>
      <c r="N32" s="11"/>
    </row>
    <row r="33" spans="2:14" ht="28.5" customHeight="1" thickBot="1" x14ac:dyDescent="0.3">
      <c r="B33" s="101"/>
      <c r="C33" s="12"/>
      <c r="D33" s="9"/>
      <c r="E33" s="9"/>
      <c r="F33" s="9"/>
      <c r="G33" s="9"/>
      <c r="H33" s="9"/>
      <c r="J33" s="11"/>
      <c r="K33" s="11"/>
      <c r="L33" s="11"/>
      <c r="M33" s="11"/>
      <c r="N33" s="11"/>
    </row>
  </sheetData>
  <mergeCells count="6">
    <mergeCell ref="B28:B31"/>
    <mergeCell ref="B32:B33"/>
    <mergeCell ref="B6:B9"/>
    <mergeCell ref="B10:B16"/>
    <mergeCell ref="B21:B24"/>
    <mergeCell ref="B25:B27"/>
  </mergeCells>
  <phoneticPr fontId="0" type="noConversion"/>
  <pageMargins left="0.78740157499999996" right="0.78740157499999996" top="0.984251969" bottom="0.984251969" header="0.49212598499999999" footer="0.49212598499999999"/>
  <pageSetup paperSize="9" scale="6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C38" sqref="C38"/>
    </sheetView>
  </sheetViews>
  <sheetFormatPr defaultColWidth="11.453125" defaultRowHeight="12.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Projeto Temático</vt:lpstr>
      <vt:lpstr>Notas e Frequências</vt:lpstr>
      <vt:lpstr>Avaliação Final Disciplina</vt:lpstr>
      <vt:lpstr>Sheet1</vt:lpstr>
      <vt:lpstr>'Avaliação Final Disciplina'!Area_de_impressao</vt:lpstr>
      <vt:lpstr>'Notas e Frequências'!Area_de_impressao</vt:lpstr>
      <vt:lpstr>'Projeto Temático'!Area_de_impressao</vt:lpstr>
      <vt:lpstr>'Notas e Frequências'!Titulos_de_impressao</vt:lpstr>
    </vt:vector>
  </TitlesOfParts>
  <Company>EPUSP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Eng. Naval e Oceanica</dc:creator>
  <cp:lastModifiedBy>Sergio Angulo</cp:lastModifiedBy>
  <cp:lastPrinted>2018-07-08T09:52:33Z</cp:lastPrinted>
  <dcterms:created xsi:type="dcterms:W3CDTF">2004-03-02T17:03:55Z</dcterms:created>
  <dcterms:modified xsi:type="dcterms:W3CDTF">2020-06-23T20:38:52Z</dcterms:modified>
</cp:coreProperties>
</file>