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3/P1/"/>
    </mc:Choice>
  </mc:AlternateContent>
  <xr:revisionPtr revIDLastSave="0" documentId="13_ncr:1_{E452776E-E3B1-B546-B67B-569586E5A79E}" xr6:coauthVersionLast="45" xr6:coauthVersionMax="45" xr10:uidLastSave="{00000000-0000-0000-0000-000000000000}"/>
  <bookViews>
    <workbookView xWindow="0" yWindow="0" windowWidth="28800" windowHeight="18000" activeTab="5" xr2:uid="{B8D02B2C-FED2-CC43-AF5F-A4B699059375}"/>
  </bookViews>
  <sheets>
    <sheet name="DADOS" sheetId="1" r:id="rId1"/>
    <sheet name="Questao1" sheetId="2" r:id="rId2"/>
    <sheet name="Questão2" sheetId="3" r:id="rId3"/>
    <sheet name="Questão3" sheetId="4" r:id="rId4"/>
    <sheet name="Questão4" sheetId="5" r:id="rId5"/>
    <sheet name="Fleischer p. 8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6" l="1"/>
  <c r="K11" i="6"/>
  <c r="K12" i="6"/>
  <c r="K13" i="6"/>
  <c r="K14" i="6"/>
  <c r="K15" i="6"/>
  <c r="K16" i="6"/>
  <c r="K17" i="6"/>
  <c r="K18" i="6"/>
  <c r="K19" i="6"/>
  <c r="K20" i="6"/>
  <c r="B13" i="6"/>
  <c r="B12" i="6"/>
  <c r="K10" i="6"/>
  <c r="C24" i="3"/>
  <c r="C26" i="3" s="1"/>
  <c r="C27" i="6"/>
  <c r="C35" i="6" s="1"/>
  <c r="C32" i="6"/>
  <c r="C31" i="6"/>
  <c r="C28" i="6"/>
  <c r="C28" i="3"/>
  <c r="C30" i="3"/>
  <c r="C29" i="6"/>
  <c r="H15" i="6"/>
  <c r="B10" i="6"/>
  <c r="C30" i="6" l="1"/>
  <c r="C32" i="3"/>
  <c r="M20" i="6"/>
  <c r="F10" i="6"/>
  <c r="M19" i="6"/>
  <c r="H18" i="6"/>
  <c r="H14" i="6"/>
  <c r="E11" i="6"/>
  <c r="H11" i="6"/>
  <c r="I11" i="6" s="1"/>
  <c r="H17" i="6"/>
  <c r="H13" i="6"/>
  <c r="H20" i="6"/>
  <c r="H16" i="6"/>
  <c r="H12" i="6"/>
  <c r="H19" i="6"/>
  <c r="M11" i="6"/>
  <c r="M18" i="6"/>
  <c r="M16" i="6"/>
  <c r="M14" i="6"/>
  <c r="M12" i="6"/>
  <c r="M17" i="6"/>
  <c r="M15" i="6"/>
  <c r="M13" i="6"/>
  <c r="F29" i="6" l="1"/>
  <c r="D11" i="6"/>
  <c r="H23" i="6" s="1"/>
  <c r="J11" i="6"/>
  <c r="N10" i="6"/>
  <c r="C10" i="2"/>
  <c r="G11" i="6" l="1"/>
  <c r="F11" i="6"/>
  <c r="E12" i="6" s="1"/>
  <c r="D12" i="6" s="1"/>
  <c r="N11" i="6"/>
  <c r="C5" i="2"/>
  <c r="D5" i="2"/>
  <c r="I12" i="6" l="1"/>
  <c r="J12" i="6"/>
  <c r="G12" i="6"/>
  <c r="F12" i="6"/>
  <c r="E29" i="5"/>
  <c r="F21" i="5"/>
  <c r="F20" i="5"/>
  <c r="F14" i="5"/>
  <c r="F13" i="5"/>
  <c r="F15" i="5"/>
  <c r="C4" i="4"/>
  <c r="C14" i="3"/>
  <c r="C13" i="3"/>
  <c r="C12" i="3"/>
  <c r="C19" i="3"/>
  <c r="C20" i="3"/>
  <c r="D13" i="2"/>
  <c r="F7" i="5" s="1"/>
  <c r="C13" i="2"/>
  <c r="N12" i="6" l="1"/>
  <c r="J13" i="6"/>
  <c r="E13" i="6"/>
  <c r="D13" i="6" s="1"/>
  <c r="I13" i="6"/>
  <c r="F12" i="5"/>
  <c r="F11" i="5" s="1"/>
  <c r="C6" i="3"/>
  <c r="E13" i="2"/>
  <c r="F5" i="5" s="1"/>
  <c r="F19" i="5" s="1"/>
  <c r="F18" i="5" s="1"/>
  <c r="F6" i="5"/>
  <c r="C5" i="3"/>
  <c r="F3" i="5"/>
  <c r="G3" i="5" s="1"/>
  <c r="G21" i="5"/>
  <c r="H21" i="5" s="1"/>
  <c r="I21" i="5" s="1"/>
  <c r="J21" i="5" s="1"/>
  <c r="K21" i="5" s="1"/>
  <c r="L21" i="5" s="1"/>
  <c r="M21" i="5" s="1"/>
  <c r="N21" i="5" s="1"/>
  <c r="O21" i="5" s="1"/>
  <c r="G20" i="5"/>
  <c r="H20" i="5" s="1"/>
  <c r="I20" i="5" s="1"/>
  <c r="J20" i="5" s="1"/>
  <c r="K20" i="5" s="1"/>
  <c r="L20" i="5" s="1"/>
  <c r="M20" i="5" s="1"/>
  <c r="N20" i="5" s="1"/>
  <c r="O20" i="5" s="1"/>
  <c r="G15" i="5"/>
  <c r="H15" i="5" s="1"/>
  <c r="I15" i="5" s="1"/>
  <c r="J15" i="5" s="1"/>
  <c r="K15" i="5" s="1"/>
  <c r="L15" i="5" s="1"/>
  <c r="M15" i="5" s="1"/>
  <c r="N15" i="5" s="1"/>
  <c r="O15" i="5" s="1"/>
  <c r="F13" i="6" l="1"/>
  <c r="E14" i="6" s="1"/>
  <c r="D14" i="6" s="1"/>
  <c r="G14" i="6" s="1"/>
  <c r="G13" i="6"/>
  <c r="F25" i="5"/>
  <c r="G25" i="5" s="1"/>
  <c r="H25" i="5" s="1"/>
  <c r="I25" i="5" s="1"/>
  <c r="J25" i="5" s="1"/>
  <c r="K25" i="5" s="1"/>
  <c r="L25" i="5" s="1"/>
  <c r="M25" i="5" s="1"/>
  <c r="N25" i="5" s="1"/>
  <c r="O25" i="5" s="1"/>
  <c r="F8" i="5"/>
  <c r="F9" i="5" s="1"/>
  <c r="F16" i="5" s="1"/>
  <c r="F23" i="5" s="1"/>
  <c r="G7" i="5"/>
  <c r="H7" i="5" s="1"/>
  <c r="I7" i="5" s="1"/>
  <c r="J7" i="5" s="1"/>
  <c r="K7" i="5" s="1"/>
  <c r="L7" i="5" s="1"/>
  <c r="M7" i="5" s="1"/>
  <c r="N7" i="5" s="1"/>
  <c r="O7" i="5" s="1"/>
  <c r="G14" i="5"/>
  <c r="H14" i="5" s="1"/>
  <c r="I14" i="5" s="1"/>
  <c r="J14" i="5" s="1"/>
  <c r="K14" i="5" s="1"/>
  <c r="L14" i="5" s="1"/>
  <c r="M14" i="5" s="1"/>
  <c r="N14" i="5" s="1"/>
  <c r="O14" i="5" s="1"/>
  <c r="G5" i="5"/>
  <c r="H5" i="5" s="1"/>
  <c r="I5" i="5" s="1"/>
  <c r="J5" i="5" s="1"/>
  <c r="K5" i="5" s="1"/>
  <c r="L5" i="5" s="1"/>
  <c r="M5" i="5" s="1"/>
  <c r="N5" i="5" s="1"/>
  <c r="O5" i="5" s="1"/>
  <c r="H3" i="5"/>
  <c r="G4" i="5"/>
  <c r="F4" i="5"/>
  <c r="G6" i="5"/>
  <c r="H6" i="5" s="1"/>
  <c r="I6" i="5" s="1"/>
  <c r="J6" i="5" s="1"/>
  <c r="K6" i="5" s="1"/>
  <c r="L6" i="5" s="1"/>
  <c r="M6" i="5" s="1"/>
  <c r="N6" i="5" s="1"/>
  <c r="O6" i="5" s="1"/>
  <c r="C4" i="3"/>
  <c r="I14" i="6" l="1"/>
  <c r="N13" i="6"/>
  <c r="J14" i="6"/>
  <c r="F14" i="6"/>
  <c r="I15" i="6" s="1"/>
  <c r="C7" i="3"/>
  <c r="C8" i="3" s="1"/>
  <c r="C18" i="3"/>
  <c r="C17" i="3" s="1"/>
  <c r="G23" i="5"/>
  <c r="F27" i="5"/>
  <c r="F31" i="5" s="1"/>
  <c r="C11" i="3"/>
  <c r="G8" i="5"/>
  <c r="H8" i="5" s="1"/>
  <c r="I8" i="5" s="1"/>
  <c r="J8" i="5" s="1"/>
  <c r="K8" i="5" s="1"/>
  <c r="L8" i="5" s="1"/>
  <c r="M8" i="5" s="1"/>
  <c r="N8" i="5" s="1"/>
  <c r="O8" i="5" s="1"/>
  <c r="I3" i="5"/>
  <c r="H4" i="5"/>
  <c r="G19" i="5"/>
  <c r="H19" i="5" s="1"/>
  <c r="I19" i="5" s="1"/>
  <c r="J19" i="5" s="1"/>
  <c r="K19" i="5" s="1"/>
  <c r="L19" i="5" s="1"/>
  <c r="M19" i="5" s="1"/>
  <c r="N19" i="5" s="1"/>
  <c r="O19" i="5" s="1"/>
  <c r="E15" i="6" l="1"/>
  <c r="D15" i="6" s="1"/>
  <c r="G15" i="6" s="1"/>
  <c r="J15" i="6"/>
  <c r="C34" i="3"/>
  <c r="C36" i="3" s="1"/>
  <c r="H23" i="5"/>
  <c r="G27" i="5"/>
  <c r="G31" i="5" s="1"/>
  <c r="C10" i="3"/>
  <c r="G11" i="5"/>
  <c r="H11" i="5" s="1"/>
  <c r="I11" i="5" s="1"/>
  <c r="J11" i="5" s="1"/>
  <c r="K11" i="5" s="1"/>
  <c r="L11" i="5" s="1"/>
  <c r="M11" i="5" s="1"/>
  <c r="N11" i="5" s="1"/>
  <c r="O11" i="5" s="1"/>
  <c r="G12" i="5"/>
  <c r="H12" i="5" s="1"/>
  <c r="I12" i="5" s="1"/>
  <c r="J12" i="5" s="1"/>
  <c r="K12" i="5" s="1"/>
  <c r="L12" i="5" s="1"/>
  <c r="M12" i="5" s="1"/>
  <c r="N12" i="5" s="1"/>
  <c r="O12" i="5" s="1"/>
  <c r="G18" i="5"/>
  <c r="H18" i="5" s="1"/>
  <c r="I18" i="5" s="1"/>
  <c r="J18" i="5" s="1"/>
  <c r="K18" i="5" s="1"/>
  <c r="L18" i="5" s="1"/>
  <c r="M18" i="5" s="1"/>
  <c r="N18" i="5" s="1"/>
  <c r="O18" i="5" s="1"/>
  <c r="E31" i="5"/>
  <c r="J3" i="5"/>
  <c r="I4" i="5"/>
  <c r="N14" i="6" l="1"/>
  <c r="N15" i="6"/>
  <c r="F15" i="6"/>
  <c r="I23" i="5"/>
  <c r="H27" i="5"/>
  <c r="H31" i="5" s="1"/>
  <c r="C15" i="3"/>
  <c r="G9" i="5"/>
  <c r="H9" i="5" s="1"/>
  <c r="I9" i="5" s="1"/>
  <c r="J9" i="5" s="1"/>
  <c r="K9" i="5" s="1"/>
  <c r="L9" i="5" s="1"/>
  <c r="M9" i="5" s="1"/>
  <c r="N9" i="5" s="1"/>
  <c r="O9" i="5" s="1"/>
  <c r="K3" i="5"/>
  <c r="J4" i="5"/>
  <c r="I16" i="6" l="1"/>
  <c r="E16" i="6"/>
  <c r="D16" i="6" s="1"/>
  <c r="J16" i="6"/>
  <c r="C22" i="3"/>
  <c r="J23" i="5"/>
  <c r="I27" i="5"/>
  <c r="I31" i="5" s="1"/>
  <c r="G16" i="5"/>
  <c r="H16" i="5" s="1"/>
  <c r="L3" i="5"/>
  <c r="K4" i="5"/>
  <c r="G16" i="6" l="1"/>
  <c r="F16" i="6"/>
  <c r="N16" i="6"/>
  <c r="K23" i="5"/>
  <c r="J27" i="5"/>
  <c r="J31" i="5" s="1"/>
  <c r="I16" i="5"/>
  <c r="M3" i="5"/>
  <c r="L4" i="5"/>
  <c r="E17" i="6" l="1"/>
  <c r="D17" i="6" s="1"/>
  <c r="G17" i="6" s="1"/>
  <c r="J17" i="6"/>
  <c r="I17" i="6"/>
  <c r="L23" i="5"/>
  <c r="K27" i="5"/>
  <c r="K31" i="5" s="1"/>
  <c r="N3" i="5"/>
  <c r="M4" i="5"/>
  <c r="J16" i="5"/>
  <c r="F17" i="6" l="1"/>
  <c r="N17" i="6"/>
  <c r="J18" i="6"/>
  <c r="I18" i="6"/>
  <c r="E18" i="6"/>
  <c r="D18" i="6" s="1"/>
  <c r="G18" i="6" s="1"/>
  <c r="C38" i="3"/>
  <c r="C5" i="4"/>
  <c r="C7" i="4" s="1"/>
  <c r="M23" i="5"/>
  <c r="L27" i="5"/>
  <c r="L31" i="5" s="1"/>
  <c r="K16" i="5"/>
  <c r="O3" i="5"/>
  <c r="N4" i="5"/>
  <c r="F18" i="6" l="1"/>
  <c r="I19" i="6" s="1"/>
  <c r="N19" i="6"/>
  <c r="J19" i="6"/>
  <c r="N23" i="5"/>
  <c r="M27" i="5"/>
  <c r="M31" i="5" s="1"/>
  <c r="P3" i="5"/>
  <c r="O4" i="5"/>
  <c r="L16" i="5"/>
  <c r="E19" i="6" l="1"/>
  <c r="D19" i="6" s="1"/>
  <c r="G19" i="6" s="1"/>
  <c r="K8" i="6"/>
  <c r="N20" i="6"/>
  <c r="F19" i="6"/>
  <c r="J20" i="6" s="1"/>
  <c r="N18" i="6"/>
  <c r="N8" i="6" s="1"/>
  <c r="O23" i="5"/>
  <c r="O27" i="5" s="1"/>
  <c r="O31" i="5" s="1"/>
  <c r="N27" i="5"/>
  <c r="N31" i="5" s="1"/>
  <c r="M16" i="5"/>
  <c r="E20" i="6" l="1"/>
  <c r="D20" i="6" s="1"/>
  <c r="F20" i="6" s="1"/>
  <c r="I20" i="6"/>
  <c r="D7" i="6"/>
  <c r="E33" i="5"/>
  <c r="N16" i="5"/>
  <c r="G20" i="6" l="1"/>
  <c r="O16" i="5"/>
  <c r="D6" i="2" l="1"/>
  <c r="D4" i="2"/>
  <c r="C6" i="2"/>
  <c r="C4" i="2"/>
  <c r="G13" i="5" l="1"/>
  <c r="H13" i="5" s="1"/>
  <c r="I13" i="5" s="1"/>
  <c r="J13" i="5" s="1"/>
  <c r="K13" i="5" s="1"/>
  <c r="L13" i="5" s="1"/>
  <c r="M13" i="5" s="1"/>
  <c r="N13" i="5" s="1"/>
  <c r="O13" i="5" s="1"/>
  <c r="D8" i="2"/>
  <c r="C8" i="2"/>
  <c r="D7" i="2"/>
  <c r="D9" i="2" s="1"/>
  <c r="D14" i="2" s="1"/>
  <c r="D15" i="2" s="1"/>
  <c r="C7" i="2"/>
  <c r="C9" i="2" s="1"/>
  <c r="C14" i="2" s="1"/>
  <c r="E14" i="2" l="1"/>
  <c r="C15" i="2"/>
  <c r="D10" i="2"/>
  <c r="C11" i="2"/>
  <c r="D11" i="2"/>
  <c r="E15" i="2" l="1"/>
  <c r="D16" i="2" s="1"/>
  <c r="C16" i="2" l="1"/>
</calcChain>
</file>

<file path=xl/sharedStrings.xml><?xml version="1.0" encoding="utf-8"?>
<sst xmlns="http://schemas.openxmlformats.org/spreadsheetml/2006/main" count="145" uniqueCount="116">
  <si>
    <t>P1 PRO3363 Economia de Empresas</t>
  </si>
  <si>
    <t>Preço Unidade A</t>
  </si>
  <si>
    <t>Preço Unidade B</t>
  </si>
  <si>
    <t>Impostos sobre Receita</t>
  </si>
  <si>
    <t>Comissões de venda</t>
  </si>
  <si>
    <t>Impostos sobre Lucro Tributável</t>
  </si>
  <si>
    <t>Custos Diretos Unidade A</t>
  </si>
  <si>
    <t>Custos Diretos Unidade B</t>
  </si>
  <si>
    <t>Custos Indiretos de Fabricação (CIF) por ano</t>
  </si>
  <si>
    <t>Unidades do Avião A Vendida por ano</t>
  </si>
  <si>
    <t>Unidades do Avião B Vendida por ano</t>
  </si>
  <si>
    <t>Despesa fixa anual</t>
  </si>
  <si>
    <t>Publicidade</t>
  </si>
  <si>
    <t>Custo de Oportunidade do Capital (% ao ano)</t>
  </si>
  <si>
    <t>Avião A</t>
  </si>
  <si>
    <t>Avião B</t>
  </si>
  <si>
    <t>Preço</t>
  </si>
  <si>
    <t>Custo Direto</t>
  </si>
  <si>
    <t>Quantidade Vendida</t>
  </si>
  <si>
    <t>MCU</t>
  </si>
  <si>
    <t>MCT</t>
  </si>
  <si>
    <t>MCU %</t>
  </si>
  <si>
    <t>MCT %</t>
  </si>
  <si>
    <t>Conforme apresentado na Tabela acima, o produto "Avião A" possui margem de contribuição unitária inferior ao do produto "Avião B". Entretanto, como o Avião B, no caso em tela, é menos vendido, sua margem de contribuição total é inferior que aquela do Avião A.
Dessa forma, se houvesse condições de mercado para tal, faria sentido que a empressa investisse no Avião B para aumentar suas vendas, mas da forma que o problema está apresentado, pode-se dizer que o Avião A traz um retorno superior.</t>
  </si>
  <si>
    <t>Demonstração do Resultado no Exercício - DRE (Ano 0)</t>
  </si>
  <si>
    <t>R$ - Mil</t>
  </si>
  <si>
    <t>Ano 0</t>
  </si>
  <si>
    <t>Receita Venda do Avião B</t>
  </si>
  <si>
    <t>Receita Venda do Avião A</t>
  </si>
  <si>
    <t>(+) Receita Bruta</t>
  </si>
  <si>
    <t>(-) Impostos sobre a Receita</t>
  </si>
  <si>
    <t>(=) Receita Líquida</t>
  </si>
  <si>
    <t>(-) Custos dos Produtos Vendidos</t>
  </si>
  <si>
    <t>Custos Diretos</t>
  </si>
  <si>
    <t>Custo Direto do Avião A</t>
  </si>
  <si>
    <t>Custos Indiretos</t>
  </si>
  <si>
    <t>(=) Lucro Bruto</t>
  </si>
  <si>
    <t>(-) Despesas Comerciais e Administrativas</t>
  </si>
  <si>
    <t>Comissões de Vendas</t>
  </si>
  <si>
    <t>Despesa Fixa Anual</t>
  </si>
  <si>
    <t>Equipe de Vendas / Publicidade</t>
  </si>
  <si>
    <t>(=) Lucro Operacional</t>
  </si>
  <si>
    <t>Taxa de Retorno Contábil</t>
  </si>
  <si>
    <t>Investimento</t>
  </si>
  <si>
    <t>Taxa de Retorno Contábil (%)</t>
  </si>
  <si>
    <t>(-) Fluxo de Investimentos</t>
  </si>
  <si>
    <t>Fluxo de Caixa Livre</t>
  </si>
  <si>
    <t>Reversão da Depreciação (Despesa Não Caixa)</t>
  </si>
  <si>
    <t>TIR</t>
  </si>
  <si>
    <t>Fluxo de Caixa (10 Anos)</t>
  </si>
  <si>
    <t>Custo do Investimento (R$)</t>
  </si>
  <si>
    <t>Resposta:</t>
  </si>
  <si>
    <t>Com base na Taxa de Retorno Contábil em tela, pode-se verificar facilmente que, de acordo com esse indicador, se trata de uma empresa saudável e, sob o ponto de vista econômico e financeiro, considerando o Custo de Oportunidade apresentado, trata-se de uma empresa muito rentável</t>
  </si>
  <si>
    <t>Cálculo da Taxa de Retorno Contábil</t>
  </si>
  <si>
    <t>Cálculo das Margens de Contribuição Unitária e Total</t>
  </si>
  <si>
    <t>Llcontábil</t>
  </si>
  <si>
    <t>por definicão no instante zero só investimento</t>
  </si>
  <si>
    <t>Depreciação contábil (% CD)</t>
  </si>
  <si>
    <t>DVV (C.VENDA) 5%</t>
  </si>
  <si>
    <t>IMPOSTOS SOBRE REC 20%</t>
  </si>
  <si>
    <t>DEPRECIAÇÕES</t>
  </si>
  <si>
    <t>EBITDA</t>
  </si>
  <si>
    <t>(=) Lucro Operacional LÍQUIDO</t>
  </si>
  <si>
    <t>LUCRO ANTES DE IR E CS - LUCRO TRIBUTÁVEL = LOL</t>
  </si>
  <si>
    <t>PROVISAO PARA IR</t>
  </si>
  <si>
    <t>LUCRO DEPOIS DO IR</t>
  </si>
  <si>
    <t>DEPRECIACAO</t>
  </si>
  <si>
    <t>LUCRO FINAL DEPOIS DE IR E DEP - LUCRO CONTÁBIL</t>
  </si>
  <si>
    <t>TAXA DE RETORNO CONTÁBIL - TRC</t>
  </si>
  <si>
    <t>LLCONTÁBIL</t>
  </si>
  <si>
    <t>custo direto unit total</t>
  </si>
  <si>
    <t>CUSTO DIRETO TOTAL</t>
  </si>
  <si>
    <t>RECEITA TOTAL</t>
  </si>
  <si>
    <t>TOTAIS</t>
  </si>
  <si>
    <t>lucas pereira kok</t>
  </si>
  <si>
    <t>FAC</t>
  </si>
  <si>
    <t>A</t>
  </si>
  <si>
    <t>FRC</t>
  </si>
  <si>
    <t>pmt = Kvivo (i/((1+i)^n)-1  + i.Kvivo = Io .i .((1+i)^n)/((1+i)^n -1</t>
  </si>
  <si>
    <t>FC LIVRE</t>
  </si>
  <si>
    <t>FRC (t)</t>
  </si>
  <si>
    <t>DEP</t>
  </si>
  <si>
    <t>dep/amort</t>
  </si>
  <si>
    <t>juros</t>
  </si>
  <si>
    <t>K vivo</t>
  </si>
  <si>
    <t>PRICE</t>
  </si>
  <si>
    <t>fator</t>
  </si>
  <si>
    <t>valor</t>
  </si>
  <si>
    <t>EBITDA X INV</t>
  </si>
  <si>
    <t>Io =</t>
  </si>
  <si>
    <t>pmt</t>
  </si>
  <si>
    <t>COC=</t>
  </si>
  <si>
    <t xml:space="preserve">FRC = </t>
  </si>
  <si>
    <t>QUAL SERIA A DEPf ?</t>
  </si>
  <si>
    <t>no primeiro período</t>
  </si>
  <si>
    <t>no sentido do Fleischer</t>
  </si>
  <si>
    <t>MÉTODO DO FUNDO DE RENOVAÇÃO PARA A CONTABILIDADE DA DEPRECIAÇÃO (Fleischer p. 82/83)</t>
  </si>
  <si>
    <t>QUAL SERIA A DEP e ?</t>
  </si>
  <si>
    <t>INV</t>
  </si>
  <si>
    <t>Métodos de substituição</t>
  </si>
  <si>
    <t>DRE</t>
  </si>
  <si>
    <t>LB - IR - DEP = LL CONTÁBIL</t>
  </si>
  <si>
    <t>TRC</t>
  </si>
  <si>
    <t>FRC/INV =</t>
  </si>
  <si>
    <t>Por isto a dep. "muda" todo ano, devendo ser ajustada no LALUR.</t>
  </si>
  <si>
    <t>DADO K INICIAL, CALCULAR PREST UNIFORME COM JUROS (i) E PERÍODO t</t>
  </si>
  <si>
    <t>(i/((1+i)^n)-1</t>
  </si>
  <si>
    <t>Dado K vivo, este fator leva amortização anual (DEP) para o Valor Futuro,  com taxa de juros (i) e período (t)</t>
  </si>
  <si>
    <t>Remuneração do K vivo, anualmente, dada a taxa de juros (i)</t>
  </si>
  <si>
    <t>FAC * A = FRC (PRICE)</t>
  </si>
  <si>
    <t>IR (LAIR*IRPJ)</t>
  </si>
  <si>
    <t>LOL = LT</t>
  </si>
  <si>
    <t>OU TB COMO COLOCAR AQJUI A VIDA ECONÔMIC DADA PELA ENGENHARIA ECONÔMICA</t>
  </si>
  <si>
    <t>VR DIF DE ZERO</t>
  </si>
  <si>
    <t xml:space="preserve">TIR (10 anos) = 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</si>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</sst>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$&quot;\ #,##0.00"/>
    <numFmt numFmtId="165" formatCode="&quot;R$&quot;\ #,##0"/>
    <numFmt numFmtId="166" formatCode="0.0%"/>
    <numFmt numFmtId="167" formatCode="_(* #,##0_);_(* \(#,##0\);_(* &quot;-&quot;??_);_(@_)"/>
    <numFmt numFmtId="168" formatCode="0.000%"/>
    <numFmt numFmtId="173" formatCode="&quot;R$ &quot;#,##0.00_);[Red]\(&quot;R$ &quot;#,##0.00\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5" fillId="2" borderId="0" xfId="2" applyFont="1" applyFill="1" applyAlignment="1">
      <alignment vertical="center"/>
    </xf>
    <xf numFmtId="0" fontId="6" fillId="3" borderId="1" xfId="3" applyFont="1" applyFill="1" applyBorder="1" applyAlignment="1">
      <alignment horizontal="center" vertical="center"/>
    </xf>
    <xf numFmtId="17" fontId="6" fillId="3" borderId="2" xfId="3" applyNumberFormat="1" applyFont="1" applyFill="1" applyBorder="1" applyAlignment="1">
      <alignment horizontal="center" vertical="center"/>
    </xf>
    <xf numFmtId="0" fontId="2" fillId="0" borderId="0" xfId="0" applyFont="1"/>
    <xf numFmtId="167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17" fontId="6" fillId="3" borderId="4" xfId="3" applyNumberFormat="1" applyFont="1" applyFill="1" applyBorder="1" applyAlignment="1">
      <alignment horizontal="center" vertical="center"/>
    </xf>
    <xf numFmtId="0" fontId="2" fillId="0" borderId="5" xfId="0" applyFont="1" applyBorder="1"/>
    <xf numFmtId="167" fontId="2" fillId="0" borderId="6" xfId="0" applyNumberFormat="1" applyFont="1" applyBorder="1"/>
    <xf numFmtId="0" fontId="0" fillId="0" borderId="7" xfId="0" applyBorder="1" applyAlignment="1">
      <alignment horizontal="left" indent="1"/>
    </xf>
    <xf numFmtId="167" fontId="7" fillId="0" borderId="8" xfId="0" applyNumberFormat="1" applyFont="1" applyBorder="1" applyAlignment="1">
      <alignment vertical="center"/>
    </xf>
    <xf numFmtId="0" fontId="2" fillId="0" borderId="7" xfId="0" applyFont="1" applyBorder="1"/>
    <xf numFmtId="167" fontId="2" fillId="0" borderId="8" xfId="0" applyNumberFormat="1" applyFont="1" applyBorder="1"/>
    <xf numFmtId="0" fontId="2" fillId="0" borderId="9" xfId="0" applyFont="1" applyBorder="1"/>
    <xf numFmtId="167" fontId="2" fillId="0" borderId="10" xfId="0" applyNumberFormat="1" applyFont="1" applyBorder="1"/>
    <xf numFmtId="0" fontId="8" fillId="0" borderId="7" xfId="0" applyFont="1" applyBorder="1" applyAlignment="1">
      <alignment horizontal="left" indent="1"/>
    </xf>
    <xf numFmtId="167" fontId="8" fillId="0" borderId="8" xfId="0" applyNumberFormat="1" applyFont="1" applyBorder="1"/>
    <xf numFmtId="0" fontId="0" fillId="0" borderId="7" xfId="0" applyBorder="1" applyAlignment="1">
      <alignment horizontal="left" indent="2"/>
    </xf>
    <xf numFmtId="167" fontId="0" fillId="0" borderId="8" xfId="0" applyNumberFormat="1" applyFont="1" applyBorder="1"/>
    <xf numFmtId="0" fontId="0" fillId="0" borderId="9" xfId="0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0" fillId="0" borderId="5" xfId="0" applyBorder="1"/>
    <xf numFmtId="164" fontId="0" fillId="0" borderId="6" xfId="0" applyNumberFormat="1" applyBorder="1"/>
    <xf numFmtId="0" fontId="0" fillId="0" borderId="9" xfId="0" applyBorder="1"/>
    <xf numFmtId="164" fontId="0" fillId="0" borderId="10" xfId="0" applyNumberFormat="1" applyBorder="1"/>
    <xf numFmtId="168" fontId="2" fillId="0" borderId="4" xfId="1" applyNumberFormat="1" applyFont="1" applyBorder="1"/>
    <xf numFmtId="0" fontId="5" fillId="0" borderId="0" xfId="2" applyFont="1" applyFill="1" applyAlignment="1">
      <alignment vertical="center"/>
    </xf>
    <xf numFmtId="0" fontId="0" fillId="0" borderId="0" xfId="0" applyBorder="1" applyAlignment="1">
      <alignment horizontal="left" indent="1"/>
    </xf>
    <xf numFmtId="167" fontId="0" fillId="0" borderId="0" xfId="0" applyNumberFormat="1" applyFont="1" applyBorder="1"/>
    <xf numFmtId="167" fontId="2" fillId="0" borderId="11" xfId="0" applyNumberFormat="1" applyFont="1" applyBorder="1"/>
    <xf numFmtId="167" fontId="8" fillId="0" borderId="0" xfId="0" applyNumberFormat="1" applyFont="1" applyBorder="1"/>
    <xf numFmtId="167" fontId="0" fillId="0" borderId="0" xfId="0" applyNumberFormat="1" applyBorder="1"/>
    <xf numFmtId="167" fontId="0" fillId="0" borderId="8" xfId="0" applyNumberFormat="1" applyBorder="1"/>
    <xf numFmtId="167" fontId="2" fillId="0" borderId="12" xfId="0" applyNumberFormat="1" applyFont="1" applyBorder="1"/>
    <xf numFmtId="0" fontId="0" fillId="0" borderId="1" xfId="0" applyBorder="1" applyAlignment="1">
      <alignment horizontal="left"/>
    </xf>
    <xf numFmtId="167" fontId="0" fillId="0" borderId="2" xfId="0" applyNumberFormat="1" applyFont="1" applyBorder="1"/>
    <xf numFmtId="0" fontId="0" fillId="0" borderId="2" xfId="0" applyBorder="1"/>
    <xf numFmtId="0" fontId="0" fillId="0" borderId="4" xfId="0" applyBorder="1"/>
    <xf numFmtId="167" fontId="0" fillId="0" borderId="12" xfId="0" applyNumberFormat="1" applyBorder="1"/>
    <xf numFmtId="0" fontId="2" fillId="0" borderId="1" xfId="0" applyFont="1" applyFill="1" applyBorder="1"/>
    <xf numFmtId="167" fontId="2" fillId="0" borderId="0" xfId="0" applyNumberFormat="1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/>
    <xf numFmtId="0" fontId="0" fillId="0" borderId="0" xfId="0" applyFill="1" applyBorder="1"/>
    <xf numFmtId="167" fontId="2" fillId="0" borderId="2" xfId="0" applyNumberFormat="1" applyFont="1" applyFill="1" applyBorder="1"/>
    <xf numFmtId="166" fontId="2" fillId="0" borderId="4" xfId="1" applyNumberFormat="1" applyFont="1" applyFill="1" applyBorder="1"/>
    <xf numFmtId="0" fontId="9" fillId="0" borderId="1" xfId="3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3" xfId="0" applyFont="1" applyBorder="1"/>
    <xf numFmtId="9" fontId="2" fillId="0" borderId="3" xfId="0" applyNumberFormat="1" applyFont="1" applyBorder="1"/>
    <xf numFmtId="164" fontId="10" fillId="0" borderId="4" xfId="0" applyNumberFormat="1" applyFont="1" applyBorder="1"/>
    <xf numFmtId="0" fontId="10" fillId="0" borderId="3" xfId="0" applyFont="1" applyBorder="1"/>
    <xf numFmtId="0" fontId="10" fillId="0" borderId="0" xfId="0" applyFont="1"/>
    <xf numFmtId="164" fontId="10" fillId="0" borderId="3" xfId="0" applyNumberFormat="1" applyFont="1" applyBorder="1"/>
    <xf numFmtId="9" fontId="10" fillId="0" borderId="3" xfId="0" applyNumberFormat="1" applyFont="1" applyFill="1" applyBorder="1"/>
    <xf numFmtId="9" fontId="10" fillId="0" borderId="3" xfId="0" applyNumberFormat="1" applyFont="1" applyBorder="1"/>
    <xf numFmtId="165" fontId="10" fillId="0" borderId="3" xfId="0" applyNumberFormat="1" applyFont="1" applyBorder="1"/>
    <xf numFmtId="164" fontId="10" fillId="0" borderId="3" xfId="0" applyNumberFormat="1" applyFont="1" applyFill="1" applyBorder="1"/>
    <xf numFmtId="167" fontId="0" fillId="0" borderId="12" xfId="0" applyNumberFormat="1" applyFont="1" applyBorder="1"/>
    <xf numFmtId="167" fontId="0" fillId="0" borderId="10" xfId="0" applyNumberFormat="1" applyBorder="1"/>
    <xf numFmtId="167" fontId="7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0" fontId="0" fillId="3" borderId="14" xfId="0" applyFill="1" applyBorder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3" xfId="1" applyNumberFormat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3" borderId="3" xfId="0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" borderId="0" xfId="0" applyFill="1"/>
    <xf numFmtId="43" fontId="0" fillId="4" borderId="0" xfId="4" applyFont="1" applyFill="1"/>
    <xf numFmtId="10" fontId="0" fillId="0" borderId="0" xfId="1" applyNumberFormat="1" applyFont="1"/>
    <xf numFmtId="167" fontId="2" fillId="4" borderId="2" xfId="0" applyNumberFormat="1" applyFont="1" applyFill="1" applyBorder="1"/>
    <xf numFmtId="2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8" xfId="0" applyFill="1" applyBorder="1"/>
    <xf numFmtId="166" fontId="0" fillId="4" borderId="3" xfId="1" applyNumberFormat="1" applyFon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43" fontId="0" fillId="0" borderId="0" xfId="4" applyFont="1"/>
    <xf numFmtId="0" fontId="2" fillId="0" borderId="0" xfId="0" applyFont="1" applyBorder="1"/>
    <xf numFmtId="0" fontId="2" fillId="0" borderId="12" xfId="0" applyFont="1" applyBorder="1"/>
    <xf numFmtId="0" fontId="2" fillId="0" borderId="11" xfId="0" applyFont="1" applyBorder="1"/>
    <xf numFmtId="0" fontId="8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1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/>
    <xf numFmtId="0" fontId="9" fillId="0" borderId="2" xfId="3" applyFont="1" applyFill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/>
    </xf>
    <xf numFmtId="166" fontId="0" fillId="4" borderId="0" xfId="1" applyNumberFormat="1" applyFont="1" applyFill="1" applyBorder="1" applyAlignment="1">
      <alignment horizontal="center"/>
    </xf>
    <xf numFmtId="43" fontId="0" fillId="0" borderId="0" xfId="0" applyNumberFormat="1"/>
    <xf numFmtId="167" fontId="0" fillId="0" borderId="3" xfId="4" applyNumberFormat="1" applyFont="1" applyBorder="1" applyAlignment="1">
      <alignment horizontal="center"/>
    </xf>
    <xf numFmtId="167" fontId="0" fillId="0" borderId="0" xfId="4" applyNumberFormat="1" applyFont="1" applyAlignment="1">
      <alignment horizontal="center"/>
    </xf>
    <xf numFmtId="167" fontId="0" fillId="0" borderId="0" xfId="4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/>
    <xf numFmtId="167" fontId="2" fillId="0" borderId="2" xfId="0" applyNumberFormat="1" applyFont="1" applyBorder="1"/>
    <xf numFmtId="167" fontId="2" fillId="3" borderId="10" xfId="0" applyNumberFormat="1" applyFont="1" applyFill="1" applyBorder="1"/>
    <xf numFmtId="0" fontId="2" fillId="0" borderId="0" xfId="0" applyFont="1" applyFill="1" applyBorder="1"/>
    <xf numFmtId="0" fontId="0" fillId="0" borderId="0" xfId="0" applyAlignment="1"/>
    <xf numFmtId="0" fontId="0" fillId="0" borderId="16" xfId="0" applyBorder="1" applyAlignment="1"/>
    <xf numFmtId="167" fontId="0" fillId="0" borderId="17" xfId="0" applyNumberFormat="1" applyBorder="1" applyAlignment="1"/>
    <xf numFmtId="0" fontId="0" fillId="0" borderId="16" xfId="0" applyBorder="1"/>
    <xf numFmtId="167" fontId="0" fillId="0" borderId="17" xfId="0" applyNumberFormat="1" applyBorder="1"/>
    <xf numFmtId="0" fontId="9" fillId="3" borderId="12" xfId="3" applyFont="1" applyFill="1" applyBorder="1" applyAlignment="1">
      <alignment horizontal="left" vertical="center"/>
    </xf>
    <xf numFmtId="167" fontId="2" fillId="0" borderId="17" xfId="0" applyNumberFormat="1" applyFont="1" applyBorder="1"/>
    <xf numFmtId="167" fontId="2" fillId="0" borderId="11" xfId="0" applyNumberFormat="1" applyFont="1" applyFill="1" applyBorder="1"/>
    <xf numFmtId="167" fontId="0" fillId="4" borderId="17" xfId="0" applyNumberFormat="1" applyFill="1" applyBorder="1"/>
    <xf numFmtId="10" fontId="2" fillId="4" borderId="17" xfId="1" applyNumberFormat="1" applyFont="1" applyFill="1" applyBorder="1"/>
    <xf numFmtId="0" fontId="0" fillId="0" borderId="18" xfId="0" applyBorder="1"/>
    <xf numFmtId="167" fontId="2" fillId="0" borderId="18" xfId="0" applyNumberFormat="1" applyFont="1" applyBorder="1"/>
    <xf numFmtId="167" fontId="0" fillId="0" borderId="18" xfId="0" applyNumberFormat="1" applyBorder="1"/>
    <xf numFmtId="0" fontId="0" fillId="0" borderId="19" xfId="0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0" borderId="19" xfId="0" applyBorder="1"/>
    <xf numFmtId="38" fontId="0" fillId="0" borderId="19" xfId="4" applyNumberFormat="1" applyFont="1" applyBorder="1"/>
    <xf numFmtId="173" fontId="0" fillId="0" borderId="0" xfId="0" applyNumberFormat="1"/>
    <xf numFmtId="9" fontId="0" fillId="4" borderId="0" xfId="1" applyFont="1" applyFill="1" applyAlignment="1">
      <alignment horizontal="center"/>
    </xf>
    <xf numFmtId="38" fontId="0" fillId="0" borderId="0" xfId="0" applyNumberFormat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12" fillId="4" borderId="0" xfId="4" applyFont="1" applyFill="1"/>
    <xf numFmtId="0" fontId="0" fillId="0" borderId="22" xfId="0" applyBorder="1" applyAlignment="1">
      <alignment horizontal="center" vertical="center" wrapText="1"/>
    </xf>
    <xf numFmtId="43" fontId="0" fillId="5" borderId="0" xfId="0" applyNumberFormat="1" applyFill="1"/>
    <xf numFmtId="3" fontId="0" fillId="0" borderId="0" xfId="4" applyNumberFormat="1" applyFont="1" applyAlignment="1">
      <alignment horizontal="center"/>
    </xf>
    <xf numFmtId="3" fontId="0" fillId="0" borderId="19" xfId="4" applyNumberFormat="1" applyFont="1" applyBorder="1" applyAlignment="1">
      <alignment horizontal="center"/>
    </xf>
    <xf numFmtId="0" fontId="13" fillId="0" borderId="0" xfId="0" applyFont="1"/>
    <xf numFmtId="4" fontId="0" fillId="0" borderId="0" xfId="4" applyNumberFormat="1" applyFont="1" applyAlignment="1">
      <alignment horizontal="center"/>
    </xf>
    <xf numFmtId="0" fontId="11" fillId="4" borderId="0" xfId="0" applyFont="1" applyFill="1" applyAlignment="1">
      <alignment horizontal="right"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0" fontId="0" fillId="0" borderId="0" xfId="0" applyNumberFormat="1"/>
    <xf numFmtId="167" fontId="0" fillId="0" borderId="0" xfId="4" applyNumberFormat="1" applyFont="1"/>
  </cellXfs>
  <cellStyles count="5">
    <cellStyle name="Comma" xfId="4" builtinId="3"/>
    <cellStyle name="Normal" xfId="0" builtinId="0"/>
    <cellStyle name="Normal 2" xfId="3" xr:uid="{3DE98FA1-909A-3245-A87B-BB76F9D9D7B2}"/>
    <cellStyle name="Normal 3" xfId="2" xr:uid="{4EEFC55A-7339-B547-8398-6AB5C075B67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317500</xdr:colOff>
      <xdr:row>23</xdr:row>
      <xdr:rowOff>139700</xdr:rowOff>
    </xdr:from>
    <xdr:to>
      <xdr:col>23</xdr:col>
      <xdr:colOff>622300</xdr:colOff>
      <xdr:row>42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A1830B-A23C-C44F-A089-EE8361C81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7300" y="5054600"/>
          <a:ext cx="6362700" cy="3835400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</xdr:colOff>
      <xdr:row>4</xdr:row>
      <xdr:rowOff>139700</xdr:rowOff>
    </xdr:from>
    <xdr:to>
      <xdr:col>22</xdr:col>
      <xdr:colOff>495300</xdr:colOff>
      <xdr:row>21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540313-AB6B-0945-9222-8FF3316BE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68700" y="1206500"/>
          <a:ext cx="4521200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E6B1-D0A3-134E-91CA-CA6406EFCC2B}">
  <dimension ref="B2:G32"/>
  <sheetViews>
    <sheetView showGridLines="0" workbookViewId="0">
      <selection activeCell="C13" sqref="C13"/>
    </sheetView>
  </sheetViews>
  <sheetFormatPr baseColWidth="10" defaultRowHeight="16"/>
  <cols>
    <col min="2" max="2" width="37.6640625" bestFit="1" customWidth="1"/>
    <col min="3" max="3" width="18" bestFit="1" customWidth="1"/>
    <col min="4" max="4" width="13" bestFit="1" customWidth="1"/>
  </cols>
  <sheetData>
    <row r="2" spans="2:7">
      <c r="B2" s="5" t="s">
        <v>0</v>
      </c>
    </row>
    <row r="3" spans="2:7">
      <c r="B3" s="5" t="s">
        <v>74</v>
      </c>
    </row>
    <row r="4" spans="2:7">
      <c r="B4" s="5"/>
    </row>
    <row r="6" spans="2:7">
      <c r="B6" s="52" t="s">
        <v>43</v>
      </c>
      <c r="C6" s="57">
        <v>2000000000</v>
      </c>
    </row>
    <row r="7" spans="2:7">
      <c r="B7" s="53"/>
      <c r="C7" s="5"/>
    </row>
    <row r="8" spans="2:7">
      <c r="B8" s="52"/>
      <c r="C8" s="58"/>
    </row>
    <row r="9" spans="2:7">
      <c r="B9" s="52"/>
      <c r="C9" s="58"/>
    </row>
    <row r="10" spans="2:7">
      <c r="B10" s="53"/>
      <c r="C10" s="5"/>
    </row>
    <row r="11" spans="2:7">
      <c r="B11" s="52" t="s">
        <v>9</v>
      </c>
      <c r="C11" s="55">
        <v>85</v>
      </c>
      <c r="G11" s="89"/>
    </row>
    <row r="12" spans="2:7">
      <c r="B12" s="52" t="s">
        <v>10</v>
      </c>
      <c r="C12" s="55">
        <v>16</v>
      </c>
    </row>
    <row r="13" spans="2:7">
      <c r="B13" s="53"/>
      <c r="C13" s="59"/>
    </row>
    <row r="14" spans="2:7">
      <c r="B14" s="52" t="s">
        <v>1</v>
      </c>
      <c r="C14" s="60">
        <v>14000000</v>
      </c>
    </row>
    <row r="15" spans="2:7">
      <c r="B15" s="52" t="s">
        <v>2</v>
      </c>
      <c r="C15" s="60">
        <v>7000000</v>
      </c>
    </row>
    <row r="16" spans="2:7">
      <c r="B16" s="53"/>
      <c r="C16" s="5"/>
    </row>
    <row r="17" spans="2:7">
      <c r="B17" s="54" t="s">
        <v>4</v>
      </c>
      <c r="C17" s="61">
        <v>0.05</v>
      </c>
      <c r="G17" s="85"/>
    </row>
    <row r="18" spans="2:7">
      <c r="B18" s="53"/>
      <c r="C18" s="5"/>
    </row>
    <row r="19" spans="2:7">
      <c r="B19" s="52" t="s">
        <v>3</v>
      </c>
      <c r="C19" s="62">
        <v>0.2</v>
      </c>
    </row>
    <row r="20" spans="2:7">
      <c r="B20" s="52" t="s">
        <v>5</v>
      </c>
      <c r="C20" s="62">
        <v>0.3</v>
      </c>
    </row>
    <row r="21" spans="2:7">
      <c r="B21" s="53"/>
      <c r="C21" s="5"/>
    </row>
    <row r="22" spans="2:7">
      <c r="B22" s="52" t="s">
        <v>6</v>
      </c>
      <c r="C22" s="63">
        <v>4800000</v>
      </c>
    </row>
    <row r="23" spans="2:7">
      <c r="B23" s="52" t="s">
        <v>7</v>
      </c>
      <c r="C23" s="63">
        <v>2200000</v>
      </c>
    </row>
    <row r="24" spans="2:7">
      <c r="B24" s="53"/>
      <c r="C24" s="5"/>
    </row>
    <row r="25" spans="2:7">
      <c r="B25" s="52" t="s">
        <v>57</v>
      </c>
      <c r="C25" s="62">
        <v>0.2</v>
      </c>
    </row>
    <row r="26" spans="2:7">
      <c r="B26" s="53"/>
      <c r="C26" s="5"/>
    </row>
    <row r="27" spans="2:7">
      <c r="B27" s="52" t="s">
        <v>8</v>
      </c>
      <c r="C27" s="60">
        <v>60000000</v>
      </c>
    </row>
    <row r="28" spans="2:7">
      <c r="B28" s="53"/>
      <c r="C28" s="5"/>
    </row>
    <row r="29" spans="2:7">
      <c r="B29" s="52" t="s">
        <v>11</v>
      </c>
      <c r="C29" s="64">
        <v>50000000</v>
      </c>
    </row>
    <row r="30" spans="2:7">
      <c r="B30" s="52" t="s">
        <v>12</v>
      </c>
      <c r="C30" s="64">
        <v>2000000</v>
      </c>
      <c r="D30" s="86"/>
    </row>
    <row r="31" spans="2:7">
      <c r="B31" s="53"/>
      <c r="C31" s="5"/>
    </row>
    <row r="32" spans="2:7">
      <c r="B32" s="52" t="s">
        <v>13</v>
      </c>
      <c r="C32" s="56">
        <v>0.05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EA60-A3AE-3A47-871E-4DB89E629044}">
  <dimension ref="B1:F28"/>
  <sheetViews>
    <sheetView showGridLines="0" workbookViewId="0">
      <selection activeCell="C10" sqref="C10"/>
    </sheetView>
  </sheetViews>
  <sheetFormatPr baseColWidth="10" defaultRowHeight="16"/>
  <cols>
    <col min="2" max="2" width="23.83203125" customWidth="1"/>
    <col min="3" max="3" width="16.5" bestFit="1" customWidth="1"/>
    <col min="4" max="4" width="15.33203125" bestFit="1" customWidth="1"/>
    <col min="5" max="5" width="16.5" bestFit="1" customWidth="1"/>
  </cols>
  <sheetData>
    <row r="1" spans="2:5" s="2" customFormat="1" ht="32" customHeight="1">
      <c r="B1" s="2" t="s">
        <v>54</v>
      </c>
    </row>
    <row r="3" spans="2:5">
      <c r="C3" s="68" t="s">
        <v>14</v>
      </c>
      <c r="D3" s="69" t="s">
        <v>15</v>
      </c>
      <c r="E3" s="1" t="s">
        <v>73</v>
      </c>
    </row>
    <row r="4" spans="2:5">
      <c r="B4" s="70" t="s">
        <v>16</v>
      </c>
      <c r="C4" s="73">
        <f>DADOS!C14</f>
        <v>14000000</v>
      </c>
      <c r="D4" s="73">
        <f>DADOS!C15</f>
        <v>7000000</v>
      </c>
    </row>
    <row r="5" spans="2:5">
      <c r="B5" s="72" t="s">
        <v>18</v>
      </c>
      <c r="C5" s="74">
        <f>DADOS!C11</f>
        <v>85</v>
      </c>
      <c r="D5" s="74">
        <f>DADOS!C12</f>
        <v>16</v>
      </c>
    </row>
    <row r="6" spans="2:5">
      <c r="B6" s="72" t="s">
        <v>17</v>
      </c>
      <c r="C6" s="121">
        <f>DADOS!C22</f>
        <v>4800000</v>
      </c>
      <c r="D6" s="121">
        <f>DADOS!C23</f>
        <v>2200000</v>
      </c>
    </row>
    <row r="7" spans="2:5">
      <c r="B7" s="71" t="s">
        <v>58</v>
      </c>
      <c r="C7" s="121">
        <f>DADOS!$C$17*Questao1!C4</f>
        <v>700000</v>
      </c>
      <c r="D7" s="121">
        <f>DADOS!$C$17*Questao1!D4</f>
        <v>350000</v>
      </c>
    </row>
    <row r="8" spans="2:5">
      <c r="B8" s="104" t="s">
        <v>59</v>
      </c>
      <c r="C8" s="122">
        <f>C4*DADOS!$C$19</f>
        <v>2800000</v>
      </c>
      <c r="D8" s="122">
        <f>D4*DADOS!$C$19</f>
        <v>1400000</v>
      </c>
    </row>
    <row r="9" spans="2:5">
      <c r="B9" s="104" t="s">
        <v>70</v>
      </c>
      <c r="C9" s="122">
        <f>C6+C7+C8</f>
        <v>8300000</v>
      </c>
      <c r="D9" s="122">
        <f>D6+D7+D8</f>
        <v>3950000</v>
      </c>
    </row>
    <row r="10" spans="2:5">
      <c r="B10" s="70" t="s">
        <v>19</v>
      </c>
      <c r="C10" s="121">
        <f>C4-C6-C7-C8</f>
        <v>5700000</v>
      </c>
      <c r="D10" s="121">
        <f>D4-D6-D7-D8</f>
        <v>3050000</v>
      </c>
      <c r="E10" s="125"/>
    </row>
    <row r="11" spans="2:5">
      <c r="B11" s="71" t="s">
        <v>21</v>
      </c>
      <c r="C11" s="75">
        <f>C10/C4</f>
        <v>0.40714285714285714</v>
      </c>
      <c r="D11" s="105">
        <f>D10/D4</f>
        <v>0.43571428571428572</v>
      </c>
    </row>
    <row r="12" spans="2:5">
      <c r="B12" s="104"/>
      <c r="C12" s="118"/>
      <c r="D12" s="119"/>
    </row>
    <row r="13" spans="2:5">
      <c r="B13" s="104" t="s">
        <v>72</v>
      </c>
      <c r="C13" s="123">
        <f>C4*C5</f>
        <v>1190000000</v>
      </c>
      <c r="D13" s="123">
        <f>D4*D5</f>
        <v>112000000</v>
      </c>
      <c r="E13" s="120">
        <f>C13+D13</f>
        <v>1302000000</v>
      </c>
    </row>
    <row r="14" spans="2:5">
      <c r="B14" s="104" t="s">
        <v>71</v>
      </c>
      <c r="C14" s="124">
        <f>C9*C5</f>
        <v>705500000</v>
      </c>
      <c r="D14" s="124">
        <f>D9*D5</f>
        <v>63200000</v>
      </c>
      <c r="E14" s="120">
        <f>C14+D14</f>
        <v>768700000</v>
      </c>
    </row>
    <row r="15" spans="2:5">
      <c r="B15" s="77" t="s">
        <v>20</v>
      </c>
      <c r="C15" s="121">
        <f>C13-C14</f>
        <v>484500000</v>
      </c>
      <c r="D15" s="121">
        <f>D13-D14</f>
        <v>48800000</v>
      </c>
      <c r="E15" s="120">
        <f>C15+D15</f>
        <v>533300000</v>
      </c>
    </row>
    <row r="16" spans="2:5">
      <c r="B16" s="77" t="s">
        <v>22</v>
      </c>
      <c r="C16" s="106">
        <f>C15/E15</f>
        <v>0.90849428089255579</v>
      </c>
      <c r="D16" s="76">
        <f>D15/E15</f>
        <v>9.1505719107444219E-2</v>
      </c>
    </row>
    <row r="17" spans="2:6" ht="16" customHeight="1"/>
    <row r="18" spans="2:6" ht="16" customHeight="1">
      <c r="E18" s="78"/>
      <c r="F18" s="79"/>
    </row>
    <row r="19" spans="2:6" ht="16" customHeight="1">
      <c r="B19" s="51" t="s">
        <v>51</v>
      </c>
      <c r="E19" s="81"/>
      <c r="F19" s="82"/>
    </row>
    <row r="20" spans="2:6" ht="16" customHeight="1">
      <c r="B20" s="90" t="s">
        <v>23</v>
      </c>
      <c r="C20" s="91"/>
      <c r="D20" s="91"/>
      <c r="E20" s="91"/>
      <c r="F20" s="92"/>
    </row>
    <row r="21" spans="2:6" ht="16" customHeight="1">
      <c r="B21" s="90"/>
      <c r="C21" s="91"/>
      <c r="D21" s="91"/>
      <c r="E21" s="91"/>
      <c r="F21" s="92"/>
    </row>
    <row r="22" spans="2:6" ht="16" customHeight="1">
      <c r="B22" s="90"/>
      <c r="C22" s="91"/>
      <c r="D22" s="91"/>
      <c r="E22" s="91"/>
      <c r="F22" s="92"/>
    </row>
    <row r="23" spans="2:6" ht="16" customHeight="1">
      <c r="B23" s="90"/>
      <c r="C23" s="91"/>
      <c r="D23" s="91"/>
      <c r="E23" s="91"/>
      <c r="F23" s="92"/>
    </row>
    <row r="24" spans="2:6" ht="16" customHeight="1">
      <c r="B24" s="90"/>
      <c r="C24" s="91"/>
      <c r="D24" s="91"/>
      <c r="E24" s="91"/>
      <c r="F24" s="92"/>
    </row>
    <row r="25" spans="2:6" ht="16" customHeight="1">
      <c r="B25" s="90"/>
      <c r="C25" s="91"/>
      <c r="D25" s="91"/>
      <c r="E25" s="91"/>
      <c r="F25" s="92"/>
    </row>
    <row r="26" spans="2:6" ht="16" customHeight="1">
      <c r="B26" s="90"/>
      <c r="C26" s="91"/>
      <c r="D26" s="91"/>
      <c r="E26" s="91"/>
      <c r="F26" s="92"/>
    </row>
    <row r="27" spans="2:6" ht="17">
      <c r="B27" s="80"/>
      <c r="C27" s="81"/>
      <c r="D27" s="81"/>
    </row>
    <row r="28" spans="2:6" ht="17">
      <c r="B28" s="83"/>
      <c r="C28" s="84"/>
      <c r="D28" s="84"/>
    </row>
  </sheetData>
  <mergeCells count="1">
    <mergeCell ref="B20:F2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4562-3AAA-FC46-95CA-519104798C0E}">
  <dimension ref="A1:XFD38"/>
  <sheetViews>
    <sheetView showGridLines="0" workbookViewId="0">
      <selection activeCell="G22" sqref="G22"/>
    </sheetView>
  </sheetViews>
  <sheetFormatPr baseColWidth="10" defaultRowHeight="16"/>
  <cols>
    <col min="1" max="1" width="3.1640625" customWidth="1"/>
    <col min="2" max="2" width="68" customWidth="1"/>
    <col min="3" max="3" width="14" bestFit="1" customWidth="1"/>
  </cols>
  <sheetData>
    <row r="1" spans="1:16384" ht="32" customHeight="1">
      <c r="A1" s="2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3" spans="1:16384">
      <c r="B3" s="3" t="s">
        <v>25</v>
      </c>
      <c r="C3" s="9" t="s">
        <v>26</v>
      </c>
    </row>
    <row r="4" spans="1:16384">
      <c r="B4" s="10" t="s">
        <v>29</v>
      </c>
      <c r="C4" s="11">
        <f>SUM(C5:C6)</f>
        <v>1302000000</v>
      </c>
    </row>
    <row r="5" spans="1:16384">
      <c r="B5" s="12" t="s">
        <v>28</v>
      </c>
      <c r="C5" s="13">
        <f>Questao1!C13</f>
        <v>1190000000</v>
      </c>
    </row>
    <row r="6" spans="1:16384">
      <c r="B6" s="12" t="s">
        <v>27</v>
      </c>
      <c r="C6" s="13">
        <f>Questao1!D13</f>
        <v>112000000</v>
      </c>
    </row>
    <row r="7" spans="1:16384">
      <c r="B7" s="14" t="s">
        <v>30</v>
      </c>
      <c r="C7" s="15">
        <f>-C4*DADOS!C19</f>
        <v>-260400000</v>
      </c>
    </row>
    <row r="8" spans="1:16384">
      <c r="B8" s="16" t="s">
        <v>31</v>
      </c>
      <c r="C8" s="17">
        <f>C4+C7</f>
        <v>1041600000</v>
      </c>
    </row>
    <row r="9" spans="1:16384">
      <c r="C9" s="6"/>
      <c r="D9" s="46"/>
      <c r="E9" s="46"/>
      <c r="F9" s="46"/>
      <c r="G9" s="46"/>
    </row>
    <row r="10" spans="1:16384">
      <c r="B10" s="10" t="s">
        <v>32</v>
      </c>
      <c r="C10" s="32">
        <f>C11+C14</f>
        <v>503200000</v>
      </c>
      <c r="D10" s="46"/>
      <c r="E10" s="46"/>
      <c r="F10" s="46"/>
      <c r="G10" s="46"/>
    </row>
    <row r="11" spans="1:16384">
      <c r="B11" s="18" t="s">
        <v>33</v>
      </c>
      <c r="C11" s="33">
        <f>SUM(C12:C13)</f>
        <v>443200000</v>
      </c>
      <c r="D11" s="46"/>
      <c r="E11" s="46"/>
      <c r="F11" s="46"/>
      <c r="G11" s="46"/>
    </row>
    <row r="12" spans="1:16384">
      <c r="B12" s="20" t="s">
        <v>34</v>
      </c>
      <c r="C12" s="31">
        <f>DADOS!C22*DADOS!C11</f>
        <v>408000000</v>
      </c>
      <c r="D12" s="46"/>
      <c r="E12" s="46"/>
      <c r="F12" s="46"/>
      <c r="G12" s="46"/>
    </row>
    <row r="13" spans="1:16384">
      <c r="B13" s="20" t="s">
        <v>34</v>
      </c>
      <c r="C13" s="31">
        <f>DADOS!C23*DADOS!C12</f>
        <v>35200000</v>
      </c>
      <c r="D13" s="46"/>
      <c r="E13" s="46"/>
      <c r="F13" s="46"/>
      <c r="G13" s="46"/>
    </row>
    <row r="14" spans="1:16384">
      <c r="B14" s="18" t="s">
        <v>35</v>
      </c>
      <c r="C14" s="33">
        <f>DADOS!C27</f>
        <v>60000000</v>
      </c>
      <c r="D14" s="46"/>
      <c r="E14" s="46"/>
      <c r="F14" s="46"/>
      <c r="G14" s="46"/>
    </row>
    <row r="15" spans="1:16384">
      <c r="B15" s="16" t="s">
        <v>36</v>
      </c>
      <c r="C15" s="36">
        <f>C8-C10</f>
        <v>538400000</v>
      </c>
      <c r="D15" s="46"/>
      <c r="E15" s="46"/>
      <c r="F15" s="46"/>
      <c r="G15" s="46"/>
    </row>
    <row r="16" spans="1:16384">
      <c r="D16" s="46"/>
      <c r="E16" s="46"/>
      <c r="F16" s="46"/>
      <c r="G16" s="46"/>
    </row>
    <row r="17" spans="2:7">
      <c r="B17" s="10" t="s">
        <v>37</v>
      </c>
      <c r="C17" s="136">
        <f>C18+C19+C20</f>
        <v>117100000</v>
      </c>
      <c r="D17" s="46"/>
      <c r="E17" s="46"/>
      <c r="F17" s="46"/>
      <c r="G17" s="46"/>
    </row>
    <row r="18" spans="2:7">
      <c r="B18" s="12" t="s">
        <v>38</v>
      </c>
      <c r="C18" s="31">
        <f>DADOS!C17*Questão2!C4</f>
        <v>65100000</v>
      </c>
      <c r="D18" s="46"/>
      <c r="E18" s="46"/>
      <c r="F18" s="46"/>
      <c r="G18" s="46"/>
    </row>
    <row r="19" spans="2:7">
      <c r="B19" s="12" t="s">
        <v>39</v>
      </c>
      <c r="C19" s="31">
        <f>DADOS!C29</f>
        <v>50000000</v>
      </c>
      <c r="D19" s="46"/>
      <c r="E19" s="46"/>
      <c r="F19" s="46"/>
      <c r="G19" s="46"/>
    </row>
    <row r="20" spans="2:7">
      <c r="B20" s="22" t="s">
        <v>40</v>
      </c>
      <c r="C20" s="65">
        <f>DADOS!C30</f>
        <v>2000000</v>
      </c>
      <c r="D20" s="46"/>
      <c r="E20" s="46"/>
      <c r="F20" s="46"/>
      <c r="G20" s="46"/>
    </row>
    <row r="21" spans="2:7">
      <c r="C21" s="6"/>
      <c r="D21" s="46"/>
      <c r="E21" s="46"/>
      <c r="F21" s="46"/>
      <c r="G21" s="46"/>
    </row>
    <row r="22" spans="2:7">
      <c r="B22" s="23" t="s">
        <v>62</v>
      </c>
      <c r="C22" s="126">
        <f>C15-C17</f>
        <v>421300000</v>
      </c>
      <c r="D22" s="46"/>
      <c r="E22" s="46"/>
      <c r="F22" s="46"/>
      <c r="G22" s="46"/>
    </row>
    <row r="23" spans="2:7">
      <c r="C23" s="6"/>
      <c r="D23" s="46"/>
      <c r="E23" s="46"/>
      <c r="F23" s="46"/>
      <c r="G23" s="46"/>
    </row>
    <row r="24" spans="2:7">
      <c r="B24" s="8" t="s">
        <v>60</v>
      </c>
      <c r="C24" s="38">
        <f>DADOS!C25*Questão2!C11</f>
        <v>88640000</v>
      </c>
      <c r="D24" s="46"/>
      <c r="E24" s="46"/>
      <c r="F24" s="46"/>
      <c r="G24" s="46"/>
    </row>
    <row r="25" spans="2:7" ht="17" thickBot="1">
      <c r="D25" s="46"/>
      <c r="E25" s="43"/>
      <c r="F25" s="46"/>
      <c r="G25" s="46"/>
    </row>
    <row r="26" spans="2:7" ht="17" thickBot="1">
      <c r="B26" s="130" t="s">
        <v>61</v>
      </c>
      <c r="C26" s="131">
        <f>C22+C24</f>
        <v>509940000</v>
      </c>
      <c r="D26" s="128"/>
      <c r="E26" s="43"/>
      <c r="F26" s="46"/>
      <c r="G26" s="46"/>
    </row>
    <row r="27" spans="2:7" ht="17" thickBot="1">
      <c r="D27" s="44"/>
      <c r="E27" s="45"/>
      <c r="F27" s="46"/>
      <c r="G27" s="46"/>
    </row>
    <row r="28" spans="2:7" ht="17" thickBot="1">
      <c r="B28" s="132" t="s">
        <v>63</v>
      </c>
      <c r="C28" s="133">
        <f>C22</f>
        <v>421300000</v>
      </c>
      <c r="D28" s="128"/>
      <c r="E28" s="43"/>
      <c r="F28" s="46"/>
      <c r="G28" s="46"/>
    </row>
    <row r="29" spans="2:7" ht="17" thickBot="1">
      <c r="D29" s="46"/>
      <c r="E29" s="43"/>
      <c r="F29" s="46"/>
      <c r="G29" s="46"/>
    </row>
    <row r="30" spans="2:7" ht="17" thickBot="1">
      <c r="B30" s="132" t="s">
        <v>64</v>
      </c>
      <c r="C30" s="133">
        <f>C28*DADOS!C20</f>
        <v>126390000</v>
      </c>
      <c r="D30" s="134"/>
      <c r="E30" s="127"/>
    </row>
    <row r="31" spans="2:7" ht="17" thickBot="1"/>
    <row r="32" spans="2:7" ht="17" thickBot="1">
      <c r="B32" s="132" t="s">
        <v>65</v>
      </c>
      <c r="C32" s="135">
        <f>C26-C30</f>
        <v>383550000</v>
      </c>
    </row>
    <row r="33" spans="2:3" ht="17" thickBot="1">
      <c r="C33" s="6"/>
    </row>
    <row r="34" spans="2:3" ht="17" thickBot="1">
      <c r="B34" s="132" t="s">
        <v>66</v>
      </c>
      <c r="C34" s="135">
        <f>C24</f>
        <v>88640000</v>
      </c>
    </row>
    <row r="35" spans="2:3" ht="17" thickBot="1"/>
    <row r="36" spans="2:3" ht="17" thickBot="1">
      <c r="B36" s="132" t="s">
        <v>67</v>
      </c>
      <c r="C36" s="137">
        <f>C32-C34</f>
        <v>294910000</v>
      </c>
    </row>
    <row r="37" spans="2:3" ht="17" thickBot="1"/>
    <row r="38" spans="2:3" ht="17" thickBot="1">
      <c r="B38" s="132" t="s">
        <v>68</v>
      </c>
      <c r="C38" s="138">
        <f>C36/DADOS!C6</f>
        <v>0.147455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4DDC-502E-A941-BFCE-273F108E5D20}">
  <dimension ref="B1:E22"/>
  <sheetViews>
    <sheetView showGridLines="0" workbookViewId="0">
      <selection activeCell="F24" sqref="F24"/>
    </sheetView>
  </sheetViews>
  <sheetFormatPr baseColWidth="10" defaultRowHeight="16"/>
  <cols>
    <col min="2" max="2" width="25.1640625" bestFit="1" customWidth="1"/>
    <col min="3" max="3" width="18" bestFit="1" customWidth="1"/>
  </cols>
  <sheetData>
    <row r="1" spans="2:5" s="2" customFormat="1" ht="28" customHeight="1">
      <c r="B1" s="2" t="s">
        <v>53</v>
      </c>
    </row>
    <row r="2" spans="2:5" ht="18" customHeight="1"/>
    <row r="3" spans="2:5">
      <c r="B3" s="93" t="s">
        <v>42</v>
      </c>
      <c r="C3" s="94"/>
    </row>
    <row r="4" spans="2:5">
      <c r="B4" s="24" t="s">
        <v>50</v>
      </c>
      <c r="C4" s="25">
        <f>DADOS!C6</f>
        <v>2000000000</v>
      </c>
    </row>
    <row r="5" spans="2:5">
      <c r="B5" s="26" t="s">
        <v>69</v>
      </c>
      <c r="C5" s="27">
        <f>Questão2!C36</f>
        <v>294910000</v>
      </c>
      <c r="D5" t="s">
        <v>55</v>
      </c>
    </row>
    <row r="7" spans="2:5">
      <c r="B7" s="7" t="s">
        <v>44</v>
      </c>
      <c r="C7" s="28">
        <f>C5/C4</f>
        <v>0.147455</v>
      </c>
      <c r="E7" s="87"/>
    </row>
    <row r="8" spans="2:5">
      <c r="C8" s="85"/>
    </row>
    <row r="10" spans="2:5">
      <c r="B10" s="5" t="s">
        <v>51</v>
      </c>
    </row>
    <row r="11" spans="2:5">
      <c r="B11" s="95" t="s">
        <v>52</v>
      </c>
      <c r="C11" s="96"/>
      <c r="D11" s="96"/>
      <c r="E11" s="97"/>
    </row>
    <row r="12" spans="2:5">
      <c r="B12" s="98"/>
      <c r="C12" s="99"/>
      <c r="D12" s="99"/>
      <c r="E12" s="100"/>
    </row>
    <row r="13" spans="2:5">
      <c r="B13" s="98"/>
      <c r="C13" s="99"/>
      <c r="D13" s="99"/>
      <c r="E13" s="100"/>
    </row>
    <row r="14" spans="2:5">
      <c r="B14" s="98"/>
      <c r="C14" s="99"/>
      <c r="D14" s="99"/>
      <c r="E14" s="100"/>
    </row>
    <row r="15" spans="2:5">
      <c r="B15" s="98"/>
      <c r="C15" s="99"/>
      <c r="D15" s="99"/>
      <c r="E15" s="100"/>
    </row>
    <row r="16" spans="2:5">
      <c r="B16" s="98"/>
      <c r="C16" s="99"/>
      <c r="D16" s="99"/>
      <c r="E16" s="100"/>
    </row>
    <row r="17" spans="2:5">
      <c r="B17" s="98"/>
      <c r="C17" s="99"/>
      <c r="D17" s="99"/>
      <c r="E17" s="100"/>
    </row>
    <row r="18" spans="2:5">
      <c r="B18" s="101"/>
      <c r="C18" s="102"/>
      <c r="D18" s="102"/>
      <c r="E18" s="103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</sheetData>
  <mergeCells count="2">
    <mergeCell ref="B3:C3"/>
    <mergeCell ref="B11:E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250A-85AB-0C42-BA5F-29F6B48FCE37}">
  <dimension ref="C1:P36"/>
  <sheetViews>
    <sheetView showGridLines="0" workbookViewId="0">
      <selection activeCell="D45" sqref="D45"/>
    </sheetView>
  </sheetViews>
  <sheetFormatPr baseColWidth="10" defaultRowHeight="16"/>
  <cols>
    <col min="1" max="2" width="3.33203125" customWidth="1"/>
    <col min="3" max="3" width="40.33203125" bestFit="1" customWidth="1"/>
    <col min="4" max="4" width="19.5" customWidth="1"/>
    <col min="5" max="5" width="14.6640625" bestFit="1" customWidth="1"/>
    <col min="6" max="15" width="14" bestFit="1" customWidth="1"/>
  </cols>
  <sheetData>
    <row r="1" spans="3:16" s="2" customFormat="1" ht="28" customHeight="1">
      <c r="C1" s="2" t="s">
        <v>49</v>
      </c>
    </row>
    <row r="2" spans="3:16" s="29" customFormat="1" ht="28" customHeight="1"/>
    <row r="3" spans="3:16" hidden="1">
      <c r="E3">
        <v>0</v>
      </c>
      <c r="F3">
        <f>E3+1</f>
        <v>1</v>
      </c>
      <c r="G3">
        <f t="shared" ref="G3:P3" si="0">F3+1</f>
        <v>2</v>
      </c>
      <c r="H3">
        <f t="shared" si="0"/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</row>
    <row r="4" spans="3:16">
      <c r="C4" s="3" t="s">
        <v>25</v>
      </c>
      <c r="D4" s="4"/>
      <c r="E4" s="4" t="s">
        <v>26</v>
      </c>
      <c r="F4" s="4" t="str">
        <f t="shared" ref="F4:O4" si="1">"Ano "&amp;F3</f>
        <v>Ano 1</v>
      </c>
      <c r="G4" s="4" t="str">
        <f t="shared" si="1"/>
        <v>Ano 2</v>
      </c>
      <c r="H4" s="4" t="str">
        <f t="shared" si="1"/>
        <v>Ano 3</v>
      </c>
      <c r="I4" s="4" t="str">
        <f t="shared" si="1"/>
        <v>Ano 4</v>
      </c>
      <c r="J4" s="4" t="str">
        <f t="shared" si="1"/>
        <v>Ano 5</v>
      </c>
      <c r="K4" s="4" t="str">
        <f t="shared" si="1"/>
        <v>Ano 6</v>
      </c>
      <c r="L4" s="4" t="str">
        <f t="shared" si="1"/>
        <v>Ano 7</v>
      </c>
      <c r="M4" s="4" t="str">
        <f t="shared" si="1"/>
        <v>Ano 8</v>
      </c>
      <c r="N4" s="4" t="str">
        <f t="shared" si="1"/>
        <v>Ano 9</v>
      </c>
      <c r="O4" s="9" t="str">
        <f t="shared" si="1"/>
        <v>Ano 10</v>
      </c>
    </row>
    <row r="5" spans="3:16">
      <c r="C5" s="14" t="s">
        <v>29</v>
      </c>
      <c r="D5" s="108"/>
      <c r="E5" s="50"/>
      <c r="F5" s="50">
        <f>Questao1!E13</f>
        <v>1302000000</v>
      </c>
      <c r="G5" s="50">
        <f t="shared" ref="G5:O5" si="2">F5</f>
        <v>1302000000</v>
      </c>
      <c r="H5" s="50">
        <f t="shared" si="2"/>
        <v>1302000000</v>
      </c>
      <c r="I5" s="50">
        <f t="shared" si="2"/>
        <v>1302000000</v>
      </c>
      <c r="J5" s="50">
        <f t="shared" si="2"/>
        <v>1302000000</v>
      </c>
      <c r="K5" s="50">
        <f t="shared" si="2"/>
        <v>1302000000</v>
      </c>
      <c r="L5" s="50">
        <f t="shared" si="2"/>
        <v>1302000000</v>
      </c>
      <c r="M5" s="50">
        <f t="shared" si="2"/>
        <v>1302000000</v>
      </c>
      <c r="N5" s="50">
        <f t="shared" si="2"/>
        <v>1302000000</v>
      </c>
      <c r="O5" s="15">
        <f t="shared" si="2"/>
        <v>1302000000</v>
      </c>
    </row>
    <row r="6" spans="3:16">
      <c r="C6" s="12" t="s">
        <v>28</v>
      </c>
      <c r="D6" s="30"/>
      <c r="E6" s="67"/>
      <c r="F6" s="31">
        <f>Questao1!C13</f>
        <v>1190000000</v>
      </c>
      <c r="G6" s="31">
        <f t="shared" ref="G6:O9" si="3">F6</f>
        <v>1190000000</v>
      </c>
      <c r="H6" s="31">
        <f t="shared" si="3"/>
        <v>1190000000</v>
      </c>
      <c r="I6" s="31">
        <f t="shared" si="3"/>
        <v>1190000000</v>
      </c>
      <c r="J6" s="31">
        <f t="shared" si="3"/>
        <v>1190000000</v>
      </c>
      <c r="K6" s="31">
        <f t="shared" si="3"/>
        <v>1190000000</v>
      </c>
      <c r="L6" s="31">
        <f t="shared" si="3"/>
        <v>1190000000</v>
      </c>
      <c r="M6" s="31">
        <f t="shared" si="3"/>
        <v>1190000000</v>
      </c>
      <c r="N6" s="31">
        <f t="shared" si="3"/>
        <v>1190000000</v>
      </c>
      <c r="O6" s="21">
        <f t="shared" si="3"/>
        <v>1190000000</v>
      </c>
    </row>
    <row r="7" spans="3:16">
      <c r="C7" s="12" t="s">
        <v>27</v>
      </c>
      <c r="D7" s="30"/>
      <c r="E7" s="67"/>
      <c r="F7" s="31">
        <f>Questao1!D13</f>
        <v>112000000</v>
      </c>
      <c r="G7" s="31">
        <f t="shared" si="3"/>
        <v>112000000</v>
      </c>
      <c r="H7" s="31">
        <f t="shared" si="3"/>
        <v>112000000</v>
      </c>
      <c r="I7" s="31">
        <f t="shared" si="3"/>
        <v>112000000</v>
      </c>
      <c r="J7" s="31">
        <f t="shared" si="3"/>
        <v>112000000</v>
      </c>
      <c r="K7" s="31">
        <f t="shared" si="3"/>
        <v>112000000</v>
      </c>
      <c r="L7" s="31">
        <f t="shared" si="3"/>
        <v>112000000</v>
      </c>
      <c r="M7" s="31">
        <f t="shared" si="3"/>
        <v>112000000</v>
      </c>
      <c r="N7" s="31">
        <f t="shared" si="3"/>
        <v>112000000</v>
      </c>
      <c r="O7" s="21">
        <f t="shared" si="3"/>
        <v>112000000</v>
      </c>
    </row>
    <row r="8" spans="3:16">
      <c r="C8" s="14" t="s">
        <v>30</v>
      </c>
      <c r="D8" s="108"/>
      <c r="E8" s="50"/>
      <c r="F8" s="50">
        <f>DADOS!C19*Questão4!F5</f>
        <v>260400000</v>
      </c>
      <c r="G8" s="50">
        <f t="shared" si="3"/>
        <v>260400000</v>
      </c>
      <c r="H8" s="50">
        <f t="shared" si="3"/>
        <v>260400000</v>
      </c>
      <c r="I8" s="50">
        <f t="shared" si="3"/>
        <v>260400000</v>
      </c>
      <c r="J8" s="50">
        <f t="shared" si="3"/>
        <v>260400000</v>
      </c>
      <c r="K8" s="50">
        <f t="shared" si="3"/>
        <v>260400000</v>
      </c>
      <c r="L8" s="50">
        <f t="shared" si="3"/>
        <v>260400000</v>
      </c>
      <c r="M8" s="50">
        <f t="shared" si="3"/>
        <v>260400000</v>
      </c>
      <c r="N8" s="50">
        <f t="shared" si="3"/>
        <v>260400000</v>
      </c>
      <c r="O8" s="15">
        <f t="shared" si="3"/>
        <v>260400000</v>
      </c>
    </row>
    <row r="9" spans="3:16">
      <c r="C9" s="16" t="s">
        <v>31</v>
      </c>
      <c r="D9" s="109"/>
      <c r="E9" s="36"/>
      <c r="F9" s="36">
        <f>F5-F8</f>
        <v>1041600000</v>
      </c>
      <c r="G9" s="36">
        <f t="shared" si="3"/>
        <v>1041600000</v>
      </c>
      <c r="H9" s="36">
        <f t="shared" si="3"/>
        <v>1041600000</v>
      </c>
      <c r="I9" s="36">
        <f t="shared" si="3"/>
        <v>1041600000</v>
      </c>
      <c r="J9" s="36">
        <f t="shared" si="3"/>
        <v>1041600000</v>
      </c>
      <c r="K9" s="36">
        <f t="shared" si="3"/>
        <v>1041600000</v>
      </c>
      <c r="L9" s="36">
        <f t="shared" si="3"/>
        <v>1041600000</v>
      </c>
      <c r="M9" s="36">
        <f t="shared" si="3"/>
        <v>1041600000</v>
      </c>
      <c r="N9" s="36">
        <f t="shared" si="3"/>
        <v>1041600000</v>
      </c>
      <c r="O9" s="17">
        <f t="shared" si="3"/>
        <v>1041600000</v>
      </c>
    </row>
    <row r="10" spans="3:16">
      <c r="E10" s="6"/>
    </row>
    <row r="11" spans="3:16">
      <c r="C11" s="10" t="s">
        <v>32</v>
      </c>
      <c r="D11" s="110"/>
      <c r="E11" s="32"/>
      <c r="F11" s="32">
        <f>F12+F15</f>
        <v>503200000</v>
      </c>
      <c r="G11" s="32">
        <f t="shared" ref="G11:O13" si="4">F11</f>
        <v>503200000</v>
      </c>
      <c r="H11" s="32">
        <f t="shared" si="4"/>
        <v>503200000</v>
      </c>
      <c r="I11" s="32">
        <f t="shared" si="4"/>
        <v>503200000</v>
      </c>
      <c r="J11" s="32">
        <f t="shared" si="4"/>
        <v>503200000</v>
      </c>
      <c r="K11" s="32">
        <f t="shared" si="4"/>
        <v>503200000</v>
      </c>
      <c r="L11" s="32">
        <f t="shared" si="4"/>
        <v>503200000</v>
      </c>
      <c r="M11" s="32">
        <f t="shared" si="4"/>
        <v>503200000</v>
      </c>
      <c r="N11" s="32">
        <f t="shared" si="4"/>
        <v>503200000</v>
      </c>
      <c r="O11" s="11">
        <f t="shared" si="4"/>
        <v>503200000</v>
      </c>
    </row>
    <row r="12" spans="3:16">
      <c r="C12" s="18" t="s">
        <v>33</v>
      </c>
      <c r="D12" s="111"/>
      <c r="E12" s="33"/>
      <c r="F12" s="33">
        <f>F13+F14</f>
        <v>443200000</v>
      </c>
      <c r="G12" s="33">
        <f t="shared" si="4"/>
        <v>443200000</v>
      </c>
      <c r="H12" s="33">
        <f t="shared" si="4"/>
        <v>443200000</v>
      </c>
      <c r="I12" s="33">
        <f t="shared" si="4"/>
        <v>443200000</v>
      </c>
      <c r="J12" s="33">
        <f t="shared" si="4"/>
        <v>443200000</v>
      </c>
      <c r="K12" s="33">
        <f t="shared" si="4"/>
        <v>443200000</v>
      </c>
      <c r="L12" s="33">
        <f t="shared" si="4"/>
        <v>443200000</v>
      </c>
      <c r="M12" s="33">
        <f t="shared" si="4"/>
        <v>443200000</v>
      </c>
      <c r="N12" s="33">
        <f t="shared" si="4"/>
        <v>443200000</v>
      </c>
      <c r="O12" s="19">
        <f t="shared" si="4"/>
        <v>443200000</v>
      </c>
    </row>
    <row r="13" spans="3:16">
      <c r="C13" s="20" t="s">
        <v>34</v>
      </c>
      <c r="D13" s="112"/>
      <c r="E13" s="31"/>
      <c r="F13" s="31">
        <f>Questao1!C5*Questao1!C6</f>
        <v>408000000</v>
      </c>
      <c r="G13" s="31">
        <f t="shared" si="4"/>
        <v>408000000</v>
      </c>
      <c r="H13" s="31">
        <f t="shared" si="4"/>
        <v>408000000</v>
      </c>
      <c r="I13" s="31">
        <f t="shared" si="4"/>
        <v>408000000</v>
      </c>
      <c r="J13" s="31">
        <f t="shared" si="4"/>
        <v>408000000</v>
      </c>
      <c r="K13" s="31">
        <f t="shared" si="4"/>
        <v>408000000</v>
      </c>
      <c r="L13" s="31">
        <f t="shared" si="4"/>
        <v>408000000</v>
      </c>
      <c r="M13" s="31">
        <f t="shared" si="4"/>
        <v>408000000</v>
      </c>
      <c r="N13" s="31">
        <f t="shared" si="4"/>
        <v>408000000</v>
      </c>
      <c r="O13" s="21">
        <f t="shared" si="4"/>
        <v>408000000</v>
      </c>
    </row>
    <row r="14" spans="3:16">
      <c r="C14" s="20" t="s">
        <v>34</v>
      </c>
      <c r="D14" s="112"/>
      <c r="E14" s="31"/>
      <c r="F14" s="34">
        <f>Questao1!D5*Questao1!D6</f>
        <v>35200000</v>
      </c>
      <c r="G14" s="34">
        <f t="shared" ref="G14:O16" si="5">F14</f>
        <v>35200000</v>
      </c>
      <c r="H14" s="34">
        <f t="shared" si="5"/>
        <v>35200000</v>
      </c>
      <c r="I14" s="34">
        <f t="shared" si="5"/>
        <v>35200000</v>
      </c>
      <c r="J14" s="34">
        <f t="shared" si="5"/>
        <v>35200000</v>
      </c>
      <c r="K14" s="34">
        <f t="shared" si="5"/>
        <v>35200000</v>
      </c>
      <c r="L14" s="34">
        <f t="shared" si="5"/>
        <v>35200000</v>
      </c>
      <c r="M14" s="34">
        <f t="shared" si="5"/>
        <v>35200000</v>
      </c>
      <c r="N14" s="34">
        <f t="shared" si="5"/>
        <v>35200000</v>
      </c>
      <c r="O14" s="35">
        <f t="shared" si="5"/>
        <v>35200000</v>
      </c>
    </row>
    <row r="15" spans="3:16">
      <c r="C15" s="18" t="s">
        <v>35</v>
      </c>
      <c r="D15" s="111"/>
      <c r="E15" s="33"/>
      <c r="F15" s="33">
        <f>Questão2!C14</f>
        <v>60000000</v>
      </c>
      <c r="G15" s="33">
        <f t="shared" si="5"/>
        <v>60000000</v>
      </c>
      <c r="H15" s="33">
        <f t="shared" si="5"/>
        <v>60000000</v>
      </c>
      <c r="I15" s="33">
        <f t="shared" si="5"/>
        <v>60000000</v>
      </c>
      <c r="J15" s="33">
        <f t="shared" si="5"/>
        <v>60000000</v>
      </c>
      <c r="K15" s="33">
        <f t="shared" si="5"/>
        <v>60000000</v>
      </c>
      <c r="L15" s="33">
        <f t="shared" si="5"/>
        <v>60000000</v>
      </c>
      <c r="M15" s="33">
        <f t="shared" si="5"/>
        <v>60000000</v>
      </c>
      <c r="N15" s="33">
        <f t="shared" si="5"/>
        <v>60000000</v>
      </c>
      <c r="O15" s="19">
        <f t="shared" si="5"/>
        <v>60000000</v>
      </c>
    </row>
    <row r="16" spans="3:16">
      <c r="C16" s="16" t="s">
        <v>36</v>
      </c>
      <c r="D16" s="109"/>
      <c r="E16" s="36"/>
      <c r="F16" s="36">
        <f>F9-F11</f>
        <v>538400000</v>
      </c>
      <c r="G16" s="36">
        <f t="shared" si="5"/>
        <v>538400000</v>
      </c>
      <c r="H16" s="36">
        <f t="shared" si="5"/>
        <v>538400000</v>
      </c>
      <c r="I16" s="36">
        <f t="shared" si="5"/>
        <v>538400000</v>
      </c>
      <c r="J16" s="36">
        <f t="shared" si="5"/>
        <v>538400000</v>
      </c>
      <c r="K16" s="36">
        <f t="shared" si="5"/>
        <v>538400000</v>
      </c>
      <c r="L16" s="36">
        <f t="shared" si="5"/>
        <v>538400000</v>
      </c>
      <c r="M16" s="36">
        <f t="shared" si="5"/>
        <v>538400000</v>
      </c>
      <c r="N16" s="36">
        <f t="shared" si="5"/>
        <v>538400000</v>
      </c>
      <c r="O16" s="17">
        <f t="shared" si="5"/>
        <v>538400000</v>
      </c>
    </row>
    <row r="18" spans="3:15">
      <c r="C18" s="10" t="s">
        <v>37</v>
      </c>
      <c r="D18" s="110"/>
      <c r="E18" s="32"/>
      <c r="F18" s="32">
        <f>SUM(F19:F21)</f>
        <v>117100000</v>
      </c>
      <c r="G18" s="32">
        <f t="shared" ref="G18:O18" si="6">F18</f>
        <v>117100000</v>
      </c>
      <c r="H18" s="32">
        <f t="shared" si="6"/>
        <v>117100000</v>
      </c>
      <c r="I18" s="32">
        <f t="shared" si="6"/>
        <v>117100000</v>
      </c>
      <c r="J18" s="32">
        <f t="shared" si="6"/>
        <v>117100000</v>
      </c>
      <c r="K18" s="32">
        <f t="shared" si="6"/>
        <v>117100000</v>
      </c>
      <c r="L18" s="32">
        <f t="shared" si="6"/>
        <v>117100000</v>
      </c>
      <c r="M18" s="32">
        <f t="shared" si="6"/>
        <v>117100000</v>
      </c>
      <c r="N18" s="32">
        <f t="shared" si="6"/>
        <v>117100000</v>
      </c>
      <c r="O18" s="11">
        <f t="shared" si="6"/>
        <v>117100000</v>
      </c>
    </row>
    <row r="19" spans="3:15">
      <c r="C19" s="12" t="s">
        <v>38</v>
      </c>
      <c r="D19" s="30"/>
      <c r="E19" s="31"/>
      <c r="F19" s="34">
        <f>F5*DADOS!C17</f>
        <v>65100000</v>
      </c>
      <c r="G19" s="34">
        <f t="shared" ref="G19:O19" si="7">F19</f>
        <v>65100000</v>
      </c>
      <c r="H19" s="34">
        <f t="shared" si="7"/>
        <v>65100000</v>
      </c>
      <c r="I19" s="34">
        <f t="shared" si="7"/>
        <v>65100000</v>
      </c>
      <c r="J19" s="34">
        <f t="shared" si="7"/>
        <v>65100000</v>
      </c>
      <c r="K19" s="34">
        <f t="shared" si="7"/>
        <v>65100000</v>
      </c>
      <c r="L19" s="34">
        <f t="shared" si="7"/>
        <v>65100000</v>
      </c>
      <c r="M19" s="34">
        <f t="shared" si="7"/>
        <v>65100000</v>
      </c>
      <c r="N19" s="34">
        <f t="shared" si="7"/>
        <v>65100000</v>
      </c>
      <c r="O19" s="35">
        <f t="shared" si="7"/>
        <v>65100000</v>
      </c>
    </row>
    <row r="20" spans="3:15">
      <c r="C20" s="12" t="s">
        <v>39</v>
      </c>
      <c r="D20" s="30"/>
      <c r="E20" s="31"/>
      <c r="F20" s="34">
        <f>DADOS!C29</f>
        <v>50000000</v>
      </c>
      <c r="G20" s="34">
        <f t="shared" ref="G20:O20" si="8">F20</f>
        <v>50000000</v>
      </c>
      <c r="H20" s="34">
        <f t="shared" si="8"/>
        <v>50000000</v>
      </c>
      <c r="I20" s="34">
        <f t="shared" si="8"/>
        <v>50000000</v>
      </c>
      <c r="J20" s="34">
        <f t="shared" si="8"/>
        <v>50000000</v>
      </c>
      <c r="K20" s="34">
        <f t="shared" si="8"/>
        <v>50000000</v>
      </c>
      <c r="L20" s="34">
        <f t="shared" si="8"/>
        <v>50000000</v>
      </c>
      <c r="M20" s="34">
        <f t="shared" si="8"/>
        <v>50000000</v>
      </c>
      <c r="N20" s="34">
        <f t="shared" si="8"/>
        <v>50000000</v>
      </c>
      <c r="O20" s="35">
        <f t="shared" si="8"/>
        <v>50000000</v>
      </c>
    </row>
    <row r="21" spans="3:15">
      <c r="C21" s="22" t="s">
        <v>40</v>
      </c>
      <c r="D21" s="113"/>
      <c r="E21" s="65"/>
      <c r="F21" s="41">
        <f>DADOS!C30</f>
        <v>2000000</v>
      </c>
      <c r="G21" s="41">
        <f t="shared" ref="G21:O21" si="9">F21</f>
        <v>2000000</v>
      </c>
      <c r="H21" s="41">
        <f t="shared" si="9"/>
        <v>2000000</v>
      </c>
      <c r="I21" s="41">
        <f t="shared" si="9"/>
        <v>2000000</v>
      </c>
      <c r="J21" s="41">
        <f t="shared" si="9"/>
        <v>2000000</v>
      </c>
      <c r="K21" s="41">
        <f t="shared" si="9"/>
        <v>2000000</v>
      </c>
      <c r="L21" s="41">
        <f t="shared" si="9"/>
        <v>2000000</v>
      </c>
      <c r="M21" s="41">
        <f t="shared" si="9"/>
        <v>2000000</v>
      </c>
      <c r="N21" s="41">
        <f t="shared" si="9"/>
        <v>2000000</v>
      </c>
      <c r="O21" s="66">
        <f t="shared" si="9"/>
        <v>2000000</v>
      </c>
    </row>
    <row r="22" spans="3:15">
      <c r="C22" s="30"/>
      <c r="D22" s="30"/>
      <c r="E22" s="31"/>
    </row>
    <row r="23" spans="3:15">
      <c r="C23" s="23" t="s">
        <v>41</v>
      </c>
      <c r="D23" s="115"/>
      <c r="E23" s="88">
        <v>0</v>
      </c>
      <c r="F23" s="88">
        <f>F16-F18</f>
        <v>421300000</v>
      </c>
      <c r="G23" s="88">
        <f>F23</f>
        <v>421300000</v>
      </c>
      <c r="H23" s="88">
        <f t="shared" ref="H23:O23" si="10">G23</f>
        <v>421300000</v>
      </c>
      <c r="I23" s="88">
        <f t="shared" si="10"/>
        <v>421300000</v>
      </c>
      <c r="J23" s="88">
        <f t="shared" si="10"/>
        <v>421300000</v>
      </c>
      <c r="K23" s="88">
        <f t="shared" si="10"/>
        <v>421300000</v>
      </c>
      <c r="L23" s="88">
        <f t="shared" si="10"/>
        <v>421300000</v>
      </c>
      <c r="M23" s="88">
        <f t="shared" si="10"/>
        <v>421300000</v>
      </c>
      <c r="N23" s="88">
        <f t="shared" si="10"/>
        <v>421300000</v>
      </c>
      <c r="O23" s="88">
        <f t="shared" si="10"/>
        <v>421300000</v>
      </c>
    </row>
    <row r="24" spans="3:1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3:15">
      <c r="C25" s="37" t="s">
        <v>47</v>
      </c>
      <c r="D25" s="114"/>
      <c r="E25" s="38"/>
      <c r="F25" s="38">
        <f>DADOS!C25*Questão4!F12</f>
        <v>88640000</v>
      </c>
      <c r="G25" s="38">
        <f>F25</f>
        <v>88640000</v>
      </c>
      <c r="H25" s="38">
        <f t="shared" ref="H25:O25" si="11">G25</f>
        <v>88640000</v>
      </c>
      <c r="I25" s="38">
        <f t="shared" si="11"/>
        <v>88640000</v>
      </c>
      <c r="J25" s="38">
        <f t="shared" si="11"/>
        <v>88640000</v>
      </c>
      <c r="K25" s="38">
        <f t="shared" si="11"/>
        <v>88640000</v>
      </c>
      <c r="L25" s="38">
        <f t="shared" si="11"/>
        <v>88640000</v>
      </c>
      <c r="M25" s="38">
        <f t="shared" si="11"/>
        <v>88640000</v>
      </c>
      <c r="N25" s="38">
        <f t="shared" si="11"/>
        <v>88640000</v>
      </c>
      <c r="O25" s="38">
        <f t="shared" si="11"/>
        <v>88640000</v>
      </c>
    </row>
    <row r="26" spans="3:15" ht="17" thickBot="1">
      <c r="E26" s="6"/>
    </row>
    <row r="27" spans="3:15" ht="17" thickBot="1">
      <c r="C27" s="132" t="s">
        <v>61</v>
      </c>
      <c r="D27" s="139"/>
      <c r="E27" s="140"/>
      <c r="F27" s="141">
        <f>F23+F25</f>
        <v>509940000</v>
      </c>
      <c r="G27" s="141">
        <f t="shared" ref="G27:O27" si="12">G23+G25</f>
        <v>509940000</v>
      </c>
      <c r="H27" s="141">
        <f t="shared" si="12"/>
        <v>509940000</v>
      </c>
      <c r="I27" s="141">
        <f t="shared" si="12"/>
        <v>509940000</v>
      </c>
      <c r="J27" s="141">
        <f t="shared" si="12"/>
        <v>509940000</v>
      </c>
      <c r="K27" s="141">
        <f t="shared" si="12"/>
        <v>509940000</v>
      </c>
      <c r="L27" s="141">
        <f t="shared" si="12"/>
        <v>509940000</v>
      </c>
      <c r="M27" s="141">
        <f t="shared" si="12"/>
        <v>509940000</v>
      </c>
      <c r="N27" s="141">
        <f t="shared" si="12"/>
        <v>509940000</v>
      </c>
      <c r="O27" s="133">
        <f>O23+O25+1000000</f>
        <v>510940000</v>
      </c>
    </row>
    <row r="28" spans="3:15">
      <c r="E28" s="6"/>
    </row>
    <row r="29" spans="3:15">
      <c r="C29" s="42" t="s">
        <v>45</v>
      </c>
      <c r="D29" s="116"/>
      <c r="E29" s="47">
        <f>-DADOS!C6</f>
        <v>-2000000000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0</v>
      </c>
    </row>
    <row r="30" spans="3:15">
      <c r="C30" s="44"/>
      <c r="D30" s="44"/>
      <c r="E30" s="45"/>
    </row>
    <row r="31" spans="3:15">
      <c r="C31" s="42" t="s">
        <v>46</v>
      </c>
      <c r="D31" s="116"/>
      <c r="E31" s="47">
        <f>E23+E29</f>
        <v>-2000000000</v>
      </c>
      <c r="F31" s="47">
        <f>F27</f>
        <v>509940000</v>
      </c>
      <c r="G31" s="47">
        <f t="shared" ref="G31:O31" si="13">G27</f>
        <v>509940000</v>
      </c>
      <c r="H31" s="47">
        <f t="shared" si="13"/>
        <v>509940000</v>
      </c>
      <c r="I31" s="47">
        <f t="shared" si="13"/>
        <v>509940000</v>
      </c>
      <c r="J31" s="47">
        <f t="shared" si="13"/>
        <v>509940000</v>
      </c>
      <c r="K31" s="47">
        <f t="shared" si="13"/>
        <v>509940000</v>
      </c>
      <c r="L31" s="47">
        <f t="shared" si="13"/>
        <v>509940000</v>
      </c>
      <c r="M31" s="47">
        <f t="shared" si="13"/>
        <v>509940000</v>
      </c>
      <c r="N31" s="47">
        <f t="shared" si="13"/>
        <v>509940000</v>
      </c>
      <c r="O31" s="47">
        <f>O27+1000000</f>
        <v>511940000</v>
      </c>
    </row>
    <row r="32" spans="3:15">
      <c r="C32" s="46"/>
      <c r="D32" s="46"/>
      <c r="E32" s="43"/>
    </row>
    <row r="33" spans="3:5">
      <c r="C33" s="49" t="s">
        <v>48</v>
      </c>
      <c r="D33" s="117"/>
      <c r="E33" s="48">
        <f>IRR(E31:O31)</f>
        <v>0.22013283332594447</v>
      </c>
    </row>
    <row r="35" spans="3:5">
      <c r="E35" s="85"/>
    </row>
    <row r="36" spans="3:5">
      <c r="E36" t="s">
        <v>56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2D13-0484-1242-A255-2F7AB9E5C868}">
  <dimension ref="A1:Q37"/>
  <sheetViews>
    <sheetView tabSelected="1" topLeftCell="A2" workbookViewId="0">
      <selection activeCell="B15" sqref="B15"/>
    </sheetView>
  </sheetViews>
  <sheetFormatPr baseColWidth="10" defaultColWidth="8.83203125" defaultRowHeight="16"/>
  <cols>
    <col min="1" max="1" width="17.83203125" customWidth="1"/>
    <col min="2" max="2" width="22.83203125" customWidth="1"/>
    <col min="3" max="3" width="16.6640625" bestFit="1" customWidth="1"/>
    <col min="4" max="4" width="11.1640625" bestFit="1" customWidth="1"/>
    <col min="5" max="5" width="11.5" bestFit="1" customWidth="1"/>
    <col min="6" max="6" width="12.83203125" customWidth="1"/>
    <col min="7" max="7" width="11.5" bestFit="1" customWidth="1"/>
    <col min="8" max="8" width="20" customWidth="1"/>
    <col min="9" max="9" width="12.1640625" bestFit="1" customWidth="1"/>
    <col min="10" max="10" width="11.5" bestFit="1" customWidth="1"/>
    <col min="11" max="11" width="13.6640625" bestFit="1" customWidth="1"/>
    <col min="13" max="13" width="11.5" bestFit="1" customWidth="1"/>
    <col min="14" max="14" width="13.6640625" bestFit="1" customWidth="1"/>
  </cols>
  <sheetData>
    <row r="1" spans="1:14">
      <c r="M1" t="s">
        <v>109</v>
      </c>
    </row>
    <row r="2" spans="1:14">
      <c r="M2" t="s">
        <v>77</v>
      </c>
      <c r="N2" t="s">
        <v>105</v>
      </c>
    </row>
    <row r="3" spans="1:14" ht="27" thickBot="1">
      <c r="D3" s="156" t="s">
        <v>78</v>
      </c>
      <c r="M3" t="s">
        <v>75</v>
      </c>
      <c r="N3" t="s">
        <v>107</v>
      </c>
    </row>
    <row r="4" spans="1:14" ht="25" thickBot="1">
      <c r="E4" s="159" t="s">
        <v>75</v>
      </c>
      <c r="F4" s="160"/>
      <c r="G4" s="161" t="s">
        <v>76</v>
      </c>
      <c r="H4" s="162"/>
      <c r="I4" s="162" t="s">
        <v>77</v>
      </c>
      <c r="M4" t="s">
        <v>76</v>
      </c>
      <c r="N4" t="s">
        <v>108</v>
      </c>
    </row>
    <row r="6" spans="1:14">
      <c r="A6" s="158" t="s">
        <v>96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N6" s="1" t="s">
        <v>79</v>
      </c>
    </row>
    <row r="7" spans="1:14">
      <c r="C7" s="53" t="s">
        <v>115</v>
      </c>
      <c r="D7" s="148">
        <f>SUM(D11:D20)</f>
        <v>1999999.9999999993</v>
      </c>
      <c r="K7" s="1" t="s">
        <v>48</v>
      </c>
    </row>
    <row r="8" spans="1:14">
      <c r="D8" s="142" t="s">
        <v>80</v>
      </c>
      <c r="E8" s="142"/>
      <c r="H8" s="1" t="s">
        <v>75</v>
      </c>
      <c r="I8" s="129"/>
      <c r="J8" s="1" t="s">
        <v>76</v>
      </c>
      <c r="K8" s="143">
        <f>IRR(K10:K20)</f>
        <v>1.0000000000000009E-2</v>
      </c>
      <c r="M8" t="s">
        <v>81</v>
      </c>
      <c r="N8" s="143">
        <f>IRR(N10:N18)</f>
        <v>44.425582076548707</v>
      </c>
    </row>
    <row r="9" spans="1:14">
      <c r="D9" s="144" t="s">
        <v>82</v>
      </c>
      <c r="E9" s="144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87</v>
      </c>
      <c r="K9" s="1"/>
      <c r="L9" s="1"/>
      <c r="M9" s="1"/>
      <c r="N9" s="1" t="s">
        <v>88</v>
      </c>
    </row>
    <row r="10" spans="1:14">
      <c r="A10" s="53" t="s">
        <v>89</v>
      </c>
      <c r="B10" s="107">
        <f>DADOS!C6/1000</f>
        <v>2000000</v>
      </c>
      <c r="C10">
        <v>0</v>
      </c>
      <c r="D10" s="144"/>
      <c r="E10" s="155"/>
      <c r="F10" s="154">
        <f>B10</f>
        <v>2000000</v>
      </c>
      <c r="G10" s="154" t="s">
        <v>90</v>
      </c>
      <c r="H10" s="154" t="s">
        <v>106</v>
      </c>
      <c r="I10" s="154">
        <v>0</v>
      </c>
      <c r="J10" s="154">
        <v>0</v>
      </c>
      <c r="K10" s="154">
        <f>-F10</f>
        <v>-2000000</v>
      </c>
      <c r="L10" s="154"/>
      <c r="M10" s="154"/>
      <c r="N10" s="154">
        <f>K10</f>
        <v>-2000000</v>
      </c>
    </row>
    <row r="11" spans="1:14">
      <c r="A11" s="53" t="s">
        <v>91</v>
      </c>
      <c r="B11" s="143">
        <v>0.01</v>
      </c>
      <c r="C11">
        <v>1</v>
      </c>
      <c r="D11" s="145">
        <f>$B$12-E11</f>
        <v>191164.15310234268</v>
      </c>
      <c r="E11" s="155">
        <f>B11*F10</f>
        <v>20000</v>
      </c>
      <c r="F11" s="154">
        <f>F10-D11</f>
        <v>1808835.8468976573</v>
      </c>
      <c r="G11" s="154">
        <f>D11+E11</f>
        <v>211164.15310234268</v>
      </c>
      <c r="H11" s="157">
        <f>$B$11/(((1+$B$11)^($C$20-C10)-1))</f>
        <v>9.5582076551171152E-2</v>
      </c>
      <c r="I11" s="154">
        <f>H11*F10</f>
        <v>191164.1531023423</v>
      </c>
      <c r="J11" s="154">
        <f>$B$11*F10</f>
        <v>20000</v>
      </c>
      <c r="K11" s="154">
        <f>I11+J11</f>
        <v>211164.1531023423</v>
      </c>
      <c r="L11" s="154"/>
      <c r="M11" s="154">
        <f>$C$29</f>
        <v>88640000</v>
      </c>
      <c r="N11" s="154">
        <f>K11+M11</f>
        <v>88851164.153102338</v>
      </c>
    </row>
    <row r="12" spans="1:14">
      <c r="A12" s="53" t="s">
        <v>92</v>
      </c>
      <c r="B12" s="146">
        <f>-PMT(B11,10,B10)</f>
        <v>211164.15310234268</v>
      </c>
      <c r="C12">
        <v>2</v>
      </c>
      <c r="D12" s="145">
        <f>$B$12-E12</f>
        <v>193075.79463336611</v>
      </c>
      <c r="E12" s="155">
        <f>F11*$B$11</f>
        <v>18088.358468976574</v>
      </c>
      <c r="F12" s="154">
        <f>F11-D12</f>
        <v>1615760.0522642911</v>
      </c>
      <c r="G12" s="154">
        <f t="shared" ref="G12:G18" si="0">D12+E12</f>
        <v>211164.15310234268</v>
      </c>
      <c r="H12" s="157">
        <f t="shared" ref="H12:H20" si="1">$B$11/(((1+$B$11)^($C$20-C11)-1))</f>
        <v>0.10674036284968087</v>
      </c>
      <c r="I12" s="154">
        <f>H12*F11</f>
        <v>193075.79463336573</v>
      </c>
      <c r="J12" s="154">
        <f>$B$11*F11</f>
        <v>18088.358468976574</v>
      </c>
      <c r="K12" s="154">
        <f>I12+J12</f>
        <v>211164.1531023423</v>
      </c>
      <c r="L12" s="154"/>
      <c r="M12" s="154">
        <f t="shared" ref="M12:M20" si="2">$C$29</f>
        <v>88640000</v>
      </c>
      <c r="N12" s="154">
        <f t="shared" ref="N12:N18" si="3">K12+M12</f>
        <v>88851164.153102338</v>
      </c>
    </row>
    <row r="13" spans="1:14">
      <c r="A13" s="53" t="s">
        <v>103</v>
      </c>
      <c r="B13" s="147">
        <f>B12/B10</f>
        <v>0.10558207655117134</v>
      </c>
      <c r="C13">
        <v>3</v>
      </c>
      <c r="D13" s="145">
        <f t="shared" ref="D13:D20" si="4">$B$12-E13</f>
        <v>195006.55257969978</v>
      </c>
      <c r="E13" s="155">
        <f>F12*$B$11</f>
        <v>16157.600522642912</v>
      </c>
      <c r="F13" s="154">
        <f>F12-D13</f>
        <v>1420753.4996845913</v>
      </c>
      <c r="G13" s="154">
        <f t="shared" si="0"/>
        <v>211164.15310234268</v>
      </c>
      <c r="H13" s="157">
        <f t="shared" si="1"/>
        <v>0.12069029204331519</v>
      </c>
      <c r="I13" s="154">
        <f>H13*F12</f>
        <v>195006.55257969949</v>
      </c>
      <c r="J13" s="154">
        <f>$B$11*F12</f>
        <v>16157.600522642912</v>
      </c>
      <c r="K13" s="154">
        <f>I13+J13</f>
        <v>211164.15310234239</v>
      </c>
      <c r="L13" s="154"/>
      <c r="M13" s="154">
        <f t="shared" si="2"/>
        <v>88640000</v>
      </c>
      <c r="N13" s="154">
        <f t="shared" si="3"/>
        <v>88851164.153102338</v>
      </c>
    </row>
    <row r="14" spans="1:14">
      <c r="C14">
        <v>4</v>
      </c>
      <c r="D14" s="145">
        <f t="shared" si="4"/>
        <v>196956.61810549677</v>
      </c>
      <c r="E14" s="155">
        <f>F13*$B$11</f>
        <v>14207.534996845914</v>
      </c>
      <c r="F14" s="154">
        <f>F13-D14</f>
        <v>1223796.8815790946</v>
      </c>
      <c r="G14" s="154">
        <f t="shared" si="0"/>
        <v>211164.15310234268</v>
      </c>
      <c r="H14" s="157">
        <f t="shared" si="1"/>
        <v>0.13862828291411694</v>
      </c>
      <c r="I14" s="154">
        <f>H14*F13</f>
        <v>196956.61810549727</v>
      </c>
      <c r="J14" s="154">
        <f t="shared" ref="J14:J18" si="5">$B$11*F13</f>
        <v>14207.534996845914</v>
      </c>
      <c r="K14" s="154">
        <f>I14+J14</f>
        <v>211164.15310234317</v>
      </c>
      <c r="L14" s="154"/>
      <c r="M14" s="154">
        <f t="shared" si="2"/>
        <v>88640000</v>
      </c>
      <c r="N14" s="154">
        <f t="shared" si="3"/>
        <v>88851164.153102338</v>
      </c>
    </row>
    <row r="15" spans="1:14">
      <c r="A15" s="53" t="s">
        <v>114</v>
      </c>
      <c r="B15" s="163">
        <f>IRR(K10:K20)</f>
        <v>1.0000000000000009E-2</v>
      </c>
      <c r="C15">
        <v>5</v>
      </c>
      <c r="D15" s="145">
        <f t="shared" si="4"/>
        <v>198926.18428655172</v>
      </c>
      <c r="E15" s="155">
        <f>F14*$B$11</f>
        <v>12237.968815790946</v>
      </c>
      <c r="F15" s="154">
        <f>F14-D15</f>
        <v>1024870.6972925428</v>
      </c>
      <c r="G15" s="154">
        <f t="shared" si="0"/>
        <v>211164.15310234268</v>
      </c>
      <c r="H15" s="157">
        <f t="shared" si="1"/>
        <v>0.16254836671088108</v>
      </c>
      <c r="I15" s="154">
        <f>H15*F14</f>
        <v>198926.18428655138</v>
      </c>
      <c r="J15" s="154">
        <f t="shared" si="5"/>
        <v>12237.968815790946</v>
      </c>
      <c r="K15" s="154">
        <f>I15+J15</f>
        <v>211164.15310234233</v>
      </c>
      <c r="L15" s="154"/>
      <c r="M15" s="154">
        <f t="shared" si="2"/>
        <v>88640000</v>
      </c>
      <c r="N15" s="154">
        <f t="shared" si="3"/>
        <v>88851164.153102338</v>
      </c>
    </row>
    <row r="16" spans="1:14">
      <c r="C16">
        <v>6</v>
      </c>
      <c r="D16" s="145">
        <f t="shared" si="4"/>
        <v>200915.44612941725</v>
      </c>
      <c r="E16" s="155">
        <f t="shared" ref="E16:E20" si="6">F15*$B$11</f>
        <v>10248.706972925427</v>
      </c>
      <c r="F16" s="154">
        <f t="shared" ref="F16:F18" si="7">F15-D16</f>
        <v>823955.2511631255</v>
      </c>
      <c r="G16" s="154">
        <f t="shared" si="0"/>
        <v>211164.15310234268</v>
      </c>
      <c r="H16" s="157">
        <f t="shared" si="1"/>
        <v>0.19603979961588031</v>
      </c>
      <c r="I16" s="154">
        <f t="shared" ref="I16:I18" si="8">H16*F15</f>
        <v>200915.4461294176</v>
      </c>
      <c r="J16" s="154">
        <f>$B$11*F15</f>
        <v>10248.706972925427</v>
      </c>
      <c r="K16" s="154">
        <f t="shared" ref="K16:K17" si="9">I16+J16</f>
        <v>211164.15310234303</v>
      </c>
      <c r="L16" s="154"/>
      <c r="M16" s="154">
        <f t="shared" si="2"/>
        <v>88640000</v>
      </c>
      <c r="N16" s="154">
        <f t="shared" si="3"/>
        <v>88851164.153102338</v>
      </c>
    </row>
    <row r="17" spans="1:17">
      <c r="C17">
        <v>7</v>
      </c>
      <c r="D17" s="145">
        <f t="shared" si="4"/>
        <v>202924.60059071143</v>
      </c>
      <c r="E17" s="155">
        <f t="shared" si="6"/>
        <v>8239.5525116312547</v>
      </c>
      <c r="F17" s="154">
        <f t="shared" si="7"/>
        <v>621030.65057241404</v>
      </c>
      <c r="G17" s="154">
        <f t="shared" si="0"/>
        <v>211164.15310234268</v>
      </c>
      <c r="H17" s="157">
        <f t="shared" si="1"/>
        <v>0.24628109391166031</v>
      </c>
      <c r="I17" s="154">
        <f t="shared" si="8"/>
        <v>202924.60059071137</v>
      </c>
      <c r="J17" s="154">
        <f t="shared" si="5"/>
        <v>8239.5525116312547</v>
      </c>
      <c r="K17" s="154">
        <f t="shared" si="9"/>
        <v>211164.15310234262</v>
      </c>
      <c r="L17" s="154"/>
      <c r="M17" s="154">
        <f t="shared" si="2"/>
        <v>88640000</v>
      </c>
      <c r="N17" s="154">
        <f t="shared" si="3"/>
        <v>88851164.153102338</v>
      </c>
    </row>
    <row r="18" spans="1:17">
      <c r="C18">
        <v>8</v>
      </c>
      <c r="D18" s="145">
        <f t="shared" si="4"/>
        <v>204953.84659661853</v>
      </c>
      <c r="E18" s="155">
        <f t="shared" si="6"/>
        <v>6210.3065057241402</v>
      </c>
      <c r="F18" s="154">
        <f t="shared" si="7"/>
        <v>416076.80397579551</v>
      </c>
      <c r="G18" s="154">
        <f t="shared" si="0"/>
        <v>211164.15310234268</v>
      </c>
      <c r="H18" s="157">
        <f t="shared" si="1"/>
        <v>0.3300221114814702</v>
      </c>
      <c r="I18" s="154">
        <f t="shared" si="8"/>
        <v>204953.8465966192</v>
      </c>
      <c r="J18" s="154">
        <f t="shared" si="5"/>
        <v>6210.3065057241402</v>
      </c>
      <c r="K18" s="154">
        <f>$I$18+$J$18</f>
        <v>211164.15310234335</v>
      </c>
      <c r="L18" s="154"/>
      <c r="M18" s="154">
        <f t="shared" si="2"/>
        <v>88640000</v>
      </c>
      <c r="N18" s="154">
        <f t="shared" si="3"/>
        <v>88851164.153102338</v>
      </c>
    </row>
    <row r="19" spans="1:17">
      <c r="C19">
        <v>9</v>
      </c>
      <c r="D19" s="145">
        <f t="shared" si="4"/>
        <v>207003.38506258471</v>
      </c>
      <c r="E19" s="155">
        <f t="shared" si="6"/>
        <v>4160.7680397579552</v>
      </c>
      <c r="F19" s="154">
        <f t="shared" ref="F19:F20" si="10">F18-D19</f>
        <v>209073.4189132108</v>
      </c>
      <c r="G19" s="154">
        <f t="shared" ref="G19:G20" si="11">D19+E19</f>
        <v>211164.15310234268</v>
      </c>
      <c r="H19" s="157">
        <f t="shared" si="1"/>
        <v>0.49751243781094512</v>
      </c>
      <c r="I19" s="154">
        <f>H19*F18</f>
        <v>207003.38506258477</v>
      </c>
      <c r="J19" s="154">
        <f t="shared" ref="J19:J20" si="12">$B$11*F18</f>
        <v>4160.7680397579552</v>
      </c>
      <c r="K19" s="154">
        <f t="shared" ref="K19:K20" si="13">$I$18+$J$18</f>
        <v>211164.15310234335</v>
      </c>
      <c r="L19" s="154"/>
      <c r="M19" s="154">
        <f t="shared" si="2"/>
        <v>88640000</v>
      </c>
      <c r="N19" s="154">
        <f t="shared" ref="N19:N20" si="14">K19+M19</f>
        <v>88851164.153102338</v>
      </c>
    </row>
    <row r="20" spans="1:17">
      <c r="C20">
        <v>10</v>
      </c>
      <c r="D20" s="145">
        <f t="shared" si="4"/>
        <v>209073.41891321057</v>
      </c>
      <c r="E20" s="155">
        <f t="shared" si="6"/>
        <v>2090.734189132108</v>
      </c>
      <c r="F20" s="154">
        <f t="shared" si="10"/>
        <v>2.3283064365386963E-10</v>
      </c>
      <c r="G20" s="154">
        <f t="shared" si="11"/>
        <v>211164.15310234268</v>
      </c>
      <c r="H20" s="157">
        <f t="shared" si="1"/>
        <v>0.99999999999999911</v>
      </c>
      <c r="I20" s="154">
        <f t="shared" ref="I19:I20" si="15">H20*F19</f>
        <v>209073.41891321063</v>
      </c>
      <c r="J20" s="154">
        <f t="shared" si="12"/>
        <v>2090.734189132108</v>
      </c>
      <c r="K20" s="154">
        <f t="shared" si="13"/>
        <v>211164.15310234335</v>
      </c>
      <c r="L20" s="154"/>
      <c r="M20" s="154">
        <f t="shared" si="2"/>
        <v>88640000</v>
      </c>
      <c r="N20" s="154">
        <f t="shared" si="14"/>
        <v>88851164.153102338</v>
      </c>
    </row>
    <row r="21" spans="1:17">
      <c r="H21" t="s">
        <v>93</v>
      </c>
    </row>
    <row r="22" spans="1:17">
      <c r="H22" t="s">
        <v>95</v>
      </c>
    </row>
    <row r="23" spans="1:17" ht="15" customHeight="1">
      <c r="H23" s="148">
        <f>D11</f>
        <v>191164.15310234268</v>
      </c>
      <c r="I23" t="s">
        <v>94</v>
      </c>
      <c r="Q23" t="s">
        <v>113</v>
      </c>
    </row>
    <row r="24" spans="1:17">
      <c r="H24" t="s">
        <v>104</v>
      </c>
    </row>
    <row r="25" spans="1:17">
      <c r="H25" t="s">
        <v>112</v>
      </c>
    </row>
    <row r="26" spans="1:17">
      <c r="H26" t="s">
        <v>97</v>
      </c>
    </row>
    <row r="27" spans="1:17" ht="17" thickBot="1">
      <c r="B27" t="s">
        <v>98</v>
      </c>
      <c r="C27" s="107">
        <f>DADOS!C6</f>
        <v>2000000000</v>
      </c>
      <c r="H27" t="s">
        <v>99</v>
      </c>
    </row>
    <row r="28" spans="1:17">
      <c r="A28" s="149" t="s">
        <v>100</v>
      </c>
      <c r="B28" t="s">
        <v>111</v>
      </c>
      <c r="C28" s="107">
        <f>Questão2!C22</f>
        <v>421300000</v>
      </c>
      <c r="D28" s="120"/>
    </row>
    <row r="29" spans="1:17">
      <c r="A29" s="150"/>
      <c r="B29" t="s">
        <v>81</v>
      </c>
      <c r="C29" s="151">
        <f>Questão2!C24</f>
        <v>88640000</v>
      </c>
      <c r="D29" s="120"/>
      <c r="F29" s="164">
        <f>I11*(1+B11)^10</f>
        <v>211164.1531023423</v>
      </c>
    </row>
    <row r="30" spans="1:17">
      <c r="A30" s="150"/>
      <c r="B30" t="s">
        <v>61</v>
      </c>
      <c r="C30" s="120">
        <f>Questão2!C26</f>
        <v>509940000</v>
      </c>
      <c r="D30" s="120"/>
    </row>
    <row r="31" spans="1:17">
      <c r="A31" s="150"/>
      <c r="B31" t="s">
        <v>110</v>
      </c>
      <c r="C31" s="120">
        <f>DADOS!C20*'Fleischer p. 82'!C28</f>
        <v>126390000</v>
      </c>
      <c r="D31" s="120"/>
    </row>
    <row r="32" spans="1:17" ht="17" thickBot="1">
      <c r="A32" s="152"/>
      <c r="B32" t="s">
        <v>101</v>
      </c>
      <c r="C32" s="120">
        <f>C28-C31</f>
        <v>294910000</v>
      </c>
      <c r="D32" s="120"/>
    </row>
    <row r="33" spans="2:8">
      <c r="D33" s="153"/>
    </row>
    <row r="34" spans="2:8">
      <c r="D34" s="87"/>
    </row>
    <row r="35" spans="2:8">
      <c r="B35" t="s">
        <v>102</v>
      </c>
      <c r="C35" s="87">
        <f>C32/C27</f>
        <v>0.147455</v>
      </c>
    </row>
    <row r="37" spans="2:8">
      <c r="H37" s="1"/>
    </row>
  </sheetData>
  <mergeCells count="4">
    <mergeCell ref="D8:E8"/>
    <mergeCell ref="A6:L6"/>
    <mergeCell ref="A28:A32"/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DADOS</vt:lpstr>
      <vt:lpstr>Questao1</vt:lpstr>
      <vt:lpstr>Questão2</vt:lpstr>
      <vt:lpstr>Questão3</vt:lpstr>
      <vt:lpstr>Questão4</vt:lpstr>
      <vt:lpstr>Fleischer p. 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Kok</dc:creator>
  <cp:lastModifiedBy>Microsoft Office User</cp:lastModifiedBy>
  <dcterms:created xsi:type="dcterms:W3CDTF">2020-05-29T12:22:20Z</dcterms:created>
  <dcterms:modified xsi:type="dcterms:W3CDTF">2020-06-01T20:10:43Z</dcterms:modified>
</cp:coreProperties>
</file>