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0050" activeTab="1"/>
  </bookViews>
  <sheets>
    <sheet name="slide30" sheetId="1" r:id="rId1"/>
    <sheet name="FE Mod Indices" sheetId="2" r:id="rId2"/>
  </sheets>
  <definedNames>
    <definedName name="solver_adj" localSheetId="1" hidden="1">'FE Mod Indices'!$C$14:$C$20</definedName>
    <definedName name="solver_adj" localSheetId="0" hidden="1">slide30!$S$36:$S$37</definedName>
    <definedName name="solver_cvg" localSheetId="1" hidden="1">"""""""""""""""""""""""""""""""""""""""""""""""""""""""""""""""""""""""""""""""""""""""""""""""""""""""""""""""""""""""""""""""0,0001"""""""""""""""""""""""""""""""""""""""""""""""""""""""""""""""""""""""""""""""""""""""""""""""""""""""""""""""""""""""""""""""</definedName>
    <definedName name="solver_cvg" localSheetId="0" hidden="1">"""0,0001"""</definedName>
    <definedName name="solver_drv" localSheetId="1" hidden="1">1</definedName>
    <definedName name="solver_drv" localSheetId="0" hidden="1">2</definedName>
    <definedName name="solver_eng" localSheetId="1" hidden="1">1</definedName>
    <definedName name="solver_eng" localSheetId="0" hidden="1">1</definedName>
    <definedName name="solver_est" localSheetId="1" hidden="1">1</definedName>
    <definedName name="solver_est" localSheetId="0" hidden="1">1</definedName>
    <definedName name="solver_itr" localSheetId="1" hidden="1">2147483647</definedName>
    <definedName name="solver_itr" localSheetId="0" hidden="1">2147483647</definedName>
    <definedName name="solver_lhs1" localSheetId="1" hidden="1">'FE Mod Indices'!$C$14:$C$20</definedName>
    <definedName name="solver_lhs1" localSheetId="0" hidden="1">slide30!$P$26:$P$31</definedName>
    <definedName name="solver_lhs2" localSheetId="1" hidden="1">'FE Mod Indices'!$C$14:$C$20</definedName>
    <definedName name="solver_lhs2" localSheetId="0" hidden="1">slide30!$P$26:$P$31</definedName>
    <definedName name="solver_lhs3" localSheetId="1" hidden="1">'FE Mod Indices'!$C$21</definedName>
    <definedName name="solver_lhs3" localSheetId="0" hidden="1">slide30!$P$32</definedName>
    <definedName name="solver_lhs4" localSheetId="1" hidden="1">'FE Mod Indices'!$C$23</definedName>
    <definedName name="solver_lhs4" localSheetId="0" hidden="1">slide30!$S$36</definedName>
    <definedName name="solver_lhs5" localSheetId="0" hidden="1">slide30!$S$37</definedName>
    <definedName name="solver_lhs6" localSheetId="0" hidden="1">slide30!$S$38</definedName>
    <definedName name="solver_mip" localSheetId="1" hidden="1">2147483647</definedName>
    <definedName name="solver_mip" localSheetId="0" hidden="1">2147483647</definedName>
    <definedName name="solver_mni" localSheetId="1" hidden="1">30</definedName>
    <definedName name="solver_mni" localSheetId="0" hidden="1">30</definedName>
    <definedName name="solver_mrt" localSheetId="1" hidden="1">"""""""""""""""""""""""""""""""""""""""""""""""""""""""""""""""""""""""""""""""""""""""""""""""""""""""""""""""""""""""""""""""0,075"""""""""""""""""""""""""""""""""""""""""""""""""""""""""""""""""""""""""""""""""""""""""""""""""""""""""""""""""""""""""""""""</definedName>
    <definedName name="solver_mrt" localSheetId="0" hidden="1">"""0,075"""</definedName>
    <definedName name="solver_msl" localSheetId="1" hidden="1">2</definedName>
    <definedName name="solver_msl" localSheetId="0" hidden="1">2</definedName>
    <definedName name="solver_neg" localSheetId="1" hidden="1">1</definedName>
    <definedName name="solver_neg" localSheetId="0" hidden="1">1</definedName>
    <definedName name="solver_nod" localSheetId="1" hidden="1">2147483647</definedName>
    <definedName name="solver_nod" localSheetId="0" hidden="1">2147483647</definedName>
    <definedName name="solver_num" localSheetId="1" hidden="1">4</definedName>
    <definedName name="solver_num" localSheetId="0" hidden="1">6</definedName>
    <definedName name="solver_nwt" localSheetId="1" hidden="1">1</definedName>
    <definedName name="solver_nwt" localSheetId="0" hidden="1">1</definedName>
    <definedName name="solver_opt" localSheetId="1" hidden="1">'FE Mod Indices'!$C$25</definedName>
    <definedName name="solver_opt" localSheetId="0" hidden="1">slide30!$V$38</definedName>
    <definedName name="solver_pre" localSheetId="1" hidden="1">"""""""""""""""""""""""""""""""""""""""""""""""""""""""""""""""""""""""""""""""""""""""""""""""""""""""""""""""""""""""""""""""0,000001"""""""""""""""""""""""""""""""""""""""""""""""""""""""""""""""""""""""""""""""""""""""""""""""""""""""""""""""""""""""""""""""</definedName>
    <definedName name="solver_pre" localSheetId="0" hidden="1">"""0,000001"""</definedName>
    <definedName name="solver_rbv" localSheetId="1" hidden="1">1</definedName>
    <definedName name="solver_rbv" localSheetId="0" hidden="1">2</definedName>
    <definedName name="solver_rel1" localSheetId="1" hidden="1">1</definedName>
    <definedName name="solver_rel1" localSheetId="0" hidden="1">1</definedName>
    <definedName name="solver_rel2" localSheetId="1" hidden="1">3</definedName>
    <definedName name="solver_rel2" localSheetId="0" hidden="1">3</definedName>
    <definedName name="solver_rel3" localSheetId="1" hidden="1">2</definedName>
    <definedName name="solver_rel3" localSheetId="0" hidden="1">2</definedName>
    <definedName name="solver_rel4" localSheetId="1" hidden="1">2</definedName>
    <definedName name="solver_rel4" localSheetId="0" hidden="1">3</definedName>
    <definedName name="solver_rel5" localSheetId="0" hidden="1">3</definedName>
    <definedName name="solver_rel6" localSheetId="0" hidden="1">2</definedName>
    <definedName name="solver_rhs1" localSheetId="1" hidden="1">1</definedName>
    <definedName name="solver_rhs1" localSheetId="0" hidden="1">1</definedName>
    <definedName name="solver_rhs2" localSheetId="1" hidden="1">-1</definedName>
    <definedName name="solver_rhs2" localSheetId="0" hidden="1">-1</definedName>
    <definedName name="solver_rhs3" localSheetId="1" hidden="1">1</definedName>
    <definedName name="solver_rhs3" localSheetId="0" hidden="1">1</definedName>
    <definedName name="solver_rhs4" localSheetId="1" hidden="1">'FE Mod Indices'!$J$26</definedName>
    <definedName name="solver_rhs4" localSheetId="0" hidden="1">0</definedName>
    <definedName name="solver_rhs5" localSheetId="0" hidden="1">0</definedName>
    <definedName name="solver_rhs6" localSheetId="0" hidden="1">1</definedName>
    <definedName name="solver_rlx" localSheetId="1" hidden="1">2</definedName>
    <definedName name="solver_rlx" localSheetId="0" hidden="1">2</definedName>
    <definedName name="solver_rsd" localSheetId="1" hidden="1">0</definedName>
    <definedName name="solver_rsd" localSheetId="0" hidden="1">0</definedName>
    <definedName name="solver_scl" localSheetId="1" hidden="1">1</definedName>
    <definedName name="solver_scl" localSheetId="0" hidden="1">2</definedName>
    <definedName name="solver_sho" localSheetId="1" hidden="1">2</definedName>
    <definedName name="solver_sho" localSheetId="0" hidden="1">2</definedName>
    <definedName name="solver_ssz" localSheetId="1" hidden="1">100</definedName>
    <definedName name="solver_ssz" localSheetId="0" hidden="1">100</definedName>
    <definedName name="solver_tim" localSheetId="1" hidden="1">2147483647</definedName>
    <definedName name="solver_tim" localSheetId="0" hidden="1">2147483647</definedName>
    <definedName name="solver_tol" localSheetId="1" hidden="1">1</definedName>
    <definedName name="solver_tol" localSheetId="0" hidden="1">1</definedName>
    <definedName name="solver_typ" localSheetId="1" hidden="1">2</definedName>
    <definedName name="solver_typ" localSheetId="0" hidden="1">2</definedName>
    <definedName name="solver_val" localSheetId="1" hidden="1">0</definedName>
    <definedName name="solver_val" localSheetId="0" hidden="1">0</definedName>
    <definedName name="solver_ver" localSheetId="1" hidden="1">3</definedName>
    <definedName name="solver_ver" localSheetId="0" hidden="1">3</definedName>
  </definedNames>
  <calcPr calcId="145621"/>
</workbook>
</file>

<file path=xl/calcChain.xml><?xml version="1.0" encoding="utf-8"?>
<calcChain xmlns="http://schemas.openxmlformats.org/spreadsheetml/2006/main">
  <c r="C25" i="2" l="1"/>
  <c r="C23" i="2"/>
  <c r="K4" i="1" l="1"/>
  <c r="I5" i="1"/>
  <c r="I23" i="2" l="1"/>
  <c r="I24" i="2"/>
  <c r="I25" i="2"/>
  <c r="I26" i="2"/>
  <c r="I21" i="2"/>
  <c r="I22" i="2"/>
  <c r="I20" i="2"/>
  <c r="J24" i="2"/>
  <c r="J25" i="2" s="1"/>
  <c r="J26" i="2" s="1"/>
  <c r="J23" i="2"/>
  <c r="J21" i="2"/>
  <c r="I16" i="2"/>
  <c r="I15" i="2"/>
  <c r="K10" i="2"/>
  <c r="K9" i="2"/>
  <c r="K8" i="2"/>
  <c r="K7" i="2"/>
  <c r="K6" i="2"/>
  <c r="K5" i="2"/>
  <c r="K4" i="2"/>
  <c r="E28" i="1"/>
  <c r="E15" i="2"/>
  <c r="E16" i="2"/>
  <c r="E17" i="2"/>
  <c r="E18" i="2"/>
  <c r="E19" i="2"/>
  <c r="E20" i="2"/>
  <c r="E14" i="2"/>
  <c r="M36" i="1"/>
  <c r="C21" i="2"/>
  <c r="I10" i="2"/>
  <c r="I9" i="2"/>
  <c r="I8" i="2"/>
  <c r="I7" i="2"/>
  <c r="I6" i="2"/>
  <c r="I5" i="2"/>
  <c r="I4" i="2"/>
  <c r="S37" i="1"/>
  <c r="S36" i="1"/>
  <c r="C27" i="2" l="1"/>
  <c r="C29" i="2" s="1"/>
  <c r="E21" i="2"/>
  <c r="V42" i="1"/>
  <c r="V36" i="1"/>
  <c r="V26" i="1"/>
  <c r="M26" i="1"/>
  <c r="P42" i="1"/>
  <c r="P37" i="1"/>
  <c r="P38" i="1"/>
  <c r="P39" i="1"/>
  <c r="P40" i="1"/>
  <c r="P41" i="1"/>
  <c r="P36" i="1"/>
  <c r="V32" i="1"/>
  <c r="V27" i="1"/>
  <c r="V28" i="1"/>
  <c r="V29" i="1"/>
  <c r="V30" i="1"/>
  <c r="V31" i="1"/>
  <c r="S32" i="1"/>
  <c r="S27" i="1"/>
  <c r="S28" i="1"/>
  <c r="S29" i="1"/>
  <c r="S30" i="1"/>
  <c r="S31" i="1"/>
  <c r="S26" i="1"/>
  <c r="P32" i="1"/>
  <c r="P27" i="1"/>
  <c r="P28" i="1"/>
  <c r="P29" i="1"/>
  <c r="P30" i="1"/>
  <c r="P31" i="1"/>
  <c r="P26" i="1"/>
  <c r="M32" i="1"/>
  <c r="M27" i="1"/>
  <c r="M28" i="1"/>
  <c r="M29" i="1"/>
  <c r="M30" i="1"/>
  <c r="M31" i="1"/>
  <c r="I33" i="1"/>
  <c r="H33" i="1"/>
  <c r="H32" i="1"/>
  <c r="G32" i="1"/>
  <c r="G33" i="1"/>
  <c r="G31" i="1"/>
  <c r="F31" i="1"/>
  <c r="F32" i="1"/>
  <c r="F33" i="1"/>
  <c r="F30" i="1"/>
  <c r="E30" i="1"/>
  <c r="E31" i="1"/>
  <c r="E32" i="1"/>
  <c r="E33" i="1"/>
  <c r="E29" i="1"/>
  <c r="J33" i="1"/>
  <c r="I32" i="1"/>
  <c r="H31" i="1"/>
  <c r="G30" i="1"/>
  <c r="F29" i="1"/>
  <c r="K5" i="1"/>
  <c r="K6" i="1"/>
  <c r="K7" i="1"/>
  <c r="K8" i="1"/>
  <c r="K9" i="1"/>
  <c r="K10" i="1"/>
  <c r="D29" i="1"/>
  <c r="D30" i="1"/>
  <c r="D31" i="1"/>
  <c r="D32" i="1"/>
  <c r="D33" i="1"/>
  <c r="D28" i="1"/>
  <c r="D27" i="1"/>
  <c r="I4" i="1"/>
  <c r="I10" i="1"/>
  <c r="I9" i="1"/>
  <c r="I8" i="1"/>
  <c r="I7" i="1"/>
  <c r="I6" i="1"/>
  <c r="V38" i="1" l="1"/>
  <c r="V40" i="1" s="1"/>
  <c r="V44" i="1" s="1"/>
  <c r="S38" i="1"/>
</calcChain>
</file>

<file path=xl/sharedStrings.xml><?xml version="1.0" encoding="utf-8"?>
<sst xmlns="http://schemas.openxmlformats.org/spreadsheetml/2006/main" count="162" uniqueCount="58">
  <si>
    <t>S&amp;P</t>
  </si>
  <si>
    <t>HP</t>
  </si>
  <si>
    <t>DELL</t>
  </si>
  <si>
    <t>WMT</t>
  </si>
  <si>
    <t>TARGET</t>
  </si>
  <si>
    <t>BP</t>
  </si>
  <si>
    <t>SHELL</t>
  </si>
  <si>
    <t>Alpha</t>
  </si>
  <si>
    <t>Beta</t>
  </si>
  <si>
    <t>Prêmio de Risco</t>
  </si>
  <si>
    <t>Sigma2(e)</t>
  </si>
  <si>
    <t>DP Excesso de Retorno</t>
  </si>
  <si>
    <t>DP Comp Sistemático</t>
  </si>
  <si>
    <t>DP Resíduos</t>
  </si>
  <si>
    <t>Correl S&amp;P</t>
  </si>
  <si>
    <t>MATRIZ CORREL</t>
  </si>
  <si>
    <t>MATRIZ VAR-COV</t>
  </si>
  <si>
    <t>Sigma2(m)</t>
  </si>
  <si>
    <t>Passo 1</t>
  </si>
  <si>
    <t>wi0</t>
  </si>
  <si>
    <t>Passo 2</t>
  </si>
  <si>
    <t>total</t>
  </si>
  <si>
    <t>Peso ini</t>
  </si>
  <si>
    <t>Passo 3</t>
  </si>
  <si>
    <t>alpha A</t>
  </si>
  <si>
    <t>Passo 4</t>
  </si>
  <si>
    <t>sigma2(A)</t>
  </si>
  <si>
    <t>Passo 5</t>
  </si>
  <si>
    <t>Passo 6</t>
  </si>
  <si>
    <t>Beta A</t>
  </si>
  <si>
    <t>Passo 7</t>
  </si>
  <si>
    <t>wA*</t>
  </si>
  <si>
    <t>w0A</t>
  </si>
  <si>
    <t>wM*</t>
  </si>
  <si>
    <t>Passo 8</t>
  </si>
  <si>
    <t>E(Rp)</t>
  </si>
  <si>
    <t>sigma2(P)</t>
  </si>
  <si>
    <t>DP P</t>
  </si>
  <si>
    <t>Sharpe</t>
  </si>
  <si>
    <t>Beta P</t>
  </si>
  <si>
    <t>Portfolio P</t>
  </si>
  <si>
    <t>Pesos (wi)</t>
  </si>
  <si>
    <t>Total</t>
  </si>
  <si>
    <t>Var(P)</t>
  </si>
  <si>
    <t>wi^2</t>
  </si>
  <si>
    <t>Dp (P)</t>
  </si>
  <si>
    <t>Cart Var Mínima</t>
  </si>
  <si>
    <t>Var</t>
  </si>
  <si>
    <t>pesos ótimos (wi*)</t>
  </si>
  <si>
    <t>Port Ótimo</t>
  </si>
  <si>
    <t>S(p)</t>
  </si>
  <si>
    <t>DP (P)</t>
  </si>
  <si>
    <t>FRONTEIRA EFICIENTE</t>
  </si>
  <si>
    <t>Cart 1</t>
  </si>
  <si>
    <t>Cart 2</t>
  </si>
  <si>
    <t>Cart 3</t>
  </si>
  <si>
    <t>Cart 4</t>
  </si>
  <si>
    <t>Cart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</si>
</sst>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000"/>
    <numFmt numFmtId="166" formatCode="_-* #,##0.0000_-;\-* #,##0.0000_-;_-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/>
    <xf numFmtId="0" fontId="0" fillId="2" borderId="0" xfId="0" applyFill="1"/>
    <xf numFmtId="0" fontId="0" fillId="3" borderId="0" xfId="0" applyFill="1"/>
    <xf numFmtId="164" fontId="0" fillId="3" borderId="0" xfId="0" applyNumberFormat="1" applyFill="1"/>
    <xf numFmtId="164" fontId="0" fillId="0" borderId="0" xfId="0" applyNumberFormat="1"/>
    <xf numFmtId="0" fontId="0" fillId="4" borderId="0" xfId="0" applyFill="1"/>
    <xf numFmtId="164" fontId="0" fillId="4" borderId="0" xfId="0" applyNumberFormat="1" applyFill="1"/>
    <xf numFmtId="0" fontId="0" fillId="0" borderId="1" xfId="0" applyBorder="1"/>
    <xf numFmtId="0" fontId="0" fillId="0" borderId="2" xfId="0" applyBorder="1"/>
    <xf numFmtId="164" fontId="0" fillId="0" borderId="0" xfId="0" applyNumberFormat="1" applyBorder="1"/>
    <xf numFmtId="164" fontId="0" fillId="0" borderId="5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4" xfId="0" applyFill="1" applyBorder="1"/>
    <xf numFmtId="0" fontId="0" fillId="2" borderId="6" xfId="0" applyFill="1" applyBorder="1"/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166" fontId="0" fillId="0" borderId="0" xfId="1" applyNumberFormat="1" applyFon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Fronteira Eficiente</c:v>
          </c:tx>
          <c:spPr>
            <a:ln w="19050">
              <a:solidFill>
                <a:schemeClr val="accent1">
                  <a:lumMod val="60000"/>
                  <a:lumOff val="40000"/>
                </a:schemeClr>
              </a:solidFill>
            </a:ln>
          </c:spPr>
          <c:xVal>
            <c:numRef>
              <c:f>'FE Mod Indices'!$I$20:$I$26</c:f>
              <c:numCache>
                <c:formatCode>00,000</c:formatCode>
                <c:ptCount val="7"/>
                <c:pt idx="0">
                  <c:v>0.10543216839054396</c:v>
                </c:pt>
                <c:pt idx="1">
                  <c:v>0.10588565769144274</c:v>
                </c:pt>
                <c:pt idx="2">
                  <c:v>0.14247831787955612</c:v>
                </c:pt>
                <c:pt idx="3">
                  <c:v>0.15070347968391232</c:v>
                </c:pt>
                <c:pt idx="4">
                  <c:v>0.2310359221298755</c:v>
                </c:pt>
                <c:pt idx="5">
                  <c:v>0.32126305433467439</c:v>
                </c:pt>
                <c:pt idx="6">
                  <c:v>0.41498023199313983</c:v>
                </c:pt>
              </c:numCache>
            </c:numRef>
          </c:xVal>
          <c:yVal>
            <c:numRef>
              <c:f>'FE Mod Indices'!$J$20:$J$26</c:f>
              <c:numCache>
                <c:formatCode>00,000</c:formatCode>
                <c:ptCount val="7"/>
                <c:pt idx="0">
                  <c:v>3.5546285307094402E-2</c:v>
                </c:pt>
                <c:pt idx="1">
                  <c:v>3.8546285307094405E-2</c:v>
                </c:pt>
                <c:pt idx="2">
                  <c:v>6.4915098880797897E-2</c:v>
                </c:pt>
                <c:pt idx="3">
                  <c:v>6.8546285307094404E-2</c:v>
                </c:pt>
                <c:pt idx="4">
                  <c:v>9.8546285307094403E-2</c:v>
                </c:pt>
                <c:pt idx="5">
                  <c:v>0.12854628530709439</c:v>
                </c:pt>
                <c:pt idx="6">
                  <c:v>0.15854628530709439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6153984"/>
        <c:axId val="336154560"/>
      </c:scatterChart>
      <c:valAx>
        <c:axId val="336153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Risco (DP(P))</a:t>
                </a:r>
              </a:p>
            </c:rich>
          </c:tx>
          <c:layout>
            <c:manualLayout>
              <c:xMode val="edge"/>
              <c:yMode val="edge"/>
              <c:x val="0.8430876492551107"/>
              <c:y val="0.91159072741806568"/>
            </c:manualLayout>
          </c:layout>
          <c:overlay val="0"/>
        </c:title>
        <c:numFmt formatCode="#,##0.00" sourceLinked="0"/>
        <c:majorTickMark val="out"/>
        <c:minorTickMark val="none"/>
        <c:tickLblPos val="nextTo"/>
        <c:crossAx val="336154560"/>
        <c:crosses val="autoZero"/>
        <c:crossBetween val="midCat"/>
      </c:valAx>
      <c:valAx>
        <c:axId val="3361545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Retorno Esperado (E(Rp))</a:t>
                </a:r>
              </a:p>
            </c:rich>
          </c:tx>
          <c:layout>
            <c:manualLayout>
              <c:xMode val="edge"/>
              <c:yMode val="edge"/>
              <c:x val="1.5023474178403756E-2"/>
              <c:y val="0.12950571826003765"/>
            </c:manualLayout>
          </c:layout>
          <c:overlay val="0"/>
        </c:title>
        <c:numFmt formatCode="#,##0.00" sourceLinked="0"/>
        <c:majorTickMark val="out"/>
        <c:minorTickMark val="none"/>
        <c:tickLblPos val="nextTo"/>
        <c:crossAx val="336153984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19050</xdr:rowOff>
    </xdr:from>
    <xdr:to>
      <xdr:col>23</xdr:col>
      <xdr:colOff>388095</xdr:colOff>
      <xdr:row>20</xdr:row>
      <xdr:rowOff>184475</xdr:rowOff>
    </xdr:to>
    <xdr:grpSp>
      <xdr:nvGrpSpPr>
        <xdr:cNvPr id="6" name="Grupo 5"/>
        <xdr:cNvGrpSpPr/>
      </xdr:nvGrpSpPr>
      <xdr:grpSpPr>
        <a:xfrm>
          <a:off x="9658350" y="209550"/>
          <a:ext cx="7141320" cy="3784925"/>
          <a:chOff x="242770" y="3019026"/>
          <a:chExt cx="7093695" cy="3594425"/>
        </a:xfrm>
      </xdr:grpSpPr>
      <xdr:pic>
        <xdr:nvPicPr>
          <xdr:cNvPr id="7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9732" y="3759273"/>
            <a:ext cx="6840178" cy="271595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Retângulo 7"/>
          <xdr:cNvSpPr/>
        </xdr:nvSpPr>
        <xdr:spPr>
          <a:xfrm>
            <a:off x="242770" y="3157255"/>
            <a:ext cx="7019263" cy="369332"/>
          </a:xfrm>
          <a:prstGeom prst="rect">
            <a:avLst/>
          </a:prstGeom>
          <a:ln>
            <a:noFill/>
          </a:ln>
        </xdr:spPr>
        <xdr:txBody>
          <a:bodyPr wrap="square">
            <a:spAutoFit/>
          </a:bodyPr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spcAft>
                <a:spcPts val="600"/>
              </a:spcAft>
            </a:pPr>
            <a:r>
              <a:rPr lang="pt-BR" b="1">
                <a:latin typeface="Arial" panose="020B0604020202020204" pitchFamily="34" charset="0"/>
                <a:cs typeface="Arial" panose="020B0604020202020204" pitchFamily="34" charset="0"/>
                <a:sym typeface="Wingdings"/>
              </a:rPr>
              <a:t>Cálculos para o portfolio ótimo de risco:</a:t>
            </a:r>
          </a:p>
        </xdr:txBody>
      </xdr:sp>
      <xdr:sp macro="" textlink="">
        <xdr:nvSpPr>
          <xdr:cNvPr id="9" name="Retângulo 8"/>
          <xdr:cNvSpPr/>
        </xdr:nvSpPr>
        <xdr:spPr>
          <a:xfrm>
            <a:off x="279771" y="3019026"/>
            <a:ext cx="7056694" cy="3594425"/>
          </a:xfrm>
          <a:prstGeom prst="rect">
            <a:avLst/>
          </a:prstGeom>
          <a:noFill/>
          <a:ln>
            <a:solidFill>
              <a:schemeClr val="tx1">
                <a:lumMod val="50000"/>
                <a:lumOff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323850</xdr:colOff>
      <xdr:row>2</xdr:row>
      <xdr:rowOff>180974</xdr:rowOff>
    </xdr:from>
    <xdr:to>
      <xdr:col>29</xdr:col>
      <xdr:colOff>381000</xdr:colOff>
      <xdr:row>23</xdr:row>
      <xdr:rowOff>133349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V44"/>
  <sheetViews>
    <sheetView topLeftCell="A3" workbookViewId="0">
      <selection activeCell="J15" sqref="J15"/>
    </sheetView>
  </sheetViews>
  <sheetFormatPr defaultRowHeight="15" x14ac:dyDescent="0.25"/>
  <cols>
    <col min="2" max="2" width="10.42578125" bestFit="1" customWidth="1"/>
    <col min="3" max="4" width="7" bestFit="1" customWidth="1"/>
    <col min="5" max="5" width="15.28515625" bestFit="1" customWidth="1"/>
    <col min="6" max="6" width="21.42578125" bestFit="1" customWidth="1"/>
    <col min="7" max="7" width="20" bestFit="1" customWidth="1"/>
    <col min="8" max="8" width="11.7109375" bestFit="1" customWidth="1"/>
    <col min="9" max="9" width="11" bestFit="1" customWidth="1"/>
    <col min="10" max="10" width="10.42578125" bestFit="1" customWidth="1"/>
    <col min="11" max="11" width="11" bestFit="1" customWidth="1"/>
    <col min="12" max="12" width="10.42578125" bestFit="1" customWidth="1"/>
    <col min="21" max="21" width="9.85546875" bestFit="1" customWidth="1"/>
  </cols>
  <sheetData>
    <row r="3" spans="2:11" x14ac:dyDescent="0.25">
      <c r="C3" t="s">
        <v>7</v>
      </c>
      <c r="D3" t="s">
        <v>8</v>
      </c>
      <c r="E3" t="s">
        <v>9</v>
      </c>
      <c r="F3" t="s">
        <v>11</v>
      </c>
      <c r="G3" t="s">
        <v>12</v>
      </c>
      <c r="H3" t="s">
        <v>13</v>
      </c>
      <c r="I3" t="s">
        <v>10</v>
      </c>
      <c r="J3" t="s">
        <v>14</v>
      </c>
      <c r="K3" t="s">
        <v>17</v>
      </c>
    </row>
    <row r="4" spans="2:11" x14ac:dyDescent="0.25">
      <c r="B4" t="s">
        <v>0</v>
      </c>
      <c r="C4">
        <v>0</v>
      </c>
      <c r="D4">
        <v>1</v>
      </c>
      <c r="E4">
        <v>0.06</v>
      </c>
      <c r="F4">
        <v>0.1358</v>
      </c>
      <c r="G4">
        <v>0.1358</v>
      </c>
      <c r="H4">
        <v>0</v>
      </c>
      <c r="I4" s="5">
        <f>H4^2</f>
        <v>0</v>
      </c>
      <c r="J4">
        <v>1</v>
      </c>
      <c r="K4" s="5">
        <f>G4^2</f>
        <v>1.8441640000000002E-2</v>
      </c>
    </row>
    <row r="5" spans="2:11" x14ac:dyDescent="0.25">
      <c r="B5" t="s">
        <v>1</v>
      </c>
      <c r="C5">
        <v>1.4999999999999999E-2</v>
      </c>
      <c r="D5">
        <v>2.0348000000000002</v>
      </c>
      <c r="E5">
        <v>0.1371</v>
      </c>
      <c r="F5">
        <v>0.38169999999999998</v>
      </c>
      <c r="G5">
        <v>0.2762</v>
      </c>
      <c r="H5">
        <v>0.2656</v>
      </c>
      <c r="I5" s="5">
        <f>H5^2</f>
        <v>7.0543359999999999E-2</v>
      </c>
      <c r="J5">
        <v>0.72</v>
      </c>
      <c r="K5" s="5">
        <f>G5^2</f>
        <v>7.6286439999999997E-2</v>
      </c>
    </row>
    <row r="6" spans="2:11" x14ac:dyDescent="0.25">
      <c r="B6" t="s">
        <v>2</v>
      </c>
      <c r="C6">
        <v>-0.01</v>
      </c>
      <c r="D6">
        <v>1.2315</v>
      </c>
      <c r="E6">
        <v>6.3899999999999998E-2</v>
      </c>
      <c r="F6">
        <v>0.29010000000000002</v>
      </c>
      <c r="G6">
        <v>0.16719999999999999</v>
      </c>
      <c r="H6">
        <v>0.2392</v>
      </c>
      <c r="I6" s="5">
        <f t="shared" ref="I6:I11" si="0">H6^2</f>
        <v>5.7216639999999999E-2</v>
      </c>
      <c r="J6">
        <v>0.57999999999999996</v>
      </c>
      <c r="K6" s="5">
        <f t="shared" ref="K6:K10" si="1">G6^2</f>
        <v>2.7955839999999996E-2</v>
      </c>
    </row>
    <row r="7" spans="2:11" x14ac:dyDescent="0.25">
      <c r="B7" t="s">
        <v>3</v>
      </c>
      <c r="C7">
        <v>-5.0000000000000001E-3</v>
      </c>
      <c r="D7">
        <v>0.61990000000000001</v>
      </c>
      <c r="E7">
        <v>3.2199999999999999E-2</v>
      </c>
      <c r="F7">
        <v>0.19350000000000001</v>
      </c>
      <c r="G7">
        <v>8.4099999999999994E-2</v>
      </c>
      <c r="H7">
        <v>0.1757</v>
      </c>
      <c r="I7" s="5">
        <f t="shared" si="0"/>
        <v>3.0870489999999997E-2</v>
      </c>
      <c r="J7">
        <v>0.43</v>
      </c>
      <c r="K7" s="5">
        <f t="shared" si="1"/>
        <v>7.0728099999999988E-3</v>
      </c>
    </row>
    <row r="8" spans="2:11" x14ac:dyDescent="0.25">
      <c r="B8" t="s">
        <v>4</v>
      </c>
      <c r="C8">
        <v>7.4999999999999997E-3</v>
      </c>
      <c r="D8">
        <v>1.2672000000000001</v>
      </c>
      <c r="E8">
        <v>8.3500000000000005E-2</v>
      </c>
      <c r="F8">
        <v>0.2611</v>
      </c>
      <c r="G8">
        <v>0.17199999999999999</v>
      </c>
      <c r="H8">
        <v>0.18909999999999999</v>
      </c>
      <c r="I8" s="5">
        <f t="shared" si="0"/>
        <v>3.5758809999999995E-2</v>
      </c>
      <c r="J8">
        <v>0.66</v>
      </c>
      <c r="K8" s="5">
        <f t="shared" si="1"/>
        <v>2.9583999999999996E-2</v>
      </c>
    </row>
    <row r="9" spans="2:11" x14ac:dyDescent="0.25">
      <c r="B9" t="s">
        <v>5</v>
      </c>
      <c r="C9">
        <v>1.2E-2</v>
      </c>
      <c r="D9">
        <v>0.46700000000000003</v>
      </c>
      <c r="E9">
        <v>0.04</v>
      </c>
      <c r="F9">
        <v>0.1822</v>
      </c>
      <c r="G9">
        <v>6.3399999999999998E-2</v>
      </c>
      <c r="H9">
        <v>0.17219999999999999</v>
      </c>
      <c r="I9" s="5">
        <f t="shared" si="0"/>
        <v>2.9652839999999996E-2</v>
      </c>
      <c r="J9">
        <v>0.35</v>
      </c>
      <c r="K9" s="5">
        <f t="shared" si="1"/>
        <v>4.0195600000000001E-3</v>
      </c>
    </row>
    <row r="10" spans="2:11" x14ac:dyDescent="0.25">
      <c r="B10" t="s">
        <v>6</v>
      </c>
      <c r="C10">
        <v>2.5000000000000001E-3</v>
      </c>
      <c r="D10">
        <v>0.67359999999999998</v>
      </c>
      <c r="E10">
        <v>4.2900000000000001E-2</v>
      </c>
      <c r="F10">
        <v>0.1988</v>
      </c>
      <c r="G10">
        <v>9.1399999999999995E-2</v>
      </c>
      <c r="H10">
        <v>0.17799999999999999</v>
      </c>
      <c r="I10" s="5">
        <f t="shared" si="0"/>
        <v>3.1683999999999997E-2</v>
      </c>
      <c r="J10">
        <v>0.46</v>
      </c>
      <c r="K10" s="5">
        <f t="shared" si="1"/>
        <v>8.3539599999999988E-3</v>
      </c>
    </row>
    <row r="12" spans="2:11" x14ac:dyDescent="0.25">
      <c r="I12" s="5"/>
    </row>
    <row r="14" spans="2:11" x14ac:dyDescent="0.25">
      <c r="B14" s="20" t="s">
        <v>15</v>
      </c>
      <c r="C14" s="20"/>
      <c r="D14" s="20"/>
      <c r="E14" s="20"/>
      <c r="F14" s="20"/>
      <c r="G14" s="20"/>
      <c r="H14" s="20"/>
    </row>
    <row r="15" spans="2:11" x14ac:dyDescent="0.25">
      <c r="C15" t="s">
        <v>1</v>
      </c>
      <c r="D15" t="s">
        <v>2</v>
      </c>
      <c r="E15" t="s">
        <v>3</v>
      </c>
      <c r="F15" t="s">
        <v>4</v>
      </c>
      <c r="G15" t="s">
        <v>5</v>
      </c>
      <c r="H15" t="s">
        <v>6</v>
      </c>
    </row>
    <row r="16" spans="2:11" x14ac:dyDescent="0.25">
      <c r="B16" t="s">
        <v>1</v>
      </c>
      <c r="C16">
        <v>1</v>
      </c>
    </row>
    <row r="17" spans="2:22" x14ac:dyDescent="0.25">
      <c r="B17" t="s">
        <v>2</v>
      </c>
      <c r="C17">
        <v>0.08</v>
      </c>
      <c r="D17">
        <v>1</v>
      </c>
    </row>
    <row r="18" spans="2:22" x14ac:dyDescent="0.25">
      <c r="B18" t="s">
        <v>3</v>
      </c>
      <c r="C18">
        <v>-0.34</v>
      </c>
      <c r="D18">
        <v>0.17</v>
      </c>
      <c r="E18">
        <v>1</v>
      </c>
    </row>
    <row r="19" spans="2:22" x14ac:dyDescent="0.25">
      <c r="B19" t="s">
        <v>4</v>
      </c>
      <c r="C19">
        <v>-0.1</v>
      </c>
      <c r="D19">
        <v>0.12</v>
      </c>
      <c r="E19">
        <v>0.5</v>
      </c>
      <c r="F19">
        <v>1</v>
      </c>
    </row>
    <row r="20" spans="2:22" x14ac:dyDescent="0.25">
      <c r="B20" t="s">
        <v>5</v>
      </c>
      <c r="C20">
        <v>-0.2</v>
      </c>
      <c r="D20">
        <v>-0.28000000000000003</v>
      </c>
      <c r="E20">
        <v>-0.19</v>
      </c>
      <c r="F20">
        <v>-0.13</v>
      </c>
      <c r="G20">
        <v>1</v>
      </c>
    </row>
    <row r="21" spans="2:22" x14ac:dyDescent="0.25">
      <c r="B21" t="s">
        <v>6</v>
      </c>
      <c r="C21">
        <v>-0.06</v>
      </c>
      <c r="D21">
        <v>-0.19</v>
      </c>
      <c r="E21">
        <v>-0.24</v>
      </c>
      <c r="F21">
        <v>-0.22</v>
      </c>
      <c r="G21">
        <v>0.7</v>
      </c>
      <c r="H21">
        <v>1</v>
      </c>
    </row>
    <row r="24" spans="2:22" x14ac:dyDescent="0.25">
      <c r="B24" s="20" t="s">
        <v>16</v>
      </c>
      <c r="C24" s="20"/>
      <c r="D24" s="20"/>
      <c r="E24" s="20"/>
      <c r="F24" s="20"/>
      <c r="G24" s="20"/>
      <c r="H24" s="20"/>
      <c r="I24" s="20"/>
      <c r="J24" s="20"/>
      <c r="L24" s="3" t="s">
        <v>18</v>
      </c>
      <c r="M24" s="3"/>
      <c r="O24" s="3" t="s">
        <v>20</v>
      </c>
      <c r="P24" s="3"/>
      <c r="R24" s="3" t="s">
        <v>23</v>
      </c>
      <c r="S24" s="3"/>
      <c r="U24" s="3" t="s">
        <v>25</v>
      </c>
      <c r="V24" s="3"/>
    </row>
    <row r="25" spans="2:22" x14ac:dyDescent="0.25">
      <c r="D25" t="s">
        <v>0</v>
      </c>
      <c r="E25" t="s">
        <v>1</v>
      </c>
      <c r="F25" t="s">
        <v>2</v>
      </c>
      <c r="G25" t="s">
        <v>3</v>
      </c>
      <c r="H25" t="s">
        <v>4</v>
      </c>
      <c r="I25" t="s">
        <v>5</v>
      </c>
      <c r="J25" t="s">
        <v>6</v>
      </c>
      <c r="M25" t="s">
        <v>19</v>
      </c>
      <c r="P25" t="s">
        <v>22</v>
      </c>
    </row>
    <row r="26" spans="2:22" x14ac:dyDescent="0.25">
      <c r="C26" s="2" t="s">
        <v>8</v>
      </c>
      <c r="D26" s="2">
        <v>1</v>
      </c>
      <c r="E26" s="2">
        <v>2.0348000000000002</v>
      </c>
      <c r="F26" s="2">
        <v>1.2315</v>
      </c>
      <c r="G26" s="2">
        <v>0.61990000000000001</v>
      </c>
      <c r="H26" s="2">
        <v>1.2672000000000001</v>
      </c>
      <c r="I26" s="2">
        <v>0.46700000000000003</v>
      </c>
      <c r="J26" s="2">
        <v>0.67359999999999998</v>
      </c>
      <c r="L26" t="s">
        <v>1</v>
      </c>
      <c r="M26" s="5">
        <f>C5/I5</f>
        <v>0.21263517927130207</v>
      </c>
      <c r="O26" t="s">
        <v>1</v>
      </c>
      <c r="P26" s="5">
        <f>M26/$M$32</f>
        <v>0.37355564222699211</v>
      </c>
      <c r="R26" t="s">
        <v>1</v>
      </c>
      <c r="S26" s="5">
        <f>P26*C5</f>
        <v>5.6033346334048812E-3</v>
      </c>
      <c r="U26" t="s">
        <v>1</v>
      </c>
      <c r="V26" s="5">
        <f>P26^2*I5</f>
        <v>9.8438897776347723E-3</v>
      </c>
    </row>
    <row r="27" spans="2:22" x14ac:dyDescent="0.25">
      <c r="B27" t="s">
        <v>0</v>
      </c>
      <c r="C27" s="2">
        <v>1</v>
      </c>
      <c r="D27" s="3">
        <f>C27*K4</f>
        <v>1.8441640000000002E-2</v>
      </c>
      <c r="L27" t="s">
        <v>2</v>
      </c>
      <c r="M27" s="5">
        <f t="shared" ref="M27:M31" si="2">C6/I6</f>
        <v>-0.17477433138331785</v>
      </c>
      <c r="O27" t="s">
        <v>2</v>
      </c>
      <c r="P27" s="5">
        <f t="shared" ref="P27:P31" si="3">M27/$M$32</f>
        <v>-0.30704203240700501</v>
      </c>
      <c r="R27" t="s">
        <v>2</v>
      </c>
      <c r="S27" s="5">
        <f t="shared" ref="S27:S31" si="4">P27*C6</f>
        <v>3.0704203240700502E-3</v>
      </c>
      <c r="U27" t="s">
        <v>2</v>
      </c>
      <c r="V27" s="5">
        <f t="shared" ref="V27:V31" si="5">P27^2*I6</f>
        <v>5.3940878456493297E-3</v>
      </c>
    </row>
    <row r="28" spans="2:22" x14ac:dyDescent="0.25">
      <c r="B28" t="s">
        <v>1</v>
      </c>
      <c r="C28" s="2">
        <v>2.0348000000000002</v>
      </c>
      <c r="D28">
        <f t="shared" ref="D28:D33" si="6">C28*$D$26*$K$4</f>
        <v>3.7525049072000008E-2</v>
      </c>
      <c r="E28" s="4">
        <f>C28^2*$K$4+I5</f>
        <v>0.14689932985170562</v>
      </c>
      <c r="L28" t="s">
        <v>3</v>
      </c>
      <c r="M28" s="5">
        <f t="shared" si="2"/>
        <v>-0.16196697882022607</v>
      </c>
      <c r="O28" t="s">
        <v>3</v>
      </c>
      <c r="P28" s="5">
        <f t="shared" si="3"/>
        <v>-0.2845421862934463</v>
      </c>
      <c r="R28" t="s">
        <v>3</v>
      </c>
      <c r="S28" s="5">
        <f t="shared" si="4"/>
        <v>1.4227109314672315E-3</v>
      </c>
      <c r="U28" t="s">
        <v>3</v>
      </c>
      <c r="V28" s="5">
        <f t="shared" si="5"/>
        <v>2.4994062484341305E-3</v>
      </c>
    </row>
    <row r="29" spans="2:22" x14ac:dyDescent="0.25">
      <c r="B29" t="s">
        <v>2</v>
      </c>
      <c r="C29" s="2">
        <v>1.2315</v>
      </c>
      <c r="D29">
        <f t="shared" si="6"/>
        <v>2.2710879660000002E-2</v>
      </c>
      <c r="E29" s="5">
        <f>C29*$E$26*$K$4</f>
        <v>4.621209793216801E-2</v>
      </c>
      <c r="F29" s="4">
        <f>C29^2*$K$4+I6</f>
        <v>8.5185088301290013E-2</v>
      </c>
      <c r="L29" t="s">
        <v>4</v>
      </c>
      <c r="M29" s="5">
        <f t="shared" si="2"/>
        <v>0.20973852317792457</v>
      </c>
      <c r="O29" t="s">
        <v>4</v>
      </c>
      <c r="P29" s="5">
        <f t="shared" si="3"/>
        <v>0.36846682187760038</v>
      </c>
      <c r="R29" t="s">
        <v>4</v>
      </c>
      <c r="S29" s="5">
        <f t="shared" si="4"/>
        <v>2.7635011640820026E-3</v>
      </c>
      <c r="U29" t="s">
        <v>4</v>
      </c>
      <c r="V29" s="5">
        <f t="shared" si="5"/>
        <v>4.8548949222863534E-3</v>
      </c>
    </row>
    <row r="30" spans="2:22" x14ac:dyDescent="0.25">
      <c r="B30" t="s">
        <v>3</v>
      </c>
      <c r="C30" s="2">
        <v>0.61990000000000001</v>
      </c>
      <c r="D30">
        <f t="shared" si="6"/>
        <v>1.1431972636000001E-2</v>
      </c>
      <c r="E30" s="5">
        <f t="shared" ref="E30:E33" si="7">C30*$E$26*$K$4</f>
        <v>2.3261777919732805E-2</v>
      </c>
      <c r="F30" s="5">
        <f>C30*$F$26*$K$4</f>
        <v>1.4078474301234004E-2</v>
      </c>
      <c r="G30" s="4">
        <f>C30^2*$K$4+I7</f>
        <v>3.7957169837056395E-2</v>
      </c>
      <c r="L30" t="s">
        <v>5</v>
      </c>
      <c r="M30" s="5">
        <f t="shared" si="2"/>
        <v>0.40468299157854698</v>
      </c>
      <c r="O30" t="s">
        <v>5</v>
      </c>
      <c r="P30" s="5">
        <f t="shared" si="3"/>
        <v>0.71094357638998251</v>
      </c>
      <c r="R30" t="s">
        <v>5</v>
      </c>
      <c r="S30" s="5">
        <f t="shared" si="4"/>
        <v>8.5313229166797903E-3</v>
      </c>
      <c r="U30" t="s">
        <v>5</v>
      </c>
      <c r="V30" s="5">
        <f t="shared" si="5"/>
        <v>1.4987754247005223E-2</v>
      </c>
    </row>
    <row r="31" spans="2:22" x14ac:dyDescent="0.25">
      <c r="B31" t="s">
        <v>4</v>
      </c>
      <c r="C31" s="2">
        <v>1.2672000000000001</v>
      </c>
      <c r="D31">
        <f t="shared" si="6"/>
        <v>2.3369246208000006E-2</v>
      </c>
      <c r="E31" s="5">
        <f t="shared" si="7"/>
        <v>4.7551742184038411E-2</v>
      </c>
      <c r="F31" s="5">
        <f t="shared" ref="F31:F33" si="8">C31*$F$26*$K$4</f>
        <v>2.8779226705152004E-2</v>
      </c>
      <c r="G31" s="5">
        <f>C31*$G$26*$K$4</f>
        <v>1.4486595724339205E-2</v>
      </c>
      <c r="H31" s="4">
        <f>C31^2*$K$4+I8</f>
        <v>6.5372318794777604E-2</v>
      </c>
      <c r="L31" t="s">
        <v>6</v>
      </c>
      <c r="M31" s="5">
        <f t="shared" si="2"/>
        <v>7.890417876530742E-2</v>
      </c>
      <c r="O31" t="s">
        <v>6</v>
      </c>
      <c r="P31" s="5">
        <f t="shared" si="3"/>
        <v>0.13861817820587632</v>
      </c>
      <c r="R31" t="s">
        <v>6</v>
      </c>
      <c r="S31" s="5">
        <f t="shared" si="4"/>
        <v>3.4654544551469081E-4</v>
      </c>
      <c r="U31" t="s">
        <v>6</v>
      </c>
      <c r="V31" s="5">
        <f t="shared" si="5"/>
        <v>6.0880803874371393E-4</v>
      </c>
    </row>
    <row r="32" spans="2:22" x14ac:dyDescent="0.25">
      <c r="B32" t="s">
        <v>5</v>
      </c>
      <c r="C32" s="2">
        <v>0.46700000000000003</v>
      </c>
      <c r="D32">
        <f t="shared" si="6"/>
        <v>8.612245880000001E-3</v>
      </c>
      <c r="E32" s="5">
        <f t="shared" si="7"/>
        <v>1.7524197916624004E-2</v>
      </c>
      <c r="F32" s="5">
        <f t="shared" si="8"/>
        <v>1.0605980801220003E-2</v>
      </c>
      <c r="G32" s="5">
        <f t="shared" ref="G32:G33" si="9">C32*$G$26*$K$4</f>
        <v>5.3387312210120006E-3</v>
      </c>
      <c r="H32" s="5">
        <f>C32*$H$26*$K$4</f>
        <v>1.0913437979136001E-2</v>
      </c>
      <c r="I32" s="4">
        <f>C32^2*$K$4+I9</f>
        <v>3.3674758825959994E-2</v>
      </c>
      <c r="L32" s="6" t="s">
        <v>21</v>
      </c>
      <c r="M32" s="7">
        <f>SUM(M26:M31)</f>
        <v>0.5692195625895371</v>
      </c>
      <c r="O32" s="6" t="s">
        <v>21</v>
      </c>
      <c r="P32" s="7">
        <f>SUM(P26:P31)</f>
        <v>1</v>
      </c>
      <c r="R32" s="6" t="s">
        <v>24</v>
      </c>
      <c r="S32" s="7">
        <f>SUM(S26:S31)</f>
        <v>2.1737835415218648E-2</v>
      </c>
      <c r="U32" s="6" t="s">
        <v>26</v>
      </c>
      <c r="V32" s="7">
        <f>SUM(V26:V31)</f>
        <v>3.8188841079753517E-2</v>
      </c>
    </row>
    <row r="33" spans="2:22" x14ac:dyDescent="0.25">
      <c r="B33" t="s">
        <v>6</v>
      </c>
      <c r="C33" s="2">
        <v>0.67359999999999998</v>
      </c>
      <c r="D33">
        <f t="shared" si="6"/>
        <v>1.2422288704000001E-2</v>
      </c>
      <c r="E33" s="5">
        <f t="shared" si="7"/>
        <v>2.5276873054899205E-2</v>
      </c>
      <c r="F33" s="5">
        <f t="shared" si="8"/>
        <v>1.5298048538976003E-2</v>
      </c>
      <c r="G33" s="5">
        <f t="shared" si="9"/>
        <v>7.7005767676096007E-3</v>
      </c>
      <c r="H33" s="5">
        <f>C33*$H$26*$K$4</f>
        <v>1.57415242457088E-2</v>
      </c>
      <c r="I33" s="5">
        <f>C33*$I$26*$K$4</f>
        <v>5.8012088247680008E-3</v>
      </c>
      <c r="J33" s="4">
        <f>C33^2*$K$4+I10</f>
        <v>4.0051653671014396E-2</v>
      </c>
    </row>
    <row r="35" spans="2:22" x14ac:dyDescent="0.25">
      <c r="L35" s="3" t="s">
        <v>27</v>
      </c>
      <c r="M35" s="3"/>
      <c r="O35" s="3" t="s">
        <v>28</v>
      </c>
      <c r="P35" s="3"/>
      <c r="R35" s="3" t="s">
        <v>30</v>
      </c>
      <c r="S35" s="3"/>
      <c r="U35" s="3" t="s">
        <v>34</v>
      </c>
      <c r="V35" s="3"/>
    </row>
    <row r="36" spans="2:22" x14ac:dyDescent="0.25">
      <c r="L36" s="6" t="s">
        <v>32</v>
      </c>
      <c r="M36" s="7">
        <f>(S32/V32)/(E4/K4)</f>
        <v>0.17495570423722856</v>
      </c>
      <c r="O36" t="s">
        <v>1</v>
      </c>
      <c r="P36">
        <f>P26*D5</f>
        <v>0.76011102080348358</v>
      </c>
      <c r="R36" s="6" t="s">
        <v>31</v>
      </c>
      <c r="S36" s="7">
        <f>M36/(1+(1-P42)*M36)</f>
        <v>0.17800478833074559</v>
      </c>
      <c r="U36" s="6" t="s">
        <v>35</v>
      </c>
      <c r="V36" s="7">
        <f>(S37+S36*P42)*E4+S36*S32</f>
        <v>6.4915103729780571E-2</v>
      </c>
    </row>
    <row r="37" spans="2:22" x14ac:dyDescent="0.25">
      <c r="O37" t="s">
        <v>2</v>
      </c>
      <c r="P37">
        <f t="shared" ref="P37:P41" si="10">P27*D6</f>
        <v>-0.37812226290922668</v>
      </c>
      <c r="R37" s="6" t="s">
        <v>33</v>
      </c>
      <c r="S37" s="7">
        <f>1-S36</f>
        <v>0.82199521166925438</v>
      </c>
    </row>
    <row r="38" spans="2:22" x14ac:dyDescent="0.25">
      <c r="O38" t="s">
        <v>3</v>
      </c>
      <c r="P38">
        <f t="shared" si="10"/>
        <v>-0.17638770128330736</v>
      </c>
      <c r="R38" t="s">
        <v>21</v>
      </c>
      <c r="S38" s="5">
        <f>SUM(S36:S37)</f>
        <v>1</v>
      </c>
      <c r="U38" s="6" t="s">
        <v>36</v>
      </c>
      <c r="V38" s="7">
        <f>(S37+S36*P42)^2*K4+S36^2*V32</f>
        <v>2.030007409850812E-2</v>
      </c>
    </row>
    <row r="39" spans="2:22" x14ac:dyDescent="0.25">
      <c r="O39" t="s">
        <v>4</v>
      </c>
      <c r="P39">
        <f t="shared" si="10"/>
        <v>0.46692115668329526</v>
      </c>
    </row>
    <row r="40" spans="2:22" x14ac:dyDescent="0.25">
      <c r="O40" t="s">
        <v>5</v>
      </c>
      <c r="P40">
        <f t="shared" si="10"/>
        <v>0.33201065017412185</v>
      </c>
      <c r="U40" s="6" t="s">
        <v>37</v>
      </c>
      <c r="V40" s="7">
        <f>SQRT(V38)</f>
        <v>0.14247832852229886</v>
      </c>
    </row>
    <row r="41" spans="2:22" x14ac:dyDescent="0.25">
      <c r="O41" t="s">
        <v>6</v>
      </c>
      <c r="P41">
        <f t="shared" si="10"/>
        <v>9.3373204839478294E-2</v>
      </c>
    </row>
    <row r="42" spans="2:22" x14ac:dyDescent="0.25">
      <c r="O42" s="6" t="s">
        <v>29</v>
      </c>
      <c r="P42" s="7">
        <f>SUM(P36:P41)</f>
        <v>1.0979060683078448</v>
      </c>
      <c r="U42" s="6" t="s">
        <v>39</v>
      </c>
      <c r="V42" s="7">
        <f>S36*P42+S37</f>
        <v>1.0174277489654333</v>
      </c>
    </row>
    <row r="44" spans="2:22" x14ac:dyDescent="0.25">
      <c r="U44" s="6" t="s">
        <v>38</v>
      </c>
      <c r="V44" s="7">
        <f>V36/V40</f>
        <v>0.45561387758434363</v>
      </c>
    </row>
  </sheetData>
  <mergeCells count="2">
    <mergeCell ref="B14:H14"/>
    <mergeCell ref="B24:J24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29"/>
  <sheetViews>
    <sheetView tabSelected="1" workbookViewId="0">
      <selection activeCell="F28" sqref="F28"/>
    </sheetView>
  </sheetViews>
  <sheetFormatPr defaultRowHeight="15" x14ac:dyDescent="0.25"/>
  <cols>
    <col min="2" max="2" width="7.7109375" bestFit="1" customWidth="1"/>
    <col min="3" max="3" width="10.5703125" bestFit="1" customWidth="1"/>
    <col min="4" max="4" width="8" bestFit="1" customWidth="1"/>
    <col min="5" max="5" width="15.42578125" bestFit="1" customWidth="1"/>
    <col min="6" max="6" width="21.5703125" bestFit="1" customWidth="1"/>
    <col min="7" max="7" width="20.140625" bestFit="1" customWidth="1"/>
    <col min="8" max="8" width="12" bestFit="1" customWidth="1"/>
    <col min="9" max="10" width="10.7109375" bestFit="1" customWidth="1"/>
    <col min="11" max="11" width="11.42578125" bestFit="1" customWidth="1"/>
    <col min="12" max="14" width="11.28515625" bestFit="1" customWidth="1"/>
    <col min="15" max="16" width="10.5703125" bestFit="1" customWidth="1"/>
  </cols>
  <sheetData>
    <row r="3" spans="2:18" x14ac:dyDescent="0.25">
      <c r="C3" t="s">
        <v>7</v>
      </c>
      <c r="D3" t="s">
        <v>8</v>
      </c>
      <c r="E3" t="s">
        <v>9</v>
      </c>
      <c r="F3" t="s">
        <v>11</v>
      </c>
      <c r="G3" t="s">
        <v>12</v>
      </c>
      <c r="H3" t="s">
        <v>13</v>
      </c>
      <c r="I3" t="s">
        <v>10</v>
      </c>
      <c r="J3" t="s">
        <v>14</v>
      </c>
      <c r="K3" t="s">
        <v>17</v>
      </c>
    </row>
    <row r="4" spans="2:18" x14ac:dyDescent="0.25">
      <c r="B4" t="s">
        <v>0</v>
      </c>
      <c r="C4" s="23">
        <v>0</v>
      </c>
      <c r="D4" s="23">
        <v>1</v>
      </c>
      <c r="E4" s="23">
        <v>0.06</v>
      </c>
      <c r="F4" s="23">
        <v>0.1358</v>
      </c>
      <c r="G4" s="23">
        <v>0.1358</v>
      </c>
      <c r="H4" s="23">
        <v>0</v>
      </c>
      <c r="I4" s="23">
        <f>H4^2</f>
        <v>0</v>
      </c>
      <c r="J4" s="23">
        <v>1</v>
      </c>
      <c r="K4" s="23">
        <f>G4^2</f>
        <v>1.8441640000000002E-2</v>
      </c>
    </row>
    <row r="5" spans="2:18" x14ac:dyDescent="0.25">
      <c r="B5" t="s">
        <v>1</v>
      </c>
      <c r="C5" s="23">
        <v>1.4999999999999999E-2</v>
      </c>
      <c r="D5" s="23">
        <v>2.0348000000000002</v>
      </c>
      <c r="E5" s="23">
        <v>0.1371</v>
      </c>
      <c r="F5" s="23">
        <v>0.38169999999999998</v>
      </c>
      <c r="G5" s="23">
        <v>0.2762</v>
      </c>
      <c r="H5" s="23">
        <v>0.2656</v>
      </c>
      <c r="I5" s="23">
        <f>H5^2</f>
        <v>7.0543359999999999E-2</v>
      </c>
      <c r="J5" s="23">
        <v>0.72</v>
      </c>
      <c r="K5" s="23">
        <f>G5^2</f>
        <v>7.6286439999999997E-2</v>
      </c>
    </row>
    <row r="6" spans="2:18" x14ac:dyDescent="0.25">
      <c r="B6" t="s">
        <v>2</v>
      </c>
      <c r="C6" s="23">
        <v>-0.01</v>
      </c>
      <c r="D6" s="23">
        <v>1.2315</v>
      </c>
      <c r="E6" s="23">
        <v>6.3899999999999998E-2</v>
      </c>
      <c r="F6" s="23">
        <v>0.29010000000000002</v>
      </c>
      <c r="G6" s="23">
        <v>0.16719999999999999</v>
      </c>
      <c r="H6" s="23">
        <v>0.2392</v>
      </c>
      <c r="I6" s="23">
        <f t="shared" ref="I6:I10" si="0">H6^2</f>
        <v>5.7216639999999999E-2</v>
      </c>
      <c r="J6" s="23">
        <v>0.57999999999999996</v>
      </c>
      <c r="K6" s="23">
        <f t="shared" ref="K6:K10" si="1">G6^2</f>
        <v>2.7955839999999996E-2</v>
      </c>
    </row>
    <row r="7" spans="2:18" x14ac:dyDescent="0.25">
      <c r="B7" t="s">
        <v>3</v>
      </c>
      <c r="C7" s="23">
        <v>-5.0000000000000001E-3</v>
      </c>
      <c r="D7" s="23">
        <v>0.61990000000000001</v>
      </c>
      <c r="E7" s="23">
        <v>3.2199999999999999E-2</v>
      </c>
      <c r="F7" s="23">
        <v>0.19350000000000001</v>
      </c>
      <c r="G7" s="23">
        <v>8.4099999999999994E-2</v>
      </c>
      <c r="H7" s="23">
        <v>0.1757</v>
      </c>
      <c r="I7" s="23">
        <f t="shared" si="0"/>
        <v>3.0870489999999997E-2</v>
      </c>
      <c r="J7" s="23">
        <v>0.43</v>
      </c>
      <c r="K7" s="23">
        <f t="shared" si="1"/>
        <v>7.0728099999999988E-3</v>
      </c>
    </row>
    <row r="8" spans="2:18" x14ac:dyDescent="0.25">
      <c r="B8" t="s">
        <v>4</v>
      </c>
      <c r="C8" s="23">
        <v>7.4999999999999997E-3</v>
      </c>
      <c r="D8" s="23">
        <v>1.2672000000000001</v>
      </c>
      <c r="E8" s="23">
        <v>8.3500000000000005E-2</v>
      </c>
      <c r="F8" s="23">
        <v>0.2611</v>
      </c>
      <c r="G8" s="23">
        <v>0.17199999999999999</v>
      </c>
      <c r="H8" s="23">
        <v>0.18909999999999999</v>
      </c>
      <c r="I8" s="23">
        <f t="shared" si="0"/>
        <v>3.5758809999999995E-2</v>
      </c>
      <c r="J8" s="23">
        <v>0.66</v>
      </c>
      <c r="K8" s="23">
        <f t="shared" si="1"/>
        <v>2.9583999999999996E-2</v>
      </c>
    </row>
    <row r="9" spans="2:18" x14ac:dyDescent="0.25">
      <c r="B9" t="s">
        <v>5</v>
      </c>
      <c r="C9" s="23">
        <v>1.2E-2</v>
      </c>
      <c r="D9" s="23">
        <v>0.46700000000000003</v>
      </c>
      <c r="E9" s="23">
        <v>0.04</v>
      </c>
      <c r="F9" s="23">
        <v>0.1822</v>
      </c>
      <c r="G9" s="23">
        <v>6.3399999999999998E-2</v>
      </c>
      <c r="H9" s="23">
        <v>0.17219999999999999</v>
      </c>
      <c r="I9" s="23">
        <f t="shared" si="0"/>
        <v>2.9652839999999996E-2</v>
      </c>
      <c r="J9" s="23">
        <v>0.35</v>
      </c>
      <c r="K9" s="23">
        <f t="shared" si="1"/>
        <v>4.0195600000000001E-3</v>
      </c>
    </row>
    <row r="10" spans="2:18" x14ac:dyDescent="0.25">
      <c r="B10" t="s">
        <v>6</v>
      </c>
      <c r="C10" s="23">
        <v>2.5000000000000001E-3</v>
      </c>
      <c r="D10" s="23">
        <v>0.67359999999999998</v>
      </c>
      <c r="E10" s="23">
        <v>4.2900000000000001E-2</v>
      </c>
      <c r="F10" s="23">
        <v>0.1988</v>
      </c>
      <c r="G10" s="23">
        <v>9.1399999999999995E-2</v>
      </c>
      <c r="H10" s="23">
        <v>0.17799999999999999</v>
      </c>
      <c r="I10" s="23">
        <f t="shared" si="0"/>
        <v>3.1683999999999997E-2</v>
      </c>
      <c r="J10" s="23">
        <v>0.46</v>
      </c>
      <c r="K10" s="23">
        <f t="shared" si="1"/>
        <v>8.3539599999999988E-3</v>
      </c>
    </row>
    <row r="12" spans="2:18" ht="15.75" thickBot="1" x14ac:dyDescent="0.3">
      <c r="C12" t="s">
        <v>40</v>
      </c>
    </row>
    <row r="13" spans="2:18" x14ac:dyDescent="0.25">
      <c r="C13" t="s">
        <v>41</v>
      </c>
      <c r="E13" t="s">
        <v>44</v>
      </c>
      <c r="G13" s="8"/>
      <c r="H13" s="9"/>
      <c r="I13" s="9"/>
      <c r="J13" s="9"/>
      <c r="K13" s="9"/>
      <c r="L13" s="21" t="s">
        <v>48</v>
      </c>
      <c r="M13" s="21"/>
      <c r="N13" s="21"/>
      <c r="O13" s="21"/>
      <c r="P13" s="21"/>
      <c r="Q13" s="21"/>
      <c r="R13" s="22"/>
    </row>
    <row r="14" spans="2:18" x14ac:dyDescent="0.25">
      <c r="B14" t="s">
        <v>0</v>
      </c>
      <c r="C14" s="5">
        <v>0.76488161886075146</v>
      </c>
      <c r="E14" s="23">
        <f>C14^2</f>
        <v>0.5850438908710438</v>
      </c>
      <c r="G14" s="16"/>
      <c r="H14" s="14" t="s">
        <v>47</v>
      </c>
      <c r="I14" s="14" t="s">
        <v>51</v>
      </c>
      <c r="J14" s="14" t="s">
        <v>35</v>
      </c>
      <c r="K14" s="14" t="s">
        <v>50</v>
      </c>
      <c r="L14" s="14" t="s">
        <v>0</v>
      </c>
      <c r="M14" s="14" t="s">
        <v>1</v>
      </c>
      <c r="N14" s="14" t="s">
        <v>2</v>
      </c>
      <c r="O14" s="14" t="s">
        <v>3</v>
      </c>
      <c r="P14" s="14" t="s">
        <v>4</v>
      </c>
      <c r="Q14" s="14" t="s">
        <v>5</v>
      </c>
      <c r="R14" s="15" t="s">
        <v>6</v>
      </c>
    </row>
    <row r="15" spans="2:18" x14ac:dyDescent="0.25">
      <c r="B15" t="s">
        <v>1</v>
      </c>
      <c r="C15" s="5">
        <v>0.79834077100029321</v>
      </c>
      <c r="E15" s="23">
        <f t="shared" ref="E15:E20" si="2">C15^2</f>
        <v>0.63734798664134262</v>
      </c>
      <c r="G15" s="16" t="s">
        <v>46</v>
      </c>
      <c r="H15" s="10">
        <v>1.1115942131532018E-2</v>
      </c>
      <c r="I15" s="10">
        <f>SQRT(H15)</f>
        <v>0.10543216839054396</v>
      </c>
      <c r="J15" s="10">
        <v>3.5546285307094402E-2</v>
      </c>
      <c r="K15" s="10">
        <v>0.33714838506804806</v>
      </c>
      <c r="L15" s="10">
        <v>0.8399093994593072</v>
      </c>
      <c r="M15" s="10">
        <v>-0.16305964046524457</v>
      </c>
      <c r="N15" s="10">
        <v>-4.4975273410509366E-2</v>
      </c>
      <c r="O15" s="10">
        <v>0.13686931434260424</v>
      </c>
      <c r="P15" s="10">
        <v>-8.306120158683572E-2</v>
      </c>
      <c r="Q15" s="10">
        <v>0.19980550026062238</v>
      </c>
      <c r="R15" s="11">
        <v>0.11451190731681676</v>
      </c>
    </row>
    <row r="16" spans="2:18" ht="15.75" thickBot="1" x14ac:dyDescent="0.3">
      <c r="B16" t="s">
        <v>2</v>
      </c>
      <c r="C16" s="5">
        <v>-8.5514487610270487E-2</v>
      </c>
      <c r="E16" s="23">
        <f t="shared" si="2"/>
        <v>7.3127275912471049E-3</v>
      </c>
      <c r="G16" s="17" t="s">
        <v>49</v>
      </c>
      <c r="H16" s="12">
        <v>2.0300071065787843E-2</v>
      </c>
      <c r="I16" s="12">
        <f>SQRT(H16)</f>
        <v>0.14247831787955612</v>
      </c>
      <c r="J16" s="12">
        <v>6.4915098880797897E-2</v>
      </c>
      <c r="K16" s="12">
        <v>0.45561387758433392</v>
      </c>
      <c r="L16" s="12">
        <v>0.82199548784884502</v>
      </c>
      <c r="M16" s="12">
        <v>6.6494597678464579E-2</v>
      </c>
      <c r="N16" s="12">
        <v>-5.4654979088423719E-2</v>
      </c>
      <c r="O16" s="12">
        <v>-5.064994793573159E-2</v>
      </c>
      <c r="P16" s="12">
        <v>6.5588834324953771E-2</v>
      </c>
      <c r="Q16" s="12">
        <v>0.12655133981012268</v>
      </c>
      <c r="R16" s="13">
        <v>2.4674669426111972E-2</v>
      </c>
    </row>
    <row r="17" spans="2:18" x14ac:dyDescent="0.25">
      <c r="B17" t="s">
        <v>3</v>
      </c>
      <c r="C17" s="5">
        <v>-0.64847793731118819</v>
      </c>
      <c r="E17" s="23">
        <f t="shared" si="2"/>
        <v>0.4205236351793733</v>
      </c>
    </row>
    <row r="18" spans="2:18" x14ac:dyDescent="0.25">
      <c r="B18" t="s">
        <v>4</v>
      </c>
      <c r="C18" s="5">
        <v>0.5395030158146138</v>
      </c>
      <c r="E18" s="23">
        <f t="shared" si="2"/>
        <v>0.29106350407306342</v>
      </c>
      <c r="G18" s="20" t="s">
        <v>52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1"/>
    </row>
    <row r="19" spans="2:18" x14ac:dyDescent="0.25">
      <c r="B19" t="s">
        <v>5</v>
      </c>
      <c r="C19" s="5">
        <v>-0.10699104993383886</v>
      </c>
      <c r="E19" s="23">
        <f t="shared" si="2"/>
        <v>1.1447084765945199E-2</v>
      </c>
      <c r="G19" s="1"/>
      <c r="H19" s="19" t="s">
        <v>47</v>
      </c>
      <c r="I19" s="19" t="s">
        <v>51</v>
      </c>
      <c r="J19" s="19" t="s">
        <v>35</v>
      </c>
      <c r="K19" s="18" t="s">
        <v>0</v>
      </c>
      <c r="L19" s="18" t="s">
        <v>1</v>
      </c>
      <c r="M19" s="18" t="s">
        <v>2</v>
      </c>
      <c r="N19" s="18" t="s">
        <v>3</v>
      </c>
      <c r="O19" s="18" t="s">
        <v>4</v>
      </c>
      <c r="P19" s="18" t="s">
        <v>5</v>
      </c>
      <c r="Q19" s="18" t="s">
        <v>6</v>
      </c>
    </row>
    <row r="20" spans="2:18" x14ac:dyDescent="0.25">
      <c r="B20" t="s">
        <v>6</v>
      </c>
      <c r="C20" s="5">
        <v>-0.26174192817819636</v>
      </c>
      <c r="E20" s="23">
        <f t="shared" si="2"/>
        <v>6.8508836966440098E-2</v>
      </c>
      <c r="G20" t="s">
        <v>46</v>
      </c>
      <c r="H20" s="5">
        <v>1.1115942131532018E-2</v>
      </c>
      <c r="I20" s="5">
        <f>SQRT(H20)</f>
        <v>0.10543216839054396</v>
      </c>
      <c r="J20" s="5">
        <v>3.5546285307094402E-2</v>
      </c>
      <c r="K20" s="5">
        <v>0.8399093994593072</v>
      </c>
      <c r="L20" s="5">
        <v>-0.16305964046524457</v>
      </c>
      <c r="M20" s="5">
        <v>-4.4975273410509366E-2</v>
      </c>
      <c r="N20" s="5">
        <v>0.13686931434260424</v>
      </c>
      <c r="O20" s="5">
        <v>-8.306120158683572E-2</v>
      </c>
      <c r="P20" s="5">
        <v>0.19980550026062238</v>
      </c>
      <c r="Q20" s="5">
        <v>0.11451190731681676</v>
      </c>
    </row>
    <row r="21" spans="2:18" x14ac:dyDescent="0.25">
      <c r="B21" t="s">
        <v>42</v>
      </c>
      <c r="C21" s="23">
        <f>SUM(C14:C20)</f>
        <v>1.0000000026421645</v>
      </c>
      <c r="E21" s="23">
        <f>SUM(E14:E20)</f>
        <v>2.0212476660884553</v>
      </c>
      <c r="G21" t="s">
        <v>53</v>
      </c>
      <c r="H21" s="5">
        <v>1.1211772504749388E-2</v>
      </c>
      <c r="I21" s="5">
        <f>SQRT(H21)</f>
        <v>0.10588565769144274</v>
      </c>
      <c r="J21" s="5">
        <f>J15+0.003</f>
        <v>3.8546285307094405E-2</v>
      </c>
      <c r="K21" s="5">
        <v>0.83807996705204291</v>
      </c>
      <c r="L21" s="5">
        <v>-0.13961097401751979</v>
      </c>
      <c r="M21" s="5">
        <v>-4.5964036721137115E-2</v>
      </c>
      <c r="N21" s="5">
        <v>0.11771298430490884</v>
      </c>
      <c r="O21" s="5">
        <v>-6.7877043690534114E-2</v>
      </c>
      <c r="P21" s="5">
        <v>0.19232246219833826</v>
      </c>
      <c r="Q21" s="5">
        <v>0.1053366404657617</v>
      </c>
    </row>
    <row r="22" spans="2:18" x14ac:dyDescent="0.25">
      <c r="G22" t="s">
        <v>49</v>
      </c>
      <c r="H22" s="5">
        <v>2.0300071065787843E-2</v>
      </c>
      <c r="I22" s="5">
        <f>SQRT(H22)</f>
        <v>0.14247831787955612</v>
      </c>
      <c r="J22" s="5">
        <v>6.4915098880797897E-2</v>
      </c>
      <c r="K22" s="5">
        <v>0.82199548784884502</v>
      </c>
      <c r="L22" s="5">
        <v>6.6494597678464579E-2</v>
      </c>
      <c r="M22" s="5">
        <v>-5.4654979088423719E-2</v>
      </c>
      <c r="N22" s="5">
        <v>-5.064994793573159E-2</v>
      </c>
      <c r="O22" s="5">
        <v>6.5588834324953771E-2</v>
      </c>
      <c r="P22" s="5">
        <v>0.12655133981012268</v>
      </c>
      <c r="Q22" s="5">
        <v>2.4674669426111972E-2</v>
      </c>
    </row>
    <row r="23" spans="2:18" x14ac:dyDescent="0.25">
      <c r="B23" t="s">
        <v>35</v>
      </c>
      <c r="C23" s="5">
        <f>SUMPRODUCT(C14:C20,C4:C10)+E4*SUMPRODUCT(C14:C20,D4:D10)</f>
        <v>0.15854628492829534</v>
      </c>
      <c r="G23" t="s">
        <v>54</v>
      </c>
      <c r="H23" s="5">
        <v>2.2711538788839372E-2</v>
      </c>
      <c r="I23" s="5">
        <f t="shared" ref="I23:I26" si="3">SQRT(H23)</f>
        <v>0.15070347968391232</v>
      </c>
      <c r="J23" s="5">
        <f>J21+0.03</f>
        <v>6.8546285307094404E-2</v>
      </c>
      <c r="K23" s="5">
        <v>0.81977876465430088</v>
      </c>
      <c r="L23" s="5">
        <v>9.4877063910151743E-2</v>
      </c>
      <c r="M23" s="5">
        <v>-5.5851554239418691E-2</v>
      </c>
      <c r="N23" s="5">
        <v>-7.3834449343286548E-2</v>
      </c>
      <c r="O23" s="5">
        <v>8.3968472257852894E-2</v>
      </c>
      <c r="P23" s="5">
        <v>0.11749441388801209</v>
      </c>
      <c r="Q23" s="5">
        <v>1.3567290348004428E-2</v>
      </c>
    </row>
    <row r="24" spans="2:18" x14ac:dyDescent="0.25">
      <c r="G24" t="s">
        <v>55</v>
      </c>
      <c r="H24" s="5">
        <v>5.3377597314401899E-2</v>
      </c>
      <c r="I24" s="5">
        <f t="shared" si="3"/>
        <v>0.2310359221298755</v>
      </c>
      <c r="J24" s="5">
        <f t="shared" ref="J24:J26" si="4">J23+0.03</f>
        <v>9.8546285307094403E-2</v>
      </c>
      <c r="K24" s="5">
        <v>0.801479672534823</v>
      </c>
      <c r="L24" s="5">
        <v>0.32936495528120502</v>
      </c>
      <c r="M24" s="5">
        <v>-6.5739196142096779E-2</v>
      </c>
      <c r="N24" s="5">
        <v>-0.26538236416448435</v>
      </c>
      <c r="O24" s="5">
        <v>0.23581332716897707</v>
      </c>
      <c r="P24" s="5">
        <v>4.2665819938903393E-2</v>
      </c>
      <c r="Q24" s="5">
        <v>-7.8202212630530288E-2</v>
      </c>
    </row>
    <row r="25" spans="2:18" x14ac:dyDescent="0.25">
      <c r="B25" t="s">
        <v>43</v>
      </c>
      <c r="C25" s="5">
        <f>K4*(SUMPRODUCT(C14:C20,D4:D10))^2+SUMPRODUCT(E14:E20,I4:I10)</f>
        <v>0.17220859294508015</v>
      </c>
      <c r="G25" t="s">
        <v>56</v>
      </c>
      <c r="H25" s="5">
        <v>0.10320995008044397</v>
      </c>
      <c r="I25" s="5">
        <f t="shared" si="3"/>
        <v>0.32126305433467439</v>
      </c>
      <c r="J25" s="5">
        <f t="shared" si="4"/>
        <v>0.12854628530709439</v>
      </c>
      <c r="K25" s="5">
        <v>0.78320229198833258</v>
      </c>
      <c r="L25" s="5">
        <v>0.56385468214078427</v>
      </c>
      <c r="M25" s="5">
        <v>-7.5655182710068256E-2</v>
      </c>
      <c r="N25" s="5">
        <v>-0.45693104820812291</v>
      </c>
      <c r="O25" s="5">
        <v>0.38765932517338558</v>
      </c>
      <c r="P25" s="5">
        <v>-3.2161808226877898E-2</v>
      </c>
      <c r="Q25" s="5">
        <v>-0.16996826814341653</v>
      </c>
    </row>
    <row r="26" spans="2:18" x14ac:dyDescent="0.25">
      <c r="C26" s="5"/>
      <c r="G26" t="s">
        <v>57</v>
      </c>
      <c r="H26" s="5">
        <v>0.17220859294508015</v>
      </c>
      <c r="I26" s="5">
        <f t="shared" si="3"/>
        <v>0.41498023199313983</v>
      </c>
      <c r="J26" s="5">
        <f t="shared" si="4"/>
        <v>0.15854628530709439</v>
      </c>
      <c r="K26" s="5">
        <v>0.76488161886075146</v>
      </c>
      <c r="L26" s="5">
        <v>0.79834077100029321</v>
      </c>
      <c r="M26" s="5">
        <v>-8.5514487610270487E-2</v>
      </c>
      <c r="N26" s="5">
        <v>-0.64847793731118819</v>
      </c>
      <c r="O26" s="5">
        <v>0.5395030158146138</v>
      </c>
      <c r="P26" s="5">
        <v>-0.10699104993383886</v>
      </c>
      <c r="Q26" s="5">
        <v>-0.26174192817819636</v>
      </c>
    </row>
    <row r="27" spans="2:18" x14ac:dyDescent="0.25">
      <c r="B27" t="s">
        <v>45</v>
      </c>
      <c r="C27" s="5">
        <f>SQRT(C25)</f>
        <v>0.41498023199313983</v>
      </c>
    </row>
    <row r="28" spans="2:18" x14ac:dyDescent="0.25">
      <c r="C28" s="5"/>
    </row>
    <row r="29" spans="2:18" x14ac:dyDescent="0.25">
      <c r="B29" t="s">
        <v>50</v>
      </c>
      <c r="C29" s="5">
        <f>C23/C27</f>
        <v>0.38205743962019934</v>
      </c>
    </row>
  </sheetData>
  <mergeCells count="2">
    <mergeCell ref="G18:Q18"/>
    <mergeCell ref="L13:R13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slide30</vt:lpstr>
      <vt:lpstr>FE Mod Indices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Paula Cicogna</dc:creator>
  <cp:lastModifiedBy>Maria Paula Cicogna</cp:lastModifiedBy>
  <dcterms:created xsi:type="dcterms:W3CDTF">2020-05-15T11:25:21Z</dcterms:created>
  <dcterms:modified xsi:type="dcterms:W3CDTF">2020-05-20T18:42:40Z</dcterms:modified>
</cp:coreProperties>
</file>