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3040" windowHeight="9384" activeTab="1"/>
  </bookViews>
  <sheets>
    <sheet name="slide 18" sheetId="9" r:id="rId1"/>
    <sheet name="slide 20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2" l="1"/>
  <c r="B55" i="12"/>
  <c r="B53" i="12"/>
  <c r="B52" i="12"/>
  <c r="B51" i="12"/>
  <c r="B48" i="12"/>
  <c r="B47" i="12"/>
  <c r="B41" i="12"/>
  <c r="B44" i="12" s="1"/>
  <c r="B36" i="12"/>
  <c r="B35" i="12"/>
  <c r="B34" i="12"/>
  <c r="B37" i="12" s="1"/>
  <c r="B30" i="12"/>
  <c r="B25" i="12"/>
  <c r="B19" i="12"/>
  <c r="B21" i="12" s="1"/>
  <c r="B24" i="12" s="1"/>
  <c r="B26" i="12" s="1"/>
  <c r="B31" i="12" s="1"/>
  <c r="B20" i="12"/>
  <c r="H26" i="9"/>
  <c r="H24" i="9"/>
  <c r="H25" i="9"/>
  <c r="D25" i="9"/>
  <c r="E25" i="9" s="1"/>
  <c r="G25" i="9" s="1"/>
  <c r="D26" i="9"/>
  <c r="E26" i="9" s="1"/>
  <c r="G26" i="9" s="1"/>
  <c r="D24" i="9"/>
  <c r="B26" i="9"/>
  <c r="B25" i="9"/>
  <c r="B18" i="9"/>
  <c r="B17" i="9"/>
  <c r="A24" i="9"/>
  <c r="A25" i="9"/>
  <c r="A26" i="9"/>
  <c r="A23" i="9"/>
  <c r="F25" i="9"/>
  <c r="F26" i="9"/>
  <c r="F24" i="9"/>
  <c r="C25" i="9"/>
  <c r="C26" i="9"/>
  <c r="C24" i="9"/>
  <c r="E24" i="9"/>
  <c r="G24" i="9" s="1"/>
  <c r="F17" i="9"/>
  <c r="F18" i="9"/>
  <c r="F16" i="9"/>
  <c r="D18" i="9"/>
  <c r="C17" i="9"/>
  <c r="C18" i="9"/>
  <c r="C16" i="9"/>
  <c r="A16" i="9"/>
  <c r="A17" i="9"/>
  <c r="A18" i="9"/>
  <c r="A15" i="9"/>
  <c r="B42" i="12" l="1"/>
  <c r="B40" i="12" s="1"/>
  <c r="B29" i="12"/>
  <c r="H27" i="9"/>
  <c r="D17" i="9"/>
  <c r="E17" i="9" s="1"/>
  <c r="G17" i="9" s="1"/>
  <c r="H17" i="9" s="1"/>
  <c r="D16" i="9"/>
  <c r="E16" i="9" s="1"/>
  <c r="G16" i="9" s="1"/>
  <c r="H16" i="9" s="1"/>
  <c r="E18" i="9"/>
  <c r="G18" i="9" s="1"/>
  <c r="H18" i="9" s="1"/>
  <c r="H19" i="9" l="1"/>
  <c r="H29" i="9" s="1"/>
</calcChain>
</file>

<file path=xl/sharedStrings.xml><?xml version="1.0" encoding="utf-8"?>
<sst xmlns="http://schemas.openxmlformats.org/spreadsheetml/2006/main" count="83" uniqueCount="60">
  <si>
    <t>PU</t>
  </si>
  <si>
    <t>Variação</t>
  </si>
  <si>
    <t>xUS$ 0,50</t>
  </si>
  <si>
    <t>Tx Câmbio</t>
  </si>
  <si>
    <t>xContratos</t>
  </si>
  <si>
    <t xml:space="preserve">Ajuste </t>
  </si>
  <si>
    <t>Dia</t>
  </si>
  <si>
    <t>Dados</t>
  </si>
  <si>
    <t>PU "final"</t>
  </si>
  <si>
    <t>PU "inicial"</t>
  </si>
  <si>
    <t>Cupom</t>
  </si>
  <si>
    <t>Data</t>
  </si>
  <si>
    <t>FRA JAN 4</t>
  </si>
  <si>
    <t>Dólar PTAX</t>
  </si>
  <si>
    <t>DI-over</t>
  </si>
  <si>
    <t>DDI OUT 3</t>
  </si>
  <si>
    <t>DDI JAN4</t>
  </si>
  <si>
    <t xml:space="preserve">No dia 10/9/2003, um especulador compra 500 contratos de FRA JAN 4 a 1,44%. </t>
  </si>
  <si>
    <t>Ponta longa: comprado em 500 contratos de DDI que vence em 114 dias a 98.112,15</t>
  </si>
  <si>
    <t xml:space="preserve">Ponta curta: vendido em 498 contratos de DDI que vence em 21 dias a 98.477,13 </t>
  </si>
  <si>
    <t>Resultado =</t>
  </si>
  <si>
    <t>(a cotação do FRA caiu de 1,44% para 1,23%)</t>
  </si>
  <si>
    <t xml:space="preserve">Dólar à vista em 3/12/2007 = </t>
  </si>
  <si>
    <t xml:space="preserve">R$/US$ </t>
  </si>
  <si>
    <t xml:space="preserve">Dólar PTAX em 2/12/2007 = </t>
  </si>
  <si>
    <t xml:space="preserve">R$/dólar </t>
  </si>
  <si>
    <t xml:space="preserve">FRA F09 (vencimento em janeiro/2009) = </t>
  </si>
  <si>
    <t>ao ano</t>
  </si>
  <si>
    <t xml:space="preserve">DI futuro F09 (vencimento em janeiro/2009) = </t>
  </si>
  <si>
    <t xml:space="preserve">DI futuro F09 (vencimento em janeiro/2009) PU = </t>
  </si>
  <si>
    <t>pontos</t>
  </si>
  <si>
    <t>DDI futuro F09 (vencimento em janeiro/2009) PU =</t>
  </si>
  <si>
    <t xml:space="preserve">pontos </t>
  </si>
  <si>
    <t>DDI futuro F08 (vencimento em janeiro/2008) PU =</t>
  </si>
  <si>
    <t>Dólar futuro F08 (vencimento em janeiro/2008) =</t>
  </si>
  <si>
    <t>R$/US$</t>
  </si>
  <si>
    <t>Valor</t>
  </si>
  <si>
    <t xml:space="preserve">Prazo (dias uteis) </t>
  </si>
  <si>
    <t>Valor (US$)</t>
  </si>
  <si>
    <t>Venda de FRA</t>
  </si>
  <si>
    <t>Contratos</t>
  </si>
  <si>
    <t>Venda de DDI F09</t>
  </si>
  <si>
    <t>Compra de DDI F08</t>
  </si>
  <si>
    <t>Compra DI F 09</t>
  </si>
  <si>
    <t>Taxa</t>
  </si>
  <si>
    <t>Compra Futuro dolar F08</t>
  </si>
  <si>
    <t>Taxa de câmbio</t>
  </si>
  <si>
    <t>Dólar travado</t>
  </si>
  <si>
    <t xml:space="preserve">CDI efetivo entre 3/12/2007 e 2/1/2008 </t>
  </si>
  <si>
    <t>Dólar PTAX em 31/12/2007</t>
  </si>
  <si>
    <t>Dólar PTAX em 31/12/2008</t>
  </si>
  <si>
    <t xml:space="preserve">CDI efetivo entre 3/12/2007 e 2/1/2009 </t>
  </si>
  <si>
    <t>Resultado Parcial - 2/1/2008</t>
  </si>
  <si>
    <t>DDI F08</t>
  </si>
  <si>
    <t>Dolar Futuro F08</t>
  </si>
  <si>
    <t>Resultado Parcial - 2/1/2009</t>
  </si>
  <si>
    <t>Pagamento Importação</t>
  </si>
  <si>
    <t>DDI F09</t>
  </si>
  <si>
    <t>DI F09</t>
  </si>
  <si>
    <t>Resultado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</si>
</sst>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6" formatCode="_-* #,##0.0000_-;\-* #,##0.0000_-;_-* &quot;-&quot;??_-;_-@_-"/>
    <numFmt numFmtId="172" formatCode="0.000%"/>
    <numFmt numFmtId="178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rgb="FF00336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rgb="FF3C3C3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64D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DD3EC"/>
        <bgColor indexed="64"/>
      </patternFill>
    </fill>
    <fill>
      <patternFill patternType="solid">
        <fgColor rgb="FFE8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A8B3DE"/>
      </left>
      <right style="thin">
        <color rgb="FFA8B3DE"/>
      </right>
      <top style="thin">
        <color rgb="FFA8B3DE"/>
      </top>
      <bottom style="thin">
        <color rgb="FFA8B3DE"/>
      </bottom>
      <diagonal/>
    </border>
    <border>
      <left style="thin">
        <color rgb="FFA8B3DE"/>
      </left>
      <right/>
      <top style="thin">
        <color rgb="FFA8B3DE"/>
      </top>
      <bottom style="thin">
        <color rgb="FFA8B3DE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0" fillId="0" borderId="0" xfId="1" applyFont="1"/>
    <xf numFmtId="43" fontId="0" fillId="0" borderId="0" xfId="0" applyNumberFormat="1"/>
    <xf numFmtId="166" fontId="0" fillId="0" borderId="0" xfId="0" applyNumberFormat="1"/>
    <xf numFmtId="0" fontId="3" fillId="2" borderId="1" xfId="0" applyFont="1" applyFill="1" applyBorder="1" applyAlignment="1">
      <alignment horizontal="center" wrapText="1" readingOrder="1"/>
    </xf>
    <xf numFmtId="0" fontId="6" fillId="0" borderId="0" xfId="0" applyFont="1"/>
    <xf numFmtId="43" fontId="6" fillId="0" borderId="0" xfId="1" applyFont="1"/>
    <xf numFmtId="43" fontId="7" fillId="0" borderId="0" xfId="1" applyFont="1"/>
    <xf numFmtId="43" fontId="6" fillId="0" borderId="0" xfId="0" applyNumberFormat="1" applyFont="1"/>
    <xf numFmtId="0" fontId="8" fillId="2" borderId="1" xfId="0" applyFont="1" applyFill="1" applyBorder="1" applyAlignment="1">
      <alignment horizontal="center" wrapText="1" readingOrder="1"/>
    </xf>
    <xf numFmtId="43" fontId="8" fillId="2" borderId="1" xfId="1" applyFont="1" applyFill="1" applyBorder="1" applyAlignment="1">
      <alignment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16" fontId="4" fillId="4" borderId="4" xfId="0" applyNumberFormat="1" applyFont="1" applyFill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 readingOrder="1"/>
    </xf>
    <xf numFmtId="16" fontId="4" fillId="5" borderId="5" xfId="0" applyNumberFormat="1" applyFont="1" applyFill="1" applyBorder="1" applyAlignment="1">
      <alignment horizontal="center" vertical="center" wrapText="1" readingOrder="1"/>
    </xf>
    <xf numFmtId="1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5" xfId="0" applyFont="1" applyFill="1" applyBorder="1" applyAlignment="1">
      <alignment horizontal="center" vertical="center" wrapText="1" readingOrder="1"/>
    </xf>
    <xf numFmtId="4" fontId="4" fillId="5" borderId="5" xfId="0" applyNumberFormat="1" applyFont="1" applyFill="1" applyBorder="1" applyAlignment="1">
      <alignment horizontal="center" vertical="center" wrapText="1" readingOrder="1"/>
    </xf>
    <xf numFmtId="4" fontId="9" fillId="5" borderId="5" xfId="0" applyNumberFormat="1" applyFont="1" applyFill="1" applyBorder="1" applyAlignment="1">
      <alignment horizontal="center" vertical="center" wrapText="1" readingOrder="1"/>
    </xf>
    <xf numFmtId="16" fontId="4" fillId="4" borderId="5" xfId="0" applyNumberFormat="1" applyFont="1" applyFill="1" applyBorder="1" applyAlignment="1">
      <alignment horizontal="center" vertical="center" wrapText="1" readingOrder="1"/>
    </xf>
    <xf numFmtId="10" fontId="4" fillId="4" borderId="5" xfId="0" applyNumberFormat="1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4" fontId="9" fillId="4" borderId="5" xfId="0" applyNumberFormat="1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readingOrder="1"/>
    </xf>
    <xf numFmtId="0" fontId="10" fillId="0" borderId="0" xfId="0" applyFont="1"/>
    <xf numFmtId="16" fontId="6" fillId="0" borderId="0" xfId="0" applyNumberFormat="1" applyFont="1"/>
    <xf numFmtId="0" fontId="9" fillId="0" borderId="0" xfId="0" applyFont="1"/>
    <xf numFmtId="172" fontId="4" fillId="5" borderId="5" xfId="0" applyNumberFormat="1" applyFont="1" applyFill="1" applyBorder="1" applyAlignment="1">
      <alignment horizontal="center" vertical="center" wrapText="1" readingOrder="1"/>
    </xf>
    <xf numFmtId="172" fontId="4" fillId="4" borderId="5" xfId="0" applyNumberFormat="1" applyFont="1" applyFill="1" applyBorder="1" applyAlignment="1">
      <alignment horizontal="center" vertical="center" wrapText="1" readingOrder="1"/>
    </xf>
    <xf numFmtId="43" fontId="6" fillId="0" borderId="0" xfId="0" applyNumberFormat="1" applyFont="1" applyAlignment="1"/>
    <xf numFmtId="0" fontId="3" fillId="2" borderId="2" xfId="0" applyFont="1" applyFill="1" applyBorder="1" applyAlignment="1">
      <alignment wrapText="1" readingOrder="1"/>
    </xf>
    <xf numFmtId="0" fontId="8" fillId="2" borderId="2" xfId="0" applyFont="1" applyFill="1" applyBorder="1" applyAlignment="1">
      <alignment wrapText="1" readingOrder="1"/>
    </xf>
    <xf numFmtId="0" fontId="6" fillId="0" borderId="0" xfId="0" applyFont="1" applyAlignment="1">
      <alignment horizontal="center"/>
    </xf>
    <xf numFmtId="0" fontId="2" fillId="6" borderId="0" xfId="0" applyFont="1" applyFill="1"/>
    <xf numFmtId="43" fontId="2" fillId="6" borderId="0" xfId="0" applyNumberFormat="1" applyFont="1" applyFill="1"/>
    <xf numFmtId="0" fontId="0" fillId="0" borderId="0" xfId="0" applyAlignment="1">
      <alignment horizontal="right"/>
    </xf>
    <xf numFmtId="0" fontId="11" fillId="0" borderId="0" xfId="0" applyFont="1"/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justify" vertical="center" wrapText="1"/>
    </xf>
    <xf numFmtId="0" fontId="0" fillId="7" borderId="0" xfId="0" applyFill="1"/>
    <xf numFmtId="0" fontId="6" fillId="7" borderId="0" xfId="0" applyFont="1" applyFill="1" applyBorder="1" applyAlignment="1">
      <alignment horizontal="justify" vertical="center" wrapText="1"/>
    </xf>
    <xf numFmtId="43" fontId="0" fillId="7" borderId="0" xfId="0" applyNumberFormat="1" applyFill="1"/>
    <xf numFmtId="10" fontId="0" fillId="7" borderId="0" xfId="0" applyNumberFormat="1" applyFill="1"/>
    <xf numFmtId="0" fontId="12" fillId="8" borderId="0" xfId="0" applyFont="1" applyFill="1" applyBorder="1" applyAlignment="1">
      <alignment horizontal="justify" vertical="center" wrapText="1"/>
    </xf>
    <xf numFmtId="0" fontId="0" fillId="8" borderId="0" xfId="0" applyFill="1"/>
    <xf numFmtId="0" fontId="6" fillId="8" borderId="0" xfId="0" applyFont="1" applyFill="1" applyBorder="1" applyAlignment="1">
      <alignment horizontal="justify" vertical="center" wrapText="1"/>
    </xf>
    <xf numFmtId="43" fontId="0" fillId="8" borderId="0" xfId="0" applyNumberFormat="1" applyFill="1"/>
    <xf numFmtId="10" fontId="0" fillId="8" borderId="0" xfId="0" applyNumberFormat="1" applyFill="1"/>
    <xf numFmtId="43" fontId="0" fillId="8" borderId="0" xfId="1" applyFont="1" applyFill="1"/>
    <xf numFmtId="178" fontId="6" fillId="0" borderId="7" xfId="1" applyNumberFormat="1" applyFont="1" applyBorder="1" applyAlignment="1">
      <alignment horizontal="center" vertical="center" wrapText="1"/>
    </xf>
    <xf numFmtId="4" fontId="0" fillId="7" borderId="0" xfId="0" applyNumberFormat="1" applyFill="1"/>
    <xf numFmtId="0" fontId="12" fillId="9" borderId="0" xfId="0" applyFont="1" applyFill="1" applyBorder="1" applyAlignment="1">
      <alignment horizontal="justify" vertical="center" wrapText="1"/>
    </xf>
    <xf numFmtId="0" fontId="0" fillId="9" borderId="0" xfId="0" applyFill="1"/>
    <xf numFmtId="0" fontId="6" fillId="9" borderId="0" xfId="0" applyFont="1" applyFill="1" applyBorder="1" applyAlignment="1">
      <alignment horizontal="justify" vertical="center" wrapText="1"/>
    </xf>
    <xf numFmtId="43" fontId="0" fillId="9" borderId="0" xfId="0" applyNumberFormat="1" applyFill="1"/>
    <xf numFmtId="166" fontId="0" fillId="9" borderId="0" xfId="1" applyNumberFormat="1" applyFont="1" applyFill="1"/>
    <xf numFmtId="0" fontId="6" fillId="6" borderId="0" xfId="0" applyFont="1" applyFill="1" applyBorder="1" applyAlignment="1">
      <alignment horizontal="justify" vertical="center" wrapText="1"/>
    </xf>
    <xf numFmtId="166" fontId="0" fillId="6" borderId="0" xfId="1" applyNumberFormat="1" applyFont="1" applyFill="1"/>
    <xf numFmtId="0" fontId="13" fillId="0" borderId="8" xfId="0" applyFont="1" applyBorder="1" applyAlignment="1">
      <alignment horizontal="justify" vertical="center" wrapText="1"/>
    </xf>
    <xf numFmtId="0" fontId="13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zoomScale="101" zoomScaleNormal="85" zoomScalePageLayoutView="125" workbookViewId="0">
      <selection activeCell="C36" sqref="C36"/>
    </sheetView>
  </sheetViews>
  <sheetFormatPr defaultRowHeight="14.4" x14ac:dyDescent="0.3"/>
  <cols>
    <col min="1" max="1" width="9.21875" bestFit="1" customWidth="1"/>
    <col min="2" max="3" width="11.33203125" bestFit="1" customWidth="1"/>
    <col min="4" max="4" width="9" customWidth="1"/>
    <col min="5" max="5" width="10.109375" customWidth="1"/>
    <col min="6" max="6" width="9.77734375" customWidth="1"/>
    <col min="7" max="7" width="10.88671875" customWidth="1"/>
    <col min="8" max="8" width="12.21875" customWidth="1"/>
    <col min="9" max="9" width="11.21875" bestFit="1" customWidth="1"/>
    <col min="10" max="10" width="12" bestFit="1" customWidth="1"/>
  </cols>
  <sheetData>
    <row r="2" spans="1:11" x14ac:dyDescent="0.3">
      <c r="A2" s="25" t="s">
        <v>17</v>
      </c>
    </row>
    <row r="3" spans="1:11" x14ac:dyDescent="0.3">
      <c r="A3" s="25"/>
    </row>
    <row r="4" spans="1:11" ht="15" thickBot="1" x14ac:dyDescent="0.35">
      <c r="A4" t="s">
        <v>7</v>
      </c>
    </row>
    <row r="5" spans="1:11" ht="15" thickBot="1" x14ac:dyDescent="0.35">
      <c r="A5" s="11" t="s">
        <v>11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</row>
    <row r="6" spans="1:11" ht="15.6" thickTop="1" thickBot="1" x14ac:dyDescent="0.35">
      <c r="A6" s="12">
        <v>44083</v>
      </c>
      <c r="B6" s="13"/>
      <c r="C6" s="14">
        <v>2.9306000000000001</v>
      </c>
      <c r="D6" s="13"/>
      <c r="E6" s="13"/>
      <c r="F6" s="13"/>
      <c r="H6" s="25"/>
      <c r="I6" s="26"/>
      <c r="J6" s="26"/>
      <c r="K6" s="25"/>
    </row>
    <row r="7" spans="1:11" ht="15" thickBot="1" x14ac:dyDescent="0.35">
      <c r="A7" s="15">
        <v>44084</v>
      </c>
      <c r="B7" s="16">
        <v>1.44E-2</v>
      </c>
      <c r="C7" s="17">
        <v>2.9125000000000001</v>
      </c>
      <c r="D7" s="29">
        <v>7.7999999999999999E-4</v>
      </c>
      <c r="E7" s="18">
        <v>98477.13</v>
      </c>
      <c r="F7" s="19">
        <v>98112.15</v>
      </c>
      <c r="H7" s="25"/>
      <c r="I7" s="26"/>
      <c r="J7" s="26"/>
      <c r="K7" s="25"/>
    </row>
    <row r="8" spans="1:11" ht="15" thickBot="1" x14ac:dyDescent="0.35">
      <c r="A8" s="20">
        <v>44085</v>
      </c>
      <c r="B8" s="21">
        <v>1.4500000000000001E-2</v>
      </c>
      <c r="C8" s="22">
        <v>2.8990999999999998</v>
      </c>
      <c r="D8" s="30">
        <v>7.7999999999999999E-4</v>
      </c>
      <c r="E8" s="23">
        <v>99856.320000000007</v>
      </c>
      <c r="F8" s="23">
        <v>99484.75</v>
      </c>
    </row>
    <row r="9" spans="1:11" ht="15" thickBot="1" x14ac:dyDescent="0.35">
      <c r="A9" s="15">
        <v>44086</v>
      </c>
      <c r="B9" s="16">
        <v>1.23E-2</v>
      </c>
      <c r="C9" s="24"/>
      <c r="D9" s="24"/>
      <c r="E9" s="19">
        <v>99979.95</v>
      </c>
      <c r="F9" s="19">
        <v>99662.03</v>
      </c>
    </row>
    <row r="12" spans="1:11" x14ac:dyDescent="0.3">
      <c r="D12" s="1"/>
      <c r="E12" s="2"/>
    </row>
    <row r="13" spans="1:11" x14ac:dyDescent="0.3">
      <c r="A13" s="25" t="s">
        <v>18</v>
      </c>
    </row>
    <row r="14" spans="1:11" ht="14.4" customHeight="1" x14ac:dyDescent="0.3">
      <c r="A14" s="4" t="s">
        <v>6</v>
      </c>
      <c r="B14" s="4" t="s">
        <v>9</v>
      </c>
      <c r="C14" s="4" t="s">
        <v>8</v>
      </c>
      <c r="D14" s="32" t="s">
        <v>1</v>
      </c>
      <c r="E14" s="4" t="s">
        <v>2</v>
      </c>
      <c r="F14" s="4" t="s">
        <v>3</v>
      </c>
      <c r="G14" s="4" t="s">
        <v>5</v>
      </c>
      <c r="H14" s="4" t="s">
        <v>4</v>
      </c>
    </row>
    <row r="15" spans="1:11" x14ac:dyDescent="0.3">
      <c r="A15" s="27">
        <f>A6</f>
        <v>44083</v>
      </c>
      <c r="B15" s="6"/>
      <c r="C15" s="5"/>
      <c r="D15" s="34"/>
      <c r="E15" s="5"/>
      <c r="F15" s="5"/>
      <c r="G15" s="5"/>
      <c r="H15" s="5"/>
    </row>
    <row r="16" spans="1:11" x14ac:dyDescent="0.3">
      <c r="A16" s="27">
        <f>A7</f>
        <v>44084</v>
      </c>
      <c r="B16" s="7">
        <v>98112.15</v>
      </c>
      <c r="C16" s="6">
        <f>F7</f>
        <v>98112.15</v>
      </c>
      <c r="D16" s="31">
        <f>B16-C16</f>
        <v>0</v>
      </c>
      <c r="E16" s="8">
        <f>D16*0.5</f>
        <v>0</v>
      </c>
      <c r="F16" s="5">
        <f>C6</f>
        <v>2.9306000000000001</v>
      </c>
      <c r="G16" s="8">
        <f>E16*F16</f>
        <v>0</v>
      </c>
      <c r="H16" s="8">
        <f>G16*500</f>
        <v>0</v>
      </c>
    </row>
    <row r="17" spans="1:8" x14ac:dyDescent="0.3">
      <c r="A17" s="27">
        <f>A8</f>
        <v>44085</v>
      </c>
      <c r="B17" s="6">
        <f>C16*(1+D7)/(C7/C6)</f>
        <v>98798.880073509412</v>
      </c>
      <c r="C17" s="6">
        <f>F8</f>
        <v>99484.75</v>
      </c>
      <c r="D17" s="31">
        <f t="shared" ref="D17:D18" si="0">B17-C17</f>
        <v>-685.86992649058811</v>
      </c>
      <c r="E17" s="8">
        <f>D17*0.5</f>
        <v>-342.93496324529406</v>
      </c>
      <c r="F17" s="5">
        <f t="shared" ref="F17:F18" si="1">C7</f>
        <v>2.9125000000000001</v>
      </c>
      <c r="G17" s="8">
        <f t="shared" ref="G17:G18" si="2">E17*F17</f>
        <v>-998.79808045191896</v>
      </c>
      <c r="H17" s="8">
        <f t="shared" ref="H17:H18" si="3">G17*500</f>
        <v>-499399.0402259595</v>
      </c>
    </row>
    <row r="18" spans="1:8" x14ac:dyDescent="0.3">
      <c r="A18" s="27">
        <f>A9</f>
        <v>44086</v>
      </c>
      <c r="B18" s="6">
        <f>C17*(1+D8)/(C8/C7)</f>
        <v>100022.53763437361</v>
      </c>
      <c r="C18" s="6">
        <f>F9</f>
        <v>99662.03</v>
      </c>
      <c r="D18" s="31">
        <f t="shared" si="0"/>
        <v>360.50763437361456</v>
      </c>
      <c r="E18" s="8">
        <f>D18*0.5</f>
        <v>180.25381718680728</v>
      </c>
      <c r="F18" s="5">
        <f t="shared" si="1"/>
        <v>2.8990999999999998</v>
      </c>
      <c r="G18" s="8">
        <f t="shared" si="2"/>
        <v>522.573841406273</v>
      </c>
      <c r="H18" s="8">
        <f t="shared" si="3"/>
        <v>261286.92070313651</v>
      </c>
    </row>
    <row r="19" spans="1:8" x14ac:dyDescent="0.3">
      <c r="A19" s="9"/>
      <c r="B19" s="9"/>
      <c r="C19" s="9"/>
      <c r="D19" s="33"/>
      <c r="E19" s="9"/>
      <c r="F19" s="9"/>
      <c r="G19" s="9"/>
      <c r="H19" s="10">
        <f>SUM(H16:H18)</f>
        <v>-238112.11952282299</v>
      </c>
    </row>
    <row r="21" spans="1:8" x14ac:dyDescent="0.3">
      <c r="A21" s="25" t="s">
        <v>19</v>
      </c>
      <c r="B21" s="26"/>
      <c r="C21" s="26"/>
      <c r="D21" s="28"/>
    </row>
    <row r="22" spans="1:8" x14ac:dyDescent="0.3">
      <c r="A22" s="4" t="s">
        <v>6</v>
      </c>
      <c r="B22" s="4" t="s">
        <v>9</v>
      </c>
      <c r="C22" s="4" t="s">
        <v>8</v>
      </c>
      <c r="D22" s="32" t="s">
        <v>1</v>
      </c>
      <c r="E22" s="4" t="s">
        <v>2</v>
      </c>
      <c r="F22" s="4" t="s">
        <v>3</v>
      </c>
      <c r="G22" s="4" t="s">
        <v>5</v>
      </c>
      <c r="H22" s="4" t="s">
        <v>4</v>
      </c>
    </row>
    <row r="23" spans="1:8" x14ac:dyDescent="0.3">
      <c r="A23" s="27">
        <f>A6</f>
        <v>44083</v>
      </c>
      <c r="B23" s="6"/>
      <c r="C23" s="5"/>
      <c r="D23" s="34"/>
      <c r="E23" s="5"/>
      <c r="F23" s="5"/>
      <c r="G23" s="5"/>
      <c r="H23" s="5"/>
    </row>
    <row r="24" spans="1:8" x14ac:dyDescent="0.3">
      <c r="A24" s="27">
        <f t="shared" ref="A24:A26" si="4">A7</f>
        <v>44084</v>
      </c>
      <c r="B24" s="7">
        <v>98477.13</v>
      </c>
      <c r="C24" s="6">
        <f>E7</f>
        <v>98477.13</v>
      </c>
      <c r="D24" s="31">
        <f>C24-B24</f>
        <v>0</v>
      </c>
      <c r="E24" s="8">
        <f>D24*0.5</f>
        <v>0</v>
      </c>
      <c r="F24" s="5">
        <f>C6</f>
        <v>2.9306000000000001</v>
      </c>
      <c r="G24" s="8">
        <f>E24*F24</f>
        <v>0</v>
      </c>
      <c r="H24" s="8">
        <f t="shared" ref="H24" si="5">G24*498</f>
        <v>0</v>
      </c>
    </row>
    <row r="25" spans="1:8" x14ac:dyDescent="0.3">
      <c r="A25" s="27">
        <f t="shared" si="4"/>
        <v>44085</v>
      </c>
      <c r="B25" s="6">
        <f>C24*(1+D7)/(C7/C6)</f>
        <v>99166.414728995311</v>
      </c>
      <c r="C25" s="6">
        <f t="shared" ref="C25:C26" si="6">E8</f>
        <v>99856.320000000007</v>
      </c>
      <c r="D25" s="31">
        <f t="shared" ref="D25:D26" si="7">C25-B25</f>
        <v>689.90527100469626</v>
      </c>
      <c r="E25" s="8">
        <f>D25*0.5</f>
        <v>344.95263550234813</v>
      </c>
      <c r="F25" s="5">
        <f t="shared" ref="F25:F26" si="8">C7</f>
        <v>2.9125000000000001</v>
      </c>
      <c r="G25" s="8">
        <f t="shared" ref="G25:G26" si="9">E25*F25</f>
        <v>1004.674550900589</v>
      </c>
      <c r="H25" s="8">
        <f>G25*498</f>
        <v>500327.92634849332</v>
      </c>
    </row>
    <row r="26" spans="1:8" x14ac:dyDescent="0.3">
      <c r="A26" s="27">
        <f t="shared" si="4"/>
        <v>44086</v>
      </c>
      <c r="B26" s="6">
        <f>C25*(1+D8)/(C8/C7)</f>
        <v>100396.1162412335</v>
      </c>
      <c r="C26" s="6">
        <f t="shared" si="6"/>
        <v>99979.95</v>
      </c>
      <c r="D26" s="31">
        <f t="shared" si="7"/>
        <v>-416.16624123349902</v>
      </c>
      <c r="E26" s="8">
        <f>D26*0.5</f>
        <v>-208.08312061674951</v>
      </c>
      <c r="F26" s="5">
        <f t="shared" si="8"/>
        <v>2.8990999999999998</v>
      </c>
      <c r="G26" s="8">
        <f t="shared" si="9"/>
        <v>-603.25377498001842</v>
      </c>
      <c r="H26" s="8">
        <f t="shared" ref="H26" si="10">G26*498</f>
        <v>-300420.3799400492</v>
      </c>
    </row>
    <row r="27" spans="1:8" x14ac:dyDescent="0.3">
      <c r="A27" s="9"/>
      <c r="B27" s="9"/>
      <c r="C27" s="9"/>
      <c r="D27" s="33"/>
      <c r="E27" s="9"/>
      <c r="F27" s="9"/>
      <c r="G27" s="9"/>
      <c r="H27" s="10">
        <f>SUM(H24:H26)</f>
        <v>199907.54640844412</v>
      </c>
    </row>
    <row r="29" spans="1:8" x14ac:dyDescent="0.3">
      <c r="G29" s="35" t="s">
        <v>20</v>
      </c>
      <c r="H29" s="36">
        <f>H19+H27</f>
        <v>-38204.573114378873</v>
      </c>
    </row>
    <row r="31" spans="1:8" x14ac:dyDescent="0.3">
      <c r="H31" s="37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C19" sqref="C19"/>
    </sheetView>
  </sheetViews>
  <sheetFormatPr defaultRowHeight="14.4" x14ac:dyDescent="0.3"/>
  <cols>
    <col min="1" max="1" width="25.88671875" customWidth="1"/>
    <col min="2" max="2" width="14" bestFit="1" customWidth="1"/>
  </cols>
  <sheetData>
    <row r="1" spans="1:3" x14ac:dyDescent="0.3">
      <c r="A1" t="s">
        <v>38</v>
      </c>
      <c r="B1" s="1">
        <v>10000000</v>
      </c>
    </row>
    <row r="2" spans="1:3" x14ac:dyDescent="0.3">
      <c r="A2" t="s">
        <v>37</v>
      </c>
      <c r="B2">
        <v>274</v>
      </c>
    </row>
    <row r="4" spans="1:3" ht="15" thickBot="1" x14ac:dyDescent="0.35"/>
    <row r="5" spans="1:3" ht="15" thickBot="1" x14ac:dyDescent="0.35">
      <c r="A5" s="39" t="s">
        <v>22</v>
      </c>
      <c r="B5" s="57">
        <v>1.7869999999999999</v>
      </c>
      <c r="C5" s="40" t="s">
        <v>23</v>
      </c>
    </row>
    <row r="6" spans="1:3" ht="15" thickBot="1" x14ac:dyDescent="0.35">
      <c r="A6" s="41" t="s">
        <v>24</v>
      </c>
      <c r="B6" s="43">
        <v>1.7837000000000001</v>
      </c>
      <c r="C6" s="42" t="s">
        <v>25</v>
      </c>
    </row>
    <row r="7" spans="1:3" ht="27" thickBot="1" x14ac:dyDescent="0.35">
      <c r="A7" s="41" t="s">
        <v>26</v>
      </c>
      <c r="B7" s="44">
        <v>6.2E-2</v>
      </c>
      <c r="C7" s="42" t="s">
        <v>27</v>
      </c>
    </row>
    <row r="8" spans="1:3" ht="27" thickBot="1" x14ac:dyDescent="0.35">
      <c r="A8" s="41" t="s">
        <v>28</v>
      </c>
      <c r="B8" s="44">
        <v>0.1163</v>
      </c>
      <c r="C8" s="42" t="s">
        <v>27</v>
      </c>
    </row>
    <row r="9" spans="1:3" ht="27" thickBot="1" x14ac:dyDescent="0.35">
      <c r="A9" s="41" t="s">
        <v>29</v>
      </c>
      <c r="B9" s="45">
        <v>88725.35</v>
      </c>
      <c r="C9" s="42" t="s">
        <v>30</v>
      </c>
    </row>
    <row r="10" spans="1:3" ht="27" thickBot="1" x14ac:dyDescent="0.35">
      <c r="A10" s="41" t="s">
        <v>31</v>
      </c>
      <c r="B10" s="45">
        <v>93924.94</v>
      </c>
      <c r="C10" s="42" t="s">
        <v>32</v>
      </c>
    </row>
    <row r="11" spans="1:3" ht="27" thickBot="1" x14ac:dyDescent="0.35">
      <c r="A11" s="41" t="s">
        <v>33</v>
      </c>
      <c r="B11" s="45">
        <v>99847.73</v>
      </c>
      <c r="C11" s="42" t="s">
        <v>32</v>
      </c>
    </row>
    <row r="12" spans="1:3" ht="27" thickBot="1" x14ac:dyDescent="0.35">
      <c r="A12" s="41" t="s">
        <v>34</v>
      </c>
      <c r="B12" s="43">
        <v>1.7909999999999999</v>
      </c>
      <c r="C12" s="42" t="s">
        <v>35</v>
      </c>
    </row>
    <row r="13" spans="1:3" ht="27" thickBot="1" x14ac:dyDescent="0.35">
      <c r="A13" s="66" t="s">
        <v>48</v>
      </c>
      <c r="B13" s="44">
        <v>8.3999999999999995E-3</v>
      </c>
      <c r="C13" s="41"/>
    </row>
    <row r="14" spans="1:3" ht="15" thickBot="1" x14ac:dyDescent="0.35">
      <c r="A14" s="41" t="s">
        <v>49</v>
      </c>
      <c r="B14" s="43">
        <v>1.7713000000000001</v>
      </c>
      <c r="C14" s="42" t="s">
        <v>25</v>
      </c>
    </row>
    <row r="15" spans="1:3" ht="27" thickBot="1" x14ac:dyDescent="0.35">
      <c r="A15" s="66" t="s">
        <v>51</v>
      </c>
      <c r="B15" s="44">
        <v>0.12</v>
      </c>
      <c r="C15" s="41"/>
    </row>
    <row r="16" spans="1:3" ht="15" thickBot="1" x14ac:dyDescent="0.35">
      <c r="A16" s="41" t="s">
        <v>50</v>
      </c>
      <c r="B16" s="43">
        <v>2</v>
      </c>
      <c r="C16" s="42" t="s">
        <v>25</v>
      </c>
    </row>
    <row r="17" spans="1:5" x14ac:dyDescent="0.3">
      <c r="E17" s="67"/>
    </row>
    <row r="18" spans="1:5" x14ac:dyDescent="0.3">
      <c r="A18" s="51" t="s">
        <v>39</v>
      </c>
      <c r="B18" s="52"/>
    </row>
    <row r="19" spans="1:5" x14ac:dyDescent="0.3">
      <c r="A19" s="53" t="s">
        <v>36</v>
      </c>
      <c r="B19" s="54">
        <f>B1</f>
        <v>10000000</v>
      </c>
    </row>
    <row r="20" spans="1:5" x14ac:dyDescent="0.3">
      <c r="A20" s="53" t="s">
        <v>10</v>
      </c>
      <c r="B20" s="55">
        <f>B7</f>
        <v>6.2E-2</v>
      </c>
    </row>
    <row r="21" spans="1:5" x14ac:dyDescent="0.3">
      <c r="A21" s="53" t="s">
        <v>40</v>
      </c>
      <c r="B21" s="54">
        <f>B19/50000</f>
        <v>200</v>
      </c>
    </row>
    <row r="22" spans="1:5" x14ac:dyDescent="0.3">
      <c r="A22" s="52"/>
      <c r="B22" s="52"/>
    </row>
    <row r="23" spans="1:5" x14ac:dyDescent="0.3">
      <c r="A23" s="51" t="s">
        <v>41</v>
      </c>
      <c r="B23" s="52"/>
    </row>
    <row r="24" spans="1:5" x14ac:dyDescent="0.3">
      <c r="A24" s="53" t="s">
        <v>36</v>
      </c>
      <c r="B24" s="54">
        <f>B10*B21</f>
        <v>18784988</v>
      </c>
    </row>
    <row r="25" spans="1:5" x14ac:dyDescent="0.3">
      <c r="A25" s="53" t="s">
        <v>0</v>
      </c>
      <c r="B25" s="56">
        <f>B10</f>
        <v>93924.94</v>
      </c>
    </row>
    <row r="26" spans="1:5" x14ac:dyDescent="0.3">
      <c r="A26" s="53" t="s">
        <v>40</v>
      </c>
      <c r="B26" s="54">
        <f>B24/B25</f>
        <v>200</v>
      </c>
    </row>
    <row r="27" spans="1:5" x14ac:dyDescent="0.3">
      <c r="A27" s="52"/>
      <c r="B27" s="52"/>
    </row>
    <row r="28" spans="1:5" x14ac:dyDescent="0.3">
      <c r="A28" s="51" t="s">
        <v>42</v>
      </c>
      <c r="B28" s="52"/>
    </row>
    <row r="29" spans="1:5" x14ac:dyDescent="0.3">
      <c r="A29" s="53" t="s">
        <v>36</v>
      </c>
      <c r="B29" s="54">
        <f>B30*B31</f>
        <v>18784988</v>
      </c>
    </row>
    <row r="30" spans="1:5" x14ac:dyDescent="0.3">
      <c r="A30" s="53" t="s">
        <v>0</v>
      </c>
      <c r="B30" s="56">
        <f>B11</f>
        <v>99847.73</v>
      </c>
    </row>
    <row r="31" spans="1:5" x14ac:dyDescent="0.3">
      <c r="A31" s="53" t="s">
        <v>40</v>
      </c>
      <c r="B31" s="54">
        <f>B26*B10/B11</f>
        <v>188.13635522810586</v>
      </c>
    </row>
    <row r="33" spans="1:2" x14ac:dyDescent="0.3">
      <c r="A33" s="46" t="s">
        <v>43</v>
      </c>
      <c r="B33" s="47"/>
    </row>
    <row r="34" spans="1:2" x14ac:dyDescent="0.3">
      <c r="A34" s="48" t="s">
        <v>36</v>
      </c>
      <c r="B34" s="49">
        <f>B1*B5</f>
        <v>17870000</v>
      </c>
    </row>
    <row r="35" spans="1:2" x14ac:dyDescent="0.3">
      <c r="A35" s="48" t="s">
        <v>44</v>
      </c>
      <c r="B35" s="50">
        <f>B8</f>
        <v>0.1163</v>
      </c>
    </row>
    <row r="36" spans="1:2" x14ac:dyDescent="0.3">
      <c r="A36" s="48" t="s">
        <v>0</v>
      </c>
      <c r="B36" s="58">
        <f>B9</f>
        <v>88725.35</v>
      </c>
    </row>
    <row r="37" spans="1:2" x14ac:dyDescent="0.3">
      <c r="A37" s="48" t="s">
        <v>40</v>
      </c>
      <c r="B37" s="49">
        <f>B34/B36</f>
        <v>201.40805305360868</v>
      </c>
    </row>
    <row r="39" spans="1:2" x14ac:dyDescent="0.3">
      <c r="A39" s="59" t="s">
        <v>45</v>
      </c>
      <c r="B39" s="60"/>
    </row>
    <row r="40" spans="1:2" x14ac:dyDescent="0.3">
      <c r="A40" s="61" t="s">
        <v>36</v>
      </c>
      <c r="B40" s="62">
        <f>100000*B42</f>
        <v>18813635.522810586</v>
      </c>
    </row>
    <row r="41" spans="1:2" x14ac:dyDescent="0.3">
      <c r="A41" s="61" t="s">
        <v>46</v>
      </c>
      <c r="B41" s="63">
        <f>B12</f>
        <v>1.7909999999999999</v>
      </c>
    </row>
    <row r="42" spans="1:2" x14ac:dyDescent="0.3">
      <c r="A42" s="61" t="s">
        <v>40</v>
      </c>
      <c r="B42" s="62">
        <f>B31</f>
        <v>188.13635522810586</v>
      </c>
    </row>
    <row r="44" spans="1:2" x14ac:dyDescent="0.3">
      <c r="A44" s="64" t="s">
        <v>47</v>
      </c>
      <c r="B44" s="65">
        <f>B41*B25/B36</f>
        <v>1.895958342683348</v>
      </c>
    </row>
    <row r="46" spans="1:2" x14ac:dyDescent="0.3">
      <c r="A46" s="38" t="s">
        <v>52</v>
      </c>
    </row>
    <row r="47" spans="1:2" x14ac:dyDescent="0.3">
      <c r="A47" t="s">
        <v>53</v>
      </c>
      <c r="B47" s="2">
        <f>((B30*(1+B13))/(B14/B6)-100000)*0.5*B14*B31</f>
        <v>231823.73602432464</v>
      </c>
    </row>
    <row r="48" spans="1:2" x14ac:dyDescent="0.3">
      <c r="A48" t="s">
        <v>54</v>
      </c>
      <c r="B48" s="2">
        <f>(B14-B12)*50000*B42</f>
        <v>-185314.30989968267</v>
      </c>
    </row>
    <row r="50" spans="1:2" x14ac:dyDescent="0.3">
      <c r="A50" s="38" t="s">
        <v>55</v>
      </c>
    </row>
    <row r="51" spans="1:2" x14ac:dyDescent="0.3">
      <c r="A51" t="s">
        <v>56</v>
      </c>
      <c r="B51" s="2">
        <f>-B1*B16</f>
        <v>-20000000</v>
      </c>
    </row>
    <row r="52" spans="1:2" x14ac:dyDescent="0.3">
      <c r="A52" t="s">
        <v>57</v>
      </c>
      <c r="B52" s="2">
        <f>(100000-(B25*(1+B15))/(B16/B6))*0.5*B16*B26</f>
        <v>1236201.466463998</v>
      </c>
    </row>
    <row r="53" spans="1:2" x14ac:dyDescent="0.3">
      <c r="A53" t="s">
        <v>58</v>
      </c>
      <c r="B53" s="1">
        <f>((B36*(1+B15)-100000)*B37)</f>
        <v>-126405.30536086488</v>
      </c>
    </row>
    <row r="55" spans="1:2" x14ac:dyDescent="0.3">
      <c r="A55" s="35" t="s">
        <v>59</v>
      </c>
      <c r="B55" s="36">
        <f>SUM(B47:B53)</f>
        <v>-18843694.412772223</v>
      </c>
    </row>
    <row r="57" spans="1:2" x14ac:dyDescent="0.3">
      <c r="A57" t="s">
        <v>46</v>
      </c>
      <c r="B57" s="3">
        <f>-B55/B1</f>
        <v>1.8843694412772223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slide 18</vt:lpstr>
      <vt:lpstr>slide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2020-05-11T18:34:23Z</dcterms:created>
  <dcterms:modified xsi:type="dcterms:W3CDTF">2020-05-14T05:44:43Z</dcterms:modified>
</cp:coreProperties>
</file>