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P\Desktop\"/>
    </mc:Choice>
  </mc:AlternateContent>
  <bookViews>
    <workbookView xWindow="0" yWindow="0" windowWidth="23040" windowHeight="9384" activeTab="2"/>
  </bookViews>
  <sheets>
    <sheet name="Slide 17" sheetId="4" r:id="rId1"/>
    <sheet name="Slide 18" sheetId="6" r:id="rId2"/>
    <sheet name="Slide 21" sheetId="7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7" l="1"/>
  <c r="B14" i="7"/>
  <c r="B8" i="7"/>
  <c r="B15" i="7" s="1"/>
  <c r="B20" i="6"/>
  <c r="B18" i="6"/>
  <c r="B27" i="6"/>
  <c r="B19" i="7" l="1"/>
  <c r="B9" i="7"/>
  <c r="B16" i="7" s="1"/>
  <c r="B17" i="7" s="1"/>
  <c r="B26" i="6" l="1"/>
  <c r="B16" i="6"/>
  <c r="B17" i="6" s="1"/>
  <c r="B19" i="6" l="1"/>
  <c r="B28" i="6" l="1"/>
  <c r="B29" i="6"/>
  <c r="B30" i="6"/>
  <c r="G11" i="4" l="1"/>
  <c r="G10" i="4"/>
  <c r="G9" i="4"/>
  <c r="C10" i="4"/>
  <c r="B11" i="4" s="1"/>
  <c r="C9" i="4"/>
  <c r="B10" i="4" s="1"/>
  <c r="D11" i="4" l="1"/>
  <c r="F11" i="4" s="1"/>
  <c r="H11" i="4" s="1"/>
  <c r="I11" i="4" s="1"/>
  <c r="D9" i="4"/>
  <c r="F9" i="4" s="1"/>
  <c r="H9" i="4" s="1"/>
  <c r="I9" i="4" s="1"/>
  <c r="D10" i="4"/>
  <c r="F10" i="4" s="1"/>
  <c r="H10" i="4" s="1"/>
  <c r="I10" i="4" s="1"/>
  <c r="I12" i="4" l="1"/>
</calcChain>
</file>

<file path=xl/sharedStrings.xml><?xml version="1.0" encoding="utf-8"?>
<sst xmlns="http://schemas.openxmlformats.org/spreadsheetml/2006/main" count="60" uniqueCount="51">
  <si>
    <t>Variação</t>
  </si>
  <si>
    <t>xUS$ 0,50</t>
  </si>
  <si>
    <t>Tx Câmbio</t>
  </si>
  <si>
    <t>xContratos</t>
  </si>
  <si>
    <t xml:space="preserve">Ajuste </t>
  </si>
  <si>
    <t>PU Ajuste</t>
  </si>
  <si>
    <t>DI</t>
  </si>
  <si>
    <t>Dia</t>
  </si>
  <si>
    <t xml:space="preserve"> DI </t>
  </si>
  <si>
    <t>Dados</t>
  </si>
  <si>
    <t>PU "final"</t>
  </si>
  <si>
    <t>PU "inicial"</t>
  </si>
  <si>
    <t>a.a.</t>
  </si>
  <si>
    <t>Principal:</t>
  </si>
  <si>
    <t>juros - Ativo:</t>
  </si>
  <si>
    <t>juros - Passivo:</t>
  </si>
  <si>
    <t>CDI</t>
  </si>
  <si>
    <t>Cupom cambial</t>
  </si>
  <si>
    <t>No vencto</t>
  </si>
  <si>
    <t>Qda Contratos</t>
  </si>
  <si>
    <t>Ativo</t>
  </si>
  <si>
    <t>Passivo</t>
  </si>
  <si>
    <t>Hedge</t>
  </si>
  <si>
    <t>CDI efetivo</t>
  </si>
  <si>
    <t>Cálculos</t>
  </si>
  <si>
    <t>Dias Corridos</t>
  </si>
  <si>
    <t xml:space="preserve">   - inicial</t>
  </si>
  <si>
    <t xml:space="preserve">  - no vencto</t>
  </si>
  <si>
    <t>dolares</t>
  </si>
  <si>
    <t>Valor p/ hedge</t>
  </si>
  <si>
    <t>cupom ocorrido</t>
  </si>
  <si>
    <t>Resultado</t>
  </si>
  <si>
    <t>Spread desejado</t>
  </si>
  <si>
    <t>Spread</t>
  </si>
  <si>
    <t>aa linear</t>
  </si>
  <si>
    <t xml:space="preserve">aa </t>
  </si>
  <si>
    <t xml:space="preserve">DD FUT </t>
  </si>
  <si>
    <t xml:space="preserve">DDI FUT </t>
  </si>
  <si>
    <t>Valor:</t>
  </si>
  <si>
    <t>Taxa Cambio</t>
  </si>
  <si>
    <t>DDI Futuro</t>
  </si>
  <si>
    <t>DI Futuro</t>
  </si>
  <si>
    <t>DDI - Compra PU</t>
  </si>
  <si>
    <t>contratos</t>
  </si>
  <si>
    <t>DI - Venda PU</t>
  </si>
  <si>
    <t>Taxa de câmbio travada</t>
  </si>
  <si>
    <t>Tx Cambio Vencto</t>
  </si>
  <si>
    <t>CDI Efetivo</t>
  </si>
  <si>
    <t>Importação</t>
  </si>
  <si>
    <t>DDI</t>
  </si>
  <si>
    <t>Conferência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</si>
</sst>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3" formatCode="0.0000%"/>
    <numFmt numFmtId="176" formatCode="0.000"/>
    <numFmt numFmtId="177" formatCode="_-* #,##0.000_-;\-* #,##0.000_-;_-* &quot;-&quot;?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FFFF"/>
      <name val="Arial"/>
      <family val="2"/>
    </font>
    <font>
      <sz val="10"/>
      <color rgb="FF003366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64D"/>
        <bgColor indexed="64"/>
      </patternFill>
    </fill>
  </fills>
  <borders count="6">
    <border>
      <left/>
      <right/>
      <top/>
      <bottom/>
      <diagonal/>
    </border>
    <border>
      <left style="thin">
        <color rgb="FFA8B3DE"/>
      </left>
      <right style="thin">
        <color rgb="FFA8B3DE"/>
      </right>
      <top style="thin">
        <color rgb="FFA8B3DE"/>
      </top>
      <bottom style="thin">
        <color rgb="FFA8B3DE"/>
      </bottom>
      <diagonal/>
    </border>
    <border>
      <left style="thin">
        <color rgb="FFA8B3DE"/>
      </left>
      <right/>
      <top/>
      <bottom/>
      <diagonal/>
    </border>
    <border>
      <left style="thin">
        <color rgb="FFA8B3DE"/>
      </left>
      <right/>
      <top style="thin">
        <color rgb="FFA8B3DE"/>
      </top>
      <bottom style="thin">
        <color rgb="FFA8B3DE"/>
      </bottom>
      <diagonal/>
    </border>
    <border>
      <left/>
      <right style="thin">
        <color rgb="FFA8B3DE"/>
      </right>
      <top style="thin">
        <color rgb="FFA8B3DE"/>
      </top>
      <bottom style="thin">
        <color rgb="FFA8B3DE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9" fontId="0" fillId="0" borderId="0" xfId="0" applyNumberFormat="1"/>
    <xf numFmtId="10" fontId="0" fillId="0" borderId="0" xfId="2" applyNumberFormat="1" applyFont="1"/>
    <xf numFmtId="43" fontId="0" fillId="0" borderId="0" xfId="1" applyFont="1"/>
    <xf numFmtId="43" fontId="0" fillId="0" borderId="0" xfId="0" applyNumberFormat="1"/>
    <xf numFmtId="0" fontId="3" fillId="2" borderId="1" xfId="0" applyFont="1" applyFill="1" applyBorder="1" applyAlignment="1">
      <alignment horizontal="center" wrapText="1" readingOrder="1"/>
    </xf>
    <xf numFmtId="0" fontId="4" fillId="0" borderId="1" xfId="0" applyFont="1" applyBorder="1" applyAlignment="1">
      <alignment horizontal="center" wrapText="1" readingOrder="1"/>
    </xf>
    <xf numFmtId="0" fontId="5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 readingOrder="1"/>
    </xf>
    <xf numFmtId="0" fontId="6" fillId="0" borderId="0" xfId="0" applyFont="1"/>
    <xf numFmtId="43" fontId="6" fillId="0" borderId="0" xfId="1" applyFont="1"/>
    <xf numFmtId="43" fontId="7" fillId="0" borderId="0" xfId="1" applyFont="1"/>
    <xf numFmtId="43" fontId="6" fillId="0" borderId="0" xfId="0" applyNumberFormat="1" applyFont="1"/>
    <xf numFmtId="0" fontId="3" fillId="2" borderId="2" xfId="0" applyFont="1" applyFill="1" applyBorder="1" applyAlignment="1">
      <alignment horizontal="center" wrapText="1" readingOrder="1"/>
    </xf>
    <xf numFmtId="0" fontId="3" fillId="2" borderId="0" xfId="0" applyFont="1" applyFill="1" applyBorder="1" applyAlignment="1">
      <alignment horizontal="center" wrapText="1" readingOrder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 readingOrder="1"/>
    </xf>
    <xf numFmtId="10" fontId="4" fillId="0" borderId="1" xfId="0" applyNumberFormat="1" applyFont="1" applyBorder="1" applyAlignment="1">
      <alignment horizontal="center" wrapText="1" readingOrder="1"/>
    </xf>
    <xf numFmtId="0" fontId="3" fillId="2" borderId="3" xfId="0" applyFont="1" applyFill="1" applyBorder="1" applyAlignment="1">
      <alignment horizontal="center" wrapText="1" readingOrder="1"/>
    </xf>
    <xf numFmtId="0" fontId="3" fillId="2" borderId="4" xfId="0" applyFont="1" applyFill="1" applyBorder="1" applyAlignment="1">
      <alignment horizontal="center" wrapText="1" readingOrder="1"/>
    </xf>
    <xf numFmtId="43" fontId="6" fillId="0" borderId="0" xfId="0" applyNumberFormat="1" applyFont="1" applyAlignment="1">
      <alignment horizontal="center"/>
    </xf>
    <xf numFmtId="0" fontId="8" fillId="2" borderId="1" xfId="0" applyFont="1" applyFill="1" applyBorder="1" applyAlignment="1">
      <alignment horizontal="center" wrapText="1" readingOrder="1"/>
    </xf>
    <xf numFmtId="0" fontId="8" fillId="2" borderId="3" xfId="0" applyFont="1" applyFill="1" applyBorder="1" applyAlignment="1">
      <alignment horizontal="center" wrapText="1" readingOrder="1"/>
    </xf>
    <xf numFmtId="0" fontId="8" fillId="2" borderId="4" xfId="0" applyFont="1" applyFill="1" applyBorder="1" applyAlignment="1">
      <alignment horizontal="center" wrapText="1" readingOrder="1"/>
    </xf>
    <xf numFmtId="0" fontId="2" fillId="0" borderId="0" xfId="0" applyFont="1"/>
    <xf numFmtId="43" fontId="8" fillId="2" borderId="1" xfId="1" applyFont="1" applyFill="1" applyBorder="1" applyAlignment="1">
      <alignment wrapText="1" readingOrder="1"/>
    </xf>
    <xf numFmtId="173" fontId="0" fillId="0" borderId="0" xfId="2" applyNumberFormat="1" applyFont="1"/>
    <xf numFmtId="176" fontId="0" fillId="0" borderId="0" xfId="0" applyNumberFormat="1"/>
    <xf numFmtId="177" fontId="0" fillId="0" borderId="0" xfId="0" applyNumberFormat="1"/>
    <xf numFmtId="43" fontId="0" fillId="0" borderId="5" xfId="1" applyFont="1" applyBorder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sqref="A1:XFD1048576"/>
    </sheetView>
  </sheetViews>
  <sheetFormatPr defaultRowHeight="14.4" x14ac:dyDescent="0.3"/>
  <cols>
    <col min="1" max="1" width="9.109375" bestFit="1" customWidth="1"/>
    <col min="2" max="3" width="11.21875" bestFit="1" customWidth="1"/>
    <col min="4" max="4" width="6.21875" bestFit="1" customWidth="1"/>
    <col min="5" max="5" width="4.109375" bestFit="1" customWidth="1"/>
    <col min="6" max="6" width="9.77734375" customWidth="1"/>
    <col min="7" max="7" width="10.88671875" customWidth="1"/>
    <col min="8" max="8" width="9" bestFit="1" customWidth="1"/>
    <col min="9" max="9" width="11.21875" bestFit="1" customWidth="1"/>
    <col min="10" max="10" width="12" bestFit="1" customWidth="1"/>
  </cols>
  <sheetData>
    <row r="1" spans="1:9" x14ac:dyDescent="0.3">
      <c r="A1" t="s">
        <v>9</v>
      </c>
    </row>
    <row r="2" spans="1:9" x14ac:dyDescent="0.3">
      <c r="A2" s="5" t="s">
        <v>7</v>
      </c>
      <c r="B2" s="5" t="s">
        <v>5</v>
      </c>
      <c r="C2" s="5" t="s">
        <v>2</v>
      </c>
      <c r="D2" s="13" t="s">
        <v>8</v>
      </c>
      <c r="E2" s="14"/>
    </row>
    <row r="3" spans="1:9" x14ac:dyDescent="0.3">
      <c r="A3" s="6">
        <v>1</v>
      </c>
      <c r="B3" s="7"/>
      <c r="C3" s="6">
        <v>5.4596999999999998</v>
      </c>
      <c r="D3" s="7"/>
      <c r="E3" s="15"/>
    </row>
    <row r="4" spans="1:9" x14ac:dyDescent="0.3">
      <c r="A4" s="6">
        <v>2</v>
      </c>
      <c r="B4" s="8">
        <v>99296.57</v>
      </c>
      <c r="C4" s="6">
        <v>5.4507000000000003</v>
      </c>
      <c r="D4" s="17">
        <v>3.6499999999999998E-2</v>
      </c>
      <c r="E4" s="16" t="s">
        <v>12</v>
      </c>
    </row>
    <row r="5" spans="1:9" x14ac:dyDescent="0.3">
      <c r="A5" s="6">
        <v>3</v>
      </c>
      <c r="B5" s="8">
        <v>99443.94</v>
      </c>
      <c r="C5" s="6">
        <v>5.4558</v>
      </c>
      <c r="D5" s="17">
        <v>3.5900000000000001E-2</v>
      </c>
      <c r="E5" s="16" t="s">
        <v>12</v>
      </c>
    </row>
    <row r="7" spans="1:9" x14ac:dyDescent="0.3">
      <c r="A7" s="5" t="s">
        <v>7</v>
      </c>
      <c r="B7" s="5" t="s">
        <v>11</v>
      </c>
      <c r="C7" s="5" t="s">
        <v>10</v>
      </c>
      <c r="D7" s="18" t="s">
        <v>0</v>
      </c>
      <c r="E7" s="19"/>
      <c r="F7" s="5" t="s">
        <v>1</v>
      </c>
      <c r="G7" s="5" t="s">
        <v>2</v>
      </c>
      <c r="H7" s="5" t="s">
        <v>4</v>
      </c>
      <c r="I7" s="5" t="s">
        <v>3</v>
      </c>
    </row>
    <row r="8" spans="1:9" s="9" customFormat="1" ht="13.2" x14ac:dyDescent="0.25">
      <c r="A8" s="9">
        <v>1</v>
      </c>
      <c r="B8" s="10"/>
    </row>
    <row r="9" spans="1:9" s="9" customFormat="1" ht="13.2" x14ac:dyDescent="0.25">
      <c r="A9" s="9">
        <v>2</v>
      </c>
      <c r="B9" s="11">
        <v>99298.02</v>
      </c>
      <c r="C9" s="10">
        <f>B4</f>
        <v>99296.57</v>
      </c>
      <c r="D9" s="20">
        <f>B9-C9</f>
        <v>1.4499999999970896</v>
      </c>
      <c r="E9" s="20"/>
      <c r="F9" s="12">
        <f>D9*0.5</f>
        <v>0.72499999999854481</v>
      </c>
      <c r="G9" s="9">
        <f>C3</f>
        <v>5.4596999999999998</v>
      </c>
      <c r="H9" s="12">
        <f>F9*G9</f>
        <v>3.9582824999920549</v>
      </c>
      <c r="I9" s="12">
        <f>H9*500</f>
        <v>1979.1412499960275</v>
      </c>
    </row>
    <row r="10" spans="1:9" s="9" customFormat="1" ht="13.2" x14ac:dyDescent="0.25">
      <c r="A10" s="9">
        <v>3</v>
      </c>
      <c r="B10" s="10">
        <f>C9*(1+D4)^(1/252)/(C4/C3)</f>
        <v>99474.675241943842</v>
      </c>
      <c r="C10" s="10">
        <f>B5</f>
        <v>99443.94</v>
      </c>
      <c r="D10" s="20">
        <f>B10-C10</f>
        <v>30.735241943839355</v>
      </c>
      <c r="E10" s="20"/>
      <c r="F10" s="12">
        <f t="shared" ref="F10:F11" si="0">D10*0.5</f>
        <v>15.367620971919678</v>
      </c>
      <c r="G10" s="9">
        <f t="shared" ref="G10:G11" si="1">C4</f>
        <v>5.4507000000000003</v>
      </c>
      <c r="H10" s="12">
        <f t="shared" ref="H10:H11" si="2">F10*G10</f>
        <v>83.764291631642593</v>
      </c>
      <c r="I10" s="12">
        <f t="shared" ref="I10:I11" si="3">H10*500</f>
        <v>41882.145815821299</v>
      </c>
    </row>
    <row r="11" spans="1:9" s="9" customFormat="1" ht="13.2" x14ac:dyDescent="0.25">
      <c r="A11" s="9">
        <v>4</v>
      </c>
      <c r="B11" s="10">
        <f>C10*(1+D5)^(1/252)/(C5/C4)</f>
        <v>99364.887706752823</v>
      </c>
      <c r="C11" s="11">
        <v>99398.07</v>
      </c>
      <c r="D11" s="20">
        <f>B11-C11</f>
        <v>-33.182293247184134</v>
      </c>
      <c r="E11" s="20"/>
      <c r="F11" s="12">
        <f t="shared" si="0"/>
        <v>-16.591146623592067</v>
      </c>
      <c r="G11" s="9">
        <f t="shared" si="1"/>
        <v>5.4558</v>
      </c>
      <c r="H11" s="12">
        <f t="shared" si="2"/>
        <v>-90.517977748993601</v>
      </c>
      <c r="I11" s="12">
        <f t="shared" si="3"/>
        <v>-45258.988874496798</v>
      </c>
    </row>
    <row r="12" spans="1:9" s="24" customFormat="1" x14ac:dyDescent="0.3">
      <c r="A12" s="21"/>
      <c r="B12" s="21"/>
      <c r="C12" s="21"/>
      <c r="D12" s="22"/>
      <c r="E12" s="23"/>
      <c r="F12" s="21"/>
      <c r="G12" s="21"/>
      <c r="H12" s="21"/>
      <c r="I12" s="25">
        <f>SUM(I9:I11)</f>
        <v>-1397.7018086794706</v>
      </c>
    </row>
    <row r="13" spans="1:9" x14ac:dyDescent="0.3">
      <c r="D13" s="3"/>
      <c r="E13" s="3"/>
      <c r="F13" s="4"/>
    </row>
  </sheetData>
  <mergeCells count="6">
    <mergeCell ref="D2:E2"/>
    <mergeCell ref="D7:E7"/>
    <mergeCell ref="D9:E9"/>
    <mergeCell ref="D10:E10"/>
    <mergeCell ref="D11:E11"/>
    <mergeCell ref="D12:E1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6" workbookViewId="0">
      <selection activeCell="B28" sqref="B28"/>
    </sheetView>
  </sheetViews>
  <sheetFormatPr defaultRowHeight="14.4" x14ac:dyDescent="0.3"/>
  <cols>
    <col min="1" max="1" width="14.44140625" bestFit="1" customWidth="1"/>
    <col min="2" max="2" width="14" bestFit="1" customWidth="1"/>
    <col min="3" max="3" width="14" customWidth="1"/>
    <col min="4" max="4" width="14" bestFit="1" customWidth="1"/>
    <col min="5" max="5" width="6.21875" bestFit="1" customWidth="1"/>
    <col min="6" max="6" width="4.109375" bestFit="1" customWidth="1"/>
    <col min="7" max="7" width="12.88671875" bestFit="1" customWidth="1"/>
    <col min="8" max="8" width="10.88671875" customWidth="1"/>
    <col min="9" max="9" width="9" bestFit="1" customWidth="1"/>
    <col min="10" max="10" width="11.21875" bestFit="1" customWidth="1"/>
    <col min="11" max="11" width="12" bestFit="1" customWidth="1"/>
  </cols>
  <sheetData>
    <row r="1" spans="1:7" x14ac:dyDescent="0.3">
      <c r="A1" t="s">
        <v>9</v>
      </c>
    </row>
    <row r="3" spans="1:7" x14ac:dyDescent="0.3">
      <c r="A3" t="s">
        <v>13</v>
      </c>
      <c r="B3" s="3">
        <v>5000000</v>
      </c>
      <c r="C3" s="3" t="s">
        <v>28</v>
      </c>
      <c r="G3" s="4"/>
    </row>
    <row r="4" spans="1:7" x14ac:dyDescent="0.3">
      <c r="A4" t="s">
        <v>14</v>
      </c>
      <c r="B4" s="1">
        <v>0.09</v>
      </c>
      <c r="C4" s="1" t="s">
        <v>34</v>
      </c>
      <c r="G4" s="4"/>
    </row>
    <row r="5" spans="1:7" x14ac:dyDescent="0.3">
      <c r="A5" t="s">
        <v>15</v>
      </c>
      <c r="B5" t="s">
        <v>16</v>
      </c>
    </row>
    <row r="6" spans="1:7" x14ac:dyDescent="0.3">
      <c r="A6" t="s">
        <v>23</v>
      </c>
      <c r="B6" s="1">
        <v>0.04</v>
      </c>
      <c r="C6" s="1"/>
    </row>
    <row r="7" spans="1:7" x14ac:dyDescent="0.3">
      <c r="A7" t="s">
        <v>25</v>
      </c>
      <c r="B7">
        <v>156</v>
      </c>
    </row>
    <row r="8" spans="1:7" x14ac:dyDescent="0.3">
      <c r="A8" t="s">
        <v>2</v>
      </c>
    </row>
    <row r="9" spans="1:7" x14ac:dyDescent="0.3">
      <c r="A9" t="s">
        <v>26</v>
      </c>
      <c r="B9" s="27">
        <v>5.71</v>
      </c>
    </row>
    <row r="10" spans="1:7" x14ac:dyDescent="0.3">
      <c r="A10" t="s">
        <v>27</v>
      </c>
      <c r="B10" s="27">
        <v>5.88</v>
      </c>
    </row>
    <row r="11" spans="1:7" x14ac:dyDescent="0.3">
      <c r="A11" t="s">
        <v>36</v>
      </c>
      <c r="B11" s="3">
        <v>95661.46</v>
      </c>
      <c r="C11" s="3"/>
      <c r="D11" s="3"/>
    </row>
    <row r="12" spans="1:7" x14ac:dyDescent="0.3">
      <c r="A12" t="s">
        <v>37</v>
      </c>
      <c r="B12" s="3">
        <v>98726.12</v>
      </c>
      <c r="C12" s="3"/>
      <c r="D12" s="3"/>
    </row>
    <row r="13" spans="1:7" x14ac:dyDescent="0.3">
      <c r="D13" s="3"/>
    </row>
    <row r="14" spans="1:7" x14ac:dyDescent="0.3">
      <c r="D14" s="3"/>
    </row>
    <row r="15" spans="1:7" x14ac:dyDescent="0.3">
      <c r="A15" t="s">
        <v>24</v>
      </c>
    </row>
    <row r="16" spans="1:7" x14ac:dyDescent="0.3">
      <c r="A16" t="s">
        <v>17</v>
      </c>
      <c r="B16" s="26">
        <f>(100000/B12-1)*(360/B7)</f>
        <v>2.9776548262233891E-2</v>
      </c>
      <c r="C16" s="1" t="s">
        <v>35</v>
      </c>
    </row>
    <row r="17" spans="1:5" x14ac:dyDescent="0.3">
      <c r="A17" t="s">
        <v>32</v>
      </c>
      <c r="B17" s="26">
        <f>(1+B4/360*B7)/(1+B16/360*B7)-1</f>
        <v>2.5764386799999928E-2</v>
      </c>
      <c r="C17" s="26"/>
    </row>
    <row r="18" spans="1:5" x14ac:dyDescent="0.3">
      <c r="A18" t="s">
        <v>29</v>
      </c>
      <c r="B18" s="3">
        <f>B3*(1+B16/360*B7)</f>
        <v>5064515.8545681732</v>
      </c>
      <c r="C18" s="3" t="s">
        <v>28</v>
      </c>
    </row>
    <row r="19" spans="1:5" x14ac:dyDescent="0.3">
      <c r="A19" t="s">
        <v>19</v>
      </c>
      <c r="B19" s="4">
        <f>B18/50000</f>
        <v>101.29031709136346</v>
      </c>
      <c r="C19" s="4"/>
    </row>
    <row r="20" spans="1:5" x14ac:dyDescent="0.3">
      <c r="A20" t="s">
        <v>30</v>
      </c>
      <c r="B20" s="2">
        <f>(1+B6)/(B10/B9)-1</f>
        <v>9.9319727891156173E-3</v>
      </c>
      <c r="C20" s="4"/>
      <c r="E20" s="1"/>
    </row>
    <row r="21" spans="1:5" x14ac:dyDescent="0.3">
      <c r="B21" s="4"/>
      <c r="C21" s="4"/>
      <c r="E21" s="1"/>
    </row>
    <row r="22" spans="1:5" x14ac:dyDescent="0.3">
      <c r="B22" s="4"/>
      <c r="C22" s="4"/>
      <c r="E22" s="1"/>
    </row>
    <row r="23" spans="1:5" x14ac:dyDescent="0.3">
      <c r="B23" s="4"/>
      <c r="C23" s="4"/>
      <c r="E23" s="1"/>
    </row>
    <row r="24" spans="1:5" x14ac:dyDescent="0.3">
      <c r="A24" t="s">
        <v>18</v>
      </c>
    </row>
    <row r="25" spans="1:5" x14ac:dyDescent="0.3">
      <c r="A25" t="s">
        <v>2</v>
      </c>
    </row>
    <row r="26" spans="1:5" x14ac:dyDescent="0.3">
      <c r="A26" t="s">
        <v>20</v>
      </c>
      <c r="B26" s="3">
        <f>B3*(1+B4/360*B7)*B10</f>
        <v>30546600</v>
      </c>
      <c r="C26" s="4"/>
    </row>
    <row r="27" spans="1:5" x14ac:dyDescent="0.3">
      <c r="A27" t="s">
        <v>21</v>
      </c>
      <c r="B27" s="4">
        <f>-B3*B9*(1+B6)</f>
        <v>-29692000</v>
      </c>
      <c r="C27" s="4"/>
    </row>
    <row r="28" spans="1:5" x14ac:dyDescent="0.3">
      <c r="A28" t="s">
        <v>22</v>
      </c>
      <c r="B28" s="28">
        <f>((B12*(1+B20))-100000)*0.5*B19*B10</f>
        <v>-87353.22486086181</v>
      </c>
    </row>
    <row r="29" spans="1:5" x14ac:dyDescent="0.3">
      <c r="A29" t="s">
        <v>31</v>
      </c>
      <c r="B29" s="4">
        <f>SUM(B26:B28)</f>
        <v>767246.77513913822</v>
      </c>
    </row>
    <row r="30" spans="1:5" x14ac:dyDescent="0.3">
      <c r="A30" t="s">
        <v>33</v>
      </c>
      <c r="B30" s="26">
        <f>B26/(-B27-B28)-1</f>
        <v>2.5764386799999928E-2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zoomScale="99" zoomScaleNormal="85" workbookViewId="0">
      <selection activeCell="A22" sqref="A22"/>
    </sheetView>
  </sheetViews>
  <sheetFormatPr defaultRowHeight="14.4" x14ac:dyDescent="0.3"/>
  <cols>
    <col min="1" max="1" width="21" bestFit="1" customWidth="1"/>
    <col min="2" max="2" width="14" bestFit="1" customWidth="1"/>
  </cols>
  <sheetData>
    <row r="1" spans="1:3" x14ac:dyDescent="0.3">
      <c r="A1" t="s">
        <v>9</v>
      </c>
    </row>
    <row r="2" spans="1:3" x14ac:dyDescent="0.3">
      <c r="A2" t="s">
        <v>38</v>
      </c>
      <c r="B2" s="3">
        <v>10000000</v>
      </c>
    </row>
    <row r="3" spans="1:3" x14ac:dyDescent="0.3">
      <c r="A3" t="s">
        <v>39</v>
      </c>
      <c r="B3">
        <v>5.45</v>
      </c>
    </row>
    <row r="4" spans="1:3" x14ac:dyDescent="0.3">
      <c r="A4" t="s">
        <v>40</v>
      </c>
      <c r="B4" s="3">
        <v>97812.27</v>
      </c>
    </row>
    <row r="5" spans="1:3" x14ac:dyDescent="0.3">
      <c r="A5" t="s">
        <v>41</v>
      </c>
      <c r="B5" s="3">
        <v>94842.37</v>
      </c>
    </row>
    <row r="7" spans="1:3" x14ac:dyDescent="0.3">
      <c r="A7" t="s">
        <v>45</v>
      </c>
      <c r="B7" s="3">
        <f>B3*B4/B5</f>
        <v>5.6206616462663259</v>
      </c>
    </row>
    <row r="8" spans="1:3" x14ac:dyDescent="0.3">
      <c r="A8" t="s">
        <v>42</v>
      </c>
      <c r="B8" s="4">
        <f>B2/50000</f>
        <v>200</v>
      </c>
      <c r="C8" t="s">
        <v>43</v>
      </c>
    </row>
    <row r="9" spans="1:3" x14ac:dyDescent="0.3">
      <c r="A9" t="s">
        <v>44</v>
      </c>
      <c r="B9" s="4">
        <f>B2*B7/100000</f>
        <v>562.0661646266326</v>
      </c>
    </row>
    <row r="11" spans="1:3" x14ac:dyDescent="0.3">
      <c r="A11" t="s">
        <v>46</v>
      </c>
      <c r="B11" s="3">
        <v>6</v>
      </c>
    </row>
    <row r="12" spans="1:3" x14ac:dyDescent="0.3">
      <c r="A12" t="s">
        <v>47</v>
      </c>
      <c r="B12" s="1">
        <v>0.04</v>
      </c>
    </row>
    <row r="14" spans="1:3" x14ac:dyDescent="0.3">
      <c r="A14" t="s">
        <v>48</v>
      </c>
      <c r="B14" s="4">
        <f>-B2*B11</f>
        <v>-60000000</v>
      </c>
    </row>
    <row r="15" spans="1:3" x14ac:dyDescent="0.3">
      <c r="A15" t="s">
        <v>49</v>
      </c>
      <c r="B15" s="3">
        <f>(100000-(B4*(1+B12)/(B11/B3)))*0.5*B8*B11</f>
        <v>4560005.3640000001</v>
      </c>
    </row>
    <row r="16" spans="1:3" x14ac:dyDescent="0.3">
      <c r="A16" t="s">
        <v>6</v>
      </c>
      <c r="B16" s="29">
        <f>(B5*(1+B12)-100000)*B9</f>
        <v>-766621.82666326314</v>
      </c>
    </row>
    <row r="17" spans="1:2" x14ac:dyDescent="0.3">
      <c r="A17" t="s">
        <v>31</v>
      </c>
      <c r="B17" s="4">
        <f>SUM(B14:B16)</f>
        <v>-56206616.462663263</v>
      </c>
    </row>
    <row r="19" spans="1:2" x14ac:dyDescent="0.3">
      <c r="A19" t="s">
        <v>50</v>
      </c>
      <c r="B19" s="4">
        <f>-B2*B7</f>
        <v>-56206616.462663256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Slide 17</vt:lpstr>
      <vt:lpstr>Slide 18</vt:lpstr>
      <vt:lpstr>Slide 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USP</dc:creator>
  <cp:lastModifiedBy>USP</cp:lastModifiedBy>
  <dcterms:created xsi:type="dcterms:W3CDTF">2020-05-11T18:34:23Z</dcterms:created>
  <dcterms:modified xsi:type="dcterms:W3CDTF">2020-05-13T02:18:15Z</dcterms:modified>
</cp:coreProperties>
</file>