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PoliG\3521\"/>
    </mc:Choice>
  </mc:AlternateContent>
  <xr:revisionPtr revIDLastSave="0" documentId="13_ncr:1_{DB58E850-0392-4C64-BE73-6D129E3946B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base" sheetId="1" r:id="rId1"/>
  </sheets>
  <definedNames>
    <definedName name="ativaRV">#REF!</definedName>
    <definedName name="datab">base!$I$7</definedName>
    <definedName name="dataFinal">base!$G$52</definedName>
    <definedName name="durEMP">#REF!</definedName>
    <definedName name="durFPRO">#REF!</definedName>
    <definedName name="FPcus">base!$Q$112</definedName>
    <definedName name="FPcusp">base!$Q$124</definedName>
    <definedName name="FPglo">base!$Q$126</definedName>
    <definedName name="FPirep">base!$Q$121</definedName>
    <definedName name="FPpcon">base!$Q$120</definedName>
    <definedName name="FPpest">base!$Q$119</definedName>
    <definedName name="FPprep">base!$Q$122</definedName>
    <definedName name="FPrec">base!$Q$113</definedName>
    <definedName name="FPvest">base!$Q$117</definedName>
    <definedName name="FPvlan">base!$Q$116</definedName>
    <definedName name="FVran">base!$Q$115</definedName>
    <definedName name="incc">base!$I$11</definedName>
    <definedName name="infla">base!$I$8</definedName>
    <definedName name="interRAN">#REF!</definedName>
    <definedName name="INVemp">#REF!</definedName>
    <definedName name="INVfPRO">#REF!</definedName>
    <definedName name="ipca">base!$I$10</definedName>
    <definedName name="iprecos">base!$I$12</definedName>
    <definedName name="pbackEMP">#REF!</definedName>
    <definedName name="pbackFPRO">#REF!</definedName>
    <definedName name="PEIemp">#REF!</definedName>
    <definedName name="PEIFpro">#REF!</definedName>
    <definedName name="quaEIR1">#REF!</definedName>
    <definedName name="quaEIR2">#REF!</definedName>
    <definedName name="quaRIS1">#REF!</definedName>
    <definedName name="quaRIS2">#REF!</definedName>
    <definedName name="quaST1EI">base!$H$110:$R$126</definedName>
    <definedName name="RESemp">#REF!</definedName>
    <definedName name="RESfPro">#REF!</definedName>
    <definedName name="TabCon">#REF!</definedName>
    <definedName name="TabEst">#REF!</definedName>
    <definedName name="TabGer">#REF!</definedName>
    <definedName name="tabLAN">#REF!</definedName>
    <definedName name="tabSUS">#REF!</definedName>
    <definedName name="tatano">base!$P$103</definedName>
    <definedName name="tatARBmes">#REF!</definedName>
    <definedName name="tatMes">base!$Q$103</definedName>
    <definedName name="taxaCDIadiante">base!$I$14</definedName>
    <definedName name="taxaCDIB">base!$I$13</definedName>
    <definedName name="TIRemp">#REF!</definedName>
    <definedName name="TIRfPRO">#REF!</definedName>
    <definedName name="txCDIB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8" i="1" l="1"/>
  <c r="R138" i="1"/>
  <c r="Q138" i="1"/>
  <c r="P138" i="1"/>
  <c r="S137" i="1"/>
  <c r="S140" i="1" s="1"/>
  <c r="R137" i="1"/>
  <c r="R140" i="1" s="1"/>
  <c r="Q137" i="1"/>
  <c r="Q140" i="1" s="1"/>
  <c r="P137" i="1"/>
  <c r="K137" i="1"/>
  <c r="L137" i="1"/>
  <c r="M137" i="1"/>
  <c r="K138" i="1"/>
  <c r="K140" i="1" s="1"/>
  <c r="L138" i="1"/>
  <c r="L140" i="1" s="1"/>
  <c r="M138" i="1"/>
  <c r="M139" i="1" s="1"/>
  <c r="L139" i="1"/>
  <c r="J140" i="1"/>
  <c r="J138" i="1"/>
  <c r="J139" i="1" s="1"/>
  <c r="J137" i="1"/>
  <c r="M140" i="1" l="1"/>
  <c r="K139" i="1"/>
  <c r="P139" i="1"/>
  <c r="P140" i="1"/>
  <c r="Q139" i="1"/>
  <c r="R139" i="1"/>
  <c r="S139" i="1"/>
  <c r="C59" i="1" l="1"/>
  <c r="C51" i="1"/>
  <c r="C49" i="1"/>
  <c r="E32" i="1"/>
  <c r="E33" i="1"/>
  <c r="H102" i="1"/>
  <c r="K101" i="1"/>
  <c r="H101" i="1"/>
  <c r="H95" i="1"/>
  <c r="H103" i="1" s="1"/>
  <c r="L93" i="1"/>
  <c r="C91" i="1"/>
  <c r="D93" i="1"/>
  <c r="M122" i="1" l="1"/>
  <c r="I134" i="1" l="1"/>
  <c r="P136" i="1"/>
  <c r="Q136" i="1"/>
  <c r="R136" i="1"/>
  <c r="S136" i="1"/>
  <c r="T136" i="1"/>
  <c r="O136" i="1"/>
  <c r="J136" i="1"/>
  <c r="K136" i="1"/>
  <c r="L136" i="1"/>
  <c r="M136" i="1"/>
  <c r="N136" i="1"/>
  <c r="I135" i="1" l="1"/>
  <c r="I139" i="1"/>
  <c r="I138" i="1"/>
  <c r="I137" i="1"/>
  <c r="I140" i="1"/>
  <c r="O134" i="1"/>
  <c r="S134" i="1"/>
  <c r="S135" i="1" s="1"/>
  <c r="M134" i="1"/>
  <c r="M135" i="1" s="1"/>
  <c r="O139" i="1" l="1"/>
  <c r="O138" i="1"/>
  <c r="O140" i="1"/>
  <c r="O137" i="1"/>
  <c r="O135" i="1"/>
  <c r="T134" i="1" l="1"/>
  <c r="N134" i="1"/>
  <c r="P135" i="1"/>
  <c r="L135" i="1"/>
  <c r="J135" i="1"/>
  <c r="K135" i="1"/>
  <c r="N140" i="1" l="1"/>
  <c r="N139" i="1"/>
  <c r="N137" i="1"/>
  <c r="N138" i="1"/>
  <c r="T139" i="1"/>
  <c r="T138" i="1"/>
  <c r="T137" i="1"/>
  <c r="T140" i="1"/>
  <c r="T135" i="1"/>
  <c r="N135" i="1"/>
  <c r="H117" i="1"/>
  <c r="H120" i="1"/>
  <c r="H119" i="1"/>
  <c r="H121" i="1"/>
  <c r="H122" i="1"/>
  <c r="E49" i="1"/>
  <c r="D49" i="1"/>
  <c r="M121" i="1" s="1"/>
  <c r="M120" i="1"/>
  <c r="M50" i="1"/>
  <c r="M117" i="1"/>
  <c r="M116" i="1"/>
  <c r="M113" i="1"/>
  <c r="M112" i="1"/>
  <c r="R71" i="1"/>
  <c r="L79" i="1"/>
  <c r="L77" i="1"/>
  <c r="L76" i="1"/>
  <c r="L73" i="1"/>
  <c r="M119" i="1" l="1"/>
  <c r="N100" i="1"/>
  <c r="H90" i="1"/>
  <c r="P95" i="1"/>
  <c r="P89" i="1"/>
  <c r="O93" i="1"/>
  <c r="O91" i="1"/>
  <c r="N91" i="1"/>
  <c r="O89" i="1"/>
  <c r="N92" i="1"/>
  <c r="L101" i="1"/>
  <c r="M92" i="1"/>
  <c r="O92" i="1" s="1"/>
  <c r="L91" i="1"/>
  <c r="O95" i="1" l="1"/>
  <c r="P91" i="1"/>
  <c r="P93" i="1"/>
  <c r="P92" i="1" s="1"/>
  <c r="O101" i="1"/>
  <c r="P101" i="1" s="1"/>
  <c r="O96" i="1" l="1"/>
  <c r="O97" i="1"/>
  <c r="C102" i="1" s="1"/>
  <c r="O102" i="1" s="1"/>
  <c r="O103" i="1" s="1"/>
  <c r="P103" i="1" s="1"/>
  <c r="M60" i="1"/>
  <c r="M54" i="1"/>
  <c r="M58" i="1"/>
  <c r="M57" i="1"/>
  <c r="M59" i="1"/>
  <c r="M56" i="1"/>
  <c r="M55" i="1"/>
  <c r="M48" i="1"/>
  <c r="M47" i="1"/>
  <c r="M52" i="1"/>
  <c r="M51" i="1"/>
  <c r="M49" i="1"/>
  <c r="K46" i="1"/>
  <c r="Q42" i="1"/>
  <c r="Q18" i="1"/>
  <c r="Q103" i="1" l="1"/>
  <c r="P28" i="1"/>
  <c r="K28" i="1" l="1"/>
  <c r="V33" i="1"/>
  <c r="U32" i="1"/>
  <c r="K33" i="1"/>
  <c r="M22" i="1"/>
  <c r="M23" i="1" s="1"/>
  <c r="K32" i="1"/>
  <c r="K31" i="1"/>
  <c r="P31" i="1"/>
  <c r="F32" i="1"/>
  <c r="K24" i="1"/>
  <c r="K23" i="1"/>
  <c r="K22" i="1"/>
  <c r="K21" i="1"/>
  <c r="F30" i="1"/>
  <c r="M29" i="1"/>
  <c r="M31" i="1" s="1"/>
  <c r="M28" i="1"/>
  <c r="K29" i="1"/>
  <c r="C30" i="1" s="1"/>
  <c r="N32" i="1" l="1"/>
  <c r="M24" i="1"/>
  <c r="P46" i="1"/>
  <c r="F34" i="1"/>
  <c r="N33" i="1"/>
  <c r="G32" i="1"/>
  <c r="K30" i="1"/>
  <c r="G30" i="1"/>
  <c r="F33" i="1" l="1"/>
  <c r="F50" i="1"/>
  <c r="M32" i="1"/>
  <c r="P54" i="1"/>
  <c r="P56" i="1"/>
  <c r="P55" i="1"/>
  <c r="P60" i="1"/>
  <c r="P33" i="1"/>
  <c r="M30" i="1"/>
  <c r="E75" i="1" l="1"/>
  <c r="F75" i="1" s="1"/>
  <c r="R31" i="1"/>
  <c r="P62" i="1"/>
  <c r="G50" i="1"/>
  <c r="N50" i="1" s="1"/>
  <c r="F57" i="1"/>
  <c r="G33" i="1"/>
  <c r="L75" i="1" l="1"/>
  <c r="G48" i="1"/>
  <c r="G51" i="1"/>
  <c r="F49" i="1"/>
  <c r="M33" i="1"/>
  <c r="G57" i="1"/>
  <c r="F51" i="1"/>
  <c r="E78" i="1" l="1"/>
  <c r="R28" i="1"/>
  <c r="F59" i="1"/>
  <c r="F60" i="1"/>
  <c r="G49" i="1"/>
  <c r="F58" i="1"/>
  <c r="N51" i="1"/>
  <c r="G58" i="1"/>
  <c r="N57" i="1"/>
  <c r="N48" i="1"/>
  <c r="F78" i="1" l="1"/>
  <c r="L78" i="1" s="1"/>
  <c r="G34" i="1"/>
  <c r="D34" i="1" s="1"/>
  <c r="G52" i="1"/>
  <c r="H99" i="1" s="1"/>
  <c r="G59" i="1"/>
  <c r="G60" i="1"/>
  <c r="N49" i="1"/>
  <c r="N58" i="1"/>
  <c r="N59" i="1" l="1"/>
  <c r="N60" i="1"/>
  <c r="N52" i="1"/>
  <c r="M34" i="1"/>
  <c r="R33" i="1" l="1"/>
  <c r="P34" i="1"/>
  <c r="E34" i="1" s="1"/>
  <c r="K34" i="1" l="1"/>
  <c r="P36" i="1"/>
  <c r="P32" i="1" s="1"/>
  <c r="P73" i="1" l="1"/>
  <c r="Q73" i="1" s="1"/>
  <c r="R34" i="1" l="1"/>
  <c r="Q36" i="1" l="1"/>
  <c r="R36" i="1" s="1"/>
  <c r="R32" i="1" l="1"/>
  <c r="R46" i="1" l="1"/>
  <c r="Q62" i="1" l="1"/>
  <c r="R62" i="1" s="1"/>
  <c r="I136" i="1" l="1"/>
  <c r="R135" i="1" l="1"/>
  <c r="Q135" i="1" l="1"/>
</calcChain>
</file>

<file path=xl/sharedStrings.xml><?xml version="1.0" encoding="utf-8"?>
<sst xmlns="http://schemas.openxmlformats.org/spreadsheetml/2006/main" count="152" uniqueCount="116">
  <si>
    <t>datab</t>
  </si>
  <si>
    <t>infla</t>
  </si>
  <si>
    <t>Ipca</t>
  </si>
  <si>
    <t>taxas de inflação e outros ajustes</t>
  </si>
  <si>
    <t>ipca</t>
  </si>
  <si>
    <t>incc</t>
  </si>
  <si>
    <t>iprecos</t>
  </si>
  <si>
    <t>valores em R$ mil da data base do orçamento</t>
  </si>
  <si>
    <t>ajuste inflacionário</t>
  </si>
  <si>
    <t>entrada</t>
  </si>
  <si>
    <t>parcelas</t>
  </si>
  <si>
    <t>nominal</t>
  </si>
  <si>
    <t>datas | prazos
( meses )</t>
  </si>
  <si>
    <t>Incc</t>
  </si>
  <si>
    <t>cenário referencial para implantação do empreendimento</t>
  </si>
  <si>
    <t>parâmetros de orçamento |
outros dados</t>
  </si>
  <si>
    <t>coeficiente de aproveitamento</t>
  </si>
  <si>
    <t>área do terreno (m2) | ater |</t>
  </si>
  <si>
    <t>coeficiente para área equivalente de construção ( área custo )</t>
  </si>
  <si>
    <t>valores orçados na data base</t>
  </si>
  <si>
    <t>soma das contas, incluindo terreno</t>
  </si>
  <si>
    <t>áreas de referência</t>
  </si>
  <si>
    <t>coeficiente para área privativa
( área preço )</t>
  </si>
  <si>
    <t>1. compra do terreno | Ter |</t>
  </si>
  <si>
    <t>2. contas da aquisição do terreno</t>
  </si>
  <si>
    <t>3. contas da estruturação do empreendimento</t>
  </si>
  <si>
    <t>4. contas da construção | Ccon |</t>
  </si>
  <si>
    <t>6. total das contas de implantação | Tci |</t>
  </si>
  <si>
    <t>Ipca | anual</t>
  </si>
  <si>
    <t>contas do orçamento</t>
  </si>
  <si>
    <t>estrutura do fluxo de desembolsos</t>
  </si>
  <si>
    <t>cenário referencial para comercialização do empreendimento</t>
  </si>
  <si>
    <t>IPreços</t>
  </si>
  <si>
    <t>2. recebimento padrão arbitrado</t>
  </si>
  <si>
    <t>até as chaves</t>
  </si>
  <si>
    <t>no repasse</t>
  </si>
  <si>
    <t>3. velocidade de absorção arbitrada</t>
  </si>
  <si>
    <t>lançamento</t>
  </si>
  <si>
    <t>até o final da obra</t>
  </si>
  <si>
    <t>estoques</t>
  </si>
  <si>
    <t>pagamento contra entrada</t>
  </si>
  <si>
    <t>verba arbitrada</t>
  </si>
  <si>
    <t xml:space="preserve"> distribuição da verba</t>
  </si>
  <si>
    <t>4. impostos sobre a receita em SPE-LP</t>
  </si>
  <si>
    <t>pagamento no fluxo</t>
  </si>
  <si>
    <t>5. contas de corretagem</t>
  </si>
  <si>
    <t>6. contas de PP&amp;M</t>
  </si>
  <si>
    <t>7. contas de serviços nos repasses</t>
  </si>
  <si>
    <t>8. receita de vendas, excluindo contas conexas</t>
  </si>
  <si>
    <t>5. margem de contribuição para CGA</t>
  </si>
  <si>
    <t>TIRemp</t>
  </si>
  <si>
    <t>taxas em % ano equivalente</t>
  </si>
  <si>
    <t>taxa referencial de juros, nominal</t>
  </si>
  <si>
    <t>nominal antes de impostos</t>
  </si>
  <si>
    <t>acima do Ipca antes de impostos</t>
  </si>
  <si>
    <t>inflação pelo IPca</t>
  </si>
  <si>
    <t>múltiplo da | TATs | contra a taxa referencial</t>
  </si>
  <si>
    <t>dataFinal</t>
  </si>
  <si>
    <t>identificaçao da taxa de atratividade para referência da margem com fluxos defacionados</t>
  </si>
  <si>
    <t>1. preço de venda arbitrado na data base</t>
  </si>
  <si>
    <t>cenário referencial para financiamento à produção</t>
  </si>
  <si>
    <t>1. volume do financiamento</t>
  </si>
  <si>
    <t>2. liberações na curva da produção, partindo no mês de início das obras</t>
  </si>
  <si>
    <t>3. contratação em valor nominal e liberações nominais</t>
  </si>
  <si>
    <t>4. juros pagos mensalmente</t>
  </si>
  <si>
    <t>5. saldo devedor nominal ajustado à TR</t>
  </si>
  <si>
    <t xml:space="preserve">6. saldo devedor liquidado pelos primeiros repasses </t>
  </si>
  <si>
    <t xml:space="preserve">valores em R$ mil </t>
  </si>
  <si>
    <t>na data base do orçamento</t>
  </si>
  <si>
    <t>na data da contratação</t>
  </si>
  <si>
    <t>7. custo dos recursos financiados</t>
  </si>
  <si>
    <t>1. contas da implantação (excluindo terreno e despesas conexas)</t>
  </si>
  <si>
    <t>2. receita operacional depois de impostos e contas conexas</t>
  </si>
  <si>
    <t>3. velocidade de vendas tem movimento errático, mantidas as metas em cada ciclo</t>
  </si>
  <si>
    <t xml:space="preserve">4. velocidade de vendas no lançamento </t>
  </si>
  <si>
    <t>parâmetros para cenários estressados - indicação de fronteiras de stress</t>
  </si>
  <si>
    <t>fatores de perturbação</t>
  </si>
  <si>
    <t>referencial</t>
  </si>
  <si>
    <t>FPcus</t>
  </si>
  <si>
    <t>FPrec</t>
  </si>
  <si>
    <t>FVran</t>
  </si>
  <si>
    <t>FPvlan</t>
  </si>
  <si>
    <t>FPvest</t>
  </si>
  <si>
    <t>FPpest</t>
  </si>
  <si>
    <t>FPpcon</t>
  </si>
  <si>
    <t>FPirep</t>
  </si>
  <si>
    <t>FPprep</t>
  </si>
  <si>
    <t>FPglo</t>
  </si>
  <si>
    <t>perturbação global</t>
  </si>
  <si>
    <t>Caso EI-Stress</t>
  </si>
  <si>
    <t>TIRfPRO</t>
  </si>
  <si>
    <t>pbackFPRO</t>
  </si>
  <si>
    <t>durFPRO</t>
  </si>
  <si>
    <t>PEIFpro</t>
  </si>
  <si>
    <t>INVfPRO</t>
  </si>
  <si>
    <t>RESfPro</t>
  </si>
  <si>
    <t>pbackEmp</t>
  </si>
  <si>
    <t>durEMP</t>
  </si>
  <si>
    <t>PEIemp</t>
  </si>
  <si>
    <t>INVemp</t>
  </si>
  <si>
    <t>RESemp</t>
  </si>
  <si>
    <t>máximo</t>
  </si>
  <si>
    <t>custos e preços</t>
  </si>
  <si>
    <t>FPcusp</t>
  </si>
  <si>
    <t>min / média</t>
  </si>
  <si>
    <t>taxaCDIB</t>
  </si>
  <si>
    <t>taxaCDIadiante</t>
  </si>
  <si>
    <t>tesouro Ipca mais curta</t>
  </si>
  <si>
    <t>tesouro pré-fixada</t>
  </si>
  <si>
    <t>múltiplo da | TATs | contra as letras do Tesouro</t>
  </si>
  <si>
    <t>jan-20</t>
  </si>
  <si>
    <t>fronteiras, perturbadores e
amostra de laboratório
a partir da linha 110</t>
  </si>
  <si>
    <t>análise de impacto de riscos | fronteiras de stress | perturbadores | amostra de laboratório</t>
  </si>
  <si>
    <t>média</t>
  </si>
  <si>
    <t>desvio</t>
  </si>
  <si>
    <t>intervalo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</si>
</sst>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[$-416]d\-mmm\-yy;@"/>
    <numFmt numFmtId="165" formatCode="0.0%"/>
    <numFmt numFmtId="166" formatCode="_(* #,##0.00_);_(* \(#,##0.00\);_(* &quot;-&quot;_);_(@_)"/>
    <numFmt numFmtId="170" formatCode="0.000%"/>
    <numFmt numFmtId="175" formatCode="#,##0.0"/>
    <numFmt numFmtId="176" formatCode="&quot;ano &quot;###0"/>
  </numFmts>
  <fonts count="11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2"/>
      <color theme="1"/>
      <name val="Arial"/>
      <family val="2"/>
    </font>
    <font>
      <sz val="2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 style="hair">
        <color indexed="64"/>
      </top>
      <bottom/>
      <diagonal/>
    </border>
    <border>
      <left style="double">
        <color theme="1" tint="0.499984740745262"/>
      </left>
      <right/>
      <top/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hair">
        <color indexed="64"/>
      </bottom>
      <diagonal/>
    </border>
    <border>
      <left/>
      <right style="thin">
        <color theme="0"/>
      </right>
      <top/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8">
    <xf numFmtId="3" fontId="0" fillId="0" borderId="0">
      <alignment vertical="center"/>
    </xf>
    <xf numFmtId="41" fontId="2" fillId="0" borderId="0" applyFont="0" applyFill="0" applyBorder="0" applyAlignment="0" applyProtection="0"/>
    <xf numFmtId="0" fontId="3" fillId="3" borderId="1" applyNumberFormat="0" applyFont="0" applyAlignment="0" applyProtection="0"/>
    <xf numFmtId="0" fontId="3" fillId="2" borderId="1" applyNumberFormat="0" applyAlignment="0" applyProtection="0"/>
    <xf numFmtId="0" fontId="4" fillId="4" borderId="1" applyNumberFormat="0" applyFont="0" applyAlignment="0" applyProtection="0"/>
    <xf numFmtId="0" fontId="3" fillId="5" borderId="1" applyNumberFormat="0" applyFont="0" applyAlignment="0" applyProtection="0"/>
    <xf numFmtId="0" fontId="3" fillId="8" borderId="1" applyNumberFormat="0" applyFont="0" applyAlignment="0" applyProtection="0"/>
    <xf numFmtId="9" fontId="4" fillId="0" borderId="0" applyFont="0" applyFill="0" applyBorder="0" applyAlignment="0" applyProtection="0"/>
  </cellStyleXfs>
  <cellXfs count="213">
    <xf numFmtId="3" fontId="0" fillId="0" borderId="0" xfId="0">
      <alignment vertical="center"/>
    </xf>
    <xf numFmtId="3" fontId="3" fillId="2" borderId="1" xfId="3" applyNumberFormat="1" applyAlignment="1">
      <alignment vertical="center"/>
    </xf>
    <xf numFmtId="3" fontId="3" fillId="2" borderId="1" xfId="3" quotePrefix="1" applyNumberFormat="1" applyAlignment="1">
      <alignment vertical="center"/>
    </xf>
    <xf numFmtId="165" fontId="3" fillId="2" borderId="1" xfId="7" applyNumberFormat="1" applyFont="1" applyFill="1" applyBorder="1" applyAlignment="1">
      <alignment vertical="center"/>
    </xf>
    <xf numFmtId="41" fontId="0" fillId="0" borderId="0" xfId="1" applyFont="1" applyAlignment="1">
      <alignment vertical="center"/>
    </xf>
    <xf numFmtId="3" fontId="0" fillId="0" borderId="0" xfId="0" applyAlignment="1">
      <alignment horizontal="left" vertical="center" indent="1"/>
    </xf>
    <xf numFmtId="166" fontId="3" fillId="2" borderId="1" xfId="1" applyNumberFormat="1" applyFont="1" applyFill="1" applyBorder="1" applyAlignment="1">
      <alignment vertical="center"/>
    </xf>
    <xf numFmtId="3" fontId="8" fillId="0" borderId="0" xfId="0" applyFont="1">
      <alignment vertical="center"/>
    </xf>
    <xf numFmtId="166" fontId="9" fillId="2" borderId="1" xfId="1" applyNumberFormat="1" applyFont="1" applyFill="1" applyBorder="1" applyAlignment="1">
      <alignment vertical="center"/>
    </xf>
    <xf numFmtId="3" fontId="8" fillId="10" borderId="1" xfId="2" applyNumberFormat="1" applyFont="1" applyFill="1" applyAlignment="1">
      <alignment vertical="center"/>
    </xf>
    <xf numFmtId="41" fontId="0" fillId="0" borderId="0" xfId="1" applyNumberFormat="1" applyFont="1" applyAlignment="1">
      <alignment vertical="center"/>
    </xf>
    <xf numFmtId="165" fontId="0" fillId="4" borderId="1" xfId="7" applyNumberFormat="1" applyFont="1" applyFill="1" applyBorder="1" applyAlignment="1">
      <alignment vertical="center"/>
    </xf>
    <xf numFmtId="3" fontId="0" fillId="0" borderId="5" xfId="0" applyBorder="1" applyAlignment="1">
      <alignment horizontal="center" vertical="center" wrapText="1"/>
    </xf>
    <xf numFmtId="3" fontId="6" fillId="10" borderId="2" xfId="2" applyNumberFormat="1" applyFont="1" applyFill="1" applyBorder="1" applyAlignment="1">
      <alignment vertical="center"/>
    </xf>
    <xf numFmtId="3" fontId="6" fillId="10" borderId="4" xfId="2" applyNumberFormat="1" applyFont="1" applyFill="1" applyBorder="1" applyAlignment="1">
      <alignment vertical="center"/>
    </xf>
    <xf numFmtId="3" fontId="6" fillId="10" borderId="3" xfId="2" applyNumberFormat="1" applyFont="1" applyFill="1" applyBorder="1" applyAlignment="1">
      <alignment vertical="center"/>
    </xf>
    <xf numFmtId="3" fontId="0" fillId="9" borderId="2" xfId="4" applyNumberFormat="1" applyFont="1" applyFill="1" applyBorder="1" applyAlignment="1">
      <alignment vertical="center"/>
    </xf>
    <xf numFmtId="3" fontId="0" fillId="9" borderId="4" xfId="4" applyNumberFormat="1" applyFont="1" applyFill="1" applyBorder="1" applyAlignment="1">
      <alignment vertical="center"/>
    </xf>
    <xf numFmtId="41" fontId="0" fillId="0" borderId="7" xfId="1" applyFont="1" applyBorder="1" applyAlignment="1">
      <alignment vertical="center"/>
    </xf>
    <xf numFmtId="3" fontId="0" fillId="0" borderId="7" xfId="0" applyBorder="1" applyAlignment="1">
      <alignment horizontal="left" vertical="center" indent="1"/>
    </xf>
    <xf numFmtId="3" fontId="0" fillId="0" borderId="9" xfId="0" applyBorder="1">
      <alignment vertical="center"/>
    </xf>
    <xf numFmtId="3" fontId="0" fillId="0" borderId="10" xfId="0" applyBorder="1">
      <alignment vertical="center"/>
    </xf>
    <xf numFmtId="3" fontId="0" fillId="0" borderId="12" xfId="0" applyBorder="1">
      <alignment vertical="center"/>
    </xf>
    <xf numFmtId="3" fontId="0" fillId="0" borderId="13" xfId="0" applyBorder="1">
      <alignment vertical="center"/>
    </xf>
    <xf numFmtId="41" fontId="0" fillId="0" borderId="14" xfId="1" applyFont="1" applyBorder="1" applyAlignment="1">
      <alignment vertical="center"/>
    </xf>
    <xf numFmtId="41" fontId="0" fillId="0" borderId="15" xfId="1" applyFont="1" applyBorder="1" applyAlignment="1">
      <alignment vertical="center"/>
    </xf>
    <xf numFmtId="3" fontId="0" fillId="0" borderId="16" xfId="0" applyBorder="1" applyAlignment="1">
      <alignment horizontal="left" vertical="center" indent="1"/>
    </xf>
    <xf numFmtId="41" fontId="0" fillId="0" borderId="9" xfId="1" applyFont="1" applyBorder="1" applyAlignment="1">
      <alignment vertical="center"/>
    </xf>
    <xf numFmtId="3" fontId="0" fillId="0" borderId="14" xfId="0" applyBorder="1" applyAlignment="1">
      <alignment horizontal="center" vertical="center"/>
    </xf>
    <xf numFmtId="3" fontId="0" fillId="0" borderId="20" xfId="0" applyBorder="1" applyAlignment="1">
      <alignment horizontal="left" vertical="center" indent="1"/>
    </xf>
    <xf numFmtId="3" fontId="0" fillId="0" borderId="19" xfId="0" applyBorder="1" applyAlignment="1">
      <alignment horizontal="left" vertical="center" indent="1"/>
    </xf>
    <xf numFmtId="3" fontId="0" fillId="0" borderId="21" xfId="0" applyBorder="1" applyAlignment="1">
      <alignment horizontal="left" vertical="center" indent="1"/>
    </xf>
    <xf numFmtId="3" fontId="0" fillId="0" borderId="17" xfId="0" applyBorder="1">
      <alignment vertical="center"/>
    </xf>
    <xf numFmtId="3" fontId="0" fillId="0" borderId="22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0" fillId="0" borderId="15" xfId="0" applyBorder="1" applyAlignment="1">
      <alignment horizontal="center" vertical="center" wrapText="1"/>
    </xf>
    <xf numFmtId="3" fontId="0" fillId="0" borderId="23" xfId="0" applyBorder="1">
      <alignment vertical="center"/>
    </xf>
    <xf numFmtId="3" fontId="0" fillId="0" borderId="14" xfId="0" applyBorder="1">
      <alignment vertical="center"/>
    </xf>
    <xf numFmtId="3" fontId="0" fillId="0" borderId="6" xfId="0" applyBorder="1" applyAlignment="1">
      <alignment horizontal="left" vertical="center" indent="1"/>
    </xf>
    <xf numFmtId="41" fontId="7" fillId="4" borderId="1" xfId="4" applyNumberFormat="1" applyFont="1" applyAlignment="1">
      <alignment vertical="center"/>
    </xf>
    <xf numFmtId="41" fontId="7" fillId="5" borderId="1" xfId="5" applyNumberFormat="1" applyFont="1" applyAlignment="1">
      <alignment vertical="center"/>
    </xf>
    <xf numFmtId="37" fontId="0" fillId="0" borderId="20" xfId="1" applyNumberFormat="1" applyFont="1" applyBorder="1" applyAlignment="1">
      <alignment horizontal="left" vertical="center" indent="1"/>
    </xf>
    <xf numFmtId="37" fontId="0" fillId="0" borderId="19" xfId="1" applyNumberFormat="1" applyFont="1" applyBorder="1" applyAlignment="1">
      <alignment horizontal="left" vertical="center" indent="1"/>
    </xf>
    <xf numFmtId="3" fontId="0" fillId="0" borderId="22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0" fillId="0" borderId="0" xfId="0" applyAlignment="1">
      <alignment vertical="center" wrapText="1"/>
    </xf>
    <xf numFmtId="3" fontId="0" fillId="0" borderId="0" xfId="0" applyAlignment="1">
      <alignment horizontal="center" vertical="center"/>
    </xf>
    <xf numFmtId="3" fontId="0" fillId="4" borderId="24" xfId="4" applyNumberFormat="1" applyFont="1" applyBorder="1" applyAlignment="1">
      <alignment vertical="center"/>
    </xf>
    <xf numFmtId="3" fontId="0" fillId="0" borderId="0" xfId="0" applyBorder="1">
      <alignment vertical="center"/>
    </xf>
    <xf numFmtId="3" fontId="7" fillId="9" borderId="2" xfId="4" applyNumberFormat="1" applyFont="1" applyFill="1" applyBorder="1" applyAlignment="1">
      <alignment vertical="center"/>
    </xf>
    <xf numFmtId="3" fontId="8" fillId="10" borderId="2" xfId="2" applyNumberFormat="1" applyFont="1" applyFill="1" applyBorder="1" applyAlignment="1">
      <alignment vertical="center"/>
    </xf>
    <xf numFmtId="3" fontId="0" fillId="0" borderId="8" xfId="0" applyBorder="1">
      <alignment vertical="center"/>
    </xf>
    <xf numFmtId="10" fontId="0" fillId="0" borderId="0" xfId="7" applyNumberFormat="1" applyFont="1" applyAlignment="1">
      <alignment vertical="center"/>
    </xf>
    <xf numFmtId="10" fontId="7" fillId="5" borderId="1" xfId="7" applyNumberFormat="1" applyFont="1" applyFill="1" applyBorder="1" applyAlignment="1">
      <alignment vertical="center"/>
    </xf>
    <xf numFmtId="10" fontId="0" fillId="0" borderId="7" xfId="7" applyNumberFormat="1" applyFont="1" applyBorder="1" applyAlignment="1">
      <alignment vertical="center"/>
    </xf>
    <xf numFmtId="3" fontId="8" fillId="0" borderId="1" xfId="2" applyNumberFormat="1" applyFont="1" applyFill="1" applyAlignment="1">
      <alignment vertical="center"/>
    </xf>
    <xf numFmtId="3" fontId="0" fillId="0" borderId="25" xfId="0" applyBorder="1" applyAlignment="1">
      <alignment horizontal="center" vertical="center" wrapText="1"/>
    </xf>
    <xf numFmtId="3" fontId="8" fillId="0" borderId="0" xfId="0" applyFont="1" applyAlignment="1">
      <alignment horizontal="center" vertical="center"/>
    </xf>
    <xf numFmtId="3" fontId="8" fillId="0" borderId="1" xfId="2" applyNumberFormat="1" applyFont="1" applyFill="1" applyBorder="1" applyAlignment="1">
      <alignment vertical="center"/>
    </xf>
    <xf numFmtId="3" fontId="0" fillId="0" borderId="27" xfId="0" applyBorder="1">
      <alignment vertical="center"/>
    </xf>
    <xf numFmtId="3" fontId="0" fillId="0" borderId="14" xfId="0" applyBorder="1" applyAlignment="1">
      <alignment horizontal="left" vertical="center" indent="1"/>
    </xf>
    <xf numFmtId="3" fontId="0" fillId="0" borderId="15" xfId="0" applyBorder="1" applyAlignment="1">
      <alignment horizontal="left" vertical="center" indent="1"/>
    </xf>
    <xf numFmtId="41" fontId="0" fillId="0" borderId="28" xfId="1" applyFont="1" applyBorder="1" applyAlignment="1">
      <alignment vertical="center"/>
    </xf>
    <xf numFmtId="41" fontId="0" fillId="0" borderId="29" xfId="1" applyFont="1" applyBorder="1" applyAlignment="1">
      <alignment vertical="center"/>
    </xf>
    <xf numFmtId="3" fontId="0" fillId="0" borderId="0" xfId="0" applyAlignment="1">
      <alignment horizontal="center" vertical="center" wrapText="1"/>
    </xf>
    <xf numFmtId="3" fontId="7" fillId="4" borderId="2" xfId="4" applyNumberFormat="1" applyFont="1" applyBorder="1" applyAlignment="1">
      <alignment horizontal="left" vertical="center"/>
    </xf>
    <xf numFmtId="3" fontId="7" fillId="4" borderId="4" xfId="4" applyNumberFormat="1" applyFont="1" applyBorder="1" applyAlignment="1">
      <alignment horizontal="left" vertical="center"/>
    </xf>
    <xf numFmtId="3" fontId="7" fillId="4" borderId="4" xfId="4" applyNumberFormat="1" applyFont="1" applyBorder="1" applyAlignment="1">
      <alignment vertical="center"/>
    </xf>
    <xf numFmtId="3" fontId="7" fillId="4" borderId="3" xfId="4" applyNumberFormat="1" applyFont="1" applyBorder="1" applyAlignment="1">
      <alignment vertical="center"/>
    </xf>
    <xf numFmtId="3" fontId="7" fillId="4" borderId="2" xfId="4" applyNumberFormat="1" applyFont="1" applyBorder="1" applyAlignment="1">
      <alignment vertical="center"/>
    </xf>
    <xf numFmtId="3" fontId="0" fillId="0" borderId="7" xfId="0" applyBorder="1">
      <alignment vertical="center"/>
    </xf>
    <xf numFmtId="3" fontId="8" fillId="10" borderId="2" xfId="2" applyNumberFormat="1" applyFont="1" applyFill="1" applyBorder="1" applyAlignment="1">
      <alignment horizontal="left" vertical="center" indent="1"/>
    </xf>
    <xf numFmtId="3" fontId="8" fillId="10" borderId="4" xfId="2" applyNumberFormat="1" applyFont="1" applyFill="1" applyBorder="1" applyAlignment="1">
      <alignment vertical="center"/>
    </xf>
    <xf numFmtId="3" fontId="8" fillId="10" borderId="3" xfId="2" applyNumberFormat="1" applyFont="1" applyFill="1" applyBorder="1" applyAlignment="1">
      <alignment vertical="center"/>
    </xf>
    <xf numFmtId="3" fontId="0" fillId="0" borderId="27" xfId="0" applyBorder="1" applyAlignment="1">
      <alignment horizontal="left" vertical="center" indent="1"/>
    </xf>
    <xf numFmtId="41" fontId="0" fillId="0" borderId="27" xfId="1" applyFont="1" applyBorder="1" applyAlignment="1">
      <alignment vertical="center"/>
    </xf>
    <xf numFmtId="165" fontId="3" fillId="4" borderId="1" xfId="4" applyNumberFormat="1" applyFont="1" applyAlignment="1">
      <alignment vertical="center"/>
    </xf>
    <xf numFmtId="41" fontId="0" fillId="0" borderId="10" xfId="1" applyFont="1" applyBorder="1" applyAlignment="1">
      <alignment vertical="center"/>
    </xf>
    <xf numFmtId="3" fontId="0" fillId="0" borderId="10" xfId="0" applyBorder="1" applyAlignment="1">
      <alignment horizontal="center" vertical="center" wrapText="1"/>
    </xf>
    <xf numFmtId="3" fontId="0" fillId="0" borderId="18" xfId="0" applyBorder="1" applyAlignment="1">
      <alignment horizontal="left" vertical="center" indent="1"/>
    </xf>
    <xf numFmtId="3" fontId="0" fillId="0" borderId="18" xfId="0" applyBorder="1">
      <alignment vertical="center"/>
    </xf>
    <xf numFmtId="3" fontId="0" fillId="0" borderId="30" xfId="0" applyBorder="1">
      <alignment vertical="center"/>
    </xf>
    <xf numFmtId="3" fontId="0" fillId="0" borderId="17" xfId="0" applyBorder="1" applyAlignment="1">
      <alignment horizontal="center" vertical="center" wrapText="1"/>
    </xf>
    <xf numFmtId="3" fontId="0" fillId="0" borderId="7" xfId="0" applyBorder="1" applyAlignment="1">
      <alignment horizontal="center" vertical="center" wrapText="1"/>
    </xf>
    <xf numFmtId="3" fontId="0" fillId="0" borderId="32" xfId="0" applyBorder="1" applyAlignment="1">
      <alignment horizontal="center" vertical="center" wrapText="1"/>
    </xf>
    <xf numFmtId="3" fontId="0" fillId="0" borderId="29" xfId="0" applyBorder="1" applyAlignment="1">
      <alignment horizontal="left" vertical="center" indent="1"/>
    </xf>
    <xf numFmtId="3" fontId="0" fillId="0" borderId="28" xfId="0" applyBorder="1">
      <alignment vertical="center"/>
    </xf>
    <xf numFmtId="41" fontId="0" fillId="0" borderId="0" xfId="1" applyFont="1" applyBorder="1" applyAlignment="1">
      <alignment vertical="center"/>
    </xf>
    <xf numFmtId="10" fontId="0" fillId="0" borderId="0" xfId="7" applyNumberFormat="1" applyFont="1" applyBorder="1" applyAlignment="1">
      <alignment vertical="center"/>
    </xf>
    <xf numFmtId="3" fontId="0" fillId="0" borderId="26" xfId="0" applyBorder="1" applyAlignment="1">
      <alignment horizontal="center" vertical="center" wrapText="1"/>
    </xf>
    <xf numFmtId="3" fontId="0" fillId="0" borderId="16" xfId="0" applyFill="1" applyBorder="1" applyAlignment="1">
      <alignment horizontal="left" vertical="center" indent="1"/>
    </xf>
    <xf numFmtId="3" fontId="0" fillId="0" borderId="20" xfId="0" applyFill="1" applyBorder="1" applyAlignment="1">
      <alignment horizontal="left" vertical="center" indent="1"/>
    </xf>
    <xf numFmtId="3" fontId="0" fillId="0" borderId="0" xfId="0" applyBorder="1" applyAlignment="1">
      <alignment horizontal="left" vertical="center" indent="1"/>
    </xf>
    <xf numFmtId="165" fontId="0" fillId="0" borderId="14" xfId="7" applyNumberFormat="1" applyFont="1" applyBorder="1" applyAlignment="1">
      <alignment horizontal="center" vertical="center"/>
    </xf>
    <xf numFmtId="3" fontId="0" fillId="0" borderId="19" xfId="0" applyBorder="1">
      <alignment vertical="center"/>
    </xf>
    <xf numFmtId="3" fontId="0" fillId="0" borderId="33" xfId="0" applyBorder="1">
      <alignment vertical="center"/>
    </xf>
    <xf numFmtId="3" fontId="3" fillId="2" borderId="1" xfId="3" applyNumberFormat="1" applyAlignment="1">
      <alignment horizontal="center" vertical="center"/>
    </xf>
    <xf numFmtId="3" fontId="7" fillId="4" borderId="2" xfId="4" applyNumberFormat="1" applyFont="1" applyBorder="1" applyAlignment="1">
      <alignment horizontal="left" vertical="center" indent="1"/>
    </xf>
    <xf numFmtId="41" fontId="7" fillId="4" borderId="3" xfId="4" applyNumberFormat="1" applyFont="1" applyBorder="1" applyAlignment="1">
      <alignment vertical="center"/>
    </xf>
    <xf numFmtId="10" fontId="3" fillId="2" borderId="1" xfId="7" applyNumberFormat="1" applyFont="1" applyFill="1" applyBorder="1" applyAlignment="1">
      <alignment vertical="center"/>
    </xf>
    <xf numFmtId="3" fontId="0" fillId="0" borderId="19" xfId="0" applyFill="1" applyBorder="1" applyAlignment="1">
      <alignment horizontal="left" vertical="center" indent="1"/>
    </xf>
    <xf numFmtId="41" fontId="0" fillId="0" borderId="22" xfId="1" applyFont="1" applyBorder="1" applyAlignment="1">
      <alignment vertical="center"/>
    </xf>
    <xf numFmtId="165" fontId="0" fillId="0" borderId="17" xfId="7" applyNumberFormat="1" applyFont="1" applyBorder="1" applyAlignment="1">
      <alignment horizontal="center" vertical="center"/>
    </xf>
    <xf numFmtId="41" fontId="0" fillId="0" borderId="34" xfId="1" applyFont="1" applyBorder="1" applyAlignment="1">
      <alignment vertical="center"/>
    </xf>
    <xf numFmtId="3" fontId="0" fillId="0" borderId="4" xfId="0" applyBorder="1" applyAlignment="1">
      <alignment horizontal="left" vertical="center" indent="1"/>
    </xf>
    <xf numFmtId="3" fontId="0" fillId="0" borderId="3" xfId="0" applyBorder="1">
      <alignment vertical="center"/>
    </xf>
    <xf numFmtId="3" fontId="0" fillId="8" borderId="1" xfId="6" applyNumberFormat="1" applyFont="1" applyAlignment="1">
      <alignment vertical="center"/>
    </xf>
    <xf numFmtId="166" fontId="0" fillId="0" borderId="0" xfId="1" applyNumberFormat="1" applyFont="1" applyAlignment="1">
      <alignment vertical="center"/>
    </xf>
    <xf numFmtId="3" fontId="0" fillId="0" borderId="7" xfId="0" applyFont="1" applyBorder="1" applyAlignment="1">
      <alignment horizontal="left" vertical="center"/>
    </xf>
    <xf numFmtId="3" fontId="0" fillId="0" borderId="7" xfId="0" applyFont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18" xfId="0" applyFont="1" applyBorder="1" applyAlignment="1">
      <alignment vertical="center"/>
    </xf>
    <xf numFmtId="3" fontId="0" fillId="0" borderId="7" xfId="0" applyFont="1" applyFill="1" applyBorder="1" applyAlignment="1">
      <alignment horizontal="left" vertical="center"/>
    </xf>
    <xf numFmtId="10" fontId="0" fillId="0" borderId="7" xfId="7" applyNumberFormat="1" applyFont="1" applyBorder="1" applyAlignment="1">
      <alignment horizontal="center" vertical="center"/>
    </xf>
    <xf numFmtId="166" fontId="0" fillId="0" borderId="7" xfId="1" applyNumberFormat="1" applyFont="1" applyBorder="1" applyAlignment="1">
      <alignment vertical="center"/>
    </xf>
    <xf numFmtId="3" fontId="0" fillId="4" borderId="1" xfId="4" applyNumberFormat="1" applyFont="1" applyAlignment="1">
      <alignment horizontal="center" vertical="center"/>
    </xf>
    <xf numFmtId="10" fontId="7" fillId="4" borderId="1" xfId="4" applyNumberFormat="1" applyFont="1" applyAlignment="1">
      <alignment vertical="center"/>
    </xf>
    <xf numFmtId="41" fontId="0" fillId="0" borderId="26" xfId="1" applyFont="1" applyBorder="1" applyAlignment="1">
      <alignment horizontal="center" vertical="center" wrapText="1"/>
    </xf>
    <xf numFmtId="41" fontId="0" fillId="0" borderId="8" xfId="1" applyFont="1" applyBorder="1" applyAlignment="1">
      <alignment horizontal="center" vertical="center" wrapText="1"/>
    </xf>
    <xf numFmtId="170" fontId="0" fillId="0" borderId="0" xfId="7" applyNumberFormat="1" applyFont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2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39" xfId="0" applyFont="1" applyBorder="1" applyAlignment="1">
      <alignment vertical="center"/>
    </xf>
    <xf numFmtId="3" fontId="0" fillId="0" borderId="7" xfId="0" applyBorder="1" applyAlignment="1">
      <alignment horizontal="left" vertical="center"/>
    </xf>
    <xf numFmtId="3" fontId="0" fillId="0" borderId="12" xfId="0" applyBorder="1" applyAlignment="1">
      <alignment horizontal="center" vertical="center"/>
    </xf>
    <xf numFmtId="41" fontId="7" fillId="0" borderId="39" xfId="1" applyFont="1" applyBorder="1" applyAlignment="1">
      <alignment vertical="center"/>
    </xf>
    <xf numFmtId="3" fontId="0" fillId="0" borderId="0" xfId="0" applyFont="1" applyBorder="1" applyAlignment="1">
      <alignment vertical="center"/>
    </xf>
    <xf numFmtId="10" fontId="7" fillId="5" borderId="1" xfId="5" applyNumberFormat="1" applyFont="1" applyAlignment="1">
      <alignment vertical="center"/>
    </xf>
    <xf numFmtId="3" fontId="0" fillId="0" borderId="17" xfId="0" applyFont="1" applyBorder="1" applyAlignment="1">
      <alignment vertical="center"/>
    </xf>
    <xf numFmtId="41" fontId="3" fillId="2" borderId="1" xfId="1" applyFont="1" applyFill="1" applyBorder="1" applyAlignment="1">
      <alignment vertical="center"/>
    </xf>
    <xf numFmtId="3" fontId="0" fillId="0" borderId="41" xfId="0" applyBorder="1">
      <alignment vertical="center"/>
    </xf>
    <xf numFmtId="3" fontId="0" fillId="0" borderId="42" xfId="0" applyBorder="1">
      <alignment vertical="center"/>
    </xf>
    <xf numFmtId="3" fontId="0" fillId="0" borderId="40" xfId="0" applyBorder="1">
      <alignment vertical="center"/>
    </xf>
    <xf numFmtId="3" fontId="0" fillId="0" borderId="43" xfId="0" applyBorder="1">
      <alignment vertical="center"/>
    </xf>
    <xf numFmtId="3" fontId="0" fillId="9" borderId="3" xfId="4" applyNumberFormat="1" applyFont="1" applyFill="1" applyBorder="1" applyAlignment="1">
      <alignment vertical="center"/>
    </xf>
    <xf numFmtId="1" fontId="0" fillId="8" borderId="1" xfId="1" applyNumberFormat="1" applyFont="1" applyFill="1" applyBorder="1" applyAlignment="1">
      <alignment horizontal="center" vertical="center"/>
    </xf>
    <xf numFmtId="3" fontId="0" fillId="5" borderId="1" xfId="5" applyNumberFormat="1" applyFont="1" applyAlignment="1">
      <alignment horizontal="center" vertical="center"/>
    </xf>
    <xf numFmtId="10" fontId="0" fillId="5" borderId="1" xfId="5" applyNumberFormat="1" applyFont="1" applyAlignment="1">
      <alignment horizontal="center" vertical="center"/>
    </xf>
    <xf numFmtId="3" fontId="0" fillId="4" borderId="1" xfId="4" applyNumberFormat="1" applyFont="1" applyAlignment="1">
      <alignment vertical="center"/>
    </xf>
    <xf numFmtId="166" fontId="0" fillId="4" borderId="1" xfId="4" applyNumberFormat="1" applyFont="1" applyAlignment="1">
      <alignment vertical="center"/>
    </xf>
    <xf numFmtId="41" fontId="0" fillId="4" borderId="1" xfId="4" applyNumberFormat="1" applyFont="1" applyAlignment="1">
      <alignment vertical="center"/>
    </xf>
    <xf numFmtId="3" fontId="7" fillId="4" borderId="1" xfId="4" applyNumberFormat="1" applyFont="1" applyAlignment="1">
      <alignment vertical="center"/>
    </xf>
    <xf numFmtId="166" fontId="7" fillId="4" borderId="1" xfId="4" applyNumberFormat="1" applyFont="1" applyAlignment="1">
      <alignment vertical="center"/>
    </xf>
    <xf numFmtId="166" fontId="0" fillId="5" borderId="1" xfId="5" applyNumberFormat="1" applyFont="1" applyAlignment="1">
      <alignment vertical="center"/>
    </xf>
    <xf numFmtId="41" fontId="0" fillId="5" borderId="1" xfId="5" applyNumberFormat="1" applyFont="1" applyAlignment="1">
      <alignment vertical="center"/>
    </xf>
    <xf numFmtId="166" fontId="7" fillId="5" borderId="1" xfId="5" applyNumberFormat="1" applyFont="1" applyAlignment="1">
      <alignment vertical="center"/>
    </xf>
    <xf numFmtId="3" fontId="0" fillId="0" borderId="0" xfId="0" applyFill="1" applyBorder="1">
      <alignment vertical="center"/>
    </xf>
    <xf numFmtId="3" fontId="0" fillId="11" borderId="1" xfId="4" applyNumberFormat="1" applyFont="1" applyFill="1" applyBorder="1" applyAlignment="1">
      <alignment horizontal="left" vertical="center" indent="2"/>
    </xf>
    <xf numFmtId="3" fontId="0" fillId="11" borderId="1" xfId="6" applyNumberFormat="1" applyFont="1" applyFill="1" applyBorder="1" applyAlignment="1">
      <alignment horizontal="left" vertical="center" indent="2"/>
    </xf>
    <xf numFmtId="10" fontId="0" fillId="0" borderId="18" xfId="7" applyNumberFormat="1" applyFont="1" applyBorder="1" applyAlignment="1">
      <alignment vertical="center"/>
    </xf>
    <xf numFmtId="10" fontId="0" fillId="0" borderId="8" xfId="7" applyNumberFormat="1" applyFont="1" applyBorder="1" applyAlignment="1">
      <alignment vertical="center"/>
    </xf>
    <xf numFmtId="166" fontId="0" fillId="0" borderId="18" xfId="1" applyNumberFormat="1" applyFont="1" applyBorder="1" applyAlignment="1">
      <alignment vertical="center"/>
    </xf>
    <xf numFmtId="10" fontId="3" fillId="8" borderId="1" xfId="6" applyNumberFormat="1" applyFont="1" applyAlignment="1">
      <alignment vertical="center"/>
    </xf>
    <xf numFmtId="166" fontId="3" fillId="8" borderId="1" xfId="6" applyNumberFormat="1" applyFont="1" applyAlignment="1">
      <alignment vertical="center"/>
    </xf>
    <xf numFmtId="176" fontId="0" fillId="0" borderId="7" xfId="0" applyNumberFormat="1" applyBorder="1">
      <alignment vertical="center"/>
    </xf>
    <xf numFmtId="3" fontId="0" fillId="0" borderId="37" xfId="0" applyBorder="1" applyAlignment="1">
      <alignment horizontal="center" vertical="center" wrapText="1"/>
    </xf>
    <xf numFmtId="3" fontId="0" fillId="0" borderId="38" xfId="0" applyBorder="1" applyAlignment="1">
      <alignment horizontal="center" vertical="center" wrapText="1"/>
    </xf>
    <xf numFmtId="3" fontId="0" fillId="0" borderId="7" xfId="0" applyFont="1" applyBorder="1" applyAlignment="1">
      <alignment horizontal="left" vertical="center" wrapText="1"/>
    </xf>
    <xf numFmtId="3" fontId="0" fillId="0" borderId="10" xfId="0" applyFont="1" applyBorder="1" applyAlignment="1">
      <alignment horizontal="left" vertical="center" wrapText="1"/>
    </xf>
    <xf numFmtId="3" fontId="0" fillId="0" borderId="31" xfId="0" applyFont="1" applyBorder="1" applyAlignment="1">
      <alignment horizontal="left" vertical="center" wrapText="1"/>
    </xf>
    <xf numFmtId="3" fontId="0" fillId="0" borderId="32" xfId="0" applyFont="1" applyBorder="1" applyAlignment="1">
      <alignment horizontal="left" vertical="center" wrapText="1"/>
    </xf>
    <xf numFmtId="3" fontId="0" fillId="0" borderId="8" xfId="0" applyFont="1" applyBorder="1" applyAlignment="1">
      <alignment horizontal="left" vertical="center" wrapText="1"/>
    </xf>
    <xf numFmtId="3" fontId="0" fillId="0" borderId="9" xfId="0" applyFont="1" applyBorder="1" applyAlignment="1">
      <alignment horizontal="left" vertical="center" wrapText="1"/>
    </xf>
    <xf numFmtId="3" fontId="7" fillId="5" borderId="1" xfId="5" applyNumberFormat="1" applyFont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4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5" fillId="6" borderId="2" xfId="0" applyFont="1" applyFill="1" applyBorder="1" applyAlignment="1">
      <alignment horizontal="center" vertical="center"/>
    </xf>
    <xf numFmtId="3" fontId="5" fillId="6" borderId="4" xfId="0" applyFont="1" applyFill="1" applyBorder="1" applyAlignment="1">
      <alignment horizontal="center" vertical="center"/>
    </xf>
    <xf numFmtId="3" fontId="5" fillId="6" borderId="3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3" fontId="0" fillId="0" borderId="6" xfId="0" applyBorder="1" applyAlignment="1">
      <alignment horizontal="center" vertical="center" wrapText="1"/>
    </xf>
    <xf numFmtId="3" fontId="0" fillId="0" borderId="8" xfId="0" applyBorder="1" applyAlignment="1">
      <alignment horizontal="left" vertical="center" wrapText="1" indent="1"/>
    </xf>
    <xf numFmtId="3" fontId="0" fillId="0" borderId="9" xfId="0" applyBorder="1" applyAlignment="1">
      <alignment horizontal="left" vertical="center" wrapText="1" indent="1"/>
    </xf>
    <xf numFmtId="3" fontId="0" fillId="0" borderId="7" xfId="0" applyBorder="1" applyAlignment="1">
      <alignment horizontal="left" vertical="center" wrapText="1" indent="1"/>
    </xf>
    <xf numFmtId="3" fontId="0" fillId="0" borderId="10" xfId="0" applyBorder="1" applyAlignment="1">
      <alignment horizontal="left" vertical="center" wrapText="1" indent="1"/>
    </xf>
    <xf numFmtId="3" fontId="0" fillId="0" borderId="0" xfId="0" applyFont="1" applyAlignment="1">
      <alignment horizontal="left" vertical="center" wrapText="1"/>
    </xf>
    <xf numFmtId="3" fontId="0" fillId="0" borderId="11" xfId="0" applyBorder="1" applyAlignment="1">
      <alignment horizontal="left" vertical="center" wrapText="1" indent="1"/>
    </xf>
    <xf numFmtId="3" fontId="0" fillId="0" borderId="12" xfId="0" applyBorder="1" applyAlignment="1">
      <alignment horizontal="left" vertical="center" wrapText="1" indent="1"/>
    </xf>
    <xf numFmtId="3" fontId="0" fillId="0" borderId="18" xfId="0" applyBorder="1" applyAlignment="1">
      <alignment horizontal="left" vertical="center" wrapText="1" indent="1"/>
    </xf>
    <xf numFmtId="3" fontId="0" fillId="0" borderId="17" xfId="0" applyBorder="1" applyAlignment="1">
      <alignment horizontal="left" vertical="center" wrapText="1" indent="1"/>
    </xf>
    <xf numFmtId="3" fontId="1" fillId="0" borderId="40" xfId="0" applyFont="1" applyBorder="1" applyAlignment="1">
      <alignment horizontal="center" vertical="center" wrapText="1"/>
    </xf>
    <xf numFmtId="3" fontId="1" fillId="0" borderId="0" xfId="0" applyFont="1" applyAlignment="1">
      <alignment horizontal="center" vertical="center" wrapText="1"/>
    </xf>
    <xf numFmtId="3" fontId="10" fillId="9" borderId="35" xfId="0" applyFont="1" applyFill="1" applyBorder="1" applyAlignment="1">
      <alignment horizontal="center" vertical="center"/>
    </xf>
    <xf numFmtId="3" fontId="10" fillId="9" borderId="44" xfId="0" applyFont="1" applyFill="1" applyBorder="1" applyAlignment="1">
      <alignment horizontal="center" vertical="center"/>
    </xf>
    <xf numFmtId="3" fontId="10" fillId="9" borderId="36" xfId="0" applyFont="1" applyFill="1" applyBorder="1" applyAlignment="1">
      <alignment horizontal="center" vertical="center"/>
    </xf>
    <xf numFmtId="3" fontId="0" fillId="0" borderId="0" xfId="4" applyNumberFormat="1" applyFont="1" applyFill="1" applyBorder="1" applyAlignment="1">
      <alignment vertical="center"/>
    </xf>
    <xf numFmtId="166" fontId="0" fillId="0" borderId="0" xfId="4" applyNumberFormat="1" applyFont="1" applyFill="1" applyBorder="1" applyAlignment="1">
      <alignment vertical="center"/>
    </xf>
    <xf numFmtId="41" fontId="0" fillId="0" borderId="0" xfId="4" applyNumberFormat="1" applyFont="1" applyFill="1" applyBorder="1" applyAlignment="1">
      <alignment vertical="center"/>
    </xf>
    <xf numFmtId="166" fontId="0" fillId="0" borderId="0" xfId="5" applyNumberFormat="1" applyFont="1" applyFill="1" applyBorder="1" applyAlignment="1">
      <alignment vertical="center"/>
    </xf>
    <xf numFmtId="41" fontId="0" fillId="0" borderId="0" xfId="5" applyNumberFormat="1" applyFont="1" applyFill="1" applyBorder="1" applyAlignment="1">
      <alignment vertical="center"/>
    </xf>
    <xf numFmtId="3" fontId="7" fillId="0" borderId="0" xfId="4" applyNumberFormat="1" applyFont="1" applyFill="1" applyBorder="1" applyAlignment="1">
      <alignment vertical="center"/>
    </xf>
    <xf numFmtId="10" fontId="7" fillId="0" borderId="0" xfId="4" applyNumberFormat="1" applyFont="1" applyFill="1" applyBorder="1" applyAlignment="1">
      <alignment vertical="center"/>
    </xf>
    <xf numFmtId="41" fontId="7" fillId="0" borderId="0" xfId="4" applyNumberFormat="1" applyFont="1" applyFill="1" applyBorder="1" applyAlignment="1">
      <alignment vertical="center"/>
    </xf>
    <xf numFmtId="166" fontId="7" fillId="0" borderId="0" xfId="4" applyNumberFormat="1" applyFont="1" applyFill="1" applyBorder="1" applyAlignment="1">
      <alignment vertical="center"/>
    </xf>
    <xf numFmtId="10" fontId="7" fillId="0" borderId="0" xfId="5" applyNumberFormat="1" applyFont="1" applyFill="1" applyBorder="1" applyAlignment="1">
      <alignment vertical="center"/>
    </xf>
    <xf numFmtId="41" fontId="7" fillId="0" borderId="0" xfId="5" applyNumberFormat="1" applyFont="1" applyFill="1" applyBorder="1" applyAlignment="1">
      <alignment vertical="center"/>
    </xf>
    <xf numFmtId="166" fontId="7" fillId="0" borderId="0" xfId="5" applyNumberFormat="1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41" fontId="0" fillId="0" borderId="0" xfId="1" applyFont="1" applyFill="1" applyBorder="1" applyAlignment="1">
      <alignment vertical="center"/>
    </xf>
    <xf numFmtId="175" fontId="0" fillId="0" borderId="0" xfId="0" applyNumberFormat="1" applyFill="1" applyBorder="1">
      <alignment vertical="center"/>
    </xf>
    <xf numFmtId="3" fontId="7" fillId="8" borderId="1" xfId="6" applyNumberFormat="1" applyFont="1" applyAlignment="1">
      <alignment horizontal="center" vertical="center"/>
    </xf>
    <xf numFmtId="3" fontId="0" fillId="4" borderId="45" xfId="4" applyNumberFormat="1" applyFont="1" applyBorder="1" applyAlignment="1">
      <alignment horizontal="center" vertical="center"/>
    </xf>
    <xf numFmtId="166" fontId="0" fillId="4" borderId="3" xfId="4" applyNumberFormat="1" applyFont="1" applyBorder="1" applyAlignment="1">
      <alignment vertical="center"/>
    </xf>
    <xf numFmtId="165" fontId="3" fillId="2" borderId="46" xfId="7" applyNumberFormat="1" applyFont="1" applyFill="1" applyBorder="1" applyAlignment="1">
      <alignment horizontal="center" vertical="center"/>
    </xf>
    <xf numFmtId="41" fontId="0" fillId="4" borderId="1" xfId="1" applyFont="1" applyFill="1" applyBorder="1" applyAlignment="1">
      <alignment vertical="center"/>
    </xf>
    <xf numFmtId="41" fontId="0" fillId="4" borderId="3" xfId="1" applyFont="1" applyFill="1" applyBorder="1" applyAlignment="1">
      <alignment vertical="center"/>
    </xf>
    <xf numFmtId="41" fontId="7" fillId="5" borderId="2" xfId="5" applyNumberFormat="1" applyFont="1" applyBorder="1" applyAlignment="1">
      <alignment vertical="center"/>
    </xf>
    <xf numFmtId="41" fontId="7" fillId="4" borderId="2" xfId="4" applyNumberFormat="1" applyFont="1" applyBorder="1" applyAlignment="1">
      <alignment vertical="center"/>
    </xf>
    <xf numFmtId="166" fontId="7" fillId="0" borderId="0" xfId="5" applyNumberFormat="1" applyFont="1" applyFill="1" applyBorder="1" applyAlignment="1">
      <alignment horizontal="center" vertical="center" wrapText="1"/>
    </xf>
  </cellXfs>
  <cellStyles count="8">
    <cellStyle name="Calculation" xfId="6" builtinId="22" customBuiltin="1"/>
    <cellStyle name="Comma" xfId="1" builtinId="3" customBuiltin="1"/>
    <cellStyle name="Good" xfId="2" builtinId="26" customBuiltin="1"/>
    <cellStyle name="Input" xfId="3" builtinId="20" customBuiltin="1"/>
    <cellStyle name="Neutral" xfId="5" builtinId="28" customBuiltin="1"/>
    <cellStyle name="Normal" xfId="0" builtinId="0" customBuiltin="1"/>
    <cellStyle name="Note" xfId="4" builtinId="10" customBuiltin="1"/>
    <cellStyle name="Percent" xfId="7" builtinId="5"/>
  </cellStyles>
  <dxfs count="8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63"/>
  <sheetViews>
    <sheetView showGridLines="0" tabSelected="1" workbookViewId="0">
      <selection sqref="A1:C1"/>
    </sheetView>
  </sheetViews>
  <sheetFormatPr defaultColWidth="10.83203125" defaultRowHeight="11.25" x14ac:dyDescent="0.2"/>
  <cols>
    <col min="4" max="20" width="12.83203125" customWidth="1"/>
  </cols>
  <sheetData>
    <row r="1" spans="1:10" ht="21.75" customHeight="1" x14ac:dyDescent="0.2">
      <c r="A1" s="168" t="s">
        <v>89</v>
      </c>
      <c r="B1" s="169"/>
      <c r="C1" s="170"/>
      <c r="D1" s="184" t="s">
        <v>111</v>
      </c>
      <c r="E1" s="185"/>
      <c r="F1" s="185"/>
    </row>
    <row r="2" spans="1:10" ht="21.75" customHeight="1" x14ac:dyDescent="0.2">
      <c r="A2" s="171">
        <v>43958</v>
      </c>
      <c r="B2" s="172"/>
      <c r="C2" s="173"/>
      <c r="D2" s="184"/>
      <c r="E2" s="185"/>
      <c r="F2" s="185"/>
    </row>
    <row r="7" spans="1:10" x14ac:dyDescent="0.2">
      <c r="H7" t="s">
        <v>0</v>
      </c>
      <c r="I7" s="2" t="s">
        <v>110</v>
      </c>
    </row>
    <row r="8" spans="1:10" x14ac:dyDescent="0.2">
      <c r="H8" t="s">
        <v>1</v>
      </c>
      <c r="I8" s="1" t="s">
        <v>2</v>
      </c>
    </row>
    <row r="9" spans="1:10" x14ac:dyDescent="0.2">
      <c r="H9" t="s">
        <v>3</v>
      </c>
    </row>
    <row r="10" spans="1:10" x14ac:dyDescent="0.2">
      <c r="H10" t="s">
        <v>4</v>
      </c>
      <c r="I10" s="3">
        <v>4.2000000000000003E-2</v>
      </c>
    </row>
    <row r="11" spans="1:10" x14ac:dyDescent="0.2">
      <c r="H11" t="s">
        <v>5</v>
      </c>
      <c r="I11" s="3">
        <v>3.2000000000000001E-2</v>
      </c>
    </row>
    <row r="12" spans="1:10" x14ac:dyDescent="0.2">
      <c r="H12" t="s">
        <v>6</v>
      </c>
      <c r="I12" s="3">
        <v>4.4999999999999998E-2</v>
      </c>
      <c r="J12" s="107"/>
    </row>
    <row r="13" spans="1:10" x14ac:dyDescent="0.2">
      <c r="H13" t="s">
        <v>105</v>
      </c>
      <c r="I13" s="3">
        <v>4.4999999999999998E-2</v>
      </c>
    </row>
    <row r="14" spans="1:10" x14ac:dyDescent="0.2">
      <c r="H14" t="s">
        <v>106</v>
      </c>
      <c r="I14" s="3">
        <v>6.5000000000000002E-2</v>
      </c>
    </row>
    <row r="17" spans="2:21" ht="24" customHeight="1" x14ac:dyDescent="0.2">
      <c r="H17" s="13" t="s">
        <v>14</v>
      </c>
      <c r="I17" s="14"/>
      <c r="J17" s="14"/>
      <c r="K17" s="14"/>
      <c r="L17" s="14"/>
      <c r="M17" s="14"/>
      <c r="N17" s="14"/>
      <c r="O17" s="14"/>
      <c r="P17" s="14"/>
      <c r="Q17" s="14"/>
      <c r="R17" s="15"/>
    </row>
    <row r="18" spans="2:21" ht="24" customHeight="1" x14ac:dyDescent="0.2">
      <c r="H18" s="16" t="s">
        <v>7</v>
      </c>
      <c r="I18" s="17"/>
      <c r="J18" s="17"/>
      <c r="K18" s="17"/>
      <c r="L18" s="17"/>
      <c r="M18" s="17"/>
      <c r="N18" s="17"/>
      <c r="O18" s="17"/>
      <c r="P18" s="17"/>
      <c r="Q18" s="164" t="str">
        <f>"valores na data base,
pelo "&amp;infla</f>
        <v>valores na data base,
pelo Ipca</v>
      </c>
      <c r="R18" s="164"/>
    </row>
    <row r="19" spans="2:21" s="7" customFormat="1" ht="5.25" customHeight="1" x14ac:dyDescent="0.2">
      <c r="C19" s="8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2:21" ht="24" customHeight="1" x14ac:dyDescent="0.2">
      <c r="H20" s="65" t="s">
        <v>21</v>
      </c>
      <c r="I20" s="66"/>
      <c r="J20" s="66"/>
      <c r="K20" s="67"/>
      <c r="L20" s="67"/>
      <c r="M20" s="68"/>
    </row>
    <row r="21" spans="2:21" ht="24" customHeight="1" x14ac:dyDescent="0.2">
      <c r="C21" s="1">
        <v>2000</v>
      </c>
      <c r="H21" s="175" t="s">
        <v>17</v>
      </c>
      <c r="I21" s="175"/>
      <c r="J21" s="176"/>
      <c r="K21" s="41">
        <f>+C21</f>
        <v>2000</v>
      </c>
      <c r="L21" s="20"/>
      <c r="M21" s="23"/>
    </row>
    <row r="22" spans="2:21" ht="24" customHeight="1" x14ac:dyDescent="0.2">
      <c r="C22" s="6">
        <v>3</v>
      </c>
      <c r="H22" s="177" t="s">
        <v>16</v>
      </c>
      <c r="I22" s="177"/>
      <c r="J22" s="178"/>
      <c r="K22" s="19" t="str">
        <f>"| Acomp | = "&amp;TEXT(C22,"0,00")&amp;" x ater"</f>
        <v>| Acomp | = 3,00 x ater</v>
      </c>
      <c r="L22" s="21"/>
      <c r="M22" s="24">
        <f>C22*C21</f>
        <v>6000</v>
      </c>
    </row>
    <row r="23" spans="2:21" ht="24" customHeight="1" x14ac:dyDescent="0.2">
      <c r="C23" s="6">
        <v>1.25</v>
      </c>
      <c r="H23" s="177" t="s">
        <v>22</v>
      </c>
      <c r="I23" s="177"/>
      <c r="J23" s="178"/>
      <c r="K23" s="19" t="str">
        <f>"| Apr | = "&amp;TEXT(C23,"0,00")&amp;" x Acomp"</f>
        <v>| Apr | = 1,25 x Acomp</v>
      </c>
      <c r="L23" s="21"/>
      <c r="M23" s="24">
        <f>ROUND(C23*M22,0)</f>
        <v>7500</v>
      </c>
    </row>
    <row r="24" spans="2:21" ht="24" customHeight="1" x14ac:dyDescent="0.2">
      <c r="C24" s="6">
        <v>1.1200000000000001</v>
      </c>
      <c r="H24" s="180" t="s">
        <v>18</v>
      </c>
      <c r="I24" s="180"/>
      <c r="J24" s="181"/>
      <c r="K24" s="5" t="str">
        <f>"| Aec | = "&amp;TEXT(C24,"0,00")&amp;" x Apr"</f>
        <v>| Aec | = 1,12 x Apr</v>
      </c>
      <c r="L24" s="22"/>
      <c r="M24" s="25">
        <f>ROUND(C24*M23,0)</f>
        <v>8400</v>
      </c>
    </row>
    <row r="25" spans="2:21" s="7" customFormat="1" ht="5.25" x14ac:dyDescent="0.2">
      <c r="C25" s="8"/>
      <c r="H25" s="71"/>
      <c r="I25" s="72"/>
      <c r="J25" s="73"/>
      <c r="K25" s="50"/>
      <c r="L25" s="73"/>
      <c r="M25" s="9"/>
      <c r="N25" s="50"/>
      <c r="O25" s="72"/>
      <c r="P25" s="73"/>
      <c r="Q25" s="58"/>
      <c r="R25" s="55"/>
    </row>
    <row r="26" spans="2:21" ht="36" customHeight="1" x14ac:dyDescent="0.2">
      <c r="H26" s="69" t="s">
        <v>29</v>
      </c>
      <c r="I26" s="67"/>
      <c r="J26" s="68"/>
      <c r="K26" s="174" t="s">
        <v>15</v>
      </c>
      <c r="L26" s="167"/>
      <c r="M26" s="12" t="s">
        <v>12</v>
      </c>
      <c r="N26" s="12" t="s">
        <v>30</v>
      </c>
      <c r="O26" s="12" t="s">
        <v>8</v>
      </c>
      <c r="P26" s="56" t="s">
        <v>19</v>
      </c>
    </row>
    <row r="27" spans="2:21" s="7" customFormat="1" ht="5.25" x14ac:dyDescent="0.2">
      <c r="C27" s="8"/>
      <c r="H27" s="71"/>
      <c r="I27" s="72"/>
      <c r="J27" s="73"/>
      <c r="K27" s="50"/>
      <c r="L27" s="73"/>
      <c r="M27" s="9"/>
      <c r="N27" s="9"/>
      <c r="O27" s="9"/>
      <c r="P27" s="9"/>
      <c r="Q27" s="9"/>
      <c r="R27" s="9"/>
    </row>
    <row r="28" spans="2:21" ht="24" customHeight="1" x14ac:dyDescent="0.2">
      <c r="C28" s="1">
        <v>10000</v>
      </c>
      <c r="D28" s="46"/>
      <c r="E28" s="96">
        <v>1</v>
      </c>
      <c r="F28" s="46"/>
      <c r="G28" s="46"/>
      <c r="H28" s="162" t="s">
        <v>23</v>
      </c>
      <c r="I28" s="162"/>
      <c r="J28" s="162"/>
      <c r="K28" s="26" t="str">
        <f>"preço = "&amp;TEXT(C28,"0.0")</f>
        <v>preço = 10.000</v>
      </c>
      <c r="L28" s="27"/>
      <c r="M28" s="28">
        <f>+E28</f>
        <v>1</v>
      </c>
      <c r="N28" s="23"/>
      <c r="O28" s="59"/>
      <c r="P28" s="59">
        <f>+C28</f>
        <v>10000</v>
      </c>
      <c r="Q28" s="18">
        <v>9727</v>
      </c>
      <c r="R28" s="54">
        <f>Q28/P28-1</f>
        <v>-2.7299999999999991E-2</v>
      </c>
    </row>
    <row r="29" spans="2:21" ht="24" customHeight="1" x14ac:dyDescent="0.2">
      <c r="C29" s="3">
        <v>0.1</v>
      </c>
      <c r="D29" s="46"/>
      <c r="E29" s="46"/>
      <c r="F29" s="46"/>
      <c r="G29" s="46"/>
      <c r="H29" s="182" t="s">
        <v>9</v>
      </c>
      <c r="I29" s="182"/>
      <c r="J29" s="183"/>
      <c r="K29" s="41">
        <f>ROUND(C29*C28,0)</f>
        <v>1000</v>
      </c>
      <c r="L29" s="32"/>
      <c r="M29" s="28">
        <f>+E28</f>
        <v>1</v>
      </c>
      <c r="N29" s="36"/>
      <c r="O29" s="60" t="s">
        <v>11</v>
      </c>
      <c r="P29" s="63"/>
      <c r="Q29" s="4"/>
    </row>
    <row r="30" spans="2:21" ht="24" customHeight="1" x14ac:dyDescent="0.2">
      <c r="C30" s="10">
        <f>(C28-K29)/E30</f>
        <v>600</v>
      </c>
      <c r="D30" s="46"/>
      <c r="E30" s="96">
        <v>15</v>
      </c>
      <c r="F30" s="46">
        <f>+E28+1</f>
        <v>2</v>
      </c>
      <c r="G30" s="46">
        <f>+F30+E30-1</f>
        <v>16</v>
      </c>
      <c r="H30" s="177" t="s">
        <v>10</v>
      </c>
      <c r="I30" s="177"/>
      <c r="J30" s="178"/>
      <c r="K30" s="42" t="str">
        <f>TEXT(E30,0)&amp;" x "&amp;TEXT(C30,"0.0")</f>
        <v>15 x 600</v>
      </c>
      <c r="M30" s="28" t="str">
        <f>TEXT(F30,0)&amp;" | "&amp;TEXT(G30,0)</f>
        <v>2 | 16</v>
      </c>
      <c r="N30" s="36"/>
      <c r="O30" s="60" t="s">
        <v>11</v>
      </c>
      <c r="P30" s="24"/>
      <c r="Q30" s="18"/>
      <c r="R30" s="70"/>
    </row>
    <row r="31" spans="2:21" ht="24" customHeight="1" x14ac:dyDescent="0.2">
      <c r="C31" s="3">
        <v>0.04</v>
      </c>
      <c r="D31" s="46"/>
      <c r="E31" s="46"/>
      <c r="F31" s="46"/>
      <c r="G31" s="46"/>
      <c r="H31" s="158" t="s">
        <v>24</v>
      </c>
      <c r="I31" s="158"/>
      <c r="J31" s="158"/>
      <c r="K31" s="29" t="str">
        <f>TEXT(C31,"0,0%")&amp;" x Ter"</f>
        <v>4,0% x Ter</v>
      </c>
      <c r="L31" s="32"/>
      <c r="M31" s="33">
        <f>+M29</f>
        <v>1</v>
      </c>
      <c r="N31" s="37"/>
      <c r="O31" s="60" t="s">
        <v>11</v>
      </c>
      <c r="P31" s="24">
        <f>ROUND(C31*C28,0)</f>
        <v>400</v>
      </c>
      <c r="Q31" s="18">
        <v>399</v>
      </c>
      <c r="R31" s="54">
        <f>Q31/P31-1</f>
        <v>-2.4999999999999467E-3</v>
      </c>
    </row>
    <row r="32" spans="2:21" ht="24" customHeight="1" x14ac:dyDescent="0.2">
      <c r="B32" s="96">
        <v>8</v>
      </c>
      <c r="C32" s="3">
        <v>0.06</v>
      </c>
      <c r="D32" s="96">
        <v>1</v>
      </c>
      <c r="E32" s="136">
        <f ca="1">IF(AND(FPglo="referencial",FPpest="referencial"),B32,B32+ROUND(RAND()*C119,0))</f>
        <v>8</v>
      </c>
      <c r="F32" s="46">
        <f>+E28+D32</f>
        <v>2</v>
      </c>
      <c r="G32" s="46">
        <f ca="1">+F32+E32-1</f>
        <v>9</v>
      </c>
      <c r="H32" s="158" t="s">
        <v>25</v>
      </c>
      <c r="I32" s="158"/>
      <c r="J32" s="158"/>
      <c r="K32" s="30" t="str">
        <f>TEXT(C32,"0,0%")&amp;" x Tci"</f>
        <v>6,0% x Tci</v>
      </c>
      <c r="L32" s="21"/>
      <c r="M32" s="28" t="str">
        <f ca="1">TEXT(F32,0)&amp;" | "&amp;TEXT(G32,0)</f>
        <v>2 | 9</v>
      </c>
      <c r="N32" s="28" t="str">
        <f>TEXT(S32*100,0)&amp;" | "&amp;TEXT(T32*100,0)&amp;" | "&amp;TEXT(U32*100,0)&amp; " |%"</f>
        <v>25 | 40 | 35 |%</v>
      </c>
      <c r="O32" s="60" t="s">
        <v>2</v>
      </c>
      <c r="P32" s="24">
        <f ca="1">P36-SUM(P28:P31,P33:P34)</f>
        <v>2808</v>
      </c>
      <c r="Q32" s="18">
        <v>2808</v>
      </c>
      <c r="R32" s="54">
        <f ca="1">Q32/P32-1</f>
        <v>0</v>
      </c>
      <c r="S32" s="3">
        <v>0.25</v>
      </c>
      <c r="T32" s="3">
        <v>0.4</v>
      </c>
      <c r="U32" s="11">
        <f>1-S32-T32</f>
        <v>0.35</v>
      </c>
    </row>
    <row r="33" spans="2:22" ht="24" customHeight="1" x14ac:dyDescent="0.2">
      <c r="B33" s="96">
        <v>18</v>
      </c>
      <c r="C33" s="1">
        <v>3500</v>
      </c>
      <c r="D33" s="96">
        <v>6</v>
      </c>
      <c r="E33" s="136">
        <f ca="1">IF(AND(FPglo="referencial",FPpcon="referencial"),B33,B33+ROUND(RAND()*C120,0))</f>
        <v>18</v>
      </c>
      <c r="F33" s="46">
        <f ca="1">+G32+D33</f>
        <v>15</v>
      </c>
      <c r="G33" s="46">
        <f ca="1">+F33+E33-1</f>
        <v>32</v>
      </c>
      <c r="H33" s="158" t="s">
        <v>26</v>
      </c>
      <c r="I33" s="158"/>
      <c r="J33" s="158"/>
      <c r="K33" s="30" t="str">
        <f>"R$ "&amp;TEXT(C33,"0.0")&amp;" / m2 Aec"</f>
        <v>R$ 3.500 / m2 Aec</v>
      </c>
      <c r="L33" s="21"/>
      <c r="M33" s="28" t="str">
        <f ca="1">TEXT(F33,0)&amp;" | "&amp;TEXT(G33,0)</f>
        <v>15 | 32</v>
      </c>
      <c r="N33" s="43" t="str">
        <f>TEXT(S33*100,0)&amp;" | "&amp;TEXT(T33*100,0)&amp;" | "&amp;TEXT(U33*100,0)&amp;" |
"&amp;TEXT(V33*100,0)&amp;" |%"</f>
        <v>14 | 22 | 36 |
28 |%</v>
      </c>
      <c r="O33" s="60" t="s">
        <v>13</v>
      </c>
      <c r="P33" s="24">
        <f>ROUND(C33*M24/1000,0)</f>
        <v>29400</v>
      </c>
      <c r="Q33" s="18">
        <v>28843</v>
      </c>
      <c r="R33" s="54">
        <f>Q33/P33-1</f>
        <v>-1.8945578231292504E-2</v>
      </c>
      <c r="S33" s="3">
        <v>0.14000000000000001</v>
      </c>
      <c r="T33" s="3">
        <v>0.22</v>
      </c>
      <c r="U33" s="3">
        <v>0.36</v>
      </c>
      <c r="V33" s="11">
        <f>1-SUM(S33:U33)</f>
        <v>0.28000000000000003</v>
      </c>
    </row>
    <row r="34" spans="2:22" ht="24" customHeight="1" x14ac:dyDescent="0.2">
      <c r="C34" s="3">
        <v>0.14000000000000001</v>
      </c>
      <c r="D34" s="137">
        <f ca="1">ROUNDUP(C34*P33/(G34-F34+1),0)</f>
        <v>109</v>
      </c>
      <c r="E34" s="138">
        <f ca="1">P34/P33</f>
        <v>0.1408843537414966</v>
      </c>
      <c r="F34" s="46">
        <f>+F32</f>
        <v>2</v>
      </c>
      <c r="G34" s="46">
        <f ca="1">+G49</f>
        <v>39</v>
      </c>
      <c r="H34" s="179" t="s">
        <v>49</v>
      </c>
      <c r="I34" s="179"/>
      <c r="J34" s="179"/>
      <c r="K34" s="31" t="str">
        <f ca="1">TEXT(E34,"0,00%")&amp;" x CCon"</f>
        <v>14,09% x CCon</v>
      </c>
      <c r="L34" s="22"/>
      <c r="M34" s="34" t="str">
        <f ca="1">TEXT(F34,0)&amp;" | "&amp;TEXT(G34,0)</f>
        <v>2 | 39</v>
      </c>
      <c r="N34" s="35"/>
      <c r="O34" s="61" t="s">
        <v>28</v>
      </c>
      <c r="P34" s="25">
        <f ca="1">D34*(G34-F34+1)</f>
        <v>4142</v>
      </c>
      <c r="Q34" s="4">
        <v>4065</v>
      </c>
      <c r="R34" s="52">
        <f ca="1">Q34/P34-1</f>
        <v>-1.859005311443751E-2</v>
      </c>
    </row>
    <row r="35" spans="2:22" s="7" customFormat="1" ht="5.25" x14ac:dyDescent="0.2">
      <c r="C35" s="8"/>
      <c r="H35" s="71"/>
      <c r="I35" s="72"/>
      <c r="J35" s="73"/>
      <c r="K35" s="50"/>
      <c r="L35" s="72"/>
      <c r="M35" s="72"/>
      <c r="N35" s="72"/>
      <c r="O35" s="73"/>
      <c r="P35" s="9"/>
      <c r="Q35" s="9"/>
      <c r="R35" s="9"/>
    </row>
    <row r="36" spans="2:22" ht="24" customHeight="1" x14ac:dyDescent="0.2">
      <c r="H36" t="s">
        <v>27</v>
      </c>
      <c r="K36" s="38" t="s">
        <v>20</v>
      </c>
      <c r="P36" s="39">
        <f ca="1">ROUND(SUM(P28:P31,P33:P34)/(1-C32),-1)</f>
        <v>46750</v>
      </c>
      <c r="Q36" s="40">
        <f>SUM(Q28:Q34)</f>
        <v>45842</v>
      </c>
      <c r="R36" s="53">
        <f ca="1">Q36/P36-1</f>
        <v>-1.9422459893048138E-2</v>
      </c>
    </row>
    <row r="37" spans="2:22" s="7" customFormat="1" ht="5.25" x14ac:dyDescent="0.2">
      <c r="C37" s="8"/>
      <c r="H37" s="71"/>
      <c r="I37" s="72"/>
      <c r="J37" s="72"/>
      <c r="K37" s="72"/>
      <c r="L37" s="72"/>
      <c r="M37" s="72"/>
      <c r="N37" s="72"/>
      <c r="O37" s="73"/>
      <c r="P37" s="9"/>
      <c r="Q37" s="9"/>
      <c r="R37" s="9"/>
    </row>
    <row r="41" spans="2:22" ht="24" customHeight="1" x14ac:dyDescent="0.2">
      <c r="H41" s="13" t="s">
        <v>31</v>
      </c>
      <c r="I41" s="14"/>
      <c r="J41" s="14"/>
      <c r="K41" s="14"/>
      <c r="L41" s="14"/>
      <c r="M41" s="14"/>
      <c r="N41" s="14"/>
      <c r="O41" s="14"/>
      <c r="P41" s="14"/>
      <c r="Q41" s="14"/>
      <c r="R41" s="15"/>
    </row>
    <row r="42" spans="2:22" ht="24" customHeight="1" x14ac:dyDescent="0.2">
      <c r="H42" s="16" t="s">
        <v>7</v>
      </c>
      <c r="I42" s="17"/>
      <c r="J42" s="17"/>
      <c r="K42" s="17"/>
      <c r="L42" s="17"/>
      <c r="M42" s="17"/>
      <c r="N42" s="17"/>
      <c r="O42" s="17"/>
      <c r="P42" s="17"/>
      <c r="Q42" s="164" t="str">
        <f>"valores na data base,
pelo "&amp;infla</f>
        <v>valores na data base,
pelo Ipca</v>
      </c>
      <c r="R42" s="164"/>
    </row>
    <row r="43" spans="2:22" s="7" customFormat="1" ht="5.25" customHeight="1" x14ac:dyDescent="0.2">
      <c r="C43" s="8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3"/>
    </row>
    <row r="44" spans="2:22" ht="36" customHeight="1" x14ac:dyDescent="0.2">
      <c r="H44" s="69" t="s">
        <v>29</v>
      </c>
      <c r="I44" s="67"/>
      <c r="J44" s="68"/>
      <c r="K44" s="165" t="s">
        <v>15</v>
      </c>
      <c r="L44" s="166"/>
      <c r="M44" s="167"/>
      <c r="N44" s="44" t="s">
        <v>12</v>
      </c>
      <c r="O44" s="44" t="s">
        <v>8</v>
      </c>
      <c r="P44" s="89" t="s">
        <v>19</v>
      </c>
    </row>
    <row r="45" spans="2:22" s="7" customFormat="1" ht="5.25" x14ac:dyDescent="0.2">
      <c r="C45" s="8"/>
      <c r="H45" s="71"/>
      <c r="I45" s="72"/>
      <c r="J45" s="73"/>
      <c r="K45" s="50"/>
      <c r="L45" s="72"/>
      <c r="M45" s="73"/>
      <c r="N45" s="9"/>
      <c r="O45" s="9"/>
      <c r="P45" s="9"/>
      <c r="Q45" s="9"/>
      <c r="R45" s="9"/>
    </row>
    <row r="46" spans="2:22" ht="24" customHeight="1" x14ac:dyDescent="0.2">
      <c r="C46" s="1">
        <v>9600</v>
      </c>
      <c r="H46" s="162" t="s">
        <v>59</v>
      </c>
      <c r="I46" s="162"/>
      <c r="J46" s="163"/>
      <c r="K46" s="97" t="str">
        <f>"R$ "&amp;TEXT(C46,"0.0")&amp;" / m2 Apr"</f>
        <v>R$ 9.600 / m2 Apr</v>
      </c>
      <c r="L46" s="98"/>
      <c r="M46" s="20"/>
      <c r="N46" s="28"/>
      <c r="O46" s="74" t="s">
        <v>32</v>
      </c>
      <c r="P46" s="39">
        <f>ROUND(C46*M23/1000,0)</f>
        <v>72000</v>
      </c>
      <c r="Q46" s="40">
        <v>71615</v>
      </c>
      <c r="R46" s="53">
        <f>Q46/P46-1</f>
        <v>-5.3472222222221699E-3</v>
      </c>
    </row>
    <row r="47" spans="2:22" ht="24" customHeight="1" x14ac:dyDescent="0.2">
      <c r="C47" s="3">
        <v>0.1</v>
      </c>
      <c r="H47" s="160" t="s">
        <v>33</v>
      </c>
      <c r="I47" s="160"/>
      <c r="J47" s="161"/>
      <c r="K47" s="19" t="s">
        <v>9</v>
      </c>
      <c r="L47" s="77"/>
      <c r="M47" s="78" t="str">
        <f>TEXT(C47,"0,0%")&amp;"
preço"</f>
        <v>10,0%
preço</v>
      </c>
      <c r="N47" s="28"/>
      <c r="O47" s="60"/>
      <c r="P47" s="103"/>
      <c r="Q47" s="87"/>
      <c r="R47" s="88"/>
    </row>
    <row r="48" spans="2:22" ht="24" customHeight="1" x14ac:dyDescent="0.2">
      <c r="C48" s="3">
        <v>0.15</v>
      </c>
      <c r="D48" s="96">
        <v>1</v>
      </c>
      <c r="E48" s="46"/>
      <c r="F48" s="46"/>
      <c r="G48" s="46">
        <f ca="1">+G33+D48</f>
        <v>33</v>
      </c>
      <c r="H48" s="48"/>
      <c r="I48" s="48"/>
      <c r="J48" s="81"/>
      <c r="K48" s="79" t="s">
        <v>34</v>
      </c>
      <c r="L48" s="32"/>
      <c r="M48" s="82" t="str">
        <f t="shared" ref="M48:M49" si="0">TEXT(C48,"0,0%")&amp;"
preço"</f>
        <v>15,0%
preço</v>
      </c>
      <c r="N48" s="33" t="str">
        <f ca="1">"mês | "&amp;G48</f>
        <v>mês | 33</v>
      </c>
      <c r="O48" s="60" t="s">
        <v>13</v>
      </c>
    </row>
    <row r="49" spans="1:19" ht="24" customHeight="1" x14ac:dyDescent="0.2">
      <c r="A49" s="96">
        <v>3</v>
      </c>
      <c r="B49" s="96">
        <v>5</v>
      </c>
      <c r="C49" s="76">
        <f>1-C47-C48</f>
        <v>0.75</v>
      </c>
      <c r="D49" s="136">
        <f ca="1">IF(AND(FPglo="referencial",FPirep="referencial"),A49,A49+ROUND(RAND()*C121,0))</f>
        <v>3</v>
      </c>
      <c r="E49" s="136">
        <f ca="1">IF(AND(FPglo="referencial",FPprep="referencial"),B49,B49+ROUND(RAND()*C122,0))</f>
        <v>5</v>
      </c>
      <c r="F49" s="46">
        <f ca="1">+G33+D49</f>
        <v>35</v>
      </c>
      <c r="G49" s="46">
        <f ca="1">+F49+E49-1</f>
        <v>39</v>
      </c>
      <c r="H49" s="70"/>
      <c r="I49" s="70"/>
      <c r="J49" s="21"/>
      <c r="K49" s="19" t="s">
        <v>35</v>
      </c>
      <c r="L49" s="21"/>
      <c r="M49" s="78" t="str">
        <f t="shared" si="0"/>
        <v>75,0%
preço</v>
      </c>
      <c r="N49" s="28" t="str">
        <f ca="1">TEXT(F49,0)&amp;" | "&amp;TEXT(G49,0)</f>
        <v>35 | 39</v>
      </c>
      <c r="O49" s="60" t="s">
        <v>13</v>
      </c>
      <c r="P49" s="86"/>
      <c r="Q49" s="48"/>
      <c r="R49" s="48"/>
      <c r="S49" s="48"/>
    </row>
    <row r="50" spans="1:19" ht="24" customHeight="1" x14ac:dyDescent="0.2">
      <c r="B50" s="3">
        <v>0.35</v>
      </c>
      <c r="C50" s="3">
        <v>0.35</v>
      </c>
      <c r="D50" s="96">
        <v>1</v>
      </c>
      <c r="E50" s="96">
        <v>6</v>
      </c>
      <c r="F50" s="46">
        <f ca="1">+G32+D50</f>
        <v>10</v>
      </c>
      <c r="G50" s="46">
        <f ca="1">+F50+E50-1</f>
        <v>15</v>
      </c>
      <c r="H50" s="160" t="s">
        <v>36</v>
      </c>
      <c r="I50" s="160"/>
      <c r="J50" s="161"/>
      <c r="K50" s="19" t="s">
        <v>37</v>
      </c>
      <c r="L50" s="77"/>
      <c r="M50" s="83" t="str">
        <f>TEXT(C50,"0,0%")&amp;"
unidades"</f>
        <v>35,0%
unidades</v>
      </c>
      <c r="N50" s="28" t="str">
        <f ca="1">TEXT(F50,0)&amp;" | "&amp;TEXT(G50,0)</f>
        <v>10 | 15</v>
      </c>
      <c r="O50" s="60" t="s">
        <v>32</v>
      </c>
      <c r="P50" s="62"/>
      <c r="Q50" s="87"/>
      <c r="R50" s="88"/>
      <c r="S50" s="48"/>
    </row>
    <row r="51" spans="1:19" ht="24" customHeight="1" x14ac:dyDescent="0.2">
      <c r="C51" s="76">
        <f>1-C50-C52</f>
        <v>0.55000000000000004</v>
      </c>
      <c r="D51" s="96">
        <v>-1</v>
      </c>
      <c r="E51" s="46"/>
      <c r="F51" s="46">
        <f ca="1">+G50+1</f>
        <v>16</v>
      </c>
      <c r="G51" s="46">
        <f ca="1">+G33+D51</f>
        <v>31</v>
      </c>
      <c r="H51" s="48"/>
      <c r="I51" s="48"/>
      <c r="J51" s="81"/>
      <c r="K51" s="19" t="s">
        <v>38</v>
      </c>
      <c r="L51" s="32"/>
      <c r="M51" s="83" t="str">
        <f t="shared" ref="M51:M52" si="1">TEXT(C51,"0,0%")&amp;"
unidades"</f>
        <v>55,0%
unidades</v>
      </c>
      <c r="N51" s="28" t="str">
        <f ca="1">TEXT(F51,0)&amp;" | "&amp;TEXT(G51,0)</f>
        <v>16 | 31</v>
      </c>
      <c r="O51" s="60" t="s">
        <v>32</v>
      </c>
      <c r="P51" s="86"/>
      <c r="Q51" s="48"/>
      <c r="R51" s="48"/>
      <c r="S51" s="48"/>
    </row>
    <row r="52" spans="1:19" ht="24" customHeight="1" x14ac:dyDescent="0.2">
      <c r="B52" s="3">
        <v>0.1</v>
      </c>
      <c r="C52" s="3">
        <v>0.1</v>
      </c>
      <c r="D52" s="46"/>
      <c r="E52" s="46"/>
      <c r="F52" s="46" t="s">
        <v>57</v>
      </c>
      <c r="G52" s="115">
        <f ca="1">+G49</f>
        <v>39</v>
      </c>
      <c r="H52" s="48"/>
      <c r="I52" s="48"/>
      <c r="J52" s="81"/>
      <c r="K52" s="5" t="s">
        <v>39</v>
      </c>
      <c r="L52" s="81"/>
      <c r="M52" s="84" t="str">
        <f t="shared" si="1"/>
        <v>10,0%
unidades</v>
      </c>
      <c r="N52" s="64" t="str">
        <f ca="1">"stress
mês | "&amp;G52</f>
        <v>stress
mês | 39</v>
      </c>
      <c r="O52" s="85" t="s">
        <v>32</v>
      </c>
      <c r="S52" s="48"/>
    </row>
    <row r="53" spans="1:19" s="7" customFormat="1" ht="5.25" x14ac:dyDescent="0.2">
      <c r="C53" s="8"/>
      <c r="D53" s="57"/>
      <c r="E53" s="57"/>
      <c r="F53" s="57"/>
      <c r="G53" s="57"/>
      <c r="H53" s="71"/>
      <c r="I53" s="72"/>
      <c r="J53" s="73"/>
      <c r="K53" s="50"/>
      <c r="L53" s="72"/>
      <c r="M53" s="73"/>
      <c r="N53" s="9"/>
      <c r="O53" s="9"/>
      <c r="P53" s="9"/>
      <c r="Q53" s="9"/>
      <c r="R53" s="9"/>
    </row>
    <row r="54" spans="1:19" ht="24" customHeight="1" x14ac:dyDescent="0.2">
      <c r="C54" s="99">
        <v>6.7299999999999999E-2</v>
      </c>
      <c r="D54" s="46"/>
      <c r="E54" s="46"/>
      <c r="F54" s="46"/>
      <c r="G54" s="46"/>
      <c r="H54" s="162" t="s">
        <v>43</v>
      </c>
      <c r="I54" s="162"/>
      <c r="J54" s="163"/>
      <c r="K54" s="90" t="s">
        <v>44</v>
      </c>
      <c r="L54" s="51"/>
      <c r="M54" s="78" t="str">
        <f>TEXT(C54,"0,00%")&amp;"
receita"</f>
        <v>6,73%
receita</v>
      </c>
      <c r="O54" s="95"/>
      <c r="P54" s="75">
        <f>-ROUND(C54*$P$46,0)</f>
        <v>-4846</v>
      </c>
      <c r="Q54" s="18">
        <v>-4817</v>
      </c>
    </row>
    <row r="55" spans="1:19" ht="24" customHeight="1" x14ac:dyDescent="0.2">
      <c r="C55" s="3">
        <v>5.1999999999999998E-2</v>
      </c>
      <c r="D55" s="46"/>
      <c r="E55" s="46"/>
      <c r="F55" s="46"/>
      <c r="G55" s="46"/>
      <c r="H55" s="158" t="s">
        <v>45</v>
      </c>
      <c r="I55" s="158"/>
      <c r="J55" s="159"/>
      <c r="K55" s="100" t="s">
        <v>40</v>
      </c>
      <c r="L55" s="70"/>
      <c r="M55" s="78" t="str">
        <f>TEXT(C55,"0,0%")&amp;"
preço"</f>
        <v>5,2%
preço</v>
      </c>
      <c r="O55" s="95"/>
      <c r="P55" s="24">
        <f>-ROUND(C55*$P$46,0)</f>
        <v>-3744</v>
      </c>
      <c r="Q55" s="18">
        <v>-3762</v>
      </c>
    </row>
    <row r="56" spans="1:19" ht="24" customHeight="1" x14ac:dyDescent="0.2">
      <c r="C56" s="3">
        <v>4.4999999999999998E-2</v>
      </c>
      <c r="D56" s="96">
        <v>1</v>
      </c>
      <c r="E56" s="96">
        <v>6</v>
      </c>
      <c r="F56" s="46"/>
      <c r="G56" s="46"/>
      <c r="H56" s="160" t="s">
        <v>46</v>
      </c>
      <c r="I56" s="160"/>
      <c r="J56" s="161"/>
      <c r="K56" s="91" t="s">
        <v>41</v>
      </c>
      <c r="L56" s="80"/>
      <c r="M56" s="78" t="str">
        <f>TEXT(C56,"0,0%")&amp;"
VGV"</f>
        <v>4,5%
VGV</v>
      </c>
      <c r="N56" s="94"/>
      <c r="O56" s="21"/>
      <c r="P56" s="101">
        <f>-ROUND(C56*$P$46,0)</f>
        <v>-3240</v>
      </c>
      <c r="Q56" s="18">
        <v>-3240</v>
      </c>
      <c r="S56" s="48"/>
    </row>
    <row r="57" spans="1:19" ht="24" customHeight="1" x14ac:dyDescent="0.2">
      <c r="C57" s="3">
        <v>0.6</v>
      </c>
      <c r="D57" s="96">
        <v>-3</v>
      </c>
      <c r="E57" s="46"/>
      <c r="F57" s="46">
        <f ca="1">+F50+D57</f>
        <v>7</v>
      </c>
      <c r="G57" s="46">
        <f ca="1">+G50</f>
        <v>15</v>
      </c>
      <c r="H57" s="92" t="s">
        <v>42</v>
      </c>
      <c r="I57" s="48"/>
      <c r="J57" s="81"/>
      <c r="K57" s="19" t="s">
        <v>37</v>
      </c>
      <c r="L57" s="77"/>
      <c r="M57" s="93">
        <f>+C57</f>
        <v>0.6</v>
      </c>
      <c r="N57" s="28" t="str">
        <f ca="1">TEXT(F57,0)&amp;" | "&amp;TEXT(G57,0)</f>
        <v>7 | 15</v>
      </c>
      <c r="O57" s="60" t="s">
        <v>2</v>
      </c>
      <c r="P57" s="86"/>
      <c r="Q57" s="48"/>
      <c r="R57" s="48"/>
      <c r="S57" s="48"/>
    </row>
    <row r="58" spans="1:19" ht="24" customHeight="1" x14ac:dyDescent="0.2">
      <c r="C58" s="3">
        <v>0.28000000000000003</v>
      </c>
      <c r="D58" s="46"/>
      <c r="E58" s="46"/>
      <c r="F58" s="46">
        <f ca="1">+F51</f>
        <v>16</v>
      </c>
      <c r="G58" s="46">
        <f ca="1">+G51</f>
        <v>31</v>
      </c>
      <c r="H58" s="48"/>
      <c r="I58" s="48"/>
      <c r="J58" s="81"/>
      <c r="K58" s="19" t="s">
        <v>38</v>
      </c>
      <c r="L58" s="32"/>
      <c r="M58" s="93">
        <f t="shared" ref="M58:M59" si="2">+C58</f>
        <v>0.28000000000000003</v>
      </c>
      <c r="N58" s="28" t="str">
        <f ca="1">TEXT(F58,0)&amp;" | "&amp;TEXT(G58,0)</f>
        <v>16 | 31</v>
      </c>
      <c r="O58" s="60" t="s">
        <v>2</v>
      </c>
    </row>
    <row r="59" spans="1:19" ht="24" customHeight="1" x14ac:dyDescent="0.2">
      <c r="C59" s="76">
        <f>1-C57-C58</f>
        <v>0.12</v>
      </c>
      <c r="D59" s="96">
        <v>1</v>
      </c>
      <c r="E59" s="46"/>
      <c r="F59" s="46">
        <f ca="1">+F49+D59</f>
        <v>36</v>
      </c>
      <c r="G59" s="46">
        <f ca="1">+G49</f>
        <v>39</v>
      </c>
      <c r="H59" s="19"/>
      <c r="I59" s="70"/>
      <c r="J59" s="21"/>
      <c r="K59" s="29" t="s">
        <v>39</v>
      </c>
      <c r="L59" s="32"/>
      <c r="M59" s="102">
        <f t="shared" si="2"/>
        <v>0.12</v>
      </c>
      <c r="N59" s="28" t="str">
        <f ca="1">TEXT(F59,0)&amp;" | "&amp;TEXT(G59,0)</f>
        <v>36 | 39</v>
      </c>
      <c r="O59" s="60" t="s">
        <v>2</v>
      </c>
      <c r="P59" s="70"/>
      <c r="Q59" s="70"/>
    </row>
    <row r="60" spans="1:19" ht="24" customHeight="1" x14ac:dyDescent="0.2">
      <c r="C60" s="3">
        <v>5.0000000000000001E-3</v>
      </c>
      <c r="D60" s="46"/>
      <c r="E60" s="46"/>
      <c r="F60" s="46">
        <f ca="1">+F49</f>
        <v>35</v>
      </c>
      <c r="G60" s="46">
        <f ca="1">+G49</f>
        <v>39</v>
      </c>
      <c r="H60" s="158" t="s">
        <v>47</v>
      </c>
      <c r="I60" s="158"/>
      <c r="J60" s="159"/>
      <c r="K60" s="91" t="s">
        <v>41</v>
      </c>
      <c r="L60" s="70"/>
      <c r="M60" s="78" t="str">
        <f>TEXT(C60,"0,0%")&amp;"
repasses"</f>
        <v>0,5%
repasses</v>
      </c>
      <c r="N60" s="28" t="str">
        <f ca="1">TEXT(F60,0)&amp;" | "&amp;TEXT(G60,0)</f>
        <v>35 | 39</v>
      </c>
      <c r="O60" s="81"/>
      <c r="P60" s="24">
        <f>-ROUND(C60*$P$46*C49,0)</f>
        <v>-270</v>
      </c>
      <c r="Q60" s="4">
        <v>-267</v>
      </c>
    </row>
    <row r="61" spans="1:19" s="7" customFormat="1" ht="5.25" x14ac:dyDescent="0.2">
      <c r="C61" s="8"/>
      <c r="D61" s="57"/>
      <c r="E61" s="57"/>
      <c r="F61" s="57"/>
      <c r="G61" s="57"/>
      <c r="H61" s="71"/>
      <c r="I61" s="72"/>
      <c r="J61" s="73"/>
      <c r="K61" s="50"/>
      <c r="L61" s="72"/>
      <c r="M61" s="73"/>
      <c r="N61" s="9"/>
      <c r="O61" s="9"/>
      <c r="P61" s="9"/>
      <c r="Q61" s="9"/>
      <c r="R61" s="9"/>
    </row>
    <row r="62" spans="1:19" ht="24" customHeight="1" x14ac:dyDescent="0.2">
      <c r="H62" t="s">
        <v>48</v>
      </c>
      <c r="J62" s="105"/>
      <c r="K62" s="104"/>
      <c r="P62" s="39">
        <f>SUM(P46,P54:P56,P60)</f>
        <v>59900</v>
      </c>
      <c r="Q62" s="40">
        <f>SUM(Q46,Q54:Q56,Q60)</f>
        <v>59529</v>
      </c>
      <c r="R62" s="53">
        <f>Q62/P62-1</f>
        <v>-6.1936560934890972E-3</v>
      </c>
    </row>
    <row r="63" spans="1:19" s="7" customFormat="1" ht="5.25" x14ac:dyDescent="0.2">
      <c r="C63" s="8"/>
      <c r="H63" s="71"/>
      <c r="I63" s="72"/>
      <c r="J63" s="72"/>
      <c r="K63" s="72"/>
      <c r="L63" s="72"/>
      <c r="M63" s="72"/>
      <c r="N63" s="72"/>
      <c r="O63" s="73"/>
      <c r="P63" s="9"/>
      <c r="Q63" s="9"/>
      <c r="R63" s="9"/>
    </row>
    <row r="68" spans="3:18" ht="24" customHeight="1" x14ac:dyDescent="0.2">
      <c r="H68" s="13" t="s">
        <v>60</v>
      </c>
      <c r="I68" s="14"/>
      <c r="J68" s="14"/>
      <c r="K68" s="14"/>
      <c r="L68" s="14"/>
      <c r="M68" s="14"/>
      <c r="N68" s="14"/>
      <c r="O68" s="14"/>
      <c r="P68" s="14"/>
      <c r="Q68" s="14"/>
      <c r="R68" s="15"/>
    </row>
    <row r="69" spans="3:18" ht="24" customHeight="1" x14ac:dyDescent="0.2">
      <c r="H69" s="16" t="s">
        <v>67</v>
      </c>
      <c r="I69" s="17"/>
      <c r="J69" s="17"/>
      <c r="K69" s="17"/>
      <c r="L69" s="17"/>
      <c r="M69" s="17"/>
      <c r="N69" s="17"/>
      <c r="O69" s="17"/>
      <c r="P69" s="17"/>
      <c r="Q69" s="17"/>
      <c r="R69" s="135"/>
    </row>
    <row r="70" spans="3:18" s="7" customFormat="1" ht="5.25" customHeight="1" x14ac:dyDescent="0.2">
      <c r="C70" s="8"/>
      <c r="H70" s="71"/>
      <c r="I70" s="72"/>
      <c r="J70" s="72"/>
      <c r="K70" s="72"/>
      <c r="L70" s="72"/>
      <c r="M70" s="72"/>
      <c r="N70" s="72"/>
      <c r="O70" s="72"/>
      <c r="P70" s="72"/>
      <c r="Q70" s="72"/>
      <c r="R70" s="73"/>
    </row>
    <row r="71" spans="3:18" ht="27.75" customHeight="1" x14ac:dyDescent="0.2">
      <c r="P71" s="78" t="s">
        <v>68</v>
      </c>
      <c r="Q71" s="83" t="s">
        <v>69</v>
      </c>
      <c r="R71" s="164" t="str">
        <f>"na
data base,
pelo "&amp;infla</f>
        <v>na
data base,
pelo Ipca</v>
      </c>
    </row>
    <row r="72" spans="3:18" ht="18" customHeight="1" x14ac:dyDescent="0.2">
      <c r="P72" s="125" t="s">
        <v>11</v>
      </c>
      <c r="Q72" s="125" t="s">
        <v>11</v>
      </c>
      <c r="R72" s="164"/>
    </row>
    <row r="73" spans="3:18" ht="24" customHeight="1" x14ac:dyDescent="0.2">
      <c r="C73" s="3">
        <v>0.7</v>
      </c>
      <c r="H73" s="122" t="s">
        <v>61</v>
      </c>
      <c r="I73" s="123"/>
      <c r="K73" s="70"/>
      <c r="L73" s="124" t="str">
        <f>TEXT(C73,"0,0%")&amp;" | contas de estruturação + construção |"</f>
        <v>70,0% | contas de estruturação + construção |</v>
      </c>
      <c r="M73" s="51"/>
      <c r="N73" s="51"/>
      <c r="O73" s="51"/>
      <c r="P73" s="126">
        <f ca="1">ROUND(C73*(P32+P33),0)</f>
        <v>22546</v>
      </c>
      <c r="Q73" s="39">
        <f ca="1">ROUND(P73*((1+incc)^(F75/12)),0)</f>
        <v>23267</v>
      </c>
      <c r="R73" s="40">
        <v>21468</v>
      </c>
    </row>
    <row r="74" spans="3:18" ht="24" customHeight="1" x14ac:dyDescent="0.2">
      <c r="H74" s="120" t="s">
        <v>62</v>
      </c>
      <c r="I74" s="120"/>
      <c r="J74" s="121"/>
      <c r="K74" s="70"/>
      <c r="L74" s="70"/>
      <c r="M74" s="70"/>
      <c r="N74" s="70"/>
      <c r="O74" s="70"/>
      <c r="P74" s="87"/>
      <c r="Q74" s="87"/>
      <c r="R74" s="88"/>
    </row>
    <row r="75" spans="3:18" ht="24" customHeight="1" x14ac:dyDescent="0.2">
      <c r="D75" s="96">
        <v>-3</v>
      </c>
      <c r="E75">
        <f ca="1">+F33</f>
        <v>15</v>
      </c>
      <c r="F75">
        <f ca="1">+E75+D75</f>
        <v>12</v>
      </c>
      <c r="H75" s="120" t="s">
        <v>63</v>
      </c>
      <c r="I75" s="120"/>
      <c r="J75" s="121"/>
      <c r="K75" s="70"/>
      <c r="L75" s="70" t="str">
        <f ca="1">"valores nominais da data base |  mês "&amp;F75&amp;" |, ajustados pelo Incc"</f>
        <v>valores nominais da data base |  mês 12 |, ajustados pelo Incc</v>
      </c>
      <c r="M75" s="70"/>
      <c r="N75" s="70"/>
      <c r="O75" s="70"/>
      <c r="P75" s="87"/>
      <c r="Q75" s="87"/>
      <c r="R75" s="88"/>
    </row>
    <row r="76" spans="3:18" ht="24" customHeight="1" x14ac:dyDescent="0.2">
      <c r="C76" s="3">
        <v>0.12</v>
      </c>
      <c r="H76" s="120" t="s">
        <v>64</v>
      </c>
      <c r="I76" s="120"/>
      <c r="J76" s="120"/>
      <c r="K76" s="70"/>
      <c r="L76" s="70" t="str">
        <f>"taxa de "&amp;TEXT(C76,"0,0%")&amp;", equivalente anual sobre o saldo devedor"</f>
        <v>taxa de 12,0%, equivalente anual sobre o saldo devedor</v>
      </c>
      <c r="M76" s="70"/>
      <c r="N76" s="70"/>
      <c r="O76" s="70"/>
      <c r="P76" s="87"/>
      <c r="Q76" s="87"/>
      <c r="R76" s="40">
        <v>-2473</v>
      </c>
    </row>
    <row r="77" spans="3:18" ht="24" customHeight="1" x14ac:dyDescent="0.2">
      <c r="C77" s="3">
        <v>0.01</v>
      </c>
      <c r="H77" s="120" t="s">
        <v>65</v>
      </c>
      <c r="I77" s="120"/>
      <c r="J77" s="111"/>
      <c r="K77" s="70"/>
      <c r="L77" s="70" t="str">
        <f>"taxa de "&amp;TEXT(C77,"0,0%")&amp;", equivalente anual"</f>
        <v>taxa de 1,0%, equivalente anual</v>
      </c>
      <c r="M77" s="70"/>
      <c r="N77" s="70"/>
      <c r="O77" s="70"/>
      <c r="P77" s="87"/>
      <c r="Q77" s="87"/>
      <c r="R77" s="88"/>
    </row>
    <row r="78" spans="3:18" ht="24" customHeight="1" x14ac:dyDescent="0.2">
      <c r="E78">
        <f ca="1">+F49</f>
        <v>35</v>
      </c>
      <c r="F78">
        <f ca="1">+G49</f>
        <v>39</v>
      </c>
      <c r="H78" s="111" t="s">
        <v>66</v>
      </c>
      <c r="I78" s="111"/>
      <c r="J78" s="129"/>
      <c r="K78" s="80"/>
      <c r="L78" s="80" t="str">
        <f ca="1">"meses | "&amp;E78&amp;" até "&amp;F78&amp;" |"</f>
        <v>meses | 35 até 39 |</v>
      </c>
      <c r="M78" s="80"/>
      <c r="N78" s="80"/>
      <c r="O78" s="80"/>
      <c r="P78" s="87"/>
      <c r="Q78" s="87"/>
      <c r="R78" s="40">
        <v>-20806</v>
      </c>
    </row>
    <row r="79" spans="3:18" ht="24" customHeight="1" x14ac:dyDescent="0.2">
      <c r="H79" s="127" t="s">
        <v>70</v>
      </c>
      <c r="I79" s="127"/>
      <c r="J79" s="127"/>
      <c r="L79" t="str">
        <f>"taxa anual equivalente, acima do "&amp;infla</f>
        <v>taxa anual equivalente, acima do Ipca</v>
      </c>
      <c r="O79" s="48"/>
      <c r="P79" s="87"/>
      <c r="Q79" s="87"/>
      <c r="R79" s="128">
        <v>8.6333268783423955E-2</v>
      </c>
    </row>
    <row r="80" spans="3:18" s="7" customFormat="1" ht="5.25" customHeight="1" x14ac:dyDescent="0.2">
      <c r="C80" s="8"/>
      <c r="H80" s="71"/>
      <c r="I80" s="72"/>
      <c r="J80" s="72"/>
      <c r="K80" s="72"/>
      <c r="L80" s="72"/>
      <c r="M80" s="72"/>
      <c r="N80" s="72"/>
      <c r="O80" s="72"/>
      <c r="P80" s="72"/>
      <c r="Q80" s="72"/>
      <c r="R80" s="73"/>
    </row>
    <row r="86" spans="3:27" ht="24" customHeight="1" x14ac:dyDescent="0.2">
      <c r="H86" s="13" t="s">
        <v>58</v>
      </c>
      <c r="I86" s="14"/>
      <c r="J86" s="14"/>
      <c r="K86" s="14"/>
      <c r="L86" s="14"/>
      <c r="M86" s="14"/>
      <c r="N86" s="14"/>
      <c r="O86" s="14"/>
      <c r="P86" s="15"/>
    </row>
    <row r="87" spans="3:27" ht="24" customHeight="1" x14ac:dyDescent="0.2">
      <c r="H87" s="16" t="s">
        <v>51</v>
      </c>
      <c r="I87" s="17"/>
      <c r="J87" s="17"/>
      <c r="K87" s="17"/>
      <c r="L87" s="17"/>
      <c r="M87" s="17"/>
      <c r="N87" s="17"/>
      <c r="O87" s="17"/>
      <c r="P87" s="135"/>
    </row>
    <row r="88" spans="3:27" s="7" customFormat="1" ht="5.25" customHeight="1" x14ac:dyDescent="0.2">
      <c r="C88" s="8"/>
      <c r="H88" s="71"/>
      <c r="I88" s="72"/>
      <c r="J88" s="72"/>
      <c r="K88" s="72"/>
      <c r="L88" s="72"/>
      <c r="M88" s="72"/>
      <c r="N88" s="72"/>
      <c r="O88" s="72"/>
      <c r="P88" s="73"/>
      <c r="Q88"/>
    </row>
    <row r="89" spans="3:27" ht="54.75" customHeight="1" x14ac:dyDescent="0.2">
      <c r="H89" s="51"/>
      <c r="I89" s="51"/>
      <c r="J89" s="51"/>
      <c r="K89" s="51"/>
      <c r="L89" s="117" t="s">
        <v>53</v>
      </c>
      <c r="M89" s="117" t="s">
        <v>54</v>
      </c>
      <c r="N89" s="89" t="s">
        <v>55</v>
      </c>
      <c r="O89" s="117" t="str">
        <f>"nominal depois de impostos de "&amp;TEXT(D91,"0,0%")</f>
        <v>nominal depois de impostos de 15,0%</v>
      </c>
      <c r="P89" s="118" t="str">
        <f>"efetiva depois de impostos de "&amp;TEXT(D91,"0,0%")</f>
        <v>efetiva depois de impostos de 15,0%</v>
      </c>
      <c r="AA89" s="52"/>
    </row>
    <row r="90" spans="3:27" ht="24" customHeight="1" x14ac:dyDescent="0.2">
      <c r="H90" s="49" t="str">
        <f>"referências na data da | AQI | | "&amp;datab&amp;" |"</f>
        <v>referências na data da | AQI | | jan-20 |</v>
      </c>
      <c r="I90" s="17"/>
      <c r="J90" s="17"/>
      <c r="K90" s="17"/>
      <c r="L90" s="17"/>
      <c r="M90" s="17"/>
      <c r="N90" s="17"/>
      <c r="O90" s="17"/>
      <c r="P90" s="17"/>
      <c r="AA90" s="52"/>
    </row>
    <row r="91" spans="3:27" ht="24" customHeight="1" x14ac:dyDescent="0.2">
      <c r="C91" s="153">
        <f>taxaCDIB</f>
        <v>4.4999999999999998E-2</v>
      </c>
      <c r="D91" s="99">
        <v>0.15</v>
      </c>
      <c r="E91" s="99">
        <v>0.04</v>
      </c>
      <c r="F91" s="46"/>
      <c r="G91" s="46"/>
      <c r="H91" s="109" t="s">
        <v>52</v>
      </c>
      <c r="I91" s="109"/>
      <c r="J91" s="111"/>
      <c r="K91" s="70"/>
      <c r="L91" s="54">
        <f>+C91</f>
        <v>4.4999999999999998E-2</v>
      </c>
      <c r="N91" s="113">
        <f>+E91</f>
        <v>0.04</v>
      </c>
      <c r="O91" s="54">
        <f>C91*(1-D91)</f>
        <v>3.8249999999999999E-2</v>
      </c>
      <c r="P91" s="54">
        <f>(1+O91)/(1+N91)-1</f>
        <v>-1.6826923076924682E-3</v>
      </c>
      <c r="AA91" s="52"/>
    </row>
    <row r="92" spans="3:27" ht="24" customHeight="1" x14ac:dyDescent="0.2">
      <c r="C92" s="99">
        <v>2.6499999999999999E-2</v>
      </c>
      <c r="D92" s="46"/>
      <c r="E92" s="46"/>
      <c r="F92" s="46"/>
      <c r="G92" s="46"/>
      <c r="H92" s="108" t="s">
        <v>107</v>
      </c>
      <c r="I92" s="108"/>
      <c r="J92" s="108"/>
      <c r="K92" s="155">
        <v>2026</v>
      </c>
      <c r="M92" s="54">
        <f>+C92</f>
        <v>2.6499999999999999E-2</v>
      </c>
      <c r="N92" s="156" t="str">
        <f>"taxa de inflação implícita = "&amp;TEXT(D93,"0,00%")</f>
        <v>taxa de inflação implícita = 3,61%</v>
      </c>
      <c r="O92" s="150">
        <f>((1+M92)*(1+D93)-1)*(1-D91)</f>
        <v>5.4060000000000087E-2</v>
      </c>
      <c r="P92" s="54">
        <f>+P93</f>
        <v>1.7292769838284983E-2</v>
      </c>
    </row>
    <row r="93" spans="3:27" ht="24" customHeight="1" x14ac:dyDescent="0.2">
      <c r="C93" s="99">
        <v>6.3600000000000004E-2</v>
      </c>
      <c r="D93" s="52">
        <f>(1+C93)/(1+C92)-1</f>
        <v>3.6142230881636817E-2</v>
      </c>
      <c r="H93" s="108" t="s">
        <v>108</v>
      </c>
      <c r="I93" s="108"/>
      <c r="J93" s="108"/>
      <c r="K93" s="155">
        <v>2025</v>
      </c>
      <c r="L93" s="54">
        <f>+C93</f>
        <v>6.3600000000000004E-2</v>
      </c>
      <c r="N93" s="157"/>
      <c r="O93" s="54">
        <f>C93*(1-D91)</f>
        <v>5.4060000000000004E-2</v>
      </c>
      <c r="P93" s="54">
        <f>(1+O93)/(1+D93)-1</f>
        <v>1.7292769838284983E-2</v>
      </c>
    </row>
    <row r="94" spans="3:27" s="7" customFormat="1" ht="5.25" customHeight="1" x14ac:dyDescent="0.2">
      <c r="C94" s="8"/>
      <c r="H94" s="71"/>
      <c r="I94" s="72"/>
      <c r="J94" s="72"/>
      <c r="K94" s="72"/>
      <c r="L94" s="72"/>
      <c r="M94" s="72"/>
      <c r="N94" s="72"/>
      <c r="O94" s="72"/>
      <c r="P94" s="72"/>
      <c r="Q94"/>
    </row>
    <row r="95" spans="3:27" ht="24" customHeight="1" x14ac:dyDescent="0.2">
      <c r="C95" s="99">
        <v>6.5000000000000002E-2</v>
      </c>
      <c r="D95" s="52"/>
      <c r="H95" s="108" t="str">
        <f>"taxa de atratividade setorial | TATs | = "&amp;TEXT(C95,"0,0%")&amp;" depois de impostos do empreendimento"</f>
        <v>taxa de atratividade setorial | TATs | = 6,5% depois de impostos do empreendimento</v>
      </c>
      <c r="I95" s="108"/>
      <c r="J95" s="108"/>
      <c r="K95" s="70"/>
      <c r="L95" s="80"/>
      <c r="O95" s="151">
        <f>(1+P95)*(1+N91)-1</f>
        <v>0.10759999999999992</v>
      </c>
      <c r="P95" s="54">
        <f>+C95</f>
        <v>6.5000000000000002E-2</v>
      </c>
    </row>
    <row r="96" spans="3:27" ht="24" customHeight="1" x14ac:dyDescent="0.2">
      <c r="H96" s="112" t="s">
        <v>56</v>
      </c>
      <c r="I96" s="70"/>
      <c r="J96" s="70"/>
      <c r="K96" s="70"/>
      <c r="L96" s="80"/>
      <c r="O96" s="114">
        <f>+O95/O91</f>
        <v>2.8130718954248346</v>
      </c>
    </row>
    <row r="97" spans="3:30" ht="24" customHeight="1" x14ac:dyDescent="0.2">
      <c r="H97" s="110" t="s">
        <v>109</v>
      </c>
      <c r="O97" s="107">
        <f>+O95/O93</f>
        <v>1.9903810580836092</v>
      </c>
    </row>
    <row r="98" spans="3:30" s="7" customFormat="1" ht="5.25" customHeight="1" x14ac:dyDescent="0.2">
      <c r="C98" s="8"/>
      <c r="H98" s="71"/>
      <c r="I98" s="72"/>
      <c r="J98" s="72"/>
      <c r="K98" s="72"/>
      <c r="L98" s="72"/>
      <c r="M98" s="72"/>
      <c r="N98" s="72"/>
      <c r="O98" s="72"/>
      <c r="P98" s="72"/>
      <c r="Q98"/>
    </row>
    <row r="99" spans="3:30" ht="24" customHeight="1" x14ac:dyDescent="0.2">
      <c r="H99" s="49" t="str">
        <f ca="1">"arbitragem no horizonte do empreendimento | "&amp;datab&amp;" + "&amp;TEXT(dataFinal,0)&amp;" meses |"</f>
        <v>arbitragem no horizonte do empreendimento | jan-20 + 39 meses |</v>
      </c>
      <c r="I99" s="17"/>
      <c r="J99" s="17"/>
      <c r="K99" s="17"/>
      <c r="L99" s="17"/>
      <c r="M99" s="17"/>
      <c r="N99" s="17"/>
      <c r="O99" s="17"/>
      <c r="P99" s="17"/>
      <c r="Y99" s="52"/>
      <c r="Z99" s="52"/>
      <c r="AA99" s="52"/>
      <c r="AB99" s="52"/>
      <c r="AC99" s="52"/>
      <c r="AD99" s="52"/>
    </row>
    <row r="100" spans="3:30" ht="24" customHeight="1" x14ac:dyDescent="0.2">
      <c r="N100" s="54">
        <f>+ipca</f>
        <v>4.2000000000000003E-2</v>
      </c>
      <c r="Y100" s="52"/>
      <c r="Z100" s="52"/>
      <c r="AA100" s="52"/>
      <c r="AB100" s="52"/>
      <c r="AC100" s="52"/>
      <c r="AD100" s="52"/>
    </row>
    <row r="101" spans="3:30" ht="24" customHeight="1" x14ac:dyDescent="0.2">
      <c r="H101" s="108" t="str">
        <f>+H93</f>
        <v>tesouro pré-fixada</v>
      </c>
      <c r="I101" s="70"/>
      <c r="J101" s="70"/>
      <c r="K101" s="155">
        <f>+K93</f>
        <v>2025</v>
      </c>
      <c r="L101" s="54">
        <f>+L93</f>
        <v>6.3600000000000004E-2</v>
      </c>
      <c r="M101" s="54"/>
      <c r="O101" s="54">
        <f>L101*(1-D91)</f>
        <v>5.4060000000000004E-2</v>
      </c>
      <c r="P101" s="54">
        <f>(1+O101)/(1+N100)-1</f>
        <v>1.1573896353166857E-2</v>
      </c>
      <c r="Y101" s="52"/>
      <c r="Z101" s="52"/>
      <c r="AA101" s="52"/>
      <c r="AB101" s="52"/>
      <c r="AC101" s="52"/>
      <c r="AD101" s="52"/>
    </row>
    <row r="102" spans="3:30" ht="24" customHeight="1" x14ac:dyDescent="0.2">
      <c r="C102" s="154">
        <f>+O97</f>
        <v>1.9903810580836092</v>
      </c>
      <c r="H102" s="112" t="str">
        <f>+H97</f>
        <v>múltiplo da | TATs | contra as letras do Tesouro</v>
      </c>
      <c r="I102" s="70"/>
      <c r="J102" s="70"/>
      <c r="K102" s="70"/>
      <c r="O102" s="152">
        <f>+C102</f>
        <v>1.9903810580836092</v>
      </c>
    </row>
    <row r="103" spans="3:30" ht="24" customHeight="1" x14ac:dyDescent="0.2">
      <c r="D103" s="52"/>
      <c r="H103" s="108" t="str">
        <f>+H95</f>
        <v>taxa de atratividade setorial | TATs | = 6,5% depois de impostos do empreendimento</v>
      </c>
      <c r="I103" s="108"/>
      <c r="J103" s="108"/>
      <c r="K103" s="70"/>
      <c r="O103" s="52">
        <f>+O102*O101</f>
        <v>0.10759999999999992</v>
      </c>
      <c r="P103" s="116">
        <f>ROUND((1+O103)/(1+N100)-1,3)</f>
        <v>6.3E-2</v>
      </c>
      <c r="Q103" s="119">
        <f>(1+tatano)^(1/12)-1</f>
        <v>5.1042407584538374E-3</v>
      </c>
      <c r="AB103" s="52"/>
      <c r="AC103" s="52"/>
    </row>
    <row r="104" spans="3:30" s="7" customFormat="1" ht="5.25" customHeight="1" x14ac:dyDescent="0.2">
      <c r="C104" s="8"/>
      <c r="H104" s="71"/>
      <c r="I104" s="72"/>
      <c r="J104" s="72"/>
      <c r="K104" s="72"/>
      <c r="L104" s="72"/>
      <c r="M104" s="72"/>
      <c r="N104" s="72"/>
      <c r="O104" s="72"/>
      <c r="P104" s="72"/>
      <c r="Q104"/>
    </row>
    <row r="105" spans="3:30" ht="24" customHeight="1" x14ac:dyDescent="0.2"/>
    <row r="106" spans="3:30" ht="24" customHeight="1" x14ac:dyDescent="0.2"/>
    <row r="107" spans="3:30" ht="24" customHeight="1" x14ac:dyDescent="0.2"/>
    <row r="108" spans="3:30" ht="39.75" customHeight="1" x14ac:dyDescent="0.2">
      <c r="C108" s="186" t="s">
        <v>112</v>
      </c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8"/>
    </row>
    <row r="109" spans="3:30" ht="24" customHeight="1" x14ac:dyDescent="0.2"/>
    <row r="110" spans="3:30" ht="24" customHeight="1" x14ac:dyDescent="0.2">
      <c r="H110" s="13" t="s">
        <v>75</v>
      </c>
      <c r="I110" s="14"/>
      <c r="J110" s="14"/>
      <c r="K110" s="14"/>
      <c r="L110" s="14"/>
      <c r="M110" s="14"/>
      <c r="N110" s="14"/>
      <c r="O110" s="14"/>
      <c r="P110" s="15"/>
      <c r="Q110" s="148" t="s">
        <v>76</v>
      </c>
      <c r="R110" s="149"/>
    </row>
    <row r="111" spans="3:30" s="7" customFormat="1" ht="5.25" customHeight="1" x14ac:dyDescent="0.2">
      <c r="C111" s="8"/>
      <c r="H111" s="71"/>
      <c r="I111" s="72"/>
      <c r="J111" s="72"/>
      <c r="K111" s="72"/>
      <c r="L111" s="72"/>
      <c r="M111" s="72"/>
      <c r="N111" s="72"/>
      <c r="O111" s="72"/>
      <c r="P111" s="73"/>
      <c r="Q111"/>
    </row>
    <row r="112" spans="3:30" ht="24" customHeight="1" x14ac:dyDescent="0.2">
      <c r="C112" s="99">
        <v>0.08</v>
      </c>
      <c r="H112" s="131" t="s">
        <v>71</v>
      </c>
      <c r="I112" s="70"/>
      <c r="J112" s="70"/>
      <c r="K112" s="70"/>
      <c r="L112" s="70"/>
      <c r="M112" s="70" t="str">
        <f>"crescem até "&amp;TEXT(C112,"0%")&amp;" em cada conta mensal"</f>
        <v>crescem até 8% em cada conta mensal</v>
      </c>
      <c r="N112" s="70"/>
      <c r="O112" s="70"/>
      <c r="P112" s="132"/>
      <c r="Q112" s="106" t="s">
        <v>77</v>
      </c>
      <c r="R112" t="s">
        <v>78</v>
      </c>
      <c r="Y112" s="52"/>
      <c r="Z112" s="52"/>
      <c r="AB112" s="52"/>
      <c r="AC112" s="52"/>
      <c r="AD112" s="52"/>
    </row>
    <row r="113" spans="3:18" ht="24" customHeight="1" x14ac:dyDescent="0.2">
      <c r="C113" s="99">
        <v>0.04</v>
      </c>
      <c r="H113" s="133" t="s">
        <v>72</v>
      </c>
      <c r="I113" s="48"/>
      <c r="J113" s="48"/>
      <c r="K113" s="48"/>
      <c r="L113" s="48"/>
      <c r="M113" s="48" t="str">
        <f>"decrescem até "&amp;TEXT(C113,"0%")&amp;" em cada conta mensal"</f>
        <v>decrescem até 4% em cada conta mensal</v>
      </c>
      <c r="N113" s="48"/>
      <c r="O113" s="48"/>
      <c r="P113" s="134"/>
      <c r="Q113" s="106" t="s">
        <v>77</v>
      </c>
      <c r="R113" t="s">
        <v>79</v>
      </c>
    </row>
    <row r="114" spans="3:18" s="7" customFormat="1" ht="5.25" customHeight="1" x14ac:dyDescent="0.2">
      <c r="C114" s="8"/>
      <c r="H114" s="71"/>
      <c r="I114" s="72"/>
      <c r="J114" s="72"/>
      <c r="K114" s="72"/>
      <c r="L114" s="72"/>
      <c r="M114" s="72"/>
      <c r="N114" s="72"/>
      <c r="O114" s="72"/>
      <c r="P114" s="73"/>
      <c r="Q114"/>
    </row>
    <row r="115" spans="3:18" ht="24" customHeight="1" x14ac:dyDescent="0.2">
      <c r="H115" s="131" t="s">
        <v>73</v>
      </c>
      <c r="I115" s="70"/>
      <c r="J115" s="70"/>
      <c r="K115" s="70"/>
      <c r="L115" s="70"/>
      <c r="M115" s="70"/>
      <c r="N115" s="70"/>
      <c r="O115" s="70"/>
      <c r="P115" s="132"/>
      <c r="Q115" s="106" t="s">
        <v>77</v>
      </c>
      <c r="R115" t="s">
        <v>80</v>
      </c>
    </row>
    <row r="116" spans="3:18" ht="24" customHeight="1" x14ac:dyDescent="0.2">
      <c r="H116" s="131" t="s">
        <v>74</v>
      </c>
      <c r="I116" s="70"/>
      <c r="J116" s="70"/>
      <c r="K116" s="70"/>
      <c r="L116" s="70"/>
      <c r="M116" s="70" t="str">
        <f>"meta de "&amp;TEXT(B50,"0%")&amp;" cai até zero, compensada até a entrega"</f>
        <v>meta de 35% cai até zero, compensada até a entrega</v>
      </c>
      <c r="N116" s="70"/>
      <c r="O116" s="70"/>
      <c r="P116" s="132"/>
      <c r="Q116" s="106" t="s">
        <v>77</v>
      </c>
      <c r="R116" t="s">
        <v>81</v>
      </c>
    </row>
    <row r="117" spans="3:18" ht="24" customHeight="1" x14ac:dyDescent="0.2">
      <c r="C117" s="99">
        <v>0.3</v>
      </c>
      <c r="H117" s="133" t="str">
        <f>"5. estoques (cenário referencial = "&amp;TEXT(B52,"0%")&amp;")"</f>
        <v>5. estoques (cenário referencial = 10%)</v>
      </c>
      <c r="I117" s="48"/>
      <c r="J117" s="48"/>
      <c r="K117" s="48"/>
      <c r="L117" s="48"/>
      <c r="M117" s="48" t="str">
        <f>"crescem até "&amp;TEXT(C117,"0%")</f>
        <v>crescem até 30%</v>
      </c>
      <c r="N117" s="48"/>
      <c r="O117" s="48"/>
      <c r="P117" s="134"/>
      <c r="Q117" s="106" t="s">
        <v>77</v>
      </c>
      <c r="R117" t="s">
        <v>82</v>
      </c>
    </row>
    <row r="118" spans="3:18" s="7" customFormat="1" ht="5.25" customHeight="1" x14ac:dyDescent="0.2">
      <c r="C118" s="8"/>
      <c r="H118" s="71"/>
      <c r="I118" s="72"/>
      <c r="J118" s="72"/>
      <c r="K118" s="72"/>
      <c r="L118" s="72"/>
      <c r="M118" s="72"/>
      <c r="N118" s="72"/>
      <c r="O118" s="72"/>
      <c r="P118" s="73"/>
      <c r="Q118"/>
    </row>
    <row r="119" spans="3:18" ht="24" customHeight="1" x14ac:dyDescent="0.2">
      <c r="C119" s="130">
        <v>6</v>
      </c>
      <c r="H119" s="131" t="str">
        <f>"6. prazo de estruturação (cenário referencial = "&amp;TEXT(B32,"0")&amp;" meses)"</f>
        <v>6. prazo de estruturação (cenário referencial = 8 meses)</v>
      </c>
      <c r="I119" s="70"/>
      <c r="J119" s="70"/>
      <c r="K119" s="70"/>
      <c r="L119" s="70"/>
      <c r="M119" s="70" t="str">
        <f ca="1">"cresce até "&amp;TEXT(E32+C119,"0")&amp;" meses"</f>
        <v>cresce até 14 meses</v>
      </c>
      <c r="N119" s="70"/>
      <c r="O119" s="48"/>
      <c r="P119" s="134"/>
      <c r="Q119" s="106" t="s">
        <v>77</v>
      </c>
      <c r="R119" t="s">
        <v>83</v>
      </c>
    </row>
    <row r="120" spans="3:18" ht="24" customHeight="1" x14ac:dyDescent="0.2">
      <c r="C120" s="130">
        <v>6</v>
      </c>
      <c r="H120" s="131" t="str">
        <f>"7. prazo de construção (cenário referencial = "&amp;TEXT(B33,"0")&amp;" meses)"</f>
        <v>7. prazo de construção (cenário referencial = 18 meses)</v>
      </c>
      <c r="I120" s="70"/>
      <c r="J120" s="70"/>
      <c r="K120" s="70"/>
      <c r="L120" s="70"/>
      <c r="M120" s="70" t="str">
        <f ca="1">"cresce até "&amp;TEXT(E33+C120,"0")&amp;" meses"</f>
        <v>cresce até 24 meses</v>
      </c>
      <c r="N120" s="70"/>
      <c r="O120" s="48"/>
      <c r="P120" s="134"/>
      <c r="Q120" s="106" t="s">
        <v>77</v>
      </c>
      <c r="R120" t="s">
        <v>84</v>
      </c>
    </row>
    <row r="121" spans="3:18" ht="24" customHeight="1" x14ac:dyDescent="0.2">
      <c r="C121" s="130">
        <v>1</v>
      </c>
      <c r="H121" s="131" t="str">
        <f>"8. prazo para início dos repasses (cenário referencial = "&amp;TEXT(A49,"0")&amp;" meses)"</f>
        <v>8. prazo para início dos repasses (cenário referencial = 3 meses)</v>
      </c>
      <c r="I121" s="70"/>
      <c r="J121" s="70"/>
      <c r="K121" s="70"/>
      <c r="L121" s="70"/>
      <c r="M121" s="70" t="str">
        <f ca="1">"cresce até "&amp;TEXT(D49+C121,"0")&amp;" meses"</f>
        <v>cresce até 4 meses</v>
      </c>
      <c r="N121" s="70"/>
      <c r="O121" s="48"/>
      <c r="P121" s="134"/>
      <c r="Q121" s="106" t="s">
        <v>77</v>
      </c>
      <c r="R121" t="s">
        <v>85</v>
      </c>
    </row>
    <row r="122" spans="3:18" ht="24" customHeight="1" x14ac:dyDescent="0.2">
      <c r="C122" s="130">
        <v>3</v>
      </c>
      <c r="H122" s="133" t="str">
        <f>"9. prazo dos repasses (cenário referencial = "&amp;TEXT(B49,"0")&amp;" meses)"</f>
        <v>9. prazo dos repasses (cenário referencial = 5 meses)</v>
      </c>
      <c r="I122" s="48"/>
      <c r="J122" s="48"/>
      <c r="K122" s="48"/>
      <c r="L122" s="48"/>
      <c r="M122" s="48" t="str">
        <f>"cresce até "&amp;TEXT(B49+C122,"0")&amp;" meses"</f>
        <v>cresce até 8 meses</v>
      </c>
      <c r="N122" s="48"/>
      <c r="O122" s="48"/>
      <c r="P122" s="134"/>
      <c r="Q122" s="106" t="s">
        <v>77</v>
      </c>
      <c r="R122" t="s">
        <v>86</v>
      </c>
    </row>
    <row r="123" spans="3:18" s="7" customFormat="1" ht="5.25" customHeight="1" x14ac:dyDescent="0.2">
      <c r="C123" s="8"/>
      <c r="H123" s="71"/>
      <c r="I123" s="72"/>
      <c r="J123" s="72"/>
      <c r="K123" s="72"/>
      <c r="L123" s="72"/>
      <c r="M123" s="72"/>
      <c r="N123" s="72"/>
      <c r="O123" s="72"/>
      <c r="P123" s="73"/>
      <c r="Q123"/>
    </row>
    <row r="124" spans="3:18" ht="24" customHeight="1" x14ac:dyDescent="0.2">
      <c r="P124" s="45" t="s">
        <v>102</v>
      </c>
      <c r="Q124" s="106" t="s">
        <v>77</v>
      </c>
      <c r="R124" t="s">
        <v>103</v>
      </c>
    </row>
    <row r="125" spans="3:18" s="7" customFormat="1" ht="5.25" customHeight="1" x14ac:dyDescent="0.2">
      <c r="C125" s="8"/>
      <c r="H125" s="71"/>
      <c r="I125" s="72"/>
      <c r="J125" s="72"/>
      <c r="K125" s="72"/>
      <c r="L125" s="72"/>
      <c r="M125" s="72"/>
      <c r="N125" s="72"/>
      <c r="O125" s="72"/>
      <c r="P125" s="73"/>
      <c r="Q125"/>
    </row>
    <row r="126" spans="3:18" ht="24" customHeight="1" x14ac:dyDescent="0.2">
      <c r="P126" s="45" t="s">
        <v>88</v>
      </c>
      <c r="Q126" s="106" t="s">
        <v>77</v>
      </c>
      <c r="R126" t="s">
        <v>87</v>
      </c>
    </row>
    <row r="127" spans="3:18" ht="10.5" customHeight="1" x14ac:dyDescent="0.2"/>
    <row r="128" spans="3:18" ht="10.5" customHeight="1" x14ac:dyDescent="0.2"/>
    <row r="129" spans="8:175" ht="10.5" customHeight="1" x14ac:dyDescent="0.2"/>
    <row r="130" spans="8:175" ht="10.5" customHeight="1" x14ac:dyDescent="0.2"/>
    <row r="131" spans="8:175" ht="10.5" customHeight="1" x14ac:dyDescent="0.2"/>
    <row r="132" spans="8:175" ht="10.5" customHeight="1" x14ac:dyDescent="0.2"/>
    <row r="133" spans="8:175" ht="10.5" customHeight="1" x14ac:dyDescent="0.2"/>
    <row r="134" spans="8:175" ht="10.5" customHeight="1" x14ac:dyDescent="0.2">
      <c r="I134" s="204">
        <f>COUNTIF(I143:I242,"&gt;0")</f>
        <v>65</v>
      </c>
      <c r="M134" s="204">
        <f>COUNTIF(M143:M242,"=0")</f>
        <v>0</v>
      </c>
      <c r="N134" s="204">
        <f>COUNTIF(N143:N242,"=0")</f>
        <v>35</v>
      </c>
      <c r="O134" s="204">
        <f>COUNTIF(O143:O242,"&gt;0")</f>
        <v>65</v>
      </c>
      <c r="S134" s="204">
        <f>COUNTIF(S143:S242,"=0")</f>
        <v>0</v>
      </c>
      <c r="T134" s="204">
        <f>COUNTIF(T143:T242,"=0")</f>
        <v>35</v>
      </c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  <c r="EA134" s="147"/>
      <c r="EB134" s="147"/>
      <c r="EC134" s="147"/>
      <c r="ED134" s="147"/>
      <c r="EE134" s="147"/>
      <c r="EF134" s="147"/>
      <c r="EG134" s="147"/>
      <c r="EH134" s="147"/>
      <c r="EI134" s="147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  <c r="FC134" s="147"/>
      <c r="FD134" s="147"/>
      <c r="FE134" s="147"/>
      <c r="FF134" s="147"/>
      <c r="FG134" s="147"/>
      <c r="FH134" s="147"/>
      <c r="FI134" s="147"/>
      <c r="FJ134" s="147"/>
      <c r="FK134" s="147"/>
      <c r="FL134" s="147"/>
      <c r="FM134" s="147"/>
      <c r="FN134" s="147"/>
      <c r="FO134" s="147"/>
      <c r="FP134" s="147"/>
      <c r="FQ134" s="147"/>
      <c r="FR134" s="147"/>
      <c r="FS134" s="147"/>
    </row>
    <row r="135" spans="8:175" ht="10.5" customHeight="1" x14ac:dyDescent="0.2">
      <c r="H135" s="139" t="s">
        <v>104</v>
      </c>
      <c r="I135" s="140">
        <f>SUMIF(I143:I242,"&gt;0")/I134</f>
        <v>10.169212272971841</v>
      </c>
      <c r="J135" s="140">
        <f>MIN(J143:J242)</f>
        <v>41</v>
      </c>
      <c r="K135" s="140">
        <f>MIN(K143:K242)</f>
        <v>39.372225756743092</v>
      </c>
      <c r="L135" s="140">
        <f>MIN(L143:L242)</f>
        <v>19.559535082821387</v>
      </c>
      <c r="M135" s="141">
        <f>SUM(M143:M242)/(100-M134)</f>
        <v>34808.037540052355</v>
      </c>
      <c r="N135" s="141">
        <f>SUM(N143:N242)/(100-N134)</f>
        <v>8571.3477355878222</v>
      </c>
      <c r="O135" s="144">
        <f>SUMIF(O143:O242,"&gt;0")/O134</f>
        <v>10.244942891210034</v>
      </c>
      <c r="P135" s="144">
        <f>MIN(P143:P242)</f>
        <v>41</v>
      </c>
      <c r="Q135" s="144">
        <f>MIN(U143:U242)</f>
        <v>0</v>
      </c>
      <c r="R135" s="144">
        <f>MIN(V143:V242)</f>
        <v>0</v>
      </c>
      <c r="S135" s="145">
        <f>SUM(S143:S242)/(100-S134)</f>
        <v>15897.161615572651</v>
      </c>
      <c r="T135" s="145">
        <f>SUM(T143:T242)/(100-T134)</f>
        <v>6217.8437126975869</v>
      </c>
      <c r="X135" s="147"/>
      <c r="Y135" s="189"/>
      <c r="Z135" s="190"/>
      <c r="AA135" s="190"/>
      <c r="AB135" s="190"/>
      <c r="AC135" s="190"/>
      <c r="AD135" s="191"/>
      <c r="AE135" s="191"/>
      <c r="AF135" s="192"/>
      <c r="AG135" s="192"/>
      <c r="AH135" s="192"/>
      <c r="AI135" s="192"/>
      <c r="AJ135" s="193"/>
      <c r="AK135" s="193"/>
      <c r="AL135" s="147"/>
      <c r="AM135" s="189"/>
      <c r="AN135" s="190"/>
      <c r="AO135" s="190"/>
      <c r="AP135" s="190"/>
      <c r="AQ135" s="190"/>
      <c r="AR135" s="191"/>
      <c r="AS135" s="191"/>
      <c r="AT135" s="192"/>
      <c r="AU135" s="192"/>
      <c r="AV135" s="192"/>
      <c r="AW135" s="192"/>
      <c r="AX135" s="193"/>
      <c r="AY135" s="193"/>
      <c r="AZ135" s="147"/>
      <c r="BA135" s="147"/>
      <c r="BB135" s="189"/>
      <c r="BC135" s="190"/>
      <c r="BD135" s="190"/>
      <c r="BE135" s="190"/>
      <c r="BF135" s="190"/>
      <c r="BG135" s="191"/>
      <c r="BH135" s="191"/>
      <c r="BI135" s="192"/>
      <c r="BJ135" s="192"/>
      <c r="BK135" s="192"/>
      <c r="BL135" s="192"/>
      <c r="BM135" s="193"/>
      <c r="BN135" s="193"/>
      <c r="BO135" s="147"/>
      <c r="BP135" s="147"/>
      <c r="BQ135" s="189"/>
      <c r="BR135" s="190"/>
      <c r="BS135" s="190"/>
      <c r="BT135" s="190"/>
      <c r="BU135" s="190"/>
      <c r="BV135" s="191"/>
      <c r="BW135" s="191"/>
      <c r="BX135" s="192"/>
      <c r="BY135" s="192"/>
      <c r="BZ135" s="192"/>
      <c r="CA135" s="192"/>
      <c r="CB135" s="193"/>
      <c r="CC135" s="193"/>
      <c r="CD135" s="147"/>
      <c r="CE135" s="147"/>
      <c r="CF135" s="189"/>
      <c r="CG135" s="190"/>
      <c r="CH135" s="190"/>
      <c r="CI135" s="190"/>
      <c r="CJ135" s="190"/>
      <c r="CK135" s="191"/>
      <c r="CL135" s="191"/>
      <c r="CM135" s="192"/>
      <c r="CN135" s="192"/>
      <c r="CO135" s="192"/>
      <c r="CP135" s="192"/>
      <c r="CQ135" s="193"/>
      <c r="CR135" s="193"/>
      <c r="CS135" s="147"/>
      <c r="CT135" s="147"/>
      <c r="CU135" s="189"/>
      <c r="CV135" s="190"/>
      <c r="CW135" s="190"/>
      <c r="CX135" s="190"/>
      <c r="CY135" s="190"/>
      <c r="CZ135" s="191"/>
      <c r="DA135" s="191"/>
      <c r="DB135" s="192"/>
      <c r="DC135" s="192"/>
      <c r="DD135" s="192"/>
      <c r="DE135" s="192"/>
      <c r="DF135" s="193"/>
      <c r="DG135" s="193"/>
      <c r="DH135" s="147"/>
      <c r="DI135" s="147"/>
      <c r="DJ135" s="189"/>
      <c r="DK135" s="190"/>
      <c r="DL135" s="190"/>
      <c r="DM135" s="190"/>
      <c r="DN135" s="190"/>
      <c r="DO135" s="191"/>
      <c r="DP135" s="191"/>
      <c r="DQ135" s="192"/>
      <c r="DR135" s="192"/>
      <c r="DS135" s="192"/>
      <c r="DT135" s="192"/>
      <c r="DU135" s="193"/>
      <c r="DV135" s="193"/>
      <c r="DW135" s="147"/>
      <c r="DX135" s="147"/>
      <c r="DY135" s="189"/>
      <c r="DZ135" s="190"/>
      <c r="EA135" s="190"/>
      <c r="EB135" s="190"/>
      <c r="EC135" s="190"/>
      <c r="ED135" s="191"/>
      <c r="EE135" s="191"/>
      <c r="EF135" s="192"/>
      <c r="EG135" s="192"/>
      <c r="EH135" s="192"/>
      <c r="EI135" s="192"/>
      <c r="EJ135" s="193"/>
      <c r="EK135" s="193"/>
      <c r="EL135" s="147"/>
      <c r="EM135" s="147"/>
      <c r="EN135" s="189"/>
      <c r="EO135" s="190"/>
      <c r="EP135" s="190"/>
      <c r="EQ135" s="190"/>
      <c r="ER135" s="190"/>
      <c r="ES135" s="191"/>
      <c r="ET135" s="191"/>
      <c r="EU135" s="192"/>
      <c r="EV135" s="192"/>
      <c r="EW135" s="192"/>
      <c r="EX135" s="192"/>
      <c r="EY135" s="193"/>
      <c r="EZ135" s="193"/>
      <c r="FA135" s="147"/>
      <c r="FB135" s="147"/>
      <c r="FC135" s="189"/>
      <c r="FD135" s="190"/>
      <c r="FE135" s="190"/>
      <c r="FF135" s="190"/>
      <c r="FG135" s="190"/>
      <c r="FH135" s="191"/>
      <c r="FI135" s="191"/>
      <c r="FJ135" s="192"/>
      <c r="FK135" s="192"/>
      <c r="FL135" s="192"/>
      <c r="FM135" s="192"/>
      <c r="FN135" s="193"/>
      <c r="FO135" s="193"/>
      <c r="FP135" s="147"/>
      <c r="FQ135" s="147"/>
      <c r="FR135" s="147"/>
      <c r="FS135" s="147"/>
    </row>
    <row r="136" spans="8:175" ht="10.5" customHeight="1" x14ac:dyDescent="0.2">
      <c r="H136" s="139" t="s">
        <v>101</v>
      </c>
      <c r="I136" s="140">
        <f>MIN(I142,+I135+STDEV(I143:I242)*NORMSINV(95%))</f>
        <v>19.811280276336941</v>
      </c>
      <c r="J136" s="140">
        <f t="shared" ref="J136:N136" si="3">MAX(J143:J242)</f>
        <v>49</v>
      </c>
      <c r="K136" s="140">
        <f t="shared" si="3"/>
        <v>47.398134810575733</v>
      </c>
      <c r="L136" s="140">
        <f t="shared" si="3"/>
        <v>26.115788681518787</v>
      </c>
      <c r="M136" s="141">
        <f t="shared" si="3"/>
        <v>41544.507713349456</v>
      </c>
      <c r="N136" s="141">
        <f t="shared" si="3"/>
        <v>9331.9634542213535</v>
      </c>
      <c r="O136" s="144">
        <f>MAX(O143:O243)</f>
        <v>13.0186516212067</v>
      </c>
      <c r="P136" s="144">
        <f t="shared" ref="P136:T136" si="4">MAX(P143:P243)</f>
        <v>49</v>
      </c>
      <c r="Q136" s="144">
        <f t="shared" si="4"/>
        <v>48.000000000008747</v>
      </c>
      <c r="R136" s="144">
        <f t="shared" si="4"/>
        <v>33.414558639541866</v>
      </c>
      <c r="S136" s="145">
        <f t="shared" si="4"/>
        <v>23311.87662663413</v>
      </c>
      <c r="T136" s="145">
        <f t="shared" si="4"/>
        <v>7114.3129648118993</v>
      </c>
      <c r="X136" s="147"/>
      <c r="Y136" s="189"/>
      <c r="Z136" s="190"/>
      <c r="AA136" s="190"/>
      <c r="AB136" s="190"/>
      <c r="AC136" s="190"/>
      <c r="AD136" s="191"/>
      <c r="AE136" s="191"/>
      <c r="AF136" s="192"/>
      <c r="AG136" s="192"/>
      <c r="AH136" s="192"/>
      <c r="AI136" s="192"/>
      <c r="AJ136" s="193"/>
      <c r="AK136" s="193"/>
      <c r="AL136" s="147"/>
      <c r="AM136" s="189"/>
      <c r="AN136" s="190"/>
      <c r="AO136" s="190"/>
      <c r="AP136" s="190"/>
      <c r="AQ136" s="190"/>
      <c r="AR136" s="191"/>
      <c r="AS136" s="191"/>
      <c r="AT136" s="192"/>
      <c r="AU136" s="192"/>
      <c r="AV136" s="192"/>
      <c r="AW136" s="192"/>
      <c r="AX136" s="193"/>
      <c r="AY136" s="193"/>
      <c r="AZ136" s="147"/>
      <c r="BA136" s="147"/>
      <c r="BB136" s="189"/>
      <c r="BC136" s="190"/>
      <c r="BD136" s="190"/>
      <c r="BE136" s="190"/>
      <c r="BF136" s="190"/>
      <c r="BG136" s="191"/>
      <c r="BH136" s="191"/>
      <c r="BI136" s="192"/>
      <c r="BJ136" s="192"/>
      <c r="BK136" s="192"/>
      <c r="BL136" s="192"/>
      <c r="BM136" s="193"/>
      <c r="BN136" s="193"/>
      <c r="BO136" s="147"/>
      <c r="BP136" s="147"/>
      <c r="BQ136" s="189"/>
      <c r="BR136" s="190"/>
      <c r="BS136" s="190"/>
      <c r="BT136" s="190"/>
      <c r="BU136" s="190"/>
      <c r="BV136" s="191"/>
      <c r="BW136" s="191"/>
      <c r="BX136" s="192"/>
      <c r="BY136" s="192"/>
      <c r="BZ136" s="192"/>
      <c r="CA136" s="192"/>
      <c r="CB136" s="193"/>
      <c r="CC136" s="193"/>
      <c r="CD136" s="147"/>
      <c r="CE136" s="147"/>
      <c r="CF136" s="189"/>
      <c r="CG136" s="190"/>
      <c r="CH136" s="190"/>
      <c r="CI136" s="190"/>
      <c r="CJ136" s="190"/>
      <c r="CK136" s="191"/>
      <c r="CL136" s="191"/>
      <c r="CM136" s="192"/>
      <c r="CN136" s="192"/>
      <c r="CO136" s="192"/>
      <c r="CP136" s="192"/>
      <c r="CQ136" s="193"/>
      <c r="CR136" s="193"/>
      <c r="CS136" s="147"/>
      <c r="CT136" s="147"/>
      <c r="CU136" s="189"/>
      <c r="CV136" s="190"/>
      <c r="CW136" s="190"/>
      <c r="CX136" s="190"/>
      <c r="CY136" s="190"/>
      <c r="CZ136" s="191"/>
      <c r="DA136" s="191"/>
      <c r="DB136" s="192"/>
      <c r="DC136" s="192"/>
      <c r="DD136" s="192"/>
      <c r="DE136" s="192"/>
      <c r="DF136" s="193"/>
      <c r="DG136" s="193"/>
      <c r="DH136" s="147"/>
      <c r="DI136" s="147"/>
      <c r="DJ136" s="189"/>
      <c r="DK136" s="190"/>
      <c r="DL136" s="190"/>
      <c r="DM136" s="190"/>
      <c r="DN136" s="190"/>
      <c r="DO136" s="191"/>
      <c r="DP136" s="191"/>
      <c r="DQ136" s="192"/>
      <c r="DR136" s="192"/>
      <c r="DS136" s="192"/>
      <c r="DT136" s="192"/>
      <c r="DU136" s="193"/>
      <c r="DV136" s="193"/>
      <c r="DW136" s="147"/>
      <c r="DX136" s="147"/>
      <c r="DY136" s="189"/>
      <c r="DZ136" s="190"/>
      <c r="EA136" s="190"/>
      <c r="EB136" s="190"/>
      <c r="EC136" s="190"/>
      <c r="ED136" s="191"/>
      <c r="EE136" s="191"/>
      <c r="EF136" s="192"/>
      <c r="EG136" s="192"/>
      <c r="EH136" s="192"/>
      <c r="EI136" s="192"/>
      <c r="EJ136" s="193"/>
      <c r="EK136" s="193"/>
      <c r="EL136" s="147"/>
      <c r="EM136" s="147"/>
      <c r="EN136" s="189"/>
      <c r="EO136" s="190"/>
      <c r="EP136" s="190"/>
      <c r="EQ136" s="190"/>
      <c r="ER136" s="190"/>
      <c r="ES136" s="191"/>
      <c r="ET136" s="191"/>
      <c r="EU136" s="192"/>
      <c r="EV136" s="192"/>
      <c r="EW136" s="192"/>
      <c r="EX136" s="192"/>
      <c r="EY136" s="193"/>
      <c r="EZ136" s="193"/>
      <c r="FA136" s="147"/>
      <c r="FB136" s="147"/>
      <c r="FC136" s="189"/>
      <c r="FD136" s="190"/>
      <c r="FE136" s="190"/>
      <c r="FF136" s="190"/>
      <c r="FG136" s="190"/>
      <c r="FH136" s="191"/>
      <c r="FI136" s="191"/>
      <c r="FJ136" s="192"/>
      <c r="FK136" s="192"/>
      <c r="FL136" s="192"/>
      <c r="FM136" s="192"/>
      <c r="FN136" s="193"/>
      <c r="FO136" s="193"/>
      <c r="FP136" s="147"/>
      <c r="FQ136" s="147"/>
      <c r="FR136" s="147"/>
      <c r="FS136" s="147"/>
    </row>
    <row r="137" spans="8:175" ht="10.5" customHeight="1" x14ac:dyDescent="0.2">
      <c r="H137" s="139" t="s">
        <v>113</v>
      </c>
      <c r="I137" s="140" t="str">
        <f>IF(I134&lt;&gt;100,"-",AVERAGE(I143:I242))</f>
        <v>-</v>
      </c>
      <c r="J137" s="140">
        <f t="shared" ref="J137:N137" si="5">AVERAGE(J143:J242)</f>
        <v>46.69</v>
      </c>
      <c r="K137" s="140">
        <f t="shared" si="5"/>
        <v>44.318475958108763</v>
      </c>
      <c r="L137" s="140">
        <f t="shared" si="5"/>
        <v>23.485507193003787</v>
      </c>
      <c r="M137" s="208">
        <f t="shared" si="5"/>
        <v>34808.037540052355</v>
      </c>
      <c r="N137" s="140" t="str">
        <f>IF(N134&lt;&gt;0,"-",AVERAGE(N143:N242))</f>
        <v>-</v>
      </c>
      <c r="O137" s="144" t="str">
        <f>IF(O134&lt;&gt;100,"-",AVERAGE(O143:O242))</f>
        <v>-</v>
      </c>
      <c r="P137" s="144">
        <f t="shared" ref="P137:S137" si="6">AVERAGE(P143:P242)</f>
        <v>46.69</v>
      </c>
      <c r="Q137" s="144">
        <f t="shared" si="6"/>
        <v>41.1381829953364</v>
      </c>
      <c r="R137" s="144">
        <f t="shared" si="6"/>
        <v>27.043312814523336</v>
      </c>
      <c r="S137" s="145">
        <f t="shared" si="6"/>
        <v>15897.161615572651</v>
      </c>
      <c r="T137" s="144" t="str">
        <f>IF(T134&lt;&gt;0,"-",AVERAGE(T143:T242))</f>
        <v>-</v>
      </c>
      <c r="X137" s="147"/>
      <c r="Y137" s="189"/>
      <c r="Z137" s="190"/>
      <c r="AA137" s="190"/>
      <c r="AB137" s="190"/>
      <c r="AC137" s="190"/>
      <c r="AD137" s="191"/>
      <c r="AE137" s="191"/>
      <c r="AF137" s="192"/>
      <c r="AG137" s="192"/>
      <c r="AH137" s="192"/>
      <c r="AI137" s="192"/>
      <c r="AJ137" s="193"/>
      <c r="AK137" s="193"/>
      <c r="AL137" s="147"/>
      <c r="AM137" s="189"/>
      <c r="AN137" s="190"/>
      <c r="AO137" s="190"/>
      <c r="AP137" s="190"/>
      <c r="AQ137" s="190"/>
      <c r="AR137" s="191"/>
      <c r="AS137" s="191"/>
      <c r="AT137" s="192"/>
      <c r="AU137" s="192"/>
      <c r="AV137" s="192"/>
      <c r="AW137" s="192"/>
      <c r="AX137" s="193"/>
      <c r="AY137" s="193"/>
      <c r="AZ137" s="147"/>
      <c r="BA137" s="147"/>
      <c r="BB137" s="189"/>
      <c r="BC137" s="190"/>
      <c r="BD137" s="190"/>
      <c r="BE137" s="190"/>
      <c r="BF137" s="190"/>
      <c r="BG137" s="191"/>
      <c r="BH137" s="191"/>
      <c r="BI137" s="192"/>
      <c r="BJ137" s="192"/>
      <c r="BK137" s="192"/>
      <c r="BL137" s="192"/>
      <c r="BM137" s="193"/>
      <c r="BN137" s="193"/>
      <c r="BO137" s="147"/>
      <c r="BP137" s="147"/>
      <c r="BQ137" s="189"/>
      <c r="BR137" s="190"/>
      <c r="BS137" s="190"/>
      <c r="BT137" s="190"/>
      <c r="BU137" s="190"/>
      <c r="BV137" s="191"/>
      <c r="BW137" s="191"/>
      <c r="BX137" s="192"/>
      <c r="BY137" s="192"/>
      <c r="BZ137" s="192"/>
      <c r="CA137" s="192"/>
      <c r="CB137" s="193"/>
      <c r="CC137" s="193"/>
      <c r="CD137" s="147"/>
      <c r="CE137" s="147"/>
      <c r="CF137" s="189"/>
      <c r="CG137" s="190"/>
      <c r="CH137" s="190"/>
      <c r="CI137" s="190"/>
      <c r="CJ137" s="190"/>
      <c r="CK137" s="191"/>
      <c r="CL137" s="191"/>
      <c r="CM137" s="192"/>
      <c r="CN137" s="192"/>
      <c r="CO137" s="192"/>
      <c r="CP137" s="192"/>
      <c r="CQ137" s="193"/>
      <c r="CR137" s="193"/>
      <c r="CS137" s="147"/>
      <c r="CT137" s="147"/>
      <c r="CU137" s="189"/>
      <c r="CV137" s="190"/>
      <c r="CW137" s="190"/>
      <c r="CX137" s="190"/>
      <c r="CY137" s="190"/>
      <c r="CZ137" s="191"/>
      <c r="DA137" s="191"/>
      <c r="DB137" s="192"/>
      <c r="DC137" s="192"/>
      <c r="DD137" s="192"/>
      <c r="DE137" s="192"/>
      <c r="DF137" s="193"/>
      <c r="DG137" s="193"/>
      <c r="DH137" s="147"/>
      <c r="DI137" s="147"/>
      <c r="DJ137" s="189"/>
      <c r="DK137" s="190"/>
      <c r="DL137" s="190"/>
      <c r="DM137" s="190"/>
      <c r="DN137" s="190"/>
      <c r="DO137" s="191"/>
      <c r="DP137" s="191"/>
      <c r="DQ137" s="192"/>
      <c r="DR137" s="192"/>
      <c r="DS137" s="192"/>
      <c r="DT137" s="192"/>
      <c r="DU137" s="193"/>
      <c r="DV137" s="193"/>
      <c r="DW137" s="147"/>
      <c r="DX137" s="147"/>
      <c r="DY137" s="189"/>
      <c r="DZ137" s="190"/>
      <c r="EA137" s="190"/>
      <c r="EB137" s="190"/>
      <c r="EC137" s="190"/>
      <c r="ED137" s="191"/>
      <c r="EE137" s="191"/>
      <c r="EF137" s="192"/>
      <c r="EG137" s="192"/>
      <c r="EH137" s="192"/>
      <c r="EI137" s="192"/>
      <c r="EJ137" s="193"/>
      <c r="EK137" s="193"/>
      <c r="EL137" s="147"/>
      <c r="EM137" s="147"/>
      <c r="EN137" s="189"/>
      <c r="EO137" s="190"/>
      <c r="EP137" s="190"/>
      <c r="EQ137" s="190"/>
      <c r="ER137" s="190"/>
      <c r="ES137" s="191"/>
      <c r="ET137" s="191"/>
      <c r="EU137" s="192"/>
      <c r="EV137" s="192"/>
      <c r="EW137" s="192"/>
      <c r="EX137" s="192"/>
      <c r="EY137" s="193"/>
      <c r="EZ137" s="193"/>
      <c r="FA137" s="147"/>
      <c r="FB137" s="147"/>
      <c r="FC137" s="189"/>
      <c r="FD137" s="190"/>
      <c r="FE137" s="190"/>
      <c r="FF137" s="190"/>
      <c r="FG137" s="190"/>
      <c r="FH137" s="191"/>
      <c r="FI137" s="191"/>
      <c r="FJ137" s="192"/>
      <c r="FK137" s="192"/>
      <c r="FL137" s="192"/>
      <c r="FM137" s="192"/>
      <c r="FN137" s="193"/>
      <c r="FO137" s="193"/>
      <c r="FP137" s="147"/>
      <c r="FQ137" s="147"/>
      <c r="FR137" s="147"/>
      <c r="FS137" s="147"/>
    </row>
    <row r="138" spans="8:175" ht="10.5" customHeight="1" x14ac:dyDescent="0.2">
      <c r="H138" s="47" t="s">
        <v>114</v>
      </c>
      <c r="I138" s="140" t="str">
        <f>IF(I134&lt;&gt;100,"-",STDEV(I143:I242))</f>
        <v>-</v>
      </c>
      <c r="J138" s="140">
        <f t="shared" ref="J138:N138" si="7">STDEV(J143:J242)</f>
        <v>2.2860799671406085</v>
      </c>
      <c r="K138" s="140">
        <f t="shared" si="7"/>
        <v>2.0077321607026</v>
      </c>
      <c r="L138" s="140">
        <f t="shared" si="7"/>
        <v>1.2939265355487108</v>
      </c>
      <c r="M138" s="208">
        <f t="shared" si="7"/>
        <v>8166.5398404338057</v>
      </c>
      <c r="N138" s="140" t="str">
        <f>IF(N134&lt;&gt;0,"-",STDEV(N143:N242))</f>
        <v>-</v>
      </c>
      <c r="O138" s="144" t="str">
        <f>IF(O134&lt;&gt;100,"-",STDEV(O143:O242))</f>
        <v>-</v>
      </c>
      <c r="P138" s="144">
        <f t="shared" ref="P138:S138" si="8">STDEV(P143:P242)</f>
        <v>2.2860799671406085</v>
      </c>
      <c r="Q138" s="144">
        <f t="shared" si="8"/>
        <v>13.918433524502209</v>
      </c>
      <c r="R138" s="144">
        <f t="shared" si="8"/>
        <v>9.3607168228550623</v>
      </c>
      <c r="S138" s="145">
        <f t="shared" si="8"/>
        <v>8459.2735784883953</v>
      </c>
      <c r="T138" s="144" t="str">
        <f>IF(T134&lt;&gt;0,"-",STDEV(T143:T242))</f>
        <v>-</v>
      </c>
      <c r="X138" s="147"/>
      <c r="Y138" s="189"/>
      <c r="Z138" s="190"/>
      <c r="AA138" s="190"/>
      <c r="AB138" s="190"/>
      <c r="AC138" s="190"/>
      <c r="AD138" s="191"/>
      <c r="AE138" s="191"/>
      <c r="AF138" s="192"/>
      <c r="AG138" s="192"/>
      <c r="AH138" s="192"/>
      <c r="AI138" s="192"/>
      <c r="AJ138" s="193"/>
      <c r="AK138" s="193"/>
      <c r="AL138" s="147"/>
      <c r="AM138" s="189"/>
      <c r="AN138" s="190"/>
      <c r="AO138" s="190"/>
      <c r="AP138" s="190"/>
      <c r="AQ138" s="190"/>
      <c r="AR138" s="191"/>
      <c r="AS138" s="191"/>
      <c r="AT138" s="192"/>
      <c r="AU138" s="192"/>
      <c r="AV138" s="192"/>
      <c r="AW138" s="192"/>
      <c r="AX138" s="193"/>
      <c r="AY138" s="193"/>
      <c r="AZ138" s="147"/>
      <c r="BA138" s="147"/>
      <c r="BB138" s="189"/>
      <c r="BC138" s="190"/>
      <c r="BD138" s="190"/>
      <c r="BE138" s="190"/>
      <c r="BF138" s="190"/>
      <c r="BG138" s="191"/>
      <c r="BH138" s="191"/>
      <c r="BI138" s="192"/>
      <c r="BJ138" s="192"/>
      <c r="BK138" s="192"/>
      <c r="BL138" s="192"/>
      <c r="BM138" s="193"/>
      <c r="BN138" s="193"/>
      <c r="BO138" s="147"/>
      <c r="BP138" s="147"/>
      <c r="BQ138" s="189"/>
      <c r="BR138" s="190"/>
      <c r="BS138" s="190"/>
      <c r="BT138" s="190"/>
      <c r="BU138" s="190"/>
      <c r="BV138" s="191"/>
      <c r="BW138" s="191"/>
      <c r="BX138" s="192"/>
      <c r="BY138" s="192"/>
      <c r="BZ138" s="192"/>
      <c r="CA138" s="192"/>
      <c r="CB138" s="193"/>
      <c r="CC138" s="193"/>
      <c r="CD138" s="147"/>
      <c r="CE138" s="147"/>
      <c r="CF138" s="189"/>
      <c r="CG138" s="190"/>
      <c r="CH138" s="190"/>
      <c r="CI138" s="190"/>
      <c r="CJ138" s="190"/>
      <c r="CK138" s="191"/>
      <c r="CL138" s="191"/>
      <c r="CM138" s="192"/>
      <c r="CN138" s="192"/>
      <c r="CO138" s="192"/>
      <c r="CP138" s="192"/>
      <c r="CQ138" s="193"/>
      <c r="CR138" s="193"/>
      <c r="CS138" s="147"/>
      <c r="CT138" s="147"/>
      <c r="CU138" s="189"/>
      <c r="CV138" s="190"/>
      <c r="CW138" s="190"/>
      <c r="CX138" s="190"/>
      <c r="CY138" s="190"/>
      <c r="CZ138" s="191"/>
      <c r="DA138" s="191"/>
      <c r="DB138" s="192"/>
      <c r="DC138" s="192"/>
      <c r="DD138" s="192"/>
      <c r="DE138" s="192"/>
      <c r="DF138" s="193"/>
      <c r="DG138" s="193"/>
      <c r="DH138" s="147"/>
      <c r="DI138" s="147"/>
      <c r="DJ138" s="189"/>
      <c r="DK138" s="190"/>
      <c r="DL138" s="190"/>
      <c r="DM138" s="190"/>
      <c r="DN138" s="190"/>
      <c r="DO138" s="191"/>
      <c r="DP138" s="191"/>
      <c r="DQ138" s="192"/>
      <c r="DR138" s="192"/>
      <c r="DS138" s="192"/>
      <c r="DT138" s="192"/>
      <c r="DU138" s="193"/>
      <c r="DV138" s="193"/>
      <c r="DW138" s="147"/>
      <c r="DX138" s="147"/>
      <c r="DY138" s="189"/>
      <c r="DZ138" s="190"/>
      <c r="EA138" s="190"/>
      <c r="EB138" s="190"/>
      <c r="EC138" s="190"/>
      <c r="ED138" s="191"/>
      <c r="EE138" s="191"/>
      <c r="EF138" s="192"/>
      <c r="EG138" s="192"/>
      <c r="EH138" s="192"/>
      <c r="EI138" s="192"/>
      <c r="EJ138" s="193"/>
      <c r="EK138" s="193"/>
      <c r="EL138" s="147"/>
      <c r="EM138" s="147"/>
      <c r="EN138" s="189"/>
      <c r="EO138" s="190"/>
      <c r="EP138" s="190"/>
      <c r="EQ138" s="190"/>
      <c r="ER138" s="190"/>
      <c r="ES138" s="191"/>
      <c r="ET138" s="191"/>
      <c r="EU138" s="192"/>
      <c r="EV138" s="192"/>
      <c r="EW138" s="192"/>
      <c r="EX138" s="192"/>
      <c r="EY138" s="193"/>
      <c r="EZ138" s="193"/>
      <c r="FA138" s="147"/>
      <c r="FB138" s="147"/>
      <c r="FC138" s="189"/>
      <c r="FD138" s="190"/>
      <c r="FE138" s="190"/>
      <c r="FF138" s="190"/>
      <c r="FG138" s="190"/>
      <c r="FH138" s="191"/>
      <c r="FI138" s="191"/>
      <c r="FJ138" s="192"/>
      <c r="FK138" s="192"/>
      <c r="FL138" s="192"/>
      <c r="FM138" s="192"/>
      <c r="FN138" s="193"/>
      <c r="FO138" s="193"/>
      <c r="FP138" s="147"/>
      <c r="FQ138" s="147"/>
      <c r="FR138" s="147"/>
      <c r="FS138" s="147"/>
    </row>
    <row r="139" spans="8:175" ht="10.5" customHeight="1" x14ac:dyDescent="0.2">
      <c r="H139" s="205" t="s">
        <v>115</v>
      </c>
      <c r="I139" s="206" t="str">
        <f>IF(I134&lt;&gt;100,"-",I137+I138*NORMSINV((1-$H$140)/2))</f>
        <v>-</v>
      </c>
      <c r="J139" s="206">
        <f>J137+J138*NORMSINV((1-$H$140)/2)</f>
        <v>42.929733074547663</v>
      </c>
      <c r="K139" s="206">
        <f t="shared" ref="K139:N139" si="9">K137+K138*NORMSINV((1-$H$140)/2)</f>
        <v>41.016050431629978</v>
      </c>
      <c r="L139" s="206">
        <f t="shared" si="9"/>
        <v>21.357187437997737</v>
      </c>
      <c r="M139" s="209">
        <f t="shared" si="9"/>
        <v>21375.274863871109</v>
      </c>
      <c r="N139" s="206" t="str">
        <f>IF(N134&lt;&gt;0,"-",N137+N138*NORMSINV((1-$H$140)/2))</f>
        <v>-</v>
      </c>
      <c r="O139" s="144" t="str">
        <f>IF(O134&lt;&gt;100,"-",O137+O138*NORMSINV((1-$H$140)/2))</f>
        <v>-</v>
      </c>
      <c r="P139" s="144">
        <f>P137+P138*NORMSINV((1-$H$140)/2)</f>
        <v>42.929733074547663</v>
      </c>
      <c r="Q139" s="144">
        <f t="shared" ref="Q139" si="10">Q137+Q138*NORMSINV((1-$H$140)/2)</f>
        <v>18.244397131075974</v>
      </c>
      <c r="R139" s="144">
        <f t="shared" ref="R139" si="11">R137+R138*NORMSINV((1-$H$140)/2)</f>
        <v>11.646303797584521</v>
      </c>
      <c r="S139" s="145">
        <f t="shared" ref="S139" si="12">S137+S138*NORMSINV((1-$H$140)/2)</f>
        <v>1982.8947886212518</v>
      </c>
      <c r="T139" s="144" t="str">
        <f>IF(T134&lt;&gt;0,"-",T137+T138*NORMSINV((1-$H$140)/2))</f>
        <v>-</v>
      </c>
      <c r="X139" s="147"/>
      <c r="Y139" s="189"/>
      <c r="Z139" s="190"/>
      <c r="AA139" s="190"/>
      <c r="AB139" s="190"/>
      <c r="AC139" s="190"/>
      <c r="AD139" s="191"/>
      <c r="AE139" s="191"/>
      <c r="AF139" s="192"/>
      <c r="AG139" s="192"/>
      <c r="AH139" s="192"/>
      <c r="AI139" s="192"/>
      <c r="AJ139" s="193"/>
      <c r="AK139" s="193"/>
      <c r="AL139" s="147"/>
      <c r="AM139" s="189"/>
      <c r="AN139" s="190"/>
      <c r="AO139" s="190"/>
      <c r="AP139" s="190"/>
      <c r="AQ139" s="190"/>
      <c r="AR139" s="191"/>
      <c r="AS139" s="191"/>
      <c r="AT139" s="192"/>
      <c r="AU139" s="192"/>
      <c r="AV139" s="192"/>
      <c r="AW139" s="192"/>
      <c r="AX139" s="193"/>
      <c r="AY139" s="193"/>
      <c r="AZ139" s="147"/>
      <c r="BA139" s="147"/>
      <c r="BB139" s="189"/>
      <c r="BC139" s="190"/>
      <c r="BD139" s="190"/>
      <c r="BE139" s="190"/>
      <c r="BF139" s="190"/>
      <c r="BG139" s="191"/>
      <c r="BH139" s="191"/>
      <c r="BI139" s="192"/>
      <c r="BJ139" s="192"/>
      <c r="BK139" s="192"/>
      <c r="BL139" s="192"/>
      <c r="BM139" s="193"/>
      <c r="BN139" s="193"/>
      <c r="BO139" s="147"/>
      <c r="BP139" s="147"/>
      <c r="BQ139" s="189"/>
      <c r="BR139" s="190"/>
      <c r="BS139" s="190"/>
      <c r="BT139" s="190"/>
      <c r="BU139" s="190"/>
      <c r="BV139" s="191"/>
      <c r="BW139" s="191"/>
      <c r="BX139" s="192"/>
      <c r="BY139" s="192"/>
      <c r="BZ139" s="192"/>
      <c r="CA139" s="192"/>
      <c r="CB139" s="193"/>
      <c r="CC139" s="193"/>
      <c r="CD139" s="147"/>
      <c r="CE139" s="147"/>
      <c r="CF139" s="189"/>
      <c r="CG139" s="190"/>
      <c r="CH139" s="190"/>
      <c r="CI139" s="190"/>
      <c r="CJ139" s="190"/>
      <c r="CK139" s="191"/>
      <c r="CL139" s="191"/>
      <c r="CM139" s="192"/>
      <c r="CN139" s="192"/>
      <c r="CO139" s="192"/>
      <c r="CP139" s="192"/>
      <c r="CQ139" s="193"/>
      <c r="CR139" s="193"/>
      <c r="CS139" s="147"/>
      <c r="CT139" s="147"/>
      <c r="CU139" s="189"/>
      <c r="CV139" s="190"/>
      <c r="CW139" s="190"/>
      <c r="CX139" s="190"/>
      <c r="CY139" s="190"/>
      <c r="CZ139" s="191"/>
      <c r="DA139" s="191"/>
      <c r="DB139" s="192"/>
      <c r="DC139" s="192"/>
      <c r="DD139" s="192"/>
      <c r="DE139" s="192"/>
      <c r="DF139" s="193"/>
      <c r="DG139" s="193"/>
      <c r="DH139" s="147"/>
      <c r="DI139" s="147"/>
      <c r="DJ139" s="189"/>
      <c r="DK139" s="190"/>
      <c r="DL139" s="190"/>
      <c r="DM139" s="190"/>
      <c r="DN139" s="190"/>
      <c r="DO139" s="191"/>
      <c r="DP139" s="191"/>
      <c r="DQ139" s="192"/>
      <c r="DR139" s="192"/>
      <c r="DS139" s="192"/>
      <c r="DT139" s="192"/>
      <c r="DU139" s="193"/>
      <c r="DV139" s="193"/>
      <c r="DW139" s="147"/>
      <c r="DX139" s="147"/>
      <c r="DY139" s="189"/>
      <c r="DZ139" s="190"/>
      <c r="EA139" s="190"/>
      <c r="EB139" s="190"/>
      <c r="EC139" s="190"/>
      <c r="ED139" s="191"/>
      <c r="EE139" s="191"/>
      <c r="EF139" s="192"/>
      <c r="EG139" s="192"/>
      <c r="EH139" s="192"/>
      <c r="EI139" s="192"/>
      <c r="EJ139" s="193"/>
      <c r="EK139" s="193"/>
      <c r="EL139" s="147"/>
      <c r="EM139" s="147"/>
      <c r="EN139" s="189"/>
      <c r="EO139" s="190"/>
      <c r="EP139" s="190"/>
      <c r="EQ139" s="190"/>
      <c r="ER139" s="190"/>
      <c r="ES139" s="191"/>
      <c r="ET139" s="191"/>
      <c r="EU139" s="192"/>
      <c r="EV139" s="192"/>
      <c r="EW139" s="192"/>
      <c r="EX139" s="192"/>
      <c r="EY139" s="193"/>
      <c r="EZ139" s="193"/>
      <c r="FA139" s="147"/>
      <c r="FB139" s="147"/>
      <c r="FC139" s="189"/>
      <c r="FD139" s="190"/>
      <c r="FE139" s="190"/>
      <c r="FF139" s="190"/>
      <c r="FG139" s="190"/>
      <c r="FH139" s="191"/>
      <c r="FI139" s="191"/>
      <c r="FJ139" s="192"/>
      <c r="FK139" s="192"/>
      <c r="FL139" s="192"/>
      <c r="FM139" s="192"/>
      <c r="FN139" s="193"/>
      <c r="FO139" s="193"/>
      <c r="FP139" s="147"/>
      <c r="FQ139" s="147"/>
      <c r="FR139" s="147"/>
      <c r="FS139" s="147"/>
    </row>
    <row r="140" spans="8:175" ht="10.5" customHeight="1" x14ac:dyDescent="0.2">
      <c r="H140" s="207">
        <v>0.9</v>
      </c>
      <c r="I140" s="206" t="str">
        <f>IF(I134&lt;&gt;100,"-",I137+I138*NORMSINV(1-(1-$H$140)/2))</f>
        <v>-</v>
      </c>
      <c r="J140" s="206">
        <f>J137+J138*NORMSINV(1-(1-$H$140)/2)</f>
        <v>50.450266925452325</v>
      </c>
      <c r="K140" s="206">
        <f t="shared" ref="K140:N140" si="13">K137+K138*NORMSINV(1-(1-$H$140)/2)</f>
        <v>47.620901484587549</v>
      </c>
      <c r="L140" s="206">
        <f t="shared" si="13"/>
        <v>25.613826948009837</v>
      </c>
      <c r="M140" s="209">
        <f t="shared" si="13"/>
        <v>48240.800216233591</v>
      </c>
      <c r="N140" s="206" t="str">
        <f>IF(N134&lt;&gt;0,"-",N137+N138*NORMSINV(1-(1-$H$140)/2))</f>
        <v>-</v>
      </c>
      <c r="O140" s="144" t="str">
        <f>IF(O134&lt;&gt;100,"-",O137+O138*NORMSINV(1-(1-$H$140)/2))</f>
        <v>-</v>
      </c>
      <c r="P140" s="144">
        <f>P137+P138*NORMSINV(1-(1-$H$140)/2)</f>
        <v>50.450266925452325</v>
      </c>
      <c r="Q140" s="144">
        <f t="shared" ref="Q140:S140" si="14">Q137+Q138*NORMSINV(1-(1-$H$140)/2)</f>
        <v>64.031968859596816</v>
      </c>
      <c r="R140" s="144">
        <f t="shared" si="14"/>
        <v>42.440321831462143</v>
      </c>
      <c r="S140" s="145">
        <f t="shared" si="14"/>
        <v>29811.42844252404</v>
      </c>
      <c r="T140" s="144" t="str">
        <f>IF(T134&lt;&gt;0,"-",T137+T138*NORMSINV(1-(1-$H$140)/2))</f>
        <v>-</v>
      </c>
      <c r="X140" s="147"/>
      <c r="Y140" s="189"/>
      <c r="Z140" s="190"/>
      <c r="AA140" s="190"/>
      <c r="AB140" s="190"/>
      <c r="AC140" s="190"/>
      <c r="AD140" s="191"/>
      <c r="AE140" s="191"/>
      <c r="AF140" s="192"/>
      <c r="AG140" s="192"/>
      <c r="AH140" s="192"/>
      <c r="AI140" s="192"/>
      <c r="AJ140" s="193"/>
      <c r="AK140" s="193"/>
      <c r="AL140" s="147"/>
      <c r="AM140" s="189"/>
      <c r="AN140" s="190"/>
      <c r="AO140" s="190"/>
      <c r="AP140" s="190"/>
      <c r="AQ140" s="190"/>
      <c r="AR140" s="191"/>
      <c r="AS140" s="191"/>
      <c r="AT140" s="192"/>
      <c r="AU140" s="192"/>
      <c r="AV140" s="192"/>
      <c r="AW140" s="192"/>
      <c r="AX140" s="193"/>
      <c r="AY140" s="193"/>
      <c r="AZ140" s="147"/>
      <c r="BA140" s="147"/>
      <c r="BB140" s="189"/>
      <c r="BC140" s="190"/>
      <c r="BD140" s="190"/>
      <c r="BE140" s="190"/>
      <c r="BF140" s="190"/>
      <c r="BG140" s="191"/>
      <c r="BH140" s="191"/>
      <c r="BI140" s="192"/>
      <c r="BJ140" s="192"/>
      <c r="BK140" s="192"/>
      <c r="BL140" s="192"/>
      <c r="BM140" s="193"/>
      <c r="BN140" s="193"/>
      <c r="BO140" s="147"/>
      <c r="BP140" s="147"/>
      <c r="BQ140" s="189"/>
      <c r="BR140" s="190"/>
      <c r="BS140" s="190"/>
      <c r="BT140" s="190"/>
      <c r="BU140" s="190"/>
      <c r="BV140" s="191"/>
      <c r="BW140" s="191"/>
      <c r="BX140" s="192"/>
      <c r="BY140" s="192"/>
      <c r="BZ140" s="192"/>
      <c r="CA140" s="192"/>
      <c r="CB140" s="193"/>
      <c r="CC140" s="193"/>
      <c r="CD140" s="147"/>
      <c r="CE140" s="147"/>
      <c r="CF140" s="189"/>
      <c r="CG140" s="190"/>
      <c r="CH140" s="190"/>
      <c r="CI140" s="190"/>
      <c r="CJ140" s="190"/>
      <c r="CK140" s="191"/>
      <c r="CL140" s="191"/>
      <c r="CM140" s="192"/>
      <c r="CN140" s="192"/>
      <c r="CO140" s="192"/>
      <c r="CP140" s="192"/>
      <c r="CQ140" s="193"/>
      <c r="CR140" s="193"/>
      <c r="CS140" s="147"/>
      <c r="CT140" s="147"/>
      <c r="CU140" s="189"/>
      <c r="CV140" s="190"/>
      <c r="CW140" s="190"/>
      <c r="CX140" s="190"/>
      <c r="CY140" s="190"/>
      <c r="CZ140" s="191"/>
      <c r="DA140" s="191"/>
      <c r="DB140" s="192"/>
      <c r="DC140" s="192"/>
      <c r="DD140" s="192"/>
      <c r="DE140" s="192"/>
      <c r="DF140" s="193"/>
      <c r="DG140" s="193"/>
      <c r="DH140" s="147"/>
      <c r="DI140" s="147"/>
      <c r="DJ140" s="189"/>
      <c r="DK140" s="190"/>
      <c r="DL140" s="190"/>
      <c r="DM140" s="190"/>
      <c r="DN140" s="190"/>
      <c r="DO140" s="191"/>
      <c r="DP140" s="191"/>
      <c r="DQ140" s="192"/>
      <c r="DR140" s="192"/>
      <c r="DS140" s="192"/>
      <c r="DT140" s="192"/>
      <c r="DU140" s="193"/>
      <c r="DV140" s="193"/>
      <c r="DW140" s="147"/>
      <c r="DX140" s="147"/>
      <c r="DY140" s="189"/>
      <c r="DZ140" s="190"/>
      <c r="EA140" s="190"/>
      <c r="EB140" s="190"/>
      <c r="EC140" s="190"/>
      <c r="ED140" s="191"/>
      <c r="EE140" s="191"/>
      <c r="EF140" s="192"/>
      <c r="EG140" s="192"/>
      <c r="EH140" s="192"/>
      <c r="EI140" s="192"/>
      <c r="EJ140" s="193"/>
      <c r="EK140" s="193"/>
      <c r="EL140" s="147"/>
      <c r="EM140" s="147"/>
      <c r="EN140" s="189"/>
      <c r="EO140" s="190"/>
      <c r="EP140" s="190"/>
      <c r="EQ140" s="190"/>
      <c r="ER140" s="190"/>
      <c r="ES140" s="191"/>
      <c r="ET140" s="191"/>
      <c r="EU140" s="192"/>
      <c r="EV140" s="192"/>
      <c r="EW140" s="192"/>
      <c r="EX140" s="192"/>
      <c r="EY140" s="193"/>
      <c r="EZ140" s="193"/>
      <c r="FA140" s="147"/>
      <c r="FB140" s="147"/>
      <c r="FC140" s="189"/>
      <c r="FD140" s="190"/>
      <c r="FE140" s="190"/>
      <c r="FF140" s="190"/>
      <c r="FG140" s="190"/>
      <c r="FH140" s="191"/>
      <c r="FI140" s="191"/>
      <c r="FJ140" s="192"/>
      <c r="FK140" s="192"/>
      <c r="FL140" s="192"/>
      <c r="FM140" s="192"/>
      <c r="FN140" s="193"/>
      <c r="FO140" s="193"/>
      <c r="FP140" s="147"/>
      <c r="FQ140" s="147"/>
      <c r="FR140" s="147"/>
      <c r="FS140" s="147"/>
    </row>
    <row r="141" spans="8:175" ht="24" customHeight="1" x14ac:dyDescent="0.2">
      <c r="H141" s="142" t="s">
        <v>87</v>
      </c>
      <c r="I141" s="116" t="s">
        <v>50</v>
      </c>
      <c r="J141" s="39" t="s">
        <v>96</v>
      </c>
      <c r="K141" s="143" t="s">
        <v>97</v>
      </c>
      <c r="L141" s="143" t="s">
        <v>98</v>
      </c>
      <c r="M141" s="39" t="s">
        <v>99</v>
      </c>
      <c r="N141" s="39" t="s">
        <v>100</v>
      </c>
      <c r="O141" s="128" t="s">
        <v>90</v>
      </c>
      <c r="P141" s="40" t="s">
        <v>91</v>
      </c>
      <c r="Q141" s="146" t="s">
        <v>92</v>
      </c>
      <c r="R141" s="146" t="s">
        <v>93</v>
      </c>
      <c r="S141" s="40" t="s">
        <v>94</v>
      </c>
      <c r="T141" s="210" t="s">
        <v>95</v>
      </c>
      <c r="U141" s="212"/>
      <c r="V141" s="212"/>
      <c r="X141" s="147"/>
      <c r="Y141" s="194"/>
      <c r="Z141" s="195"/>
      <c r="AA141" s="196"/>
      <c r="AB141" s="197"/>
      <c r="AC141" s="197"/>
      <c r="AD141" s="196"/>
      <c r="AE141" s="196"/>
      <c r="AF141" s="198"/>
      <c r="AG141" s="199"/>
      <c r="AH141" s="200"/>
      <c r="AI141" s="200"/>
      <c r="AJ141" s="199"/>
      <c r="AK141" s="199"/>
      <c r="AL141" s="147"/>
      <c r="AM141" s="194"/>
      <c r="AN141" s="195"/>
      <c r="AO141" s="196"/>
      <c r="AP141" s="197"/>
      <c r="AQ141" s="197"/>
      <c r="AR141" s="196"/>
      <c r="AS141" s="196"/>
      <c r="AT141" s="198"/>
      <c r="AU141" s="199"/>
      <c r="AV141" s="200"/>
      <c r="AW141" s="200"/>
      <c r="AX141" s="199"/>
      <c r="AY141" s="199"/>
      <c r="AZ141" s="147"/>
      <c r="BA141" s="147"/>
      <c r="BB141" s="194"/>
      <c r="BC141" s="195"/>
      <c r="BD141" s="196"/>
      <c r="BE141" s="197"/>
      <c r="BF141" s="197"/>
      <c r="BG141" s="196"/>
      <c r="BH141" s="196"/>
      <c r="BI141" s="198"/>
      <c r="BJ141" s="199"/>
      <c r="BK141" s="200"/>
      <c r="BL141" s="200"/>
      <c r="BM141" s="199"/>
      <c r="BN141" s="199"/>
      <c r="BO141" s="147"/>
      <c r="BP141" s="147"/>
      <c r="BQ141" s="194"/>
      <c r="BR141" s="195"/>
      <c r="BS141" s="196"/>
      <c r="BT141" s="197"/>
      <c r="BU141" s="197"/>
      <c r="BV141" s="196"/>
      <c r="BW141" s="196"/>
      <c r="BX141" s="198"/>
      <c r="BY141" s="199"/>
      <c r="BZ141" s="200"/>
      <c r="CA141" s="200"/>
      <c r="CB141" s="199"/>
      <c r="CC141" s="199"/>
      <c r="CD141" s="147"/>
      <c r="CE141" s="147"/>
      <c r="CF141" s="194"/>
      <c r="CG141" s="195"/>
      <c r="CH141" s="196"/>
      <c r="CI141" s="197"/>
      <c r="CJ141" s="197"/>
      <c r="CK141" s="196"/>
      <c r="CL141" s="196"/>
      <c r="CM141" s="198"/>
      <c r="CN141" s="199"/>
      <c r="CO141" s="200"/>
      <c r="CP141" s="200"/>
      <c r="CQ141" s="199"/>
      <c r="CR141" s="199"/>
      <c r="CS141" s="147"/>
      <c r="CT141" s="147"/>
      <c r="CU141" s="194"/>
      <c r="CV141" s="195"/>
      <c r="CW141" s="196"/>
      <c r="CX141" s="197"/>
      <c r="CY141" s="197"/>
      <c r="CZ141" s="196"/>
      <c r="DA141" s="196"/>
      <c r="DB141" s="198"/>
      <c r="DC141" s="199"/>
      <c r="DD141" s="200"/>
      <c r="DE141" s="200"/>
      <c r="DF141" s="199"/>
      <c r="DG141" s="199"/>
      <c r="DH141" s="147"/>
      <c r="DI141" s="147"/>
      <c r="DJ141" s="194"/>
      <c r="DK141" s="195"/>
      <c r="DL141" s="196"/>
      <c r="DM141" s="197"/>
      <c r="DN141" s="197"/>
      <c r="DO141" s="196"/>
      <c r="DP141" s="196"/>
      <c r="DQ141" s="198"/>
      <c r="DR141" s="199"/>
      <c r="DS141" s="200"/>
      <c r="DT141" s="200"/>
      <c r="DU141" s="199"/>
      <c r="DV141" s="199"/>
      <c r="DW141" s="147"/>
      <c r="DX141" s="147"/>
      <c r="DY141" s="194"/>
      <c r="DZ141" s="195"/>
      <c r="EA141" s="196"/>
      <c r="EB141" s="197"/>
      <c r="EC141" s="197"/>
      <c r="ED141" s="196"/>
      <c r="EE141" s="196"/>
      <c r="EF141" s="198"/>
      <c r="EG141" s="199"/>
      <c r="EH141" s="200"/>
      <c r="EI141" s="200"/>
      <c r="EJ141" s="199"/>
      <c r="EK141" s="199"/>
      <c r="EL141" s="147"/>
      <c r="EM141" s="147"/>
      <c r="EN141" s="194"/>
      <c r="EO141" s="195"/>
      <c r="EP141" s="196"/>
      <c r="EQ141" s="197"/>
      <c r="ER141" s="197"/>
      <c r="ES141" s="196"/>
      <c r="ET141" s="196"/>
      <c r="EU141" s="198"/>
      <c r="EV141" s="199"/>
      <c r="EW141" s="200"/>
      <c r="EX141" s="200"/>
      <c r="EY141" s="199"/>
      <c r="EZ141" s="199"/>
      <c r="FA141" s="147"/>
      <c r="FB141" s="147"/>
      <c r="FC141" s="194"/>
      <c r="FD141" s="195"/>
      <c r="FE141" s="196"/>
      <c r="FF141" s="197"/>
      <c r="FG141" s="197"/>
      <c r="FH141" s="196"/>
      <c r="FI141" s="196"/>
      <c r="FJ141" s="198"/>
      <c r="FK141" s="199"/>
      <c r="FL141" s="200"/>
      <c r="FM141" s="200"/>
      <c r="FN141" s="199"/>
      <c r="FO141" s="199"/>
      <c r="FP141" s="147"/>
      <c r="FQ141" s="147"/>
      <c r="FR141" s="147"/>
      <c r="FS141" s="147"/>
    </row>
    <row r="142" spans="8:175" ht="24" customHeight="1" x14ac:dyDescent="0.2">
      <c r="H142" s="142" t="s">
        <v>77</v>
      </c>
      <c r="I142" s="143">
        <v>19.811280276336941</v>
      </c>
      <c r="J142" s="39">
        <v>39</v>
      </c>
      <c r="K142" s="143">
        <v>37.144822922515957</v>
      </c>
      <c r="L142" s="143">
        <v>20.791548496562651</v>
      </c>
      <c r="M142" s="39">
        <v>37218</v>
      </c>
      <c r="N142" s="39">
        <v>13687</v>
      </c>
      <c r="O142" s="143">
        <v>24.152394711737358</v>
      </c>
      <c r="P142" s="39">
        <v>39</v>
      </c>
      <c r="Q142" s="143">
        <v>38.27207742371332</v>
      </c>
      <c r="R142" s="143">
        <v>28.399623475767143</v>
      </c>
      <c r="S142" s="39">
        <v>17747</v>
      </c>
      <c r="T142" s="211">
        <v>11866</v>
      </c>
      <c r="U142" s="202"/>
      <c r="V142" s="202"/>
      <c r="X142" s="147"/>
      <c r="Y142" s="147"/>
      <c r="Z142" s="201"/>
      <c r="AA142" s="202"/>
      <c r="AB142" s="201"/>
      <c r="AC142" s="201"/>
      <c r="AD142" s="202"/>
      <c r="AE142" s="202"/>
      <c r="AF142" s="201"/>
      <c r="AG142" s="202"/>
      <c r="AH142" s="201"/>
      <c r="AI142" s="201"/>
      <c r="AJ142" s="202"/>
      <c r="AK142" s="202"/>
      <c r="AL142" s="147"/>
      <c r="AM142" s="147"/>
      <c r="AN142" s="201"/>
      <c r="AO142" s="202"/>
      <c r="AP142" s="201"/>
      <c r="AQ142" s="201"/>
      <c r="AR142" s="202"/>
      <c r="AS142" s="202"/>
      <c r="AT142" s="201"/>
      <c r="AU142" s="202"/>
      <c r="AV142" s="201"/>
      <c r="AW142" s="201"/>
      <c r="AX142" s="202"/>
      <c r="AY142" s="202"/>
      <c r="AZ142" s="147"/>
      <c r="BA142" s="147"/>
      <c r="BB142" s="147"/>
      <c r="BC142" s="201"/>
      <c r="BD142" s="202"/>
      <c r="BE142" s="201"/>
      <c r="BF142" s="201"/>
      <c r="BG142" s="202"/>
      <c r="BH142" s="202"/>
      <c r="BI142" s="201"/>
      <c r="BJ142" s="202"/>
      <c r="BK142" s="201"/>
      <c r="BL142" s="201"/>
      <c r="BM142" s="202"/>
      <c r="BN142" s="202"/>
      <c r="BO142" s="147"/>
      <c r="BP142" s="147"/>
      <c r="BQ142" s="147"/>
      <c r="BR142" s="201"/>
      <c r="BS142" s="202"/>
      <c r="BT142" s="201"/>
      <c r="BU142" s="201"/>
      <c r="BV142" s="202"/>
      <c r="BW142" s="202"/>
      <c r="BX142" s="201"/>
      <c r="BY142" s="202"/>
      <c r="BZ142" s="201"/>
      <c r="CA142" s="201"/>
      <c r="CB142" s="202"/>
      <c r="CC142" s="202"/>
      <c r="CD142" s="147"/>
      <c r="CE142" s="147"/>
      <c r="CF142" s="147"/>
      <c r="CG142" s="201"/>
      <c r="CH142" s="202"/>
      <c r="CI142" s="201"/>
      <c r="CJ142" s="201"/>
      <c r="CK142" s="202"/>
      <c r="CL142" s="202"/>
      <c r="CM142" s="201"/>
      <c r="CN142" s="202"/>
      <c r="CO142" s="201"/>
      <c r="CP142" s="201"/>
      <c r="CQ142" s="202"/>
      <c r="CR142" s="202"/>
      <c r="CS142" s="147"/>
      <c r="CT142" s="147"/>
      <c r="CU142" s="147"/>
      <c r="CV142" s="201"/>
      <c r="CW142" s="202"/>
      <c r="CX142" s="201"/>
      <c r="CY142" s="201"/>
      <c r="CZ142" s="202"/>
      <c r="DA142" s="202"/>
      <c r="DB142" s="201"/>
      <c r="DC142" s="202"/>
      <c r="DD142" s="201"/>
      <c r="DE142" s="201"/>
      <c r="DF142" s="202"/>
      <c r="DG142" s="202"/>
      <c r="DH142" s="147"/>
      <c r="DI142" s="147"/>
      <c r="DJ142" s="147"/>
      <c r="DK142" s="201"/>
      <c r="DL142" s="202"/>
      <c r="DM142" s="201"/>
      <c r="DN142" s="201"/>
      <c r="DO142" s="202"/>
      <c r="DP142" s="202"/>
      <c r="DQ142" s="201"/>
      <c r="DR142" s="202"/>
      <c r="DS142" s="201"/>
      <c r="DT142" s="201"/>
      <c r="DU142" s="202"/>
      <c r="DV142" s="202"/>
      <c r="DW142" s="147"/>
      <c r="DX142" s="147"/>
      <c r="DY142" s="147"/>
      <c r="DZ142" s="201"/>
      <c r="EA142" s="202"/>
      <c r="EB142" s="201"/>
      <c r="EC142" s="201"/>
      <c r="ED142" s="202"/>
      <c r="EE142" s="202"/>
      <c r="EF142" s="201"/>
      <c r="EG142" s="202"/>
      <c r="EH142" s="201"/>
      <c r="EI142" s="201"/>
      <c r="EJ142" s="202"/>
      <c r="EK142" s="202"/>
      <c r="EL142" s="147"/>
      <c r="EM142" s="147"/>
      <c r="EN142" s="147"/>
      <c r="EO142" s="201"/>
      <c r="EP142" s="202"/>
      <c r="EQ142" s="201"/>
      <c r="ER142" s="201"/>
      <c r="ES142" s="202"/>
      <c r="ET142" s="202"/>
      <c r="EU142" s="201"/>
      <c r="EV142" s="202"/>
      <c r="EW142" s="201"/>
      <c r="EX142" s="201"/>
      <c r="EY142" s="202"/>
      <c r="EZ142" s="202"/>
      <c r="FA142" s="147"/>
      <c r="FB142" s="147"/>
      <c r="FC142" s="147"/>
      <c r="FD142" s="201"/>
      <c r="FE142" s="202"/>
      <c r="FF142" s="201"/>
      <c r="FG142" s="201"/>
      <c r="FH142" s="202"/>
      <c r="FI142" s="202"/>
      <c r="FJ142" s="201"/>
      <c r="FK142" s="202"/>
      <c r="FL142" s="201"/>
      <c r="FM142" s="201"/>
      <c r="FN142" s="202"/>
      <c r="FO142" s="202"/>
      <c r="FP142" s="147"/>
      <c r="FQ142" s="147"/>
      <c r="FR142" s="147"/>
      <c r="FS142" s="147"/>
    </row>
    <row r="143" spans="8:175" ht="11.25" customHeight="1" x14ac:dyDescent="0.2">
      <c r="H143">
        <v>1</v>
      </c>
      <c r="I143">
        <f t="dataTable" ref="I143:T242" dt2D="0" dtr="0" r1="Q126" ca="1"/>
        <v>-30.044821744547257</v>
      </c>
      <c r="J143">
        <v>49</v>
      </c>
      <c r="K143">
        <v>45.98296583467463</v>
      </c>
      <c r="L143">
        <v>22.349616507433513</v>
      </c>
      <c r="M143">
        <v>20945.902898119883</v>
      </c>
      <c r="N143">
        <v>0</v>
      </c>
      <c r="O143">
        <v>0</v>
      </c>
      <c r="P143">
        <v>49</v>
      </c>
      <c r="Q143">
        <v>0</v>
      </c>
      <c r="R143">
        <v>0</v>
      </c>
      <c r="S143">
        <v>495.68657937443936</v>
      </c>
      <c r="T143">
        <v>0</v>
      </c>
      <c r="U143" s="147"/>
      <c r="V143" s="147"/>
      <c r="X143" s="147"/>
      <c r="Y143" s="147"/>
      <c r="Z143" s="147"/>
      <c r="AA143" s="147"/>
      <c r="AB143" s="203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</row>
    <row r="144" spans="8:175" x14ac:dyDescent="0.2">
      <c r="H144">
        <v>2</v>
      </c>
      <c r="I144">
        <v>10.202506787165856</v>
      </c>
      <c r="J144">
        <v>46</v>
      </c>
      <c r="K144">
        <v>43.388801378217515</v>
      </c>
      <c r="L144">
        <v>24.118733739126032</v>
      </c>
      <c r="M144">
        <v>39379.304521186263</v>
      </c>
      <c r="N144">
        <v>8491.2492572162228</v>
      </c>
      <c r="O144">
        <v>11.061881287501119</v>
      </c>
      <c r="P144">
        <v>46</v>
      </c>
      <c r="Q144">
        <v>45.125748177573207</v>
      </c>
      <c r="R144">
        <v>31.793934958470832</v>
      </c>
      <c r="S144">
        <v>20751.530779663302</v>
      </c>
      <c r="T144">
        <v>6649.9749122181311</v>
      </c>
      <c r="U144" s="147"/>
      <c r="V144" s="147"/>
      <c r="X144" s="147"/>
      <c r="Y144" s="147"/>
      <c r="Z144" s="147"/>
      <c r="AA144" s="147"/>
      <c r="AB144" s="203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</row>
    <row r="145" spans="8:175" x14ac:dyDescent="0.2">
      <c r="H145">
        <v>3</v>
      </c>
      <c r="I145">
        <v>10.551230243972242</v>
      </c>
      <c r="J145">
        <v>44</v>
      </c>
      <c r="K145">
        <v>42.124314061332633</v>
      </c>
      <c r="L145">
        <v>22.566244382635624</v>
      </c>
      <c r="M145">
        <v>40420.307011261291</v>
      </c>
      <c r="N145">
        <v>8391.1539988502773</v>
      </c>
      <c r="O145">
        <v>11.29073932766409</v>
      </c>
      <c r="P145">
        <v>44</v>
      </c>
      <c r="Q145">
        <v>43.589083824847314</v>
      </c>
      <c r="R145">
        <v>29.212888781733788</v>
      </c>
      <c r="S145">
        <v>22035.001104348106</v>
      </c>
      <c r="T145">
        <v>6554.9410699792206</v>
      </c>
      <c r="U145" s="147"/>
      <c r="V145" s="147"/>
      <c r="X145" s="147"/>
      <c r="Y145" s="147"/>
      <c r="Z145" s="147"/>
      <c r="AA145" s="147"/>
      <c r="AB145" s="203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  <c r="FC145" s="147"/>
      <c r="FD145" s="147"/>
      <c r="FE145" s="147"/>
      <c r="FF145" s="147"/>
      <c r="FG145" s="147"/>
      <c r="FH145" s="147"/>
      <c r="FI145" s="147"/>
      <c r="FJ145" s="147"/>
      <c r="FK145" s="147"/>
      <c r="FL145" s="147"/>
      <c r="FM145" s="147"/>
      <c r="FN145" s="147"/>
      <c r="FO145" s="147"/>
      <c r="FP145" s="147"/>
      <c r="FQ145" s="147"/>
      <c r="FR145" s="147"/>
      <c r="FS145" s="147"/>
    </row>
    <row r="146" spans="8:175" x14ac:dyDescent="0.2">
      <c r="H146">
        <v>4</v>
      </c>
      <c r="I146">
        <v>-35.559895072497973</v>
      </c>
      <c r="J146">
        <v>49</v>
      </c>
      <c r="K146">
        <v>46.930639381889684</v>
      </c>
      <c r="L146">
        <v>22.061216131693204</v>
      </c>
      <c r="M146">
        <v>17998.380449254917</v>
      </c>
      <c r="N146">
        <v>0</v>
      </c>
      <c r="O146">
        <v>0</v>
      </c>
      <c r="P146">
        <v>49</v>
      </c>
      <c r="Q146">
        <v>0</v>
      </c>
      <c r="R146">
        <v>0</v>
      </c>
      <c r="S146">
        <v>5.5706550483591855E-12</v>
      </c>
      <c r="T146">
        <v>0</v>
      </c>
      <c r="U146" s="147"/>
      <c r="V146" s="147"/>
      <c r="X146" s="147"/>
      <c r="Y146" s="147"/>
      <c r="Z146" s="147"/>
      <c r="AA146" s="147"/>
      <c r="AB146" s="203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</row>
    <row r="147" spans="8:175" x14ac:dyDescent="0.2">
      <c r="H147">
        <v>5</v>
      </c>
      <c r="I147">
        <v>-30.540831045836935</v>
      </c>
      <c r="J147">
        <v>49</v>
      </c>
      <c r="K147">
        <v>46.432864598699723</v>
      </c>
      <c r="L147">
        <v>21.522475901157769</v>
      </c>
      <c r="M147">
        <v>21035.730105866111</v>
      </c>
      <c r="N147">
        <v>0</v>
      </c>
      <c r="O147">
        <v>0</v>
      </c>
      <c r="P147">
        <v>49</v>
      </c>
      <c r="Q147">
        <v>0</v>
      </c>
      <c r="R147">
        <v>0</v>
      </c>
      <c r="S147">
        <v>394.85866756909274</v>
      </c>
      <c r="T147">
        <v>0</v>
      </c>
      <c r="U147" s="147"/>
      <c r="V147" s="147"/>
      <c r="X147" s="147"/>
      <c r="Y147" s="147"/>
      <c r="Z147" s="147"/>
      <c r="AA147" s="147"/>
      <c r="AB147" s="203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  <c r="FC147" s="147"/>
      <c r="FD147" s="147"/>
      <c r="FE147" s="147"/>
      <c r="FF147" s="147"/>
      <c r="FG147" s="147"/>
      <c r="FH147" s="147"/>
      <c r="FI147" s="147"/>
      <c r="FJ147" s="147"/>
      <c r="FK147" s="147"/>
      <c r="FL147" s="147"/>
      <c r="FM147" s="147"/>
      <c r="FN147" s="147"/>
      <c r="FO147" s="147"/>
      <c r="FP147" s="147"/>
      <c r="FQ147" s="147"/>
      <c r="FR147" s="147"/>
      <c r="FS147" s="147"/>
    </row>
    <row r="148" spans="8:175" x14ac:dyDescent="0.2">
      <c r="H148">
        <v>6</v>
      </c>
      <c r="I148">
        <v>9.3122288398157274</v>
      </c>
      <c r="J148">
        <v>46</v>
      </c>
      <c r="K148">
        <v>44.146208763975153</v>
      </c>
      <c r="L148">
        <v>24.837096992595278</v>
      </c>
      <c r="M148">
        <v>40881.778664099889</v>
      </c>
      <c r="N148">
        <v>8272.8862026745992</v>
      </c>
      <c r="O148">
        <v>9.9209484962969885</v>
      </c>
      <c r="P148">
        <v>46</v>
      </c>
      <c r="Q148">
        <v>45.599259302103491</v>
      </c>
      <c r="R148">
        <v>31.124339258623976</v>
      </c>
      <c r="S148">
        <v>22757.503948515689</v>
      </c>
      <c r="T148">
        <v>6327.8817041228158</v>
      </c>
      <c r="U148" s="147"/>
      <c r="V148" s="147"/>
      <c r="X148" s="147"/>
      <c r="Y148" s="147"/>
      <c r="Z148" s="147"/>
      <c r="AA148" s="147"/>
      <c r="AB148" s="203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</row>
    <row r="149" spans="8:175" x14ac:dyDescent="0.2">
      <c r="H149">
        <v>7</v>
      </c>
      <c r="I149">
        <v>-26.517305170215199</v>
      </c>
      <c r="J149">
        <v>49</v>
      </c>
      <c r="K149">
        <v>45.926876398381033</v>
      </c>
      <c r="L149">
        <v>22.289194101131216</v>
      </c>
      <c r="M149">
        <v>23340.076669406208</v>
      </c>
      <c r="N149">
        <v>0</v>
      </c>
      <c r="O149">
        <v>-63.93861290720335</v>
      </c>
      <c r="P149">
        <v>49</v>
      </c>
      <c r="Q149">
        <v>47.999999999999787</v>
      </c>
      <c r="R149">
        <v>24.889952881292245</v>
      </c>
      <c r="S149">
        <v>2792.9530330811663</v>
      </c>
      <c r="T149">
        <v>0</v>
      </c>
      <c r="U149" s="147"/>
      <c r="V149" s="147"/>
      <c r="X149" s="147"/>
      <c r="Y149" s="147"/>
      <c r="Z149" s="147"/>
      <c r="AA149" s="147"/>
      <c r="AB149" s="203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  <c r="EX149" s="147"/>
      <c r="EY149" s="147"/>
      <c r="EZ149" s="147"/>
      <c r="FA149" s="147"/>
      <c r="FB149" s="147"/>
      <c r="FC149" s="147"/>
      <c r="FD149" s="147"/>
      <c r="FE149" s="147"/>
      <c r="FF149" s="147"/>
      <c r="FG149" s="147"/>
      <c r="FH149" s="147"/>
      <c r="FI149" s="147"/>
      <c r="FJ149" s="147"/>
      <c r="FK149" s="147"/>
      <c r="FL149" s="147"/>
      <c r="FM149" s="147"/>
      <c r="FN149" s="147"/>
      <c r="FO149" s="147"/>
      <c r="FP149" s="147"/>
      <c r="FQ149" s="147"/>
      <c r="FR149" s="147"/>
      <c r="FS149" s="147"/>
    </row>
    <row r="150" spans="8:175" x14ac:dyDescent="0.2">
      <c r="H150">
        <v>8</v>
      </c>
      <c r="I150">
        <v>11.54366765542072</v>
      </c>
      <c r="J150">
        <v>43</v>
      </c>
      <c r="K150">
        <v>40.907876723722886</v>
      </c>
      <c r="L150">
        <v>22.215058780248228</v>
      </c>
      <c r="M150">
        <v>39928.138896183504</v>
      </c>
      <c r="N150">
        <v>8949.6677314920744</v>
      </c>
      <c r="O150">
        <v>12.397213980925015</v>
      </c>
      <c r="P150">
        <v>43</v>
      </c>
      <c r="Q150">
        <v>42.389576855464917</v>
      </c>
      <c r="R150">
        <v>29.278050677096214</v>
      </c>
      <c r="S150">
        <v>20947.122607222758</v>
      </c>
      <c r="T150">
        <v>6911.5014680825261</v>
      </c>
      <c r="U150" s="147"/>
      <c r="V150" s="147"/>
      <c r="X150" s="147"/>
      <c r="Y150" s="147"/>
      <c r="Z150" s="147"/>
      <c r="AA150" s="147"/>
      <c r="AB150" s="203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7"/>
      <c r="FL150" s="147"/>
      <c r="FM150" s="147"/>
      <c r="FN150" s="147"/>
      <c r="FO150" s="147"/>
      <c r="FP150" s="147"/>
      <c r="FQ150" s="147"/>
      <c r="FR150" s="147"/>
      <c r="FS150" s="147"/>
    </row>
    <row r="151" spans="8:175" x14ac:dyDescent="0.2">
      <c r="H151">
        <v>9</v>
      </c>
      <c r="I151">
        <v>11.194239798073923</v>
      </c>
      <c r="J151">
        <v>42</v>
      </c>
      <c r="K151">
        <v>40.243920949028329</v>
      </c>
      <c r="L151">
        <v>21.825316423286413</v>
      </c>
      <c r="M151">
        <v>39989.620955554637</v>
      </c>
      <c r="N151">
        <v>8512.493016711378</v>
      </c>
      <c r="O151">
        <v>11.582774108320692</v>
      </c>
      <c r="P151">
        <v>42</v>
      </c>
      <c r="Q151">
        <v>41.481434716391945</v>
      </c>
      <c r="R151">
        <v>29.330930687654522</v>
      </c>
      <c r="S151">
        <v>20724.424512856334</v>
      </c>
      <c r="T151">
        <v>6366.3579768591444</v>
      </c>
      <c r="U151" s="147"/>
      <c r="V151" s="147"/>
      <c r="X151" s="147"/>
      <c r="Y151" s="147"/>
      <c r="Z151" s="147"/>
      <c r="AA151" s="147"/>
      <c r="AB151" s="203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</row>
    <row r="152" spans="8:175" x14ac:dyDescent="0.2">
      <c r="H152">
        <v>10</v>
      </c>
      <c r="I152">
        <v>-35.254882315285322</v>
      </c>
      <c r="J152">
        <v>49</v>
      </c>
      <c r="K152">
        <v>46.430952488996425</v>
      </c>
      <c r="L152">
        <v>21.92383359386799</v>
      </c>
      <c r="M152">
        <v>18120.080702432821</v>
      </c>
      <c r="N152">
        <v>0</v>
      </c>
      <c r="O152">
        <v>0</v>
      </c>
      <c r="P152">
        <v>49</v>
      </c>
      <c r="Q152">
        <v>0</v>
      </c>
      <c r="R152">
        <v>0</v>
      </c>
      <c r="S152">
        <v>-5.4569682106375694E-12</v>
      </c>
      <c r="T152">
        <v>0</v>
      </c>
      <c r="U152" s="147"/>
      <c r="V152" s="147"/>
      <c r="X152" s="147"/>
      <c r="Y152" s="147"/>
      <c r="Z152" s="147"/>
      <c r="AA152" s="147"/>
      <c r="AB152" s="203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FD152" s="147"/>
      <c r="FE152" s="147"/>
      <c r="FF152" s="147"/>
      <c r="FG152" s="147"/>
      <c r="FH152" s="147"/>
      <c r="FI152" s="147"/>
      <c r="FJ152" s="147"/>
      <c r="FK152" s="147"/>
      <c r="FL152" s="147"/>
      <c r="FM152" s="147"/>
      <c r="FN152" s="147"/>
      <c r="FO152" s="147"/>
      <c r="FP152" s="147"/>
      <c r="FQ152" s="147"/>
      <c r="FR152" s="147"/>
      <c r="FS152" s="147"/>
    </row>
    <row r="153" spans="8:175" x14ac:dyDescent="0.2">
      <c r="H153">
        <v>11</v>
      </c>
      <c r="I153">
        <v>10.52391954021088</v>
      </c>
      <c r="J153">
        <v>45</v>
      </c>
      <c r="K153">
        <v>42.591276638213962</v>
      </c>
      <c r="L153">
        <v>23.176180645114265</v>
      </c>
      <c r="M153">
        <v>40134.646767390077</v>
      </c>
      <c r="N153">
        <v>8556.3491350828554</v>
      </c>
      <c r="O153">
        <v>11.608489271099254</v>
      </c>
      <c r="P153">
        <v>45</v>
      </c>
      <c r="Q153">
        <v>44.379937671959709</v>
      </c>
      <c r="R153">
        <v>30.633603255546138</v>
      </c>
      <c r="S153">
        <v>21425.138667948471</v>
      </c>
      <c r="T153">
        <v>6933.4845228239101</v>
      </c>
      <c r="U153" s="147"/>
      <c r="V153" s="147"/>
      <c r="X153" s="147"/>
      <c r="Y153" s="147"/>
      <c r="Z153" s="147"/>
      <c r="AA153" s="147"/>
      <c r="AB153" s="203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  <c r="FC153" s="147"/>
      <c r="FD153" s="147"/>
      <c r="FE153" s="147"/>
      <c r="FF153" s="147"/>
      <c r="FG153" s="147"/>
      <c r="FH153" s="147"/>
      <c r="FI153" s="147"/>
      <c r="FJ153" s="147"/>
      <c r="FK153" s="147"/>
      <c r="FL153" s="147"/>
      <c r="FM153" s="147"/>
      <c r="FN153" s="147"/>
      <c r="FO153" s="147"/>
      <c r="FP153" s="147"/>
      <c r="FQ153" s="147"/>
      <c r="FR153" s="147"/>
      <c r="FS153" s="147"/>
    </row>
    <row r="154" spans="8:175" x14ac:dyDescent="0.2">
      <c r="H154">
        <v>12</v>
      </c>
      <c r="I154">
        <v>-14.390936035326064</v>
      </c>
      <c r="J154">
        <v>49</v>
      </c>
      <c r="K154">
        <v>45.920579776557489</v>
      </c>
      <c r="L154">
        <v>22.841359589126281</v>
      </c>
      <c r="M154">
        <v>29291.221579210214</v>
      </c>
      <c r="N154">
        <v>0</v>
      </c>
      <c r="O154">
        <v>-29.668143945915205</v>
      </c>
      <c r="P154">
        <v>49</v>
      </c>
      <c r="Q154">
        <v>47.668564237118979</v>
      </c>
      <c r="R154">
        <v>30.352279871796721</v>
      </c>
      <c r="S154">
        <v>8595.9343050054922</v>
      </c>
      <c r="T154">
        <v>0</v>
      </c>
      <c r="U154" s="147"/>
      <c r="V154" s="147"/>
      <c r="X154" s="147"/>
      <c r="Y154" s="147"/>
      <c r="Z154" s="147"/>
      <c r="AA154" s="147"/>
      <c r="AB154" s="203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</row>
    <row r="155" spans="8:175" x14ac:dyDescent="0.2">
      <c r="H155">
        <v>13</v>
      </c>
      <c r="I155">
        <v>-35.977683915758107</v>
      </c>
      <c r="J155">
        <v>49</v>
      </c>
      <c r="K155">
        <v>46.897426042384367</v>
      </c>
      <c r="L155">
        <v>22.041027302511601</v>
      </c>
      <c r="M155">
        <v>17311.016044495296</v>
      </c>
      <c r="N155">
        <v>0</v>
      </c>
      <c r="O155">
        <v>0</v>
      </c>
      <c r="P155">
        <v>49</v>
      </c>
      <c r="Q155">
        <v>0</v>
      </c>
      <c r="R155">
        <v>0</v>
      </c>
      <c r="S155">
        <v>1.2050804798491299E-11</v>
      </c>
      <c r="T155">
        <v>0</v>
      </c>
      <c r="U155" s="147"/>
      <c r="V155" s="147"/>
      <c r="X155" s="147"/>
      <c r="Y155" s="147"/>
      <c r="Z155" s="147"/>
      <c r="AA155" s="147"/>
      <c r="AB155" s="203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</row>
    <row r="156" spans="8:175" x14ac:dyDescent="0.2">
      <c r="H156">
        <v>14</v>
      </c>
      <c r="I156">
        <v>9.3484630286112527</v>
      </c>
      <c r="J156">
        <v>47</v>
      </c>
      <c r="K156">
        <v>44.531030362674436</v>
      </c>
      <c r="L156">
        <v>25.161064957858123</v>
      </c>
      <c r="M156">
        <v>40838.428495739885</v>
      </c>
      <c r="N156">
        <v>8416.5036392097027</v>
      </c>
      <c r="O156">
        <v>9.1221532053906706</v>
      </c>
      <c r="P156">
        <v>47</v>
      </c>
      <c r="Q156">
        <v>46.548193043712679</v>
      </c>
      <c r="R156">
        <v>31.901858239095958</v>
      </c>
      <c r="S156">
        <v>22754.229546603488</v>
      </c>
      <c r="T156">
        <v>5943.8743348245189</v>
      </c>
      <c r="U156" s="147"/>
      <c r="V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D156" s="147"/>
      <c r="FE156" s="147"/>
      <c r="FF156" s="147"/>
      <c r="FG156" s="147"/>
      <c r="FH156" s="147"/>
      <c r="FI156" s="147"/>
      <c r="FJ156" s="147"/>
      <c r="FK156" s="147"/>
      <c r="FL156" s="147"/>
      <c r="FM156" s="147"/>
      <c r="FN156" s="147"/>
      <c r="FO156" s="147"/>
      <c r="FP156" s="147"/>
      <c r="FQ156" s="147"/>
      <c r="FR156" s="147"/>
      <c r="FS156" s="147"/>
    </row>
    <row r="157" spans="8:175" x14ac:dyDescent="0.2">
      <c r="H157">
        <v>15</v>
      </c>
      <c r="I157">
        <v>10.728758082551293</v>
      </c>
      <c r="J157">
        <v>43</v>
      </c>
      <c r="K157">
        <v>41.183487127144389</v>
      </c>
      <c r="L157">
        <v>22.689233155187829</v>
      </c>
      <c r="M157">
        <v>41301.332286152414</v>
      </c>
      <c r="N157">
        <v>8777.0541632706518</v>
      </c>
      <c r="O157">
        <v>11.530945622708799</v>
      </c>
      <c r="P157">
        <v>43</v>
      </c>
      <c r="Q157">
        <v>42.665345617428258</v>
      </c>
      <c r="R157">
        <v>29.839162474968525</v>
      </c>
      <c r="S157">
        <v>22165.526773777641</v>
      </c>
      <c r="T157">
        <v>6910.2463635165132</v>
      </c>
      <c r="U157" s="147"/>
      <c r="V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D157" s="147"/>
      <c r="FE157" s="147"/>
      <c r="FF157" s="147"/>
      <c r="FG157" s="147"/>
      <c r="FH157" s="147"/>
      <c r="FI157" s="147"/>
      <c r="FJ157" s="147"/>
      <c r="FK157" s="147"/>
      <c r="FL157" s="147"/>
      <c r="FM157" s="147"/>
      <c r="FN157" s="147"/>
      <c r="FO157" s="147"/>
      <c r="FP157" s="147"/>
      <c r="FQ157" s="147"/>
      <c r="FR157" s="147"/>
      <c r="FS157" s="147"/>
    </row>
    <row r="158" spans="8:175" x14ac:dyDescent="0.2">
      <c r="H158">
        <v>16</v>
      </c>
      <c r="I158">
        <v>-13.94810480120281</v>
      </c>
      <c r="J158">
        <v>49</v>
      </c>
      <c r="K158">
        <v>45.865505305241264</v>
      </c>
      <c r="L158">
        <v>23.905300337387011</v>
      </c>
      <c r="M158">
        <v>29181.452753292371</v>
      </c>
      <c r="N158">
        <v>0</v>
      </c>
      <c r="O158">
        <v>-29.438084929578935</v>
      </c>
      <c r="P158">
        <v>49</v>
      </c>
      <c r="Q158">
        <v>47.6915638208486</v>
      </c>
      <c r="R158">
        <v>32.220854412808009</v>
      </c>
      <c r="S158">
        <v>8164.6949911082684</v>
      </c>
      <c r="T158">
        <v>0</v>
      </c>
      <c r="U158" s="147"/>
      <c r="V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  <c r="FK158" s="147"/>
      <c r="FL158" s="147"/>
      <c r="FM158" s="147"/>
      <c r="FN158" s="147"/>
      <c r="FO158" s="147"/>
      <c r="FP158" s="147"/>
      <c r="FQ158" s="147"/>
      <c r="FR158" s="147"/>
      <c r="FS158" s="147"/>
    </row>
    <row r="159" spans="8:175" x14ac:dyDescent="0.2">
      <c r="H159">
        <v>17</v>
      </c>
      <c r="I159">
        <v>-24.505845046823428</v>
      </c>
      <c r="J159">
        <v>49</v>
      </c>
      <c r="K159">
        <v>45.935549966695035</v>
      </c>
      <c r="L159">
        <v>22.752110036767363</v>
      </c>
      <c r="M159">
        <v>23360.595917831273</v>
      </c>
      <c r="N159">
        <v>0</v>
      </c>
      <c r="O159">
        <v>-64.339370461635752</v>
      </c>
      <c r="P159">
        <v>49</v>
      </c>
      <c r="Q159">
        <v>48.000000000008747</v>
      </c>
      <c r="R159">
        <v>24.328009012829458</v>
      </c>
      <c r="S159">
        <v>2686.6497189583479</v>
      </c>
      <c r="T159">
        <v>0</v>
      </c>
      <c r="U159" s="147"/>
      <c r="V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</row>
    <row r="160" spans="8:175" x14ac:dyDescent="0.2">
      <c r="H160">
        <v>18</v>
      </c>
      <c r="I160">
        <v>-26.841072822927281</v>
      </c>
      <c r="J160">
        <v>49</v>
      </c>
      <c r="K160">
        <v>46.445906138668789</v>
      </c>
      <c r="L160">
        <v>22.707823134116591</v>
      </c>
      <c r="M160">
        <v>21892.947734004032</v>
      </c>
      <c r="N160">
        <v>0</v>
      </c>
      <c r="O160">
        <v>0</v>
      </c>
      <c r="P160">
        <v>49</v>
      </c>
      <c r="Q160">
        <v>0</v>
      </c>
      <c r="R160">
        <v>0</v>
      </c>
      <c r="S160">
        <v>1537.8309525285199</v>
      </c>
      <c r="T160">
        <v>0</v>
      </c>
      <c r="U160" s="147"/>
      <c r="V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</row>
    <row r="161" spans="8:175" x14ac:dyDescent="0.2">
      <c r="H161">
        <v>19</v>
      </c>
      <c r="I161">
        <v>9.6796679855820411</v>
      </c>
      <c r="J161">
        <v>46</v>
      </c>
      <c r="K161">
        <v>43.841438816827733</v>
      </c>
      <c r="L161">
        <v>23.885036815571286</v>
      </c>
      <c r="M161">
        <v>41193.230712663804</v>
      </c>
      <c r="N161">
        <v>8316.8562934303773</v>
      </c>
      <c r="O161">
        <v>9.0161163002114399</v>
      </c>
      <c r="P161">
        <v>46</v>
      </c>
      <c r="Q161">
        <v>45.563809276142479</v>
      </c>
      <c r="R161">
        <v>30.937940978533049</v>
      </c>
      <c r="S161">
        <v>22780.932457190404</v>
      </c>
      <c r="T161">
        <v>5678.6550489554902</v>
      </c>
      <c r="U161" s="147"/>
      <c r="V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</row>
    <row r="162" spans="8:175" x14ac:dyDescent="0.2">
      <c r="H162">
        <v>20</v>
      </c>
      <c r="I162">
        <v>9.0277156059598731</v>
      </c>
      <c r="J162">
        <v>48</v>
      </c>
      <c r="K162">
        <v>46.161206216862524</v>
      </c>
      <c r="L162">
        <v>26.115788681518787</v>
      </c>
      <c r="M162">
        <v>40679.192229611719</v>
      </c>
      <c r="N162">
        <v>8418.8860240877184</v>
      </c>
      <c r="O162">
        <v>8.6972207735149798</v>
      </c>
      <c r="P162">
        <v>48</v>
      </c>
      <c r="Q162">
        <v>47.623068278279177</v>
      </c>
      <c r="R162">
        <v>32.053957475167898</v>
      </c>
      <c r="S162">
        <v>23060.510472519949</v>
      </c>
      <c r="T162">
        <v>5754.2011752867184</v>
      </c>
      <c r="U162" s="147"/>
      <c r="V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</row>
    <row r="163" spans="8:175" x14ac:dyDescent="0.2">
      <c r="H163">
        <v>21</v>
      </c>
      <c r="I163">
        <v>10.180782120396037</v>
      </c>
      <c r="J163">
        <v>45</v>
      </c>
      <c r="K163">
        <v>42.642284602128989</v>
      </c>
      <c r="L163">
        <v>23.233939707442641</v>
      </c>
      <c r="M163">
        <v>40099.882007604079</v>
      </c>
      <c r="N163">
        <v>8280.2253947630306</v>
      </c>
      <c r="O163">
        <v>10.559802688214258</v>
      </c>
      <c r="P163">
        <v>45</v>
      </c>
      <c r="Q163">
        <v>44.391507733295114</v>
      </c>
      <c r="R163">
        <v>30.527996541885205</v>
      </c>
      <c r="S163">
        <v>21512.4889486744</v>
      </c>
      <c r="T163">
        <v>6259.1854143889723</v>
      </c>
      <c r="U163" s="147"/>
      <c r="V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  <c r="FK163" s="147"/>
      <c r="FL163" s="147"/>
      <c r="FM163" s="147"/>
      <c r="FN163" s="147"/>
      <c r="FO163" s="147"/>
      <c r="FP163" s="147"/>
      <c r="FQ163" s="147"/>
      <c r="FR163" s="147"/>
      <c r="FS163" s="147"/>
    </row>
    <row r="164" spans="8:175" x14ac:dyDescent="0.2">
      <c r="H164">
        <v>22</v>
      </c>
      <c r="I164">
        <v>10.456022703090916</v>
      </c>
      <c r="J164">
        <v>45</v>
      </c>
      <c r="K164">
        <v>42.255986974021091</v>
      </c>
      <c r="L164">
        <v>23.295424012501712</v>
      </c>
      <c r="M164">
        <v>39374.920470513323</v>
      </c>
      <c r="N164">
        <v>8384.8950482452274</v>
      </c>
      <c r="O164">
        <v>10.436382141723332</v>
      </c>
      <c r="P164">
        <v>45</v>
      </c>
      <c r="Q164">
        <v>44.005886321041878</v>
      </c>
      <c r="R164">
        <v>31.566082315460939</v>
      </c>
      <c r="S164">
        <v>20386.002349530216</v>
      </c>
      <c r="T164">
        <v>6083.0828038424916</v>
      </c>
      <c r="U164" s="147"/>
      <c r="V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  <c r="FK164" s="147"/>
      <c r="FL164" s="147"/>
      <c r="FM164" s="147"/>
      <c r="FN164" s="147"/>
      <c r="FO164" s="147"/>
      <c r="FP164" s="147"/>
      <c r="FQ164" s="147"/>
      <c r="FR164" s="147"/>
      <c r="FS164" s="147"/>
    </row>
    <row r="165" spans="8:175" x14ac:dyDescent="0.2">
      <c r="H165">
        <v>23</v>
      </c>
      <c r="I165">
        <v>-25.576208069799776</v>
      </c>
      <c r="J165">
        <v>49</v>
      </c>
      <c r="K165">
        <v>46.428407504022935</v>
      </c>
      <c r="L165">
        <v>22.98906543505381</v>
      </c>
      <c r="M165">
        <v>22340.542367986767</v>
      </c>
      <c r="N165">
        <v>0</v>
      </c>
      <c r="O165">
        <v>-73.078145246763214</v>
      </c>
      <c r="P165">
        <v>49</v>
      </c>
      <c r="Q165">
        <v>47.99999999999735</v>
      </c>
      <c r="R165">
        <v>21.781016189211122</v>
      </c>
      <c r="S165">
        <v>1975.0375564186261</v>
      </c>
      <c r="T165">
        <v>0</v>
      </c>
      <c r="U165" s="147"/>
      <c r="V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</row>
    <row r="166" spans="8:175" x14ac:dyDescent="0.2">
      <c r="H166">
        <v>24</v>
      </c>
      <c r="I166">
        <v>10.863391835852676</v>
      </c>
      <c r="J166">
        <v>45</v>
      </c>
      <c r="K166">
        <v>42.886581958887369</v>
      </c>
      <c r="L166">
        <v>23.315849771324931</v>
      </c>
      <c r="M166">
        <v>40030.939311941853</v>
      </c>
      <c r="N166">
        <v>8881.4207102856453</v>
      </c>
      <c r="O166">
        <v>10.476625452500855</v>
      </c>
      <c r="P166">
        <v>45</v>
      </c>
      <c r="Q166">
        <v>44.392105553813913</v>
      </c>
      <c r="R166">
        <v>31.52315288068834</v>
      </c>
      <c r="S166">
        <v>20979.566312789306</v>
      </c>
      <c r="T166">
        <v>6276.6013901718397</v>
      </c>
      <c r="U166" s="147"/>
      <c r="V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</row>
    <row r="167" spans="8:175" x14ac:dyDescent="0.2">
      <c r="H167">
        <v>25</v>
      </c>
      <c r="I167">
        <v>10.004448293795786</v>
      </c>
      <c r="J167">
        <v>47</v>
      </c>
      <c r="K167">
        <v>44.968267283045108</v>
      </c>
      <c r="L167">
        <v>25.456041591485828</v>
      </c>
      <c r="M167">
        <v>39757.1507589131</v>
      </c>
      <c r="N167">
        <v>8912.7358024272762</v>
      </c>
      <c r="O167">
        <v>9.1548921567112362</v>
      </c>
      <c r="P167">
        <v>47</v>
      </c>
      <c r="Q167">
        <v>46.427212558891199</v>
      </c>
      <c r="R167">
        <v>32.197830605091852</v>
      </c>
      <c r="S167">
        <v>21673.873312144678</v>
      </c>
      <c r="T167">
        <v>5742.6418992222607</v>
      </c>
      <c r="U167" s="147"/>
      <c r="V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FD167" s="147"/>
      <c r="FE167" s="147"/>
      <c r="FF167" s="147"/>
      <c r="FG167" s="147"/>
      <c r="FH167" s="147"/>
      <c r="FI167" s="147"/>
      <c r="FJ167" s="147"/>
      <c r="FK167" s="147"/>
      <c r="FL167" s="147"/>
      <c r="FM167" s="147"/>
      <c r="FN167" s="147"/>
      <c r="FO167" s="147"/>
      <c r="FP167" s="147"/>
      <c r="FQ167" s="147"/>
      <c r="FR167" s="147"/>
      <c r="FS167" s="147"/>
    </row>
    <row r="168" spans="8:175" x14ac:dyDescent="0.2">
      <c r="H168">
        <v>26</v>
      </c>
      <c r="I168">
        <v>10.759391166363574</v>
      </c>
      <c r="J168">
        <v>44</v>
      </c>
      <c r="K168">
        <v>41.910217560264933</v>
      </c>
      <c r="L168">
        <v>23.250923937164597</v>
      </c>
      <c r="M168">
        <v>41210.805194294473</v>
      </c>
      <c r="N168">
        <v>9023.6679457641294</v>
      </c>
      <c r="O168">
        <v>9.9321830596130312</v>
      </c>
      <c r="P168">
        <v>44</v>
      </c>
      <c r="Q168">
        <v>43.619465540422055</v>
      </c>
      <c r="R168">
        <v>29.606322870635715</v>
      </c>
      <c r="S168">
        <v>22744.05590350593</v>
      </c>
      <c r="T168">
        <v>5985.6305067438025</v>
      </c>
      <c r="U168" s="147"/>
      <c r="V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  <c r="FI168" s="147"/>
      <c r="FJ168" s="147"/>
      <c r="FK168" s="147"/>
      <c r="FL168" s="147"/>
      <c r="FM168" s="147"/>
      <c r="FN168" s="147"/>
      <c r="FO168" s="147"/>
      <c r="FP168" s="147"/>
      <c r="FQ168" s="147"/>
      <c r="FR168" s="147"/>
      <c r="FS168" s="147"/>
    </row>
    <row r="169" spans="8:175" x14ac:dyDescent="0.2">
      <c r="H169">
        <v>27</v>
      </c>
      <c r="I169">
        <v>-16.240876521587911</v>
      </c>
      <c r="J169">
        <v>49</v>
      </c>
      <c r="K169">
        <v>45.413105345346786</v>
      </c>
      <c r="L169">
        <v>22.7816620377309</v>
      </c>
      <c r="M169">
        <v>28357.984675185551</v>
      </c>
      <c r="N169">
        <v>0</v>
      </c>
      <c r="O169">
        <v>-35.83982639496179</v>
      </c>
      <c r="P169">
        <v>49</v>
      </c>
      <c r="Q169">
        <v>47.61562552542641</v>
      </c>
      <c r="R169">
        <v>28.715447840431708</v>
      </c>
      <c r="S169">
        <v>7459.061688870388</v>
      </c>
      <c r="T169">
        <v>0</v>
      </c>
      <c r="U169" s="147"/>
      <c r="V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47"/>
      <c r="ER169" s="147"/>
      <c r="ES169" s="147"/>
      <c r="ET169" s="147"/>
      <c r="EU169" s="147"/>
      <c r="EV169" s="147"/>
      <c r="EW169" s="147"/>
      <c r="EX169" s="147"/>
      <c r="EY169" s="147"/>
      <c r="EZ169" s="147"/>
      <c r="FA169" s="147"/>
      <c r="FB169" s="147"/>
      <c r="FC169" s="147"/>
      <c r="FD169" s="147"/>
      <c r="FE169" s="147"/>
      <c r="FF169" s="147"/>
      <c r="FG169" s="147"/>
      <c r="FH169" s="147"/>
      <c r="FI169" s="147"/>
      <c r="FJ169" s="147"/>
      <c r="FK169" s="147"/>
      <c r="FL169" s="147"/>
      <c r="FM169" s="147"/>
      <c r="FN169" s="147"/>
      <c r="FO169" s="147"/>
      <c r="FP169" s="147"/>
      <c r="FQ169" s="147"/>
      <c r="FR169" s="147"/>
      <c r="FS169" s="147"/>
    </row>
    <row r="170" spans="8:175" x14ac:dyDescent="0.2">
      <c r="H170">
        <v>28</v>
      </c>
      <c r="I170">
        <v>10.005117310732459</v>
      </c>
      <c r="J170">
        <v>45</v>
      </c>
      <c r="K170">
        <v>42.818389860889233</v>
      </c>
      <c r="L170">
        <v>23.258814155362977</v>
      </c>
      <c r="M170">
        <v>41191.675001704432</v>
      </c>
      <c r="N170">
        <v>8362.1681735741367</v>
      </c>
      <c r="O170">
        <v>10.330761515735109</v>
      </c>
      <c r="P170">
        <v>45</v>
      </c>
      <c r="Q170">
        <v>44.548535568327829</v>
      </c>
      <c r="R170">
        <v>29.94103448555029</v>
      </c>
      <c r="S170">
        <v>22745.401122902633</v>
      </c>
      <c r="T170">
        <v>6323.2806275323746</v>
      </c>
      <c r="U170" s="147"/>
      <c r="V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47"/>
      <c r="ER170" s="147"/>
      <c r="ES170" s="147"/>
      <c r="ET170" s="147"/>
      <c r="EU170" s="147"/>
      <c r="EV170" s="147"/>
      <c r="EW170" s="147"/>
      <c r="EX170" s="147"/>
      <c r="EY170" s="147"/>
      <c r="EZ170" s="147"/>
      <c r="FA170" s="147"/>
      <c r="FB170" s="147"/>
      <c r="FC170" s="147"/>
      <c r="FD170" s="147"/>
      <c r="FE170" s="147"/>
      <c r="FF170" s="147"/>
      <c r="FG170" s="147"/>
      <c r="FH170" s="147"/>
      <c r="FI170" s="147"/>
      <c r="FJ170" s="147"/>
      <c r="FK170" s="147"/>
      <c r="FL170" s="147"/>
      <c r="FM170" s="147"/>
      <c r="FN170" s="147"/>
      <c r="FO170" s="147"/>
      <c r="FP170" s="147"/>
      <c r="FQ170" s="147"/>
      <c r="FR170" s="147"/>
      <c r="FS170" s="147"/>
    </row>
    <row r="171" spans="8:175" x14ac:dyDescent="0.2">
      <c r="H171">
        <v>29</v>
      </c>
      <c r="I171">
        <v>9.6213705352437238</v>
      </c>
      <c r="J171">
        <v>47</v>
      </c>
      <c r="K171">
        <v>45.289755775893013</v>
      </c>
      <c r="L171">
        <v>24.31485239708265</v>
      </c>
      <c r="M171">
        <v>40920.840197658756</v>
      </c>
      <c r="N171">
        <v>8371.7632123875155</v>
      </c>
      <c r="O171">
        <v>10.619920312615383</v>
      </c>
      <c r="P171">
        <v>47</v>
      </c>
      <c r="Q171">
        <v>46.729718962289894</v>
      </c>
      <c r="R171">
        <v>31.189453718119367</v>
      </c>
      <c r="S171">
        <v>22669.467063737204</v>
      </c>
      <c r="T171">
        <v>6799.809497283055</v>
      </c>
      <c r="U171" s="147"/>
      <c r="V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/>
      <c r="EY171" s="147"/>
      <c r="EZ171" s="147"/>
      <c r="FA171" s="147"/>
      <c r="FB171" s="147"/>
      <c r="FC171" s="147"/>
      <c r="FD171" s="147"/>
      <c r="FE171" s="147"/>
      <c r="FF171" s="147"/>
      <c r="FG171" s="147"/>
      <c r="FH171" s="147"/>
      <c r="FI171" s="147"/>
      <c r="FJ171" s="147"/>
      <c r="FK171" s="147"/>
      <c r="FL171" s="147"/>
      <c r="FM171" s="147"/>
      <c r="FN171" s="147"/>
      <c r="FO171" s="147"/>
      <c r="FP171" s="147"/>
      <c r="FQ171" s="147"/>
      <c r="FR171" s="147"/>
      <c r="FS171" s="147"/>
    </row>
    <row r="172" spans="8:175" x14ac:dyDescent="0.2">
      <c r="H172">
        <v>30</v>
      </c>
      <c r="I172">
        <v>-14.627768889474169</v>
      </c>
      <c r="J172">
        <v>49</v>
      </c>
      <c r="K172">
        <v>45.428604128591473</v>
      </c>
      <c r="L172">
        <v>23.125607504959454</v>
      </c>
      <c r="M172">
        <v>28991.1554652058</v>
      </c>
      <c r="N172">
        <v>0</v>
      </c>
      <c r="O172">
        <v>-30.026233961691741</v>
      </c>
      <c r="P172">
        <v>49</v>
      </c>
      <c r="Q172">
        <v>47.560537695753276</v>
      </c>
      <c r="R172">
        <v>29.747314177533735</v>
      </c>
      <c r="S172">
        <v>8707.4248327009118</v>
      </c>
      <c r="T172">
        <v>0</v>
      </c>
      <c r="U172" s="147"/>
      <c r="V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47"/>
      <c r="FB172" s="147"/>
      <c r="FC172" s="147"/>
      <c r="FD172" s="147"/>
      <c r="FE172" s="147"/>
      <c r="FF172" s="147"/>
      <c r="FG172" s="147"/>
      <c r="FH172" s="147"/>
      <c r="FI172" s="147"/>
      <c r="FJ172" s="147"/>
      <c r="FK172" s="147"/>
      <c r="FL172" s="147"/>
      <c r="FM172" s="147"/>
      <c r="FN172" s="147"/>
      <c r="FO172" s="147"/>
      <c r="FP172" s="147"/>
      <c r="FQ172" s="147"/>
      <c r="FR172" s="147"/>
      <c r="FS172" s="147"/>
    </row>
    <row r="173" spans="8:175" x14ac:dyDescent="0.2">
      <c r="H173">
        <v>31</v>
      </c>
      <c r="I173">
        <v>9.9717809740256911</v>
      </c>
      <c r="J173">
        <v>46</v>
      </c>
      <c r="K173">
        <v>44.373666821839677</v>
      </c>
      <c r="L173">
        <v>24.183710544626784</v>
      </c>
      <c r="M173">
        <v>39995.223167567819</v>
      </c>
      <c r="N173">
        <v>8444.6084528702049</v>
      </c>
      <c r="O173">
        <v>10.883718970386891</v>
      </c>
      <c r="P173">
        <v>46</v>
      </c>
      <c r="Q173">
        <v>45.628375554469208</v>
      </c>
      <c r="R173">
        <v>32.068570793533951</v>
      </c>
      <c r="S173">
        <v>21236.558898446405</v>
      </c>
      <c r="T173">
        <v>6752.4779592743707</v>
      </c>
      <c r="U173" s="147"/>
      <c r="V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47"/>
      <c r="ER173" s="147"/>
      <c r="ES173" s="147"/>
      <c r="ET173" s="147"/>
      <c r="EU173" s="147"/>
      <c r="EV173" s="147"/>
      <c r="EW173" s="147"/>
      <c r="EX173" s="147"/>
      <c r="EY173" s="147"/>
      <c r="EZ173" s="147"/>
      <c r="FA173" s="147"/>
      <c r="FB173" s="147"/>
      <c r="FC173" s="147"/>
      <c r="FD173" s="147"/>
      <c r="FE173" s="147"/>
      <c r="FF173" s="147"/>
      <c r="FG173" s="147"/>
      <c r="FH173" s="147"/>
      <c r="FI173" s="147"/>
      <c r="FJ173" s="147"/>
      <c r="FK173" s="147"/>
      <c r="FL173" s="147"/>
      <c r="FM173" s="147"/>
      <c r="FN173" s="147"/>
      <c r="FO173" s="147"/>
      <c r="FP173" s="147"/>
      <c r="FQ173" s="147"/>
      <c r="FR173" s="147"/>
      <c r="FS173" s="147"/>
    </row>
    <row r="174" spans="8:175" x14ac:dyDescent="0.2">
      <c r="H174">
        <v>32</v>
      </c>
      <c r="I174">
        <v>-10.050379876869609</v>
      </c>
      <c r="J174">
        <v>49</v>
      </c>
      <c r="K174">
        <v>45.435052049509309</v>
      </c>
      <c r="L174">
        <v>23.844231265672274</v>
      </c>
      <c r="M174">
        <v>32094.496964624926</v>
      </c>
      <c r="N174">
        <v>0</v>
      </c>
      <c r="O174">
        <v>-21.053629969661149</v>
      </c>
      <c r="P174">
        <v>49</v>
      </c>
      <c r="Q174">
        <v>47.370439419567674</v>
      </c>
      <c r="R174">
        <v>30.842932737549749</v>
      </c>
      <c r="S174">
        <v>11654.802169840694</v>
      </c>
      <c r="T174">
        <v>0</v>
      </c>
      <c r="U174" s="147"/>
      <c r="V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47"/>
      <c r="EY174" s="147"/>
      <c r="EZ174" s="147"/>
      <c r="FA174" s="147"/>
      <c r="FB174" s="147"/>
      <c r="FC174" s="147"/>
      <c r="FD174" s="147"/>
      <c r="FE174" s="147"/>
      <c r="FF174" s="147"/>
      <c r="FG174" s="147"/>
      <c r="FH174" s="147"/>
      <c r="FI174" s="147"/>
      <c r="FJ174" s="147"/>
      <c r="FK174" s="147"/>
      <c r="FL174" s="147"/>
      <c r="FM174" s="147"/>
      <c r="FN174" s="147"/>
      <c r="FO174" s="147"/>
      <c r="FP174" s="147"/>
      <c r="FQ174" s="147"/>
      <c r="FR174" s="147"/>
      <c r="FS174" s="147"/>
    </row>
    <row r="175" spans="8:175" x14ac:dyDescent="0.2">
      <c r="H175">
        <v>33</v>
      </c>
      <c r="I175">
        <v>-17.536597967452717</v>
      </c>
      <c r="J175">
        <v>49</v>
      </c>
      <c r="K175">
        <v>45.95389538811569</v>
      </c>
      <c r="L175">
        <v>22.738145830947968</v>
      </c>
      <c r="M175">
        <v>28392.789789692331</v>
      </c>
      <c r="N175">
        <v>0</v>
      </c>
      <c r="O175">
        <v>-36.512281376715848</v>
      </c>
      <c r="P175">
        <v>49</v>
      </c>
      <c r="Q175">
        <v>47.705704278648476</v>
      </c>
      <c r="R175">
        <v>27.615769279249285</v>
      </c>
      <c r="S175">
        <v>8057.1253544950814</v>
      </c>
      <c r="T175">
        <v>0</v>
      </c>
      <c r="U175" s="147"/>
      <c r="V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7"/>
      <c r="EU175" s="147"/>
      <c r="EV175" s="147"/>
      <c r="EW175" s="147"/>
      <c r="EX175" s="147"/>
      <c r="EY175" s="147"/>
      <c r="EZ175" s="147"/>
      <c r="FA175" s="147"/>
      <c r="FB175" s="147"/>
      <c r="FC175" s="147"/>
      <c r="FD175" s="147"/>
      <c r="FE175" s="147"/>
      <c r="FF175" s="147"/>
      <c r="FG175" s="147"/>
      <c r="FH175" s="147"/>
      <c r="FI175" s="147"/>
      <c r="FJ175" s="147"/>
      <c r="FK175" s="147"/>
      <c r="FL175" s="147"/>
      <c r="FM175" s="147"/>
      <c r="FN175" s="147"/>
      <c r="FO175" s="147"/>
      <c r="FP175" s="147"/>
      <c r="FQ175" s="147"/>
      <c r="FR175" s="147"/>
      <c r="FS175" s="147"/>
    </row>
    <row r="176" spans="8:175" x14ac:dyDescent="0.2">
      <c r="H176">
        <v>34</v>
      </c>
      <c r="I176">
        <v>11.617078959289051</v>
      </c>
      <c r="J176">
        <v>43</v>
      </c>
      <c r="K176">
        <v>40.332242330298008</v>
      </c>
      <c r="L176">
        <v>23.124152348719978</v>
      </c>
      <c r="M176">
        <v>39240.579496287675</v>
      </c>
      <c r="N176">
        <v>9256.2096703182469</v>
      </c>
      <c r="O176">
        <v>11.950725285066333</v>
      </c>
      <c r="P176">
        <v>43</v>
      </c>
      <c r="Q176">
        <v>42.089354454373215</v>
      </c>
      <c r="R176">
        <v>29.64740009778421</v>
      </c>
      <c r="S176">
        <v>20746.783172067047</v>
      </c>
      <c r="T176">
        <v>6673.8496449325903</v>
      </c>
      <c r="U176" s="147"/>
      <c r="V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  <c r="DK176" s="147"/>
      <c r="DL176" s="147"/>
      <c r="DM176" s="147"/>
      <c r="DN176" s="147"/>
      <c r="DO176" s="147"/>
      <c r="DP176" s="147"/>
      <c r="DQ176" s="147"/>
      <c r="DR176" s="147"/>
      <c r="DS176" s="147"/>
      <c r="DT176" s="147"/>
      <c r="DU176" s="147"/>
      <c r="DV176" s="147"/>
      <c r="DW176" s="147"/>
      <c r="DX176" s="147"/>
      <c r="DY176" s="147"/>
      <c r="DZ176" s="147"/>
      <c r="EA176" s="147"/>
      <c r="EB176" s="147"/>
      <c r="EC176" s="147"/>
      <c r="ED176" s="147"/>
      <c r="EE176" s="147"/>
      <c r="EF176" s="147"/>
      <c r="EG176" s="147"/>
      <c r="EH176" s="147"/>
      <c r="EI176" s="147"/>
      <c r="EJ176" s="147"/>
      <c r="EK176" s="147"/>
      <c r="EL176" s="147"/>
      <c r="EM176" s="147"/>
      <c r="EN176" s="147"/>
      <c r="EO176" s="147"/>
      <c r="EP176" s="147"/>
      <c r="EQ176" s="147"/>
      <c r="ER176" s="147"/>
      <c r="ES176" s="147"/>
      <c r="ET176" s="147"/>
      <c r="EU176" s="147"/>
      <c r="EV176" s="147"/>
      <c r="EW176" s="147"/>
      <c r="EX176" s="147"/>
      <c r="EY176" s="147"/>
      <c r="EZ176" s="147"/>
      <c r="FA176" s="147"/>
      <c r="FB176" s="147"/>
      <c r="FC176" s="147"/>
      <c r="FD176" s="147"/>
      <c r="FE176" s="147"/>
      <c r="FF176" s="147"/>
      <c r="FG176" s="147"/>
      <c r="FH176" s="147"/>
      <c r="FI176" s="147"/>
      <c r="FJ176" s="147"/>
      <c r="FK176" s="147"/>
      <c r="FL176" s="147"/>
      <c r="FM176" s="147"/>
      <c r="FN176" s="147"/>
      <c r="FO176" s="147"/>
      <c r="FP176" s="147"/>
      <c r="FQ176" s="147"/>
      <c r="FR176" s="147"/>
      <c r="FS176" s="147"/>
    </row>
    <row r="177" spans="8:175" x14ac:dyDescent="0.2">
      <c r="H177">
        <v>35</v>
      </c>
      <c r="I177">
        <v>8.9209394892907135</v>
      </c>
      <c r="J177">
        <v>46</v>
      </c>
      <c r="K177">
        <v>43.58404647952969</v>
      </c>
      <c r="L177">
        <v>24.781447996955169</v>
      </c>
      <c r="M177">
        <v>41544.507713349456</v>
      </c>
      <c r="N177">
        <v>8017.9794450770933</v>
      </c>
      <c r="O177">
        <v>9.6520872786715728</v>
      </c>
      <c r="P177">
        <v>46</v>
      </c>
      <c r="Q177">
        <v>45.595842411020598</v>
      </c>
      <c r="R177">
        <v>31.148015834350346</v>
      </c>
      <c r="S177">
        <v>23311.87662663413</v>
      </c>
      <c r="T177">
        <v>6298.7658284135759</v>
      </c>
      <c r="U177" s="147"/>
      <c r="V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  <c r="CU177" s="147"/>
      <c r="CV177" s="147"/>
      <c r="CW177" s="147"/>
      <c r="CX177" s="147"/>
      <c r="CY177" s="147"/>
      <c r="CZ177" s="147"/>
      <c r="DA177" s="147"/>
      <c r="DB177" s="147"/>
      <c r="DC177" s="147"/>
      <c r="DD177" s="147"/>
      <c r="DE177" s="147"/>
      <c r="DF177" s="147"/>
      <c r="DG177" s="147"/>
      <c r="DH177" s="147"/>
      <c r="DI177" s="147"/>
      <c r="DJ177" s="147"/>
      <c r="DK177" s="147"/>
      <c r="DL177" s="147"/>
      <c r="DM177" s="147"/>
      <c r="DN177" s="147"/>
      <c r="DO177" s="147"/>
      <c r="DP177" s="147"/>
      <c r="DQ177" s="147"/>
      <c r="DR177" s="147"/>
      <c r="DS177" s="147"/>
      <c r="DT177" s="147"/>
      <c r="DU177" s="147"/>
      <c r="DV177" s="147"/>
      <c r="DW177" s="147"/>
      <c r="DX177" s="147"/>
      <c r="DY177" s="147"/>
      <c r="DZ177" s="147"/>
      <c r="EA177" s="147"/>
      <c r="EB177" s="147"/>
      <c r="EC177" s="147"/>
      <c r="ED177" s="147"/>
      <c r="EE177" s="147"/>
      <c r="EF177" s="147"/>
      <c r="EG177" s="147"/>
      <c r="EH177" s="147"/>
      <c r="EI177" s="147"/>
      <c r="EJ177" s="147"/>
      <c r="EK177" s="147"/>
      <c r="EL177" s="147"/>
      <c r="EM177" s="147"/>
      <c r="EN177" s="147"/>
      <c r="EO177" s="147"/>
      <c r="EP177" s="147"/>
      <c r="EQ177" s="147"/>
      <c r="ER177" s="147"/>
      <c r="ES177" s="147"/>
      <c r="ET177" s="147"/>
      <c r="EU177" s="147"/>
      <c r="EV177" s="147"/>
      <c r="EW177" s="147"/>
      <c r="EX177" s="147"/>
      <c r="EY177" s="147"/>
      <c r="EZ177" s="147"/>
      <c r="FA177" s="147"/>
      <c r="FB177" s="147"/>
      <c r="FC177" s="147"/>
      <c r="FD177" s="147"/>
      <c r="FE177" s="147"/>
      <c r="FF177" s="147"/>
      <c r="FG177" s="147"/>
      <c r="FH177" s="147"/>
      <c r="FI177" s="147"/>
      <c r="FJ177" s="147"/>
      <c r="FK177" s="147"/>
      <c r="FL177" s="147"/>
      <c r="FM177" s="147"/>
      <c r="FN177" s="147"/>
      <c r="FO177" s="147"/>
      <c r="FP177" s="147"/>
      <c r="FQ177" s="147"/>
      <c r="FR177" s="147"/>
      <c r="FS177" s="147"/>
    </row>
    <row r="178" spans="8:175" x14ac:dyDescent="0.2">
      <c r="H178">
        <v>36</v>
      </c>
      <c r="I178">
        <v>10.972797718490757</v>
      </c>
      <c r="J178">
        <v>43</v>
      </c>
      <c r="K178">
        <v>41.278871915198003</v>
      </c>
      <c r="L178">
        <v>23.053856546807488</v>
      </c>
      <c r="M178">
        <v>39341.190197003765</v>
      </c>
      <c r="N178">
        <v>8711.250794634354</v>
      </c>
      <c r="O178">
        <v>12.264313823802397</v>
      </c>
      <c r="P178">
        <v>43</v>
      </c>
      <c r="Q178">
        <v>42.48382815679485</v>
      </c>
      <c r="R178">
        <v>30.120735737435933</v>
      </c>
      <c r="S178">
        <v>20584.657274650715</v>
      </c>
      <c r="T178">
        <v>6935.661099821773</v>
      </c>
      <c r="U178" s="147"/>
      <c r="V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47"/>
      <c r="DK178" s="147"/>
      <c r="DL178" s="147"/>
      <c r="DM178" s="147"/>
      <c r="DN178" s="147"/>
      <c r="DO178" s="147"/>
      <c r="DP178" s="147"/>
      <c r="DQ178" s="147"/>
      <c r="DR178" s="147"/>
      <c r="DS178" s="147"/>
      <c r="DT178" s="147"/>
      <c r="DU178" s="147"/>
      <c r="DV178" s="147"/>
      <c r="DW178" s="147"/>
      <c r="DX178" s="147"/>
      <c r="DY178" s="147"/>
      <c r="DZ178" s="147"/>
      <c r="EA178" s="147"/>
      <c r="EB178" s="147"/>
      <c r="EC178" s="147"/>
      <c r="ED178" s="147"/>
      <c r="EE178" s="147"/>
      <c r="EF178" s="147"/>
      <c r="EG178" s="147"/>
      <c r="EH178" s="147"/>
      <c r="EI178" s="147"/>
      <c r="EJ178" s="147"/>
      <c r="EK178" s="147"/>
      <c r="EL178" s="147"/>
      <c r="EM178" s="147"/>
      <c r="EN178" s="147"/>
      <c r="EO178" s="147"/>
      <c r="EP178" s="147"/>
      <c r="EQ178" s="147"/>
      <c r="ER178" s="147"/>
      <c r="ES178" s="147"/>
      <c r="ET178" s="147"/>
      <c r="EU178" s="147"/>
      <c r="EV178" s="147"/>
      <c r="EW178" s="147"/>
      <c r="EX178" s="147"/>
      <c r="EY178" s="147"/>
      <c r="EZ178" s="147"/>
      <c r="FA178" s="147"/>
      <c r="FB178" s="147"/>
      <c r="FC178" s="147"/>
      <c r="FD178" s="147"/>
      <c r="FE178" s="147"/>
      <c r="FF178" s="147"/>
      <c r="FG178" s="147"/>
      <c r="FH178" s="147"/>
      <c r="FI178" s="147"/>
      <c r="FJ178" s="147"/>
      <c r="FK178" s="147"/>
      <c r="FL178" s="147"/>
      <c r="FM178" s="147"/>
      <c r="FN178" s="147"/>
      <c r="FO178" s="147"/>
      <c r="FP178" s="147"/>
      <c r="FQ178" s="147"/>
      <c r="FR178" s="147"/>
      <c r="FS178" s="147"/>
    </row>
    <row r="179" spans="8:175" x14ac:dyDescent="0.2">
      <c r="H179">
        <v>37</v>
      </c>
      <c r="I179">
        <v>9.4447178615647545</v>
      </c>
      <c r="J179">
        <v>47</v>
      </c>
      <c r="K179">
        <v>44.663983693407658</v>
      </c>
      <c r="L179">
        <v>24.166251984332074</v>
      </c>
      <c r="M179">
        <v>40715.41607194706</v>
      </c>
      <c r="N179">
        <v>8115.1216904674002</v>
      </c>
      <c r="O179">
        <v>8.9018420739200863</v>
      </c>
      <c r="P179">
        <v>47</v>
      </c>
      <c r="Q179">
        <v>46.458157656705197</v>
      </c>
      <c r="R179">
        <v>32.100786616550891</v>
      </c>
      <c r="S179">
        <v>22011.464531287093</v>
      </c>
      <c r="T179">
        <v>5640.1565052862334</v>
      </c>
      <c r="U179" s="147"/>
      <c r="V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47"/>
      <c r="DK179" s="147"/>
      <c r="DL179" s="147"/>
      <c r="DM179" s="147"/>
      <c r="DN179" s="147"/>
      <c r="DO179" s="147"/>
      <c r="DP179" s="147"/>
      <c r="DQ179" s="147"/>
      <c r="DR179" s="147"/>
      <c r="DS179" s="147"/>
      <c r="DT179" s="147"/>
      <c r="DU179" s="147"/>
      <c r="DV179" s="147"/>
      <c r="DW179" s="147"/>
      <c r="DX179" s="147"/>
      <c r="DY179" s="147"/>
      <c r="DZ179" s="147"/>
      <c r="EA179" s="147"/>
      <c r="EB179" s="147"/>
      <c r="EC179" s="147"/>
      <c r="ED179" s="147"/>
      <c r="EE179" s="147"/>
      <c r="EF179" s="147"/>
      <c r="EG179" s="147"/>
      <c r="EH179" s="147"/>
      <c r="EI179" s="147"/>
      <c r="EJ179" s="147"/>
      <c r="EK179" s="147"/>
      <c r="EL179" s="147"/>
      <c r="EM179" s="147"/>
      <c r="EN179" s="147"/>
      <c r="EO179" s="147"/>
      <c r="EP179" s="147"/>
      <c r="EQ179" s="147"/>
      <c r="ER179" s="147"/>
      <c r="ES179" s="147"/>
      <c r="ET179" s="147"/>
      <c r="EU179" s="147"/>
      <c r="EV179" s="147"/>
      <c r="EW179" s="147"/>
      <c r="EX179" s="147"/>
      <c r="EY179" s="147"/>
      <c r="EZ179" s="147"/>
      <c r="FA179" s="147"/>
      <c r="FB179" s="147"/>
      <c r="FC179" s="147"/>
      <c r="FD179" s="147"/>
      <c r="FE179" s="147"/>
      <c r="FF179" s="147"/>
      <c r="FG179" s="147"/>
      <c r="FH179" s="147"/>
      <c r="FI179" s="147"/>
      <c r="FJ179" s="147"/>
      <c r="FK179" s="147"/>
      <c r="FL179" s="147"/>
      <c r="FM179" s="147"/>
      <c r="FN179" s="147"/>
      <c r="FO179" s="147"/>
      <c r="FP179" s="147"/>
      <c r="FQ179" s="147"/>
      <c r="FR179" s="147"/>
      <c r="FS179" s="147"/>
    </row>
    <row r="180" spans="8:175" x14ac:dyDescent="0.2">
      <c r="H180">
        <v>38</v>
      </c>
      <c r="I180">
        <v>11.024973985038656</v>
      </c>
      <c r="J180">
        <v>45</v>
      </c>
      <c r="K180">
        <v>42.714011104899704</v>
      </c>
      <c r="L180">
        <v>23.599098917410437</v>
      </c>
      <c r="M180">
        <v>39174.003185167836</v>
      </c>
      <c r="N180">
        <v>8945.5826980100246</v>
      </c>
      <c r="O180">
        <v>10.614341526387827</v>
      </c>
      <c r="P180">
        <v>45</v>
      </c>
      <c r="Q180">
        <v>44.206585871004854</v>
      </c>
      <c r="R180">
        <v>31.023169703139956</v>
      </c>
      <c r="S180">
        <v>20567.131918958057</v>
      </c>
      <c r="T180">
        <v>6128.3566982078992</v>
      </c>
      <c r="U180" s="147"/>
      <c r="V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/>
      <c r="DF180" s="147"/>
      <c r="DG180" s="147"/>
      <c r="DH180" s="147"/>
      <c r="DI180" s="147"/>
      <c r="DJ180" s="147"/>
      <c r="DK180" s="147"/>
      <c r="DL180" s="147"/>
      <c r="DM180" s="147"/>
      <c r="DN180" s="147"/>
      <c r="DO180" s="147"/>
      <c r="DP180" s="147"/>
      <c r="DQ180" s="147"/>
      <c r="DR180" s="147"/>
      <c r="DS180" s="147"/>
      <c r="DT180" s="147"/>
      <c r="DU180" s="147"/>
      <c r="DV180" s="147"/>
      <c r="DW180" s="147"/>
      <c r="DX180" s="147"/>
      <c r="DY180" s="147"/>
      <c r="DZ180" s="147"/>
      <c r="EA180" s="147"/>
      <c r="EB180" s="147"/>
      <c r="EC180" s="147"/>
      <c r="ED180" s="147"/>
      <c r="EE180" s="147"/>
      <c r="EF180" s="147"/>
      <c r="EG180" s="147"/>
      <c r="EH180" s="147"/>
      <c r="EI180" s="147"/>
      <c r="EJ180" s="147"/>
      <c r="EK180" s="147"/>
      <c r="EL180" s="147"/>
      <c r="EM180" s="147"/>
      <c r="EN180" s="147"/>
      <c r="EO180" s="147"/>
      <c r="EP180" s="147"/>
      <c r="EQ180" s="147"/>
      <c r="ER180" s="147"/>
      <c r="ES180" s="147"/>
      <c r="ET180" s="147"/>
      <c r="EU180" s="147"/>
      <c r="EV180" s="147"/>
      <c r="EW180" s="147"/>
      <c r="EX180" s="147"/>
      <c r="EY180" s="147"/>
      <c r="EZ180" s="147"/>
      <c r="FA180" s="147"/>
      <c r="FB180" s="147"/>
      <c r="FC180" s="147"/>
      <c r="FD180" s="147"/>
      <c r="FE180" s="147"/>
      <c r="FF180" s="147"/>
      <c r="FG180" s="147"/>
      <c r="FH180" s="147"/>
      <c r="FI180" s="147"/>
      <c r="FJ180" s="147"/>
      <c r="FK180" s="147"/>
      <c r="FL180" s="147"/>
      <c r="FM180" s="147"/>
      <c r="FN180" s="147"/>
      <c r="FO180" s="147"/>
      <c r="FP180" s="147"/>
      <c r="FQ180" s="147"/>
      <c r="FR180" s="147"/>
      <c r="FS180" s="147"/>
    </row>
    <row r="181" spans="8:175" x14ac:dyDescent="0.2">
      <c r="H181">
        <v>39</v>
      </c>
      <c r="I181">
        <v>9.6552840152420938</v>
      </c>
      <c r="J181">
        <v>46</v>
      </c>
      <c r="K181">
        <v>43.618551983061998</v>
      </c>
      <c r="L181">
        <v>25.30743224461559</v>
      </c>
      <c r="M181">
        <v>40430.291424903153</v>
      </c>
      <c r="N181">
        <v>8674.8909708934079</v>
      </c>
      <c r="O181">
        <v>9.4827213074708983</v>
      </c>
      <c r="P181">
        <v>46</v>
      </c>
      <c r="Q181">
        <v>45.383233483741783</v>
      </c>
      <c r="R181">
        <v>32.580207586074131</v>
      </c>
      <c r="S181">
        <v>21800.072609418825</v>
      </c>
      <c r="T181">
        <v>6079.2283750274</v>
      </c>
      <c r="U181" s="147"/>
      <c r="V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  <c r="FC181" s="147"/>
      <c r="FD181" s="147"/>
      <c r="FE181" s="147"/>
      <c r="FF181" s="147"/>
      <c r="FG181" s="147"/>
      <c r="FH181" s="147"/>
      <c r="FI181" s="147"/>
      <c r="FJ181" s="147"/>
      <c r="FK181" s="147"/>
      <c r="FL181" s="147"/>
      <c r="FM181" s="147"/>
      <c r="FN181" s="147"/>
      <c r="FO181" s="147"/>
      <c r="FP181" s="147"/>
      <c r="FQ181" s="147"/>
      <c r="FR181" s="147"/>
      <c r="FS181" s="147"/>
    </row>
    <row r="182" spans="8:175" x14ac:dyDescent="0.2">
      <c r="H182">
        <v>40</v>
      </c>
      <c r="I182">
        <v>-34.649906684378628</v>
      </c>
      <c r="J182">
        <v>49</v>
      </c>
      <c r="K182">
        <v>46.914075895720963</v>
      </c>
      <c r="L182">
        <v>21.778258958635941</v>
      </c>
      <c r="M182">
        <v>18599.955915542421</v>
      </c>
      <c r="N182">
        <v>0</v>
      </c>
      <c r="O182">
        <v>0</v>
      </c>
      <c r="P182">
        <v>49</v>
      </c>
      <c r="Q182">
        <v>0</v>
      </c>
      <c r="R182">
        <v>0</v>
      </c>
      <c r="S182">
        <v>4.5474735088646412E-13</v>
      </c>
      <c r="T182">
        <v>0</v>
      </c>
      <c r="U182" s="147"/>
      <c r="V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  <c r="DL182" s="147"/>
      <c r="DM182" s="147"/>
      <c r="DN182" s="147"/>
      <c r="DO182" s="147"/>
      <c r="DP182" s="147"/>
      <c r="DQ182" s="147"/>
      <c r="DR182" s="147"/>
      <c r="DS182" s="147"/>
      <c r="DT182" s="147"/>
      <c r="DU182" s="147"/>
      <c r="DV182" s="147"/>
      <c r="DW182" s="147"/>
      <c r="DX182" s="147"/>
      <c r="DY182" s="147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47"/>
      <c r="EK182" s="147"/>
      <c r="EL182" s="147"/>
      <c r="EM182" s="147"/>
      <c r="EN182" s="147"/>
      <c r="EO182" s="147"/>
      <c r="EP182" s="147"/>
      <c r="EQ182" s="147"/>
      <c r="ER182" s="147"/>
      <c r="ES182" s="147"/>
      <c r="ET182" s="147"/>
      <c r="EU182" s="147"/>
      <c r="EV182" s="147"/>
      <c r="EW182" s="147"/>
      <c r="EX182" s="147"/>
      <c r="EY182" s="147"/>
      <c r="EZ182" s="147"/>
      <c r="FA182" s="147"/>
      <c r="FB182" s="147"/>
      <c r="FC182" s="147"/>
      <c r="FD182" s="147"/>
      <c r="FE182" s="147"/>
      <c r="FF182" s="147"/>
      <c r="FG182" s="147"/>
      <c r="FH182" s="147"/>
      <c r="FI182" s="147"/>
      <c r="FJ182" s="147"/>
      <c r="FK182" s="147"/>
      <c r="FL182" s="147"/>
      <c r="FM182" s="147"/>
      <c r="FN182" s="147"/>
      <c r="FO182" s="147"/>
      <c r="FP182" s="147"/>
      <c r="FQ182" s="147"/>
      <c r="FR182" s="147"/>
      <c r="FS182" s="147"/>
    </row>
    <row r="183" spans="8:175" x14ac:dyDescent="0.2">
      <c r="H183">
        <v>41</v>
      </c>
      <c r="I183">
        <v>-54.825683210335797</v>
      </c>
      <c r="J183">
        <v>49</v>
      </c>
      <c r="K183">
        <v>47.331582932399364</v>
      </c>
      <c r="L183">
        <v>19.559535082821387</v>
      </c>
      <c r="M183">
        <v>10993.1851727091</v>
      </c>
      <c r="N183">
        <v>0</v>
      </c>
      <c r="O183">
        <v>0</v>
      </c>
      <c r="P183">
        <v>49</v>
      </c>
      <c r="Q183">
        <v>0</v>
      </c>
      <c r="R183">
        <v>0</v>
      </c>
      <c r="S183">
        <v>4.5474735088646412E-13</v>
      </c>
      <c r="T183">
        <v>0</v>
      </c>
      <c r="U183" s="147"/>
      <c r="V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  <c r="FC183" s="147"/>
      <c r="FD183" s="147"/>
      <c r="FE183" s="147"/>
      <c r="FF183" s="147"/>
      <c r="FG183" s="147"/>
      <c r="FH183" s="147"/>
      <c r="FI183" s="147"/>
      <c r="FJ183" s="147"/>
      <c r="FK183" s="147"/>
      <c r="FL183" s="147"/>
      <c r="FM183" s="147"/>
      <c r="FN183" s="147"/>
      <c r="FO183" s="147"/>
      <c r="FP183" s="147"/>
      <c r="FQ183" s="147"/>
      <c r="FR183" s="147"/>
      <c r="FS183" s="147"/>
    </row>
    <row r="184" spans="8:175" x14ac:dyDescent="0.2">
      <c r="H184">
        <v>42</v>
      </c>
      <c r="I184">
        <v>10.6928891275194</v>
      </c>
      <c r="J184">
        <v>44</v>
      </c>
      <c r="K184">
        <v>42.31051596553516</v>
      </c>
      <c r="L184">
        <v>23.302456825328481</v>
      </c>
      <c r="M184">
        <v>39563.823161960681</v>
      </c>
      <c r="N184">
        <v>8627.9693226881645</v>
      </c>
      <c r="O184">
        <v>12.177653384605435</v>
      </c>
      <c r="P184">
        <v>44</v>
      </c>
      <c r="Q184">
        <v>43.536074519767574</v>
      </c>
      <c r="R184">
        <v>30.886494899617155</v>
      </c>
      <c r="S184">
        <v>20671.207880177513</v>
      </c>
      <c r="T184">
        <v>7114.3129648118993</v>
      </c>
      <c r="U184" s="147"/>
      <c r="V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  <c r="DP184" s="147"/>
      <c r="DQ184" s="147"/>
      <c r="DR184" s="147"/>
      <c r="DS184" s="147"/>
      <c r="DT184" s="147"/>
      <c r="DU184" s="147"/>
      <c r="DV184" s="147"/>
      <c r="DW184" s="147"/>
      <c r="DX184" s="147"/>
      <c r="DY184" s="147"/>
      <c r="DZ184" s="147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47"/>
      <c r="EK184" s="147"/>
      <c r="EL184" s="147"/>
      <c r="EM184" s="147"/>
      <c r="EN184" s="147"/>
      <c r="EO184" s="147"/>
      <c r="EP184" s="147"/>
      <c r="EQ184" s="147"/>
      <c r="ER184" s="147"/>
      <c r="ES184" s="147"/>
      <c r="ET184" s="147"/>
      <c r="EU184" s="147"/>
      <c r="EV184" s="147"/>
      <c r="EW184" s="147"/>
      <c r="EX184" s="147"/>
      <c r="EY184" s="147"/>
      <c r="EZ184" s="147"/>
      <c r="FA184" s="147"/>
      <c r="FB184" s="147"/>
      <c r="FC184" s="147"/>
      <c r="FD184" s="147"/>
      <c r="FE184" s="147"/>
      <c r="FF184" s="147"/>
      <c r="FG184" s="147"/>
      <c r="FH184" s="147"/>
      <c r="FI184" s="147"/>
      <c r="FJ184" s="147"/>
      <c r="FK184" s="147"/>
      <c r="FL184" s="147"/>
      <c r="FM184" s="147"/>
      <c r="FN184" s="147"/>
      <c r="FO184" s="147"/>
      <c r="FP184" s="147"/>
      <c r="FQ184" s="147"/>
      <c r="FR184" s="147"/>
      <c r="FS184" s="147"/>
    </row>
    <row r="185" spans="8:175" x14ac:dyDescent="0.2">
      <c r="H185">
        <v>43</v>
      </c>
      <c r="I185">
        <v>-14.676868627826478</v>
      </c>
      <c r="J185">
        <v>49</v>
      </c>
      <c r="K185">
        <v>45.429460954659149</v>
      </c>
      <c r="L185">
        <v>22.970262669392977</v>
      </c>
      <c r="M185">
        <v>29947.689856796973</v>
      </c>
      <c r="N185">
        <v>0</v>
      </c>
      <c r="O185">
        <v>-29.802202160922498</v>
      </c>
      <c r="P185">
        <v>49</v>
      </c>
      <c r="Q185">
        <v>47.532779329583121</v>
      </c>
      <c r="R185">
        <v>29.901896980805734</v>
      </c>
      <c r="S185">
        <v>9208.1244095131005</v>
      </c>
      <c r="T185">
        <v>0</v>
      </c>
      <c r="U185" s="147"/>
      <c r="V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7"/>
      <c r="DL185" s="147"/>
      <c r="DM185" s="147"/>
      <c r="DN185" s="147"/>
      <c r="DO185" s="147"/>
      <c r="DP185" s="147"/>
      <c r="DQ185" s="147"/>
      <c r="DR185" s="147"/>
      <c r="DS185" s="147"/>
      <c r="DT185" s="147"/>
      <c r="DU185" s="147"/>
      <c r="DV185" s="147"/>
      <c r="DW185" s="147"/>
      <c r="DX185" s="147"/>
      <c r="DY185" s="147"/>
      <c r="DZ185" s="147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47"/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  <c r="FC185" s="147"/>
      <c r="FD185" s="147"/>
      <c r="FE185" s="147"/>
      <c r="FF185" s="147"/>
      <c r="FG185" s="147"/>
      <c r="FH185" s="147"/>
      <c r="FI185" s="147"/>
      <c r="FJ185" s="147"/>
      <c r="FK185" s="147"/>
      <c r="FL185" s="147"/>
      <c r="FM185" s="147"/>
      <c r="FN185" s="147"/>
      <c r="FO185" s="147"/>
      <c r="FP185" s="147"/>
      <c r="FQ185" s="147"/>
      <c r="FR185" s="147"/>
      <c r="FS185" s="147"/>
    </row>
    <row r="186" spans="8:175" x14ac:dyDescent="0.2">
      <c r="H186">
        <v>44</v>
      </c>
      <c r="I186">
        <v>10.270506037302308</v>
      </c>
      <c r="J186">
        <v>45</v>
      </c>
      <c r="K186">
        <v>43.340178694526784</v>
      </c>
      <c r="L186">
        <v>23.307281408257488</v>
      </c>
      <c r="M186">
        <v>40135.602025313383</v>
      </c>
      <c r="N186">
        <v>8392.9668568839188</v>
      </c>
      <c r="O186">
        <v>10.726140666305618</v>
      </c>
      <c r="P186">
        <v>45</v>
      </c>
      <c r="Q186">
        <v>44.576870866268607</v>
      </c>
      <c r="R186">
        <v>31.075704830337568</v>
      </c>
      <c r="S186">
        <v>21098.869076404149</v>
      </c>
      <c r="T186">
        <v>6370.662948321522</v>
      </c>
      <c r="U186" s="147"/>
      <c r="V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/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  <c r="DP186" s="147"/>
      <c r="DQ186" s="147"/>
      <c r="DR186" s="147"/>
      <c r="DS186" s="147"/>
      <c r="DT186" s="147"/>
      <c r="DU186" s="147"/>
      <c r="DV186" s="147"/>
      <c r="DW186" s="147"/>
      <c r="DX186" s="147"/>
      <c r="DY186" s="147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47"/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  <c r="FC186" s="147"/>
      <c r="FD186" s="147"/>
      <c r="FE186" s="147"/>
      <c r="FF186" s="147"/>
      <c r="FG186" s="147"/>
      <c r="FH186" s="147"/>
      <c r="FI186" s="147"/>
      <c r="FJ186" s="147"/>
      <c r="FK186" s="147"/>
      <c r="FL186" s="147"/>
      <c r="FM186" s="147"/>
      <c r="FN186" s="147"/>
      <c r="FO186" s="147"/>
      <c r="FP186" s="147"/>
      <c r="FQ186" s="147"/>
      <c r="FR186" s="147"/>
      <c r="FS186" s="147"/>
    </row>
    <row r="187" spans="8:175" x14ac:dyDescent="0.2">
      <c r="H187">
        <v>45</v>
      </c>
      <c r="I187">
        <v>9.7190553225895862</v>
      </c>
      <c r="J187">
        <v>48</v>
      </c>
      <c r="K187">
        <v>45.694070255316866</v>
      </c>
      <c r="L187">
        <v>24.749580653671728</v>
      </c>
      <c r="M187">
        <v>40291.715609253624</v>
      </c>
      <c r="N187">
        <v>8494.3842435063489</v>
      </c>
      <c r="O187">
        <v>9.8743738962876915</v>
      </c>
      <c r="P187">
        <v>48</v>
      </c>
      <c r="Q187">
        <v>47.467415962215135</v>
      </c>
      <c r="R187">
        <v>32.757720310552791</v>
      </c>
      <c r="S187">
        <v>21918.092303587076</v>
      </c>
      <c r="T187">
        <v>6424.6710483137194</v>
      </c>
      <c r="U187" s="147"/>
      <c r="V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</row>
    <row r="188" spans="8:175" x14ac:dyDescent="0.2">
      <c r="H188">
        <v>46</v>
      </c>
      <c r="I188">
        <v>-23.830389437924804</v>
      </c>
      <c r="J188">
        <v>49</v>
      </c>
      <c r="K188">
        <v>46.457813681130567</v>
      </c>
      <c r="L188">
        <v>21.935102259524882</v>
      </c>
      <c r="M188">
        <v>24549.290095360826</v>
      </c>
      <c r="N188">
        <v>0</v>
      </c>
      <c r="O188">
        <v>-58.378778602275574</v>
      </c>
      <c r="P188">
        <v>49</v>
      </c>
      <c r="Q188">
        <v>48.000000000000007</v>
      </c>
      <c r="R188">
        <v>23.572964161335214</v>
      </c>
      <c r="S188">
        <v>4000.3194892173215</v>
      </c>
      <c r="T188">
        <v>0</v>
      </c>
      <c r="U188" s="147"/>
      <c r="V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/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  <c r="DP188" s="147"/>
      <c r="DQ188" s="147"/>
      <c r="DR188" s="147"/>
      <c r="DS188" s="147"/>
      <c r="DT188" s="147"/>
      <c r="DU188" s="147"/>
      <c r="DV188" s="147"/>
      <c r="DW188" s="147"/>
      <c r="DX188" s="147"/>
      <c r="DY188" s="147"/>
      <c r="DZ188" s="147"/>
      <c r="EA188" s="147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  <c r="FC188" s="147"/>
      <c r="FD188" s="147"/>
      <c r="FE188" s="147"/>
      <c r="FF188" s="147"/>
      <c r="FG188" s="147"/>
      <c r="FH188" s="147"/>
      <c r="FI188" s="147"/>
      <c r="FJ188" s="147"/>
      <c r="FK188" s="147"/>
      <c r="FL188" s="147"/>
      <c r="FM188" s="147"/>
      <c r="FN188" s="147"/>
      <c r="FO188" s="147"/>
      <c r="FP188" s="147"/>
      <c r="FQ188" s="147"/>
      <c r="FR188" s="147"/>
      <c r="FS188" s="147"/>
    </row>
    <row r="189" spans="8:175" x14ac:dyDescent="0.2">
      <c r="H189">
        <v>47</v>
      </c>
      <c r="I189">
        <v>9.7159903346677456</v>
      </c>
      <c r="J189">
        <v>47</v>
      </c>
      <c r="K189">
        <v>45.191755369529687</v>
      </c>
      <c r="L189">
        <v>24.910325735869542</v>
      </c>
      <c r="M189">
        <v>40680.491393793149</v>
      </c>
      <c r="N189">
        <v>8634.7247964011913</v>
      </c>
      <c r="O189">
        <v>9.3130908494349463</v>
      </c>
      <c r="P189">
        <v>47</v>
      </c>
      <c r="Q189">
        <v>46.604062705762658</v>
      </c>
      <c r="R189">
        <v>31.074183867289978</v>
      </c>
      <c r="S189">
        <v>22668.337615502584</v>
      </c>
      <c r="T189">
        <v>5878.7534214652624</v>
      </c>
      <c r="U189" s="147"/>
      <c r="V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</row>
    <row r="190" spans="8:175" x14ac:dyDescent="0.2">
      <c r="H190">
        <v>48</v>
      </c>
      <c r="I190">
        <v>11.916605075061582</v>
      </c>
      <c r="J190">
        <v>41</v>
      </c>
      <c r="K190">
        <v>39.584934417958181</v>
      </c>
      <c r="L190">
        <v>21.463402494462485</v>
      </c>
      <c r="M190">
        <v>40830.607257422773</v>
      </c>
      <c r="N190">
        <v>9108.3438286808523</v>
      </c>
      <c r="O190">
        <v>12.209384184725192</v>
      </c>
      <c r="P190">
        <v>41</v>
      </c>
      <c r="Q190">
        <v>40.782772929026571</v>
      </c>
      <c r="R190">
        <v>27.494537557029073</v>
      </c>
      <c r="S190">
        <v>22053.883226965871</v>
      </c>
      <c r="T190">
        <v>6661.3599805827034</v>
      </c>
      <c r="U190" s="147"/>
      <c r="V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D190" s="147"/>
      <c r="FE190" s="147"/>
      <c r="FF190" s="147"/>
      <c r="FG190" s="147"/>
      <c r="FH190" s="147"/>
      <c r="FI190" s="147"/>
      <c r="FJ190" s="147"/>
      <c r="FK190" s="147"/>
      <c r="FL190" s="147"/>
      <c r="FM190" s="147"/>
      <c r="FN190" s="147"/>
      <c r="FO190" s="147"/>
      <c r="FP190" s="147"/>
      <c r="FQ190" s="147"/>
      <c r="FR190" s="147"/>
      <c r="FS190" s="147"/>
    </row>
    <row r="191" spans="8:175" x14ac:dyDescent="0.2">
      <c r="H191">
        <v>49</v>
      </c>
      <c r="I191">
        <v>11.050717461187954</v>
      </c>
      <c r="J191">
        <v>44</v>
      </c>
      <c r="K191">
        <v>42.568303914991034</v>
      </c>
      <c r="L191">
        <v>22.108341826276547</v>
      </c>
      <c r="M191">
        <v>40787.774010397188</v>
      </c>
      <c r="N191">
        <v>8688.4829093753069</v>
      </c>
      <c r="O191">
        <v>11.174508428583652</v>
      </c>
      <c r="P191">
        <v>44</v>
      </c>
      <c r="Q191">
        <v>43.774151338063177</v>
      </c>
      <c r="R191">
        <v>28.759067582391108</v>
      </c>
      <c r="S191">
        <v>22316.568975473725</v>
      </c>
      <c r="T191">
        <v>6449.6659519545356</v>
      </c>
      <c r="U191" s="147"/>
      <c r="V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  <c r="CU191" s="147"/>
      <c r="CV191" s="147"/>
      <c r="CW191" s="147"/>
      <c r="CX191" s="147"/>
      <c r="CY191" s="147"/>
      <c r="CZ191" s="147"/>
      <c r="DA191" s="147"/>
      <c r="DB191" s="147"/>
      <c r="DC191" s="147"/>
      <c r="DD191" s="147"/>
      <c r="DE191" s="147"/>
      <c r="DF191" s="147"/>
      <c r="DG191" s="147"/>
      <c r="DH191" s="147"/>
      <c r="DI191" s="147"/>
      <c r="DJ191" s="147"/>
      <c r="DK191" s="147"/>
      <c r="DL191" s="147"/>
      <c r="DM191" s="147"/>
      <c r="DN191" s="147"/>
      <c r="DO191" s="147"/>
      <c r="DP191" s="147"/>
      <c r="DQ191" s="147"/>
      <c r="DR191" s="147"/>
      <c r="DS191" s="147"/>
      <c r="DT191" s="147"/>
      <c r="DU191" s="147"/>
      <c r="DV191" s="147"/>
      <c r="DW191" s="147"/>
      <c r="DX191" s="147"/>
      <c r="DY191" s="147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  <c r="FC191" s="147"/>
      <c r="FD191" s="147"/>
      <c r="FE191" s="147"/>
      <c r="FF191" s="147"/>
      <c r="FG191" s="147"/>
      <c r="FH191" s="147"/>
      <c r="FI191" s="147"/>
      <c r="FJ191" s="147"/>
      <c r="FK191" s="147"/>
      <c r="FL191" s="147"/>
      <c r="FM191" s="147"/>
      <c r="FN191" s="147"/>
      <c r="FO191" s="147"/>
      <c r="FP191" s="147"/>
      <c r="FQ191" s="147"/>
      <c r="FR191" s="147"/>
      <c r="FS191" s="147"/>
    </row>
    <row r="192" spans="8:175" x14ac:dyDescent="0.2">
      <c r="H192">
        <v>50</v>
      </c>
      <c r="I192">
        <v>9.9343360883036738</v>
      </c>
      <c r="J192">
        <v>47</v>
      </c>
      <c r="K192">
        <v>44.397435181577094</v>
      </c>
      <c r="L192">
        <v>23.856270715611451</v>
      </c>
      <c r="M192">
        <v>39753.004143320279</v>
      </c>
      <c r="N192">
        <v>8236.249720503547</v>
      </c>
      <c r="O192">
        <v>10.690128571068701</v>
      </c>
      <c r="P192">
        <v>47</v>
      </c>
      <c r="Q192">
        <v>46.160221994742535</v>
      </c>
      <c r="R192">
        <v>32.927101203126746</v>
      </c>
      <c r="S192">
        <v>20601.544073802135</v>
      </c>
      <c r="T192">
        <v>6621.1603240322365</v>
      </c>
      <c r="U192" s="147"/>
      <c r="V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  <c r="CU192" s="147"/>
      <c r="CV192" s="147"/>
      <c r="CW192" s="147"/>
      <c r="CX192" s="147"/>
      <c r="CY192" s="147"/>
      <c r="CZ192" s="147"/>
      <c r="DA192" s="147"/>
      <c r="DB192" s="147"/>
      <c r="DC192" s="147"/>
      <c r="DD192" s="147"/>
      <c r="DE192" s="147"/>
      <c r="DF192" s="147"/>
      <c r="DG192" s="147"/>
      <c r="DH192" s="147"/>
      <c r="DI192" s="147"/>
      <c r="DJ192" s="147"/>
      <c r="DK192" s="147"/>
      <c r="DL192" s="147"/>
      <c r="DM192" s="147"/>
      <c r="DN192" s="147"/>
      <c r="DO192" s="147"/>
      <c r="DP192" s="147"/>
      <c r="DQ192" s="147"/>
      <c r="DR192" s="147"/>
      <c r="DS192" s="147"/>
      <c r="DT192" s="147"/>
      <c r="DU192" s="147"/>
      <c r="DV192" s="147"/>
      <c r="DW192" s="147"/>
      <c r="DX192" s="147"/>
      <c r="DY192" s="147"/>
      <c r="DZ192" s="147"/>
      <c r="EA192" s="147"/>
      <c r="EB192" s="147"/>
      <c r="EC192" s="147"/>
      <c r="ED192" s="147"/>
      <c r="EE192" s="147"/>
      <c r="EF192" s="147"/>
      <c r="EG192" s="147"/>
      <c r="EH192" s="147"/>
      <c r="EI192" s="147"/>
      <c r="EJ192" s="147"/>
      <c r="EK192" s="147"/>
      <c r="EL192" s="147"/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47"/>
      <c r="FA192" s="147"/>
      <c r="FB192" s="147"/>
      <c r="FC192" s="147"/>
      <c r="FD192" s="147"/>
      <c r="FE192" s="147"/>
      <c r="FF192" s="147"/>
      <c r="FG192" s="147"/>
      <c r="FH192" s="147"/>
      <c r="FI192" s="147"/>
      <c r="FJ192" s="147"/>
      <c r="FK192" s="147"/>
      <c r="FL192" s="147"/>
      <c r="FM192" s="147"/>
      <c r="FN192" s="147"/>
      <c r="FO192" s="147"/>
      <c r="FP192" s="147"/>
      <c r="FQ192" s="147"/>
      <c r="FR192" s="147"/>
      <c r="FS192" s="147"/>
    </row>
    <row r="193" spans="8:175" x14ac:dyDescent="0.2">
      <c r="H193">
        <v>51</v>
      </c>
      <c r="I193">
        <v>11.200204518818735</v>
      </c>
      <c r="J193">
        <v>43</v>
      </c>
      <c r="K193">
        <v>40.669681128991897</v>
      </c>
      <c r="L193">
        <v>23.078583055999349</v>
      </c>
      <c r="M193">
        <v>39159.709384926726</v>
      </c>
      <c r="N193">
        <v>8870.0517125986662</v>
      </c>
      <c r="O193">
        <v>11.089024554874261</v>
      </c>
      <c r="P193">
        <v>43</v>
      </c>
      <c r="Q193">
        <v>42.207846933734743</v>
      </c>
      <c r="R193">
        <v>30.775778698765905</v>
      </c>
      <c r="S193">
        <v>20006.274918629482</v>
      </c>
      <c r="T193">
        <v>6193.4465785803332</v>
      </c>
      <c r="U193" s="147"/>
      <c r="V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  <c r="FD193" s="147"/>
      <c r="FE193" s="147"/>
      <c r="FF193" s="147"/>
      <c r="FG193" s="147"/>
      <c r="FH193" s="147"/>
      <c r="FI193" s="147"/>
      <c r="FJ193" s="147"/>
      <c r="FK193" s="147"/>
      <c r="FL193" s="147"/>
      <c r="FM193" s="147"/>
      <c r="FN193" s="147"/>
      <c r="FO193" s="147"/>
      <c r="FP193" s="147"/>
      <c r="FQ193" s="147"/>
      <c r="FR193" s="147"/>
      <c r="FS193" s="147"/>
    </row>
    <row r="194" spans="8:175" x14ac:dyDescent="0.2">
      <c r="H194">
        <v>52</v>
      </c>
      <c r="I194">
        <v>-14.612038331104815</v>
      </c>
      <c r="J194">
        <v>49</v>
      </c>
      <c r="K194">
        <v>45.94890010377209</v>
      </c>
      <c r="L194">
        <v>22.898411946813582</v>
      </c>
      <c r="M194">
        <v>29795.05740603368</v>
      </c>
      <c r="N194">
        <v>0</v>
      </c>
      <c r="O194">
        <v>-30.960688158693983</v>
      </c>
      <c r="P194">
        <v>49</v>
      </c>
      <c r="Q194">
        <v>47.6336185819072</v>
      </c>
      <c r="R194">
        <v>28.348006936904291</v>
      </c>
      <c r="S194">
        <v>9268.776913637008</v>
      </c>
      <c r="T194">
        <v>0</v>
      </c>
      <c r="U194" s="147"/>
      <c r="V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/>
      <c r="BN194" s="147"/>
      <c r="BO194" s="147"/>
      <c r="BP194" s="147"/>
      <c r="BQ194" s="147"/>
      <c r="BR194" s="147"/>
      <c r="BS194" s="147"/>
      <c r="BT194" s="147"/>
      <c r="BU194" s="147"/>
      <c r="BV194" s="147"/>
      <c r="BW194" s="147"/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7"/>
      <c r="CL194" s="147"/>
      <c r="CM194" s="147"/>
      <c r="CN194" s="147"/>
      <c r="CO194" s="147"/>
      <c r="CP194" s="147"/>
      <c r="CQ194" s="147"/>
      <c r="CR194" s="147"/>
      <c r="CS194" s="147"/>
      <c r="CT194" s="147"/>
      <c r="CU194" s="147"/>
      <c r="CV194" s="147"/>
      <c r="CW194" s="147"/>
      <c r="CX194" s="147"/>
      <c r="CY194" s="147"/>
      <c r="CZ194" s="147"/>
      <c r="DA194" s="147"/>
      <c r="DB194" s="147"/>
      <c r="DC194" s="147"/>
      <c r="DD194" s="147"/>
      <c r="DE194" s="147"/>
      <c r="DF194" s="147"/>
      <c r="DG194" s="147"/>
      <c r="DH194" s="147"/>
      <c r="DI194" s="147"/>
      <c r="DJ194" s="147"/>
      <c r="DK194" s="147"/>
      <c r="DL194" s="147"/>
      <c r="DM194" s="147"/>
      <c r="DN194" s="147"/>
      <c r="DO194" s="147"/>
      <c r="DP194" s="147"/>
      <c r="DQ194" s="147"/>
      <c r="DR194" s="147"/>
      <c r="DS194" s="147"/>
      <c r="DT194" s="147"/>
      <c r="DU194" s="147"/>
      <c r="DV194" s="147"/>
      <c r="DW194" s="147"/>
      <c r="DX194" s="147"/>
      <c r="DY194" s="147"/>
      <c r="DZ194" s="147"/>
      <c r="EA194" s="147"/>
      <c r="EB194" s="147"/>
      <c r="EC194" s="147"/>
      <c r="ED194" s="147"/>
      <c r="EE194" s="147"/>
      <c r="EF194" s="147"/>
      <c r="EG194" s="147"/>
      <c r="EH194" s="147"/>
      <c r="EI194" s="147"/>
      <c r="EJ194" s="147"/>
      <c r="EK194" s="147"/>
      <c r="EL194" s="147"/>
      <c r="EM194" s="147"/>
      <c r="EN194" s="147"/>
      <c r="EO194" s="147"/>
      <c r="EP194" s="147"/>
      <c r="EQ194" s="147"/>
      <c r="ER194" s="147"/>
      <c r="ES194" s="147"/>
      <c r="ET194" s="147"/>
      <c r="EU194" s="147"/>
      <c r="EV194" s="147"/>
      <c r="EW194" s="147"/>
      <c r="EX194" s="147"/>
      <c r="EY194" s="147"/>
      <c r="EZ194" s="147"/>
      <c r="FA194" s="147"/>
      <c r="FB194" s="147"/>
      <c r="FC194" s="147"/>
      <c r="FD194" s="147"/>
      <c r="FE194" s="147"/>
      <c r="FF194" s="147"/>
      <c r="FG194" s="147"/>
      <c r="FH194" s="147"/>
      <c r="FI194" s="147"/>
      <c r="FJ194" s="147"/>
      <c r="FK194" s="147"/>
      <c r="FL194" s="147"/>
      <c r="FM194" s="147"/>
      <c r="FN194" s="147"/>
      <c r="FO194" s="147"/>
      <c r="FP194" s="147"/>
      <c r="FQ194" s="147"/>
      <c r="FR194" s="147"/>
      <c r="FS194" s="147"/>
    </row>
    <row r="195" spans="8:175" x14ac:dyDescent="0.2">
      <c r="H195">
        <v>53</v>
      </c>
      <c r="I195">
        <v>9.8194105544477281</v>
      </c>
      <c r="J195">
        <v>48</v>
      </c>
      <c r="K195">
        <v>45.474846114712044</v>
      </c>
      <c r="L195">
        <v>25.620975022856939</v>
      </c>
      <c r="M195">
        <v>39414.389660158216</v>
      </c>
      <c r="N195">
        <v>8725.8233254594379</v>
      </c>
      <c r="O195">
        <v>9.40399436202053</v>
      </c>
      <c r="P195">
        <v>48</v>
      </c>
      <c r="Q195">
        <v>47.180927450431895</v>
      </c>
      <c r="R195">
        <v>33.195737617942044</v>
      </c>
      <c r="S195">
        <v>21185.65765496781</v>
      </c>
      <c r="T195">
        <v>5979.9784817360851</v>
      </c>
      <c r="U195" s="147"/>
      <c r="V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  <c r="FD195" s="147"/>
      <c r="FE195" s="147"/>
      <c r="FF195" s="147"/>
      <c r="FG195" s="147"/>
      <c r="FH195" s="147"/>
      <c r="FI195" s="147"/>
      <c r="FJ195" s="147"/>
      <c r="FK195" s="147"/>
      <c r="FL195" s="147"/>
      <c r="FM195" s="147"/>
      <c r="FN195" s="147"/>
      <c r="FO195" s="147"/>
      <c r="FP195" s="147"/>
      <c r="FQ195" s="147"/>
      <c r="FR195" s="147"/>
      <c r="FS195" s="147"/>
    </row>
    <row r="196" spans="8:175" x14ac:dyDescent="0.2">
      <c r="H196">
        <v>54</v>
      </c>
      <c r="I196">
        <v>8.8739560760409795</v>
      </c>
      <c r="J196">
        <v>48</v>
      </c>
      <c r="K196">
        <v>45.707840376709832</v>
      </c>
      <c r="L196">
        <v>25.981543249268004</v>
      </c>
      <c r="M196">
        <v>40538.916917089831</v>
      </c>
      <c r="N196">
        <v>8193.4334935127481</v>
      </c>
      <c r="O196">
        <v>9.2931912120250093</v>
      </c>
      <c r="P196">
        <v>48</v>
      </c>
      <c r="Q196">
        <v>47.492200894802195</v>
      </c>
      <c r="R196">
        <v>33.329485805656468</v>
      </c>
      <c r="S196">
        <v>22330.493858456473</v>
      </c>
      <c r="T196">
        <v>6251.2701361939871</v>
      </c>
      <c r="U196" s="147"/>
      <c r="V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7"/>
      <c r="FK196" s="147"/>
      <c r="FL196" s="147"/>
      <c r="FM196" s="147"/>
      <c r="FN196" s="147"/>
      <c r="FO196" s="147"/>
      <c r="FP196" s="147"/>
      <c r="FQ196" s="147"/>
      <c r="FR196" s="147"/>
      <c r="FS196" s="147"/>
    </row>
    <row r="197" spans="8:175" x14ac:dyDescent="0.2">
      <c r="H197">
        <v>55</v>
      </c>
      <c r="I197">
        <v>10.963826524152687</v>
      </c>
      <c r="J197">
        <v>45</v>
      </c>
      <c r="K197">
        <v>42.861788491383699</v>
      </c>
      <c r="L197">
        <v>23.114723536176346</v>
      </c>
      <c r="M197">
        <v>39664.852854110162</v>
      </c>
      <c r="N197">
        <v>8800.9627862602865</v>
      </c>
      <c r="O197">
        <v>11.017253699871965</v>
      </c>
      <c r="P197">
        <v>45</v>
      </c>
      <c r="Q197">
        <v>44.332374365946286</v>
      </c>
      <c r="R197">
        <v>30.892839372919124</v>
      </c>
      <c r="S197">
        <v>20867.594982743489</v>
      </c>
      <c r="T197">
        <v>6442.6627625113688</v>
      </c>
      <c r="U197" s="147"/>
      <c r="V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/>
      <c r="CU197" s="147"/>
      <c r="CV197" s="147"/>
      <c r="CW197" s="147"/>
      <c r="CX197" s="147"/>
      <c r="CY197" s="147"/>
      <c r="CZ197" s="147"/>
      <c r="DA197" s="147"/>
      <c r="DB197" s="147"/>
      <c r="DC197" s="147"/>
      <c r="DD197" s="147"/>
      <c r="DE197" s="147"/>
      <c r="DF197" s="147"/>
      <c r="DG197" s="147"/>
      <c r="DH197" s="147"/>
      <c r="DI197" s="147"/>
      <c r="DJ197" s="147"/>
      <c r="DK197" s="147"/>
      <c r="DL197" s="147"/>
      <c r="DM197" s="147"/>
      <c r="DN197" s="147"/>
      <c r="DO197" s="147"/>
      <c r="DP197" s="147"/>
      <c r="DQ197" s="147"/>
      <c r="DR197" s="147"/>
      <c r="DS197" s="147"/>
      <c r="DT197" s="147"/>
      <c r="DU197" s="147"/>
      <c r="DV197" s="147"/>
      <c r="DW197" s="147"/>
      <c r="DX197" s="147"/>
      <c r="DY197" s="147"/>
      <c r="DZ197" s="147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47"/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  <c r="FC197" s="147"/>
      <c r="FD197" s="147"/>
      <c r="FE197" s="147"/>
      <c r="FF197" s="147"/>
      <c r="FG197" s="147"/>
      <c r="FH197" s="147"/>
      <c r="FI197" s="147"/>
      <c r="FJ197" s="147"/>
      <c r="FK197" s="147"/>
      <c r="FL197" s="147"/>
      <c r="FM197" s="147"/>
      <c r="FN197" s="147"/>
      <c r="FO197" s="147"/>
      <c r="FP197" s="147"/>
      <c r="FQ197" s="147"/>
      <c r="FR197" s="147"/>
      <c r="FS197" s="147"/>
    </row>
    <row r="198" spans="8:175" x14ac:dyDescent="0.2">
      <c r="H198">
        <v>56</v>
      </c>
      <c r="I198">
        <v>9.9241352432402952</v>
      </c>
      <c r="J198">
        <v>46</v>
      </c>
      <c r="K198">
        <v>44.369686106364959</v>
      </c>
      <c r="L198">
        <v>24.876427592241782</v>
      </c>
      <c r="M198">
        <v>39978.024501645472</v>
      </c>
      <c r="N198">
        <v>8663.6707907421805</v>
      </c>
      <c r="O198">
        <v>9.6151932310458719</v>
      </c>
      <c r="P198">
        <v>46</v>
      </c>
      <c r="Q198">
        <v>45.579269558405429</v>
      </c>
      <c r="R198">
        <v>31.352099844141001</v>
      </c>
      <c r="S198">
        <v>21916.2540364874</v>
      </c>
      <c r="T198">
        <v>5940.8295236650665</v>
      </c>
      <c r="U198" s="147"/>
      <c r="V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47"/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/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7"/>
      <c r="FH198" s="147"/>
      <c r="FI198" s="147"/>
      <c r="FJ198" s="147"/>
      <c r="FK198" s="147"/>
      <c r="FL198" s="147"/>
      <c r="FM198" s="147"/>
      <c r="FN198" s="147"/>
      <c r="FO198" s="147"/>
      <c r="FP198" s="147"/>
      <c r="FQ198" s="147"/>
      <c r="FR198" s="147"/>
      <c r="FS198" s="147"/>
    </row>
    <row r="199" spans="8:175" x14ac:dyDescent="0.2">
      <c r="H199">
        <v>57</v>
      </c>
      <c r="I199">
        <v>9.9081756308968103</v>
      </c>
      <c r="J199">
        <v>44</v>
      </c>
      <c r="K199">
        <v>41.820771786538998</v>
      </c>
      <c r="L199">
        <v>23.865735128549549</v>
      </c>
      <c r="M199">
        <v>40778.411315178892</v>
      </c>
      <c r="N199">
        <v>8429.0802000054464</v>
      </c>
      <c r="O199">
        <v>10.554482373731823</v>
      </c>
      <c r="P199">
        <v>44</v>
      </c>
      <c r="Q199">
        <v>43.578297253929925</v>
      </c>
      <c r="R199">
        <v>29.841805882895969</v>
      </c>
      <c r="S199">
        <v>22629.257472969657</v>
      </c>
      <c r="T199">
        <v>6413.4253789211125</v>
      </c>
      <c r="U199" s="147"/>
      <c r="V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  <c r="BI199" s="147"/>
      <c r="BJ199" s="147"/>
      <c r="BK199" s="147"/>
      <c r="BL199" s="147"/>
      <c r="BM199" s="147"/>
      <c r="BN199" s="147"/>
      <c r="BO199" s="147"/>
      <c r="BP199" s="147"/>
      <c r="BQ199" s="147"/>
      <c r="BR199" s="147"/>
      <c r="BS199" s="147"/>
      <c r="BT199" s="147"/>
      <c r="BU199" s="147"/>
      <c r="BV199" s="147"/>
      <c r="BW199" s="147"/>
      <c r="BX199" s="147"/>
      <c r="BY199" s="147"/>
      <c r="BZ199" s="147"/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7"/>
      <c r="CM199" s="147"/>
      <c r="CN199" s="147"/>
      <c r="CO199" s="147"/>
      <c r="CP199" s="147"/>
      <c r="CQ199" s="147"/>
      <c r="CR199" s="147"/>
      <c r="CS199" s="147"/>
      <c r="CT199" s="147"/>
      <c r="CU199" s="147"/>
      <c r="CV199" s="147"/>
      <c r="CW199" s="147"/>
      <c r="CX199" s="147"/>
      <c r="CY199" s="147"/>
      <c r="CZ199" s="147"/>
      <c r="DA199" s="147"/>
      <c r="DB199" s="147"/>
      <c r="DC199" s="147"/>
      <c r="DD199" s="147"/>
      <c r="DE199" s="147"/>
      <c r="DF199" s="147"/>
      <c r="DG199" s="147"/>
      <c r="DH199" s="147"/>
      <c r="DI199" s="147"/>
      <c r="DJ199" s="147"/>
      <c r="DK199" s="147"/>
      <c r="DL199" s="147"/>
      <c r="DM199" s="147"/>
      <c r="DN199" s="147"/>
      <c r="DO199" s="147"/>
      <c r="DP199" s="147"/>
      <c r="DQ199" s="147"/>
      <c r="DR199" s="147"/>
      <c r="DS199" s="147"/>
      <c r="DT199" s="147"/>
      <c r="DU199" s="147"/>
      <c r="DV199" s="147"/>
      <c r="DW199" s="147"/>
      <c r="DX199" s="147"/>
      <c r="DY199" s="147"/>
      <c r="DZ199" s="147"/>
      <c r="EA199" s="147"/>
      <c r="EB199" s="147"/>
      <c r="EC199" s="147"/>
      <c r="ED199" s="147"/>
      <c r="EE199" s="147"/>
      <c r="EF199" s="147"/>
      <c r="EG199" s="147"/>
      <c r="EH199" s="147"/>
      <c r="EI199" s="147"/>
      <c r="EJ199" s="147"/>
      <c r="EK199" s="147"/>
      <c r="EL199" s="147"/>
      <c r="EM199" s="147"/>
      <c r="EN199" s="147"/>
      <c r="EO199" s="147"/>
      <c r="EP199" s="147"/>
      <c r="EQ199" s="147"/>
      <c r="ER199" s="147"/>
      <c r="ES199" s="147"/>
      <c r="ET199" s="147"/>
      <c r="EU199" s="147"/>
      <c r="EV199" s="147"/>
      <c r="EW199" s="147"/>
      <c r="EX199" s="147"/>
      <c r="EY199" s="147"/>
      <c r="EZ199" s="147"/>
      <c r="FA199" s="147"/>
      <c r="FB199" s="147"/>
      <c r="FC199" s="147"/>
      <c r="FD199" s="147"/>
      <c r="FE199" s="147"/>
      <c r="FF199" s="147"/>
      <c r="FG199" s="147"/>
      <c r="FH199" s="147"/>
      <c r="FI199" s="147"/>
      <c r="FJ199" s="147"/>
      <c r="FK199" s="147"/>
      <c r="FL199" s="147"/>
      <c r="FM199" s="147"/>
      <c r="FN199" s="147"/>
      <c r="FO199" s="147"/>
      <c r="FP199" s="147"/>
      <c r="FQ199" s="147"/>
      <c r="FR199" s="147"/>
      <c r="FS199" s="147"/>
    </row>
    <row r="200" spans="8:175" x14ac:dyDescent="0.2">
      <c r="H200">
        <v>58</v>
      </c>
      <c r="I200">
        <v>8.6001686607377614</v>
      </c>
      <c r="J200">
        <v>47</v>
      </c>
      <c r="K200">
        <v>45.138031651267021</v>
      </c>
      <c r="L200">
        <v>25.878906704897009</v>
      </c>
      <c r="M200">
        <v>41174.115013835872</v>
      </c>
      <c r="N200">
        <v>8017.9952269685091</v>
      </c>
      <c r="O200">
        <v>8.7658533421826945</v>
      </c>
      <c r="P200">
        <v>47</v>
      </c>
      <c r="Q200">
        <v>46.627355846407646</v>
      </c>
      <c r="R200">
        <v>32.282864871911251</v>
      </c>
      <c r="S200">
        <v>23022.695966196454</v>
      </c>
      <c r="T200">
        <v>5839.5356778040077</v>
      </c>
      <c r="U200" s="147"/>
      <c r="V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147"/>
      <c r="BQ200" s="147"/>
      <c r="BR200" s="147"/>
      <c r="BS200" s="147"/>
      <c r="BT200" s="147"/>
      <c r="BU200" s="147"/>
      <c r="BV200" s="147"/>
      <c r="BW200" s="147"/>
      <c r="BX200" s="147"/>
      <c r="BY200" s="147"/>
      <c r="BZ200" s="147"/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7"/>
      <c r="CM200" s="147"/>
      <c r="CN200" s="147"/>
      <c r="CO200" s="147"/>
      <c r="CP200" s="147"/>
      <c r="CQ200" s="147"/>
      <c r="CR200" s="147"/>
      <c r="CS200" s="147"/>
      <c r="CT200" s="147"/>
      <c r="CU200" s="147"/>
      <c r="CV200" s="147"/>
      <c r="CW200" s="147"/>
      <c r="CX200" s="147"/>
      <c r="CY200" s="147"/>
      <c r="CZ200" s="147"/>
      <c r="DA200" s="147"/>
      <c r="DB200" s="147"/>
      <c r="DC200" s="147"/>
      <c r="DD200" s="147"/>
      <c r="DE200" s="147"/>
      <c r="DF200" s="147"/>
      <c r="DG200" s="147"/>
      <c r="DH200" s="147"/>
      <c r="DI200" s="147"/>
      <c r="DJ200" s="147"/>
      <c r="DK200" s="147"/>
      <c r="DL200" s="147"/>
      <c r="DM200" s="147"/>
      <c r="DN200" s="147"/>
      <c r="DO200" s="147"/>
      <c r="DP200" s="147"/>
      <c r="DQ200" s="147"/>
      <c r="DR200" s="147"/>
      <c r="DS200" s="147"/>
      <c r="DT200" s="147"/>
      <c r="DU200" s="147"/>
      <c r="DV200" s="147"/>
      <c r="DW200" s="147"/>
      <c r="DX200" s="147"/>
      <c r="DY200" s="147"/>
      <c r="DZ200" s="147"/>
      <c r="EA200" s="147"/>
      <c r="EB200" s="147"/>
      <c r="EC200" s="147"/>
      <c r="ED200" s="147"/>
      <c r="EE200" s="147"/>
      <c r="EF200" s="147"/>
      <c r="EG200" s="147"/>
      <c r="EH200" s="147"/>
      <c r="EI200" s="147"/>
      <c r="EJ200" s="147"/>
      <c r="EK200" s="147"/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7"/>
      <c r="EV200" s="147"/>
      <c r="EW200" s="147"/>
      <c r="EX200" s="147"/>
      <c r="EY200" s="147"/>
      <c r="EZ200" s="147"/>
      <c r="FA200" s="147"/>
      <c r="FB200" s="147"/>
      <c r="FC200" s="147"/>
      <c r="FD200" s="147"/>
      <c r="FE200" s="147"/>
      <c r="FF200" s="147"/>
      <c r="FG200" s="147"/>
      <c r="FH200" s="147"/>
      <c r="FI200" s="147"/>
      <c r="FJ200" s="147"/>
      <c r="FK200" s="147"/>
      <c r="FL200" s="147"/>
      <c r="FM200" s="147"/>
      <c r="FN200" s="147"/>
      <c r="FO200" s="147"/>
      <c r="FP200" s="147"/>
      <c r="FQ200" s="147"/>
      <c r="FR200" s="147"/>
      <c r="FS200" s="147"/>
    </row>
    <row r="201" spans="8:175" x14ac:dyDescent="0.2">
      <c r="H201">
        <v>59</v>
      </c>
      <c r="I201">
        <v>10.628892071779195</v>
      </c>
      <c r="J201">
        <v>45</v>
      </c>
      <c r="K201">
        <v>42.449486390656276</v>
      </c>
      <c r="L201">
        <v>24.032639979516777</v>
      </c>
      <c r="M201">
        <v>39790.740036852083</v>
      </c>
      <c r="N201">
        <v>8921.5407946172418</v>
      </c>
      <c r="O201">
        <v>10.793558568631401</v>
      </c>
      <c r="P201">
        <v>45</v>
      </c>
      <c r="Q201">
        <v>44.231409444477805</v>
      </c>
      <c r="R201">
        <v>31.555160595506027</v>
      </c>
      <c r="S201">
        <v>21023.93924947198</v>
      </c>
      <c r="T201">
        <v>6503.7214514792831</v>
      </c>
      <c r="U201" s="147"/>
      <c r="V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147"/>
      <c r="BQ201" s="147"/>
      <c r="BR201" s="147"/>
      <c r="BS201" s="147"/>
      <c r="BT201" s="147"/>
      <c r="BU201" s="147"/>
      <c r="BV201" s="147"/>
      <c r="BW201" s="147"/>
      <c r="BX201" s="147"/>
      <c r="BY201" s="147"/>
      <c r="BZ201" s="147"/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7"/>
      <c r="CM201" s="147"/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7"/>
      <c r="CY201" s="147"/>
      <c r="CZ201" s="147"/>
      <c r="DA201" s="147"/>
      <c r="DB201" s="147"/>
      <c r="DC201" s="147"/>
      <c r="DD201" s="147"/>
      <c r="DE201" s="147"/>
      <c r="DF201" s="147"/>
      <c r="DG201" s="147"/>
      <c r="DH201" s="147"/>
      <c r="DI201" s="147"/>
      <c r="DJ201" s="147"/>
      <c r="DK201" s="147"/>
      <c r="DL201" s="147"/>
      <c r="DM201" s="147"/>
      <c r="DN201" s="147"/>
      <c r="DO201" s="147"/>
      <c r="DP201" s="147"/>
      <c r="DQ201" s="147"/>
      <c r="DR201" s="147"/>
      <c r="DS201" s="147"/>
      <c r="DT201" s="147"/>
      <c r="DU201" s="147"/>
      <c r="DV201" s="147"/>
      <c r="DW201" s="147"/>
      <c r="DX201" s="147"/>
      <c r="DY201" s="147"/>
      <c r="DZ201" s="147"/>
      <c r="EA201" s="147"/>
      <c r="EB201" s="147"/>
      <c r="EC201" s="147"/>
      <c r="ED201" s="147"/>
      <c r="EE201" s="147"/>
      <c r="EF201" s="147"/>
      <c r="EG201" s="147"/>
      <c r="EH201" s="147"/>
      <c r="EI201" s="147"/>
      <c r="EJ201" s="147"/>
      <c r="EK201" s="147"/>
      <c r="EL201" s="147"/>
      <c r="EM201" s="147"/>
      <c r="EN201" s="147"/>
      <c r="EO201" s="147"/>
      <c r="EP201" s="147"/>
      <c r="EQ201" s="147"/>
      <c r="ER201" s="147"/>
      <c r="ES201" s="147"/>
      <c r="ET201" s="147"/>
      <c r="EU201" s="147"/>
      <c r="EV201" s="147"/>
      <c r="EW201" s="147"/>
      <c r="EX201" s="147"/>
      <c r="EY201" s="147"/>
      <c r="EZ201" s="147"/>
      <c r="FA201" s="147"/>
      <c r="FB201" s="147"/>
      <c r="FC201" s="147"/>
      <c r="FD201" s="147"/>
      <c r="FE201" s="147"/>
      <c r="FF201" s="147"/>
      <c r="FG201" s="147"/>
      <c r="FH201" s="147"/>
      <c r="FI201" s="147"/>
      <c r="FJ201" s="147"/>
      <c r="FK201" s="147"/>
      <c r="FL201" s="147"/>
      <c r="FM201" s="147"/>
      <c r="FN201" s="147"/>
      <c r="FO201" s="147"/>
      <c r="FP201" s="147"/>
      <c r="FQ201" s="147"/>
      <c r="FR201" s="147"/>
      <c r="FS201" s="147"/>
    </row>
    <row r="202" spans="8:175" x14ac:dyDescent="0.2">
      <c r="H202">
        <v>60</v>
      </c>
      <c r="I202">
        <v>9.6687385460995756</v>
      </c>
      <c r="J202">
        <v>46</v>
      </c>
      <c r="K202">
        <v>43.446732517276104</v>
      </c>
      <c r="L202">
        <v>24.155970742389329</v>
      </c>
      <c r="M202">
        <v>39586.803966900057</v>
      </c>
      <c r="N202">
        <v>8082.3139751744675</v>
      </c>
      <c r="O202">
        <v>10.136649679687393</v>
      </c>
      <c r="P202">
        <v>46</v>
      </c>
      <c r="Q202">
        <v>45.198396784726192</v>
      </c>
      <c r="R202">
        <v>31.766618988595738</v>
      </c>
      <c r="S202">
        <v>21002.090608511244</v>
      </c>
      <c r="T202">
        <v>6116.387681004242</v>
      </c>
      <c r="U202" s="147"/>
      <c r="V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  <c r="CU202" s="147"/>
      <c r="CV202" s="147"/>
      <c r="CW202" s="147"/>
      <c r="CX202" s="147"/>
      <c r="CY202" s="147"/>
      <c r="CZ202" s="147"/>
      <c r="DA202" s="147"/>
      <c r="DB202" s="147"/>
      <c r="DC202" s="147"/>
      <c r="DD202" s="147"/>
      <c r="DE202" s="147"/>
      <c r="DF202" s="147"/>
      <c r="DG202" s="147"/>
      <c r="DH202" s="147"/>
      <c r="DI202" s="147"/>
      <c r="DJ202" s="147"/>
      <c r="DK202" s="147"/>
      <c r="DL202" s="147"/>
      <c r="DM202" s="147"/>
      <c r="DN202" s="147"/>
      <c r="DO202" s="147"/>
      <c r="DP202" s="147"/>
      <c r="DQ202" s="147"/>
      <c r="DR202" s="147"/>
      <c r="DS202" s="147"/>
      <c r="DT202" s="147"/>
      <c r="DU202" s="147"/>
      <c r="DV202" s="147"/>
      <c r="DW202" s="147"/>
      <c r="DX202" s="147"/>
      <c r="DY202" s="147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  <c r="FC202" s="147"/>
      <c r="FD202" s="147"/>
      <c r="FE202" s="147"/>
      <c r="FF202" s="147"/>
      <c r="FG202" s="147"/>
      <c r="FH202" s="147"/>
      <c r="FI202" s="147"/>
      <c r="FJ202" s="147"/>
      <c r="FK202" s="147"/>
      <c r="FL202" s="147"/>
      <c r="FM202" s="147"/>
      <c r="FN202" s="147"/>
      <c r="FO202" s="147"/>
      <c r="FP202" s="147"/>
      <c r="FQ202" s="147"/>
      <c r="FR202" s="147"/>
      <c r="FS202" s="147"/>
    </row>
    <row r="203" spans="8:175" x14ac:dyDescent="0.2">
      <c r="H203">
        <v>61</v>
      </c>
      <c r="I203">
        <v>11.062013231474598</v>
      </c>
      <c r="J203">
        <v>46</v>
      </c>
      <c r="K203">
        <v>43.692879425841269</v>
      </c>
      <c r="L203">
        <v>23.93784525796459</v>
      </c>
      <c r="M203">
        <v>40084.557085722823</v>
      </c>
      <c r="N203">
        <v>9331.9634542213535</v>
      </c>
      <c r="O203">
        <v>10.344894139460514</v>
      </c>
      <c r="P203">
        <v>46</v>
      </c>
      <c r="Q203">
        <v>45.450860779530991</v>
      </c>
      <c r="R203">
        <v>31.458424599944003</v>
      </c>
      <c r="S203">
        <v>21607.775617123996</v>
      </c>
      <c r="T203">
        <v>6361.8451161413323</v>
      </c>
      <c r="U203" s="147"/>
      <c r="V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147"/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47"/>
      <c r="DA203" s="147"/>
      <c r="DB203" s="147"/>
      <c r="DC203" s="147"/>
      <c r="DD203" s="147"/>
      <c r="DE203" s="147"/>
      <c r="DF203" s="147"/>
      <c r="DG203" s="147"/>
      <c r="DH203" s="147"/>
      <c r="DI203" s="147"/>
      <c r="DJ203" s="147"/>
      <c r="DK203" s="147"/>
      <c r="DL203" s="147"/>
      <c r="DM203" s="147"/>
      <c r="DN203" s="147"/>
      <c r="DO203" s="147"/>
      <c r="DP203" s="147"/>
      <c r="DQ203" s="147"/>
      <c r="DR203" s="147"/>
      <c r="DS203" s="147"/>
      <c r="DT203" s="147"/>
      <c r="DU203" s="147"/>
      <c r="DV203" s="147"/>
      <c r="DW203" s="147"/>
      <c r="DX203" s="147"/>
      <c r="DY203" s="147"/>
      <c r="DZ203" s="147"/>
      <c r="EA203" s="147"/>
      <c r="EB203" s="147"/>
      <c r="EC203" s="147"/>
      <c r="ED203" s="147"/>
      <c r="EE203" s="147"/>
      <c r="EF203" s="147"/>
      <c r="EG203" s="147"/>
      <c r="EH203" s="147"/>
      <c r="EI203" s="147"/>
      <c r="EJ203" s="147"/>
      <c r="EK203" s="147"/>
      <c r="EL203" s="147"/>
      <c r="EM203" s="147"/>
      <c r="EN203" s="147"/>
      <c r="EO203" s="147"/>
      <c r="EP203" s="147"/>
      <c r="EQ203" s="147"/>
      <c r="ER203" s="147"/>
      <c r="ES203" s="147"/>
      <c r="ET203" s="147"/>
      <c r="EU203" s="147"/>
      <c r="EV203" s="147"/>
      <c r="EW203" s="147"/>
      <c r="EX203" s="147"/>
      <c r="EY203" s="147"/>
      <c r="EZ203" s="147"/>
      <c r="FA203" s="147"/>
      <c r="FB203" s="147"/>
      <c r="FC203" s="147"/>
      <c r="FD203" s="147"/>
      <c r="FE203" s="147"/>
      <c r="FF203" s="147"/>
      <c r="FG203" s="147"/>
      <c r="FH203" s="147"/>
      <c r="FI203" s="147"/>
      <c r="FJ203" s="147"/>
      <c r="FK203" s="147"/>
      <c r="FL203" s="147"/>
      <c r="FM203" s="147"/>
      <c r="FN203" s="147"/>
      <c r="FO203" s="147"/>
      <c r="FP203" s="147"/>
      <c r="FQ203" s="147"/>
      <c r="FR203" s="147"/>
      <c r="FS203" s="147"/>
    </row>
    <row r="204" spans="8:175" x14ac:dyDescent="0.2">
      <c r="H204">
        <v>62</v>
      </c>
      <c r="I204">
        <v>11.579554318564078</v>
      </c>
      <c r="J204">
        <v>41</v>
      </c>
      <c r="K204">
        <v>39.460373585417862</v>
      </c>
      <c r="L204">
        <v>21.231336716419534</v>
      </c>
      <c r="M204">
        <v>40924.975255258687</v>
      </c>
      <c r="N204">
        <v>8754.712074436844</v>
      </c>
      <c r="O204">
        <v>11.195441102965709</v>
      </c>
      <c r="P204">
        <v>41</v>
      </c>
      <c r="Q204">
        <v>40.689894634337058</v>
      </c>
      <c r="R204">
        <v>27.42838665138224</v>
      </c>
      <c r="S204">
        <v>21881.850882589177</v>
      </c>
      <c r="T204">
        <v>6006.6402239635099</v>
      </c>
      <c r="U204" s="147"/>
      <c r="V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DU204" s="147"/>
      <c r="DV204" s="147"/>
      <c r="DW204" s="147"/>
      <c r="DX204" s="147"/>
      <c r="DY204" s="147"/>
      <c r="DZ204" s="147"/>
      <c r="EA204" s="147"/>
      <c r="EB204" s="147"/>
      <c r="EC204" s="147"/>
      <c r="ED204" s="147"/>
      <c r="EE204" s="147"/>
      <c r="EF204" s="147"/>
      <c r="EG204" s="147"/>
      <c r="EH204" s="147"/>
      <c r="EI204" s="147"/>
      <c r="EJ204" s="147"/>
      <c r="EK204" s="147"/>
      <c r="EL204" s="147"/>
      <c r="EM204" s="147"/>
      <c r="EN204" s="147"/>
      <c r="EO204" s="147"/>
      <c r="EP204" s="147"/>
      <c r="EQ204" s="147"/>
      <c r="ER204" s="147"/>
      <c r="ES204" s="147"/>
      <c r="ET204" s="147"/>
      <c r="EU204" s="147"/>
      <c r="EV204" s="147"/>
      <c r="EW204" s="147"/>
      <c r="EX204" s="147"/>
      <c r="EY204" s="147"/>
      <c r="EZ204" s="147"/>
      <c r="FA204" s="147"/>
      <c r="FB204" s="147"/>
      <c r="FC204" s="147"/>
      <c r="FD204" s="147"/>
      <c r="FE204" s="147"/>
      <c r="FF204" s="147"/>
      <c r="FG204" s="147"/>
      <c r="FH204" s="147"/>
      <c r="FI204" s="147"/>
      <c r="FJ204" s="147"/>
      <c r="FK204" s="147"/>
      <c r="FL204" s="147"/>
      <c r="FM204" s="147"/>
      <c r="FN204" s="147"/>
      <c r="FO204" s="147"/>
      <c r="FP204" s="147"/>
      <c r="FQ204" s="147"/>
      <c r="FR204" s="147"/>
      <c r="FS204" s="147"/>
    </row>
    <row r="205" spans="8:175" x14ac:dyDescent="0.2">
      <c r="H205">
        <v>63</v>
      </c>
      <c r="I205">
        <v>9.7469190861077859</v>
      </c>
      <c r="J205">
        <v>43</v>
      </c>
      <c r="K205">
        <v>41.283983587993717</v>
      </c>
      <c r="L205">
        <v>22.977204513832248</v>
      </c>
      <c r="M205">
        <v>41504.410679770197</v>
      </c>
      <c r="N205">
        <v>8090.3921168258166</v>
      </c>
      <c r="O205">
        <v>9.900047720412509</v>
      </c>
      <c r="P205">
        <v>43</v>
      </c>
      <c r="Q205">
        <v>42.736315638886147</v>
      </c>
      <c r="R205">
        <v>28.773649220639506</v>
      </c>
      <c r="S205">
        <v>22993.745633679053</v>
      </c>
      <c r="T205">
        <v>5840.899432982329</v>
      </c>
      <c r="U205" s="147"/>
      <c r="V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47"/>
      <c r="DA205" s="147"/>
      <c r="DB205" s="147"/>
      <c r="DC205" s="147"/>
      <c r="DD205" s="147"/>
      <c r="DE205" s="147"/>
      <c r="DF205" s="147"/>
      <c r="DG205" s="147"/>
      <c r="DH205" s="147"/>
      <c r="DI205" s="147"/>
      <c r="DJ205" s="147"/>
      <c r="DK205" s="147"/>
      <c r="DL205" s="147"/>
      <c r="DM205" s="147"/>
      <c r="DN205" s="147"/>
      <c r="DO205" s="147"/>
      <c r="DP205" s="147"/>
      <c r="DQ205" s="147"/>
      <c r="DR205" s="147"/>
      <c r="DS205" s="147"/>
      <c r="DT205" s="147"/>
      <c r="DU205" s="147"/>
      <c r="DV205" s="147"/>
      <c r="DW205" s="147"/>
      <c r="DX205" s="147"/>
      <c r="DY205" s="147"/>
      <c r="DZ205" s="147"/>
      <c r="EA205" s="147"/>
      <c r="EB205" s="147"/>
      <c r="EC205" s="147"/>
      <c r="ED205" s="147"/>
      <c r="EE205" s="147"/>
      <c r="EF205" s="147"/>
      <c r="EG205" s="147"/>
      <c r="EH205" s="147"/>
      <c r="EI205" s="147"/>
      <c r="EJ205" s="147"/>
      <c r="EK205" s="147"/>
      <c r="EL205" s="147"/>
      <c r="EM205" s="147"/>
      <c r="EN205" s="147"/>
      <c r="EO205" s="147"/>
      <c r="EP205" s="147"/>
      <c r="EQ205" s="147"/>
      <c r="ER205" s="147"/>
      <c r="ES205" s="147"/>
      <c r="ET205" s="147"/>
      <c r="EU205" s="147"/>
      <c r="EV205" s="147"/>
      <c r="EW205" s="147"/>
      <c r="EX205" s="147"/>
      <c r="EY205" s="147"/>
      <c r="EZ205" s="147"/>
      <c r="FA205" s="147"/>
      <c r="FB205" s="147"/>
      <c r="FC205" s="147"/>
      <c r="FD205" s="147"/>
      <c r="FE205" s="147"/>
      <c r="FF205" s="147"/>
      <c r="FG205" s="147"/>
      <c r="FH205" s="147"/>
      <c r="FI205" s="147"/>
      <c r="FJ205" s="147"/>
      <c r="FK205" s="147"/>
      <c r="FL205" s="147"/>
      <c r="FM205" s="147"/>
      <c r="FN205" s="147"/>
      <c r="FO205" s="147"/>
      <c r="FP205" s="147"/>
      <c r="FQ205" s="147"/>
      <c r="FR205" s="147"/>
      <c r="FS205" s="147"/>
    </row>
    <row r="206" spans="8:175" x14ac:dyDescent="0.2">
      <c r="H206">
        <v>64</v>
      </c>
      <c r="I206">
        <v>9.7643535787434121</v>
      </c>
      <c r="J206">
        <v>48</v>
      </c>
      <c r="K206">
        <v>45.69945572017965</v>
      </c>
      <c r="L206">
        <v>25.007396810672802</v>
      </c>
      <c r="M206">
        <v>40101.948136540537</v>
      </c>
      <c r="N206">
        <v>8593.1041621363765</v>
      </c>
      <c r="O206">
        <v>9.7008377205093144</v>
      </c>
      <c r="P206">
        <v>48</v>
      </c>
      <c r="Q206">
        <v>47.474647740934181</v>
      </c>
      <c r="R206">
        <v>32.176865056170172</v>
      </c>
      <c r="S206">
        <v>22078.518743457284</v>
      </c>
      <c r="T206">
        <v>6221.6545556943238</v>
      </c>
      <c r="U206" s="147"/>
      <c r="V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7"/>
      <c r="FK206" s="147"/>
      <c r="FL206" s="147"/>
      <c r="FM206" s="147"/>
      <c r="FN206" s="147"/>
      <c r="FO206" s="147"/>
      <c r="FP206" s="147"/>
      <c r="FQ206" s="147"/>
      <c r="FR206" s="147"/>
      <c r="FS206" s="147"/>
    </row>
    <row r="207" spans="8:175" x14ac:dyDescent="0.2">
      <c r="H207">
        <v>65</v>
      </c>
      <c r="I207">
        <v>10.774967193769115</v>
      </c>
      <c r="J207">
        <v>45</v>
      </c>
      <c r="K207">
        <v>42.936971703631379</v>
      </c>
      <c r="L207">
        <v>23.868958586846297</v>
      </c>
      <c r="M207">
        <v>39952.821490474329</v>
      </c>
      <c r="N207">
        <v>9018.9040886969233</v>
      </c>
      <c r="O207">
        <v>10.072215736269685</v>
      </c>
      <c r="P207">
        <v>45</v>
      </c>
      <c r="Q207">
        <v>44.431371693024275</v>
      </c>
      <c r="R207">
        <v>30.788362246654938</v>
      </c>
      <c r="S207">
        <v>21545.496435657868</v>
      </c>
      <c r="T207">
        <v>6015.1164895310067</v>
      </c>
      <c r="U207" s="147"/>
      <c r="V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DH207" s="147"/>
      <c r="DI207" s="147"/>
      <c r="DJ207" s="147"/>
      <c r="DK207" s="147"/>
      <c r="DL207" s="147"/>
      <c r="DM207" s="147"/>
      <c r="DN207" s="147"/>
      <c r="DO207" s="147"/>
      <c r="DP207" s="147"/>
      <c r="DQ207" s="147"/>
      <c r="DR207" s="147"/>
      <c r="DS207" s="147"/>
      <c r="DT207" s="147"/>
      <c r="DU207" s="147"/>
      <c r="DV207" s="147"/>
      <c r="DW207" s="147"/>
      <c r="DX207" s="147"/>
      <c r="DY207" s="147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47"/>
      <c r="EJ207" s="147"/>
      <c r="EK207" s="147"/>
      <c r="EL207" s="147"/>
      <c r="EM207" s="147"/>
      <c r="EN207" s="147"/>
      <c r="EO207" s="147"/>
      <c r="EP207" s="147"/>
      <c r="EQ207" s="147"/>
      <c r="ER207" s="147"/>
      <c r="ES207" s="147"/>
      <c r="ET207" s="147"/>
      <c r="EU207" s="147"/>
      <c r="EV207" s="147"/>
      <c r="EW207" s="147"/>
      <c r="EX207" s="147"/>
      <c r="EY207" s="147"/>
      <c r="EZ207" s="147"/>
      <c r="FA207" s="147"/>
      <c r="FB207" s="147"/>
      <c r="FC207" s="147"/>
      <c r="FD207" s="147"/>
      <c r="FE207" s="147"/>
      <c r="FF207" s="147"/>
      <c r="FG207" s="147"/>
      <c r="FH207" s="147"/>
      <c r="FI207" s="147"/>
      <c r="FJ207" s="147"/>
      <c r="FK207" s="147"/>
      <c r="FL207" s="147"/>
      <c r="FM207" s="147"/>
      <c r="FN207" s="147"/>
      <c r="FO207" s="147"/>
      <c r="FP207" s="147"/>
      <c r="FQ207" s="147"/>
      <c r="FR207" s="147"/>
      <c r="FS207" s="147"/>
    </row>
    <row r="208" spans="8:175" x14ac:dyDescent="0.2">
      <c r="H208">
        <v>66</v>
      </c>
      <c r="I208">
        <v>9.7561094585109984</v>
      </c>
      <c r="J208">
        <v>44</v>
      </c>
      <c r="K208">
        <v>42.04130492487166</v>
      </c>
      <c r="L208">
        <v>23.572242935192797</v>
      </c>
      <c r="M208">
        <v>40731.748474955377</v>
      </c>
      <c r="N208">
        <v>8172.8078111588402</v>
      </c>
      <c r="O208">
        <v>9.9994873903399331</v>
      </c>
      <c r="P208">
        <v>44</v>
      </c>
      <c r="Q208">
        <v>43.525832675656183</v>
      </c>
      <c r="R208">
        <v>30.387806027463458</v>
      </c>
      <c r="S208">
        <v>22049.91507459123</v>
      </c>
      <c r="T208">
        <v>6018.7141285999842</v>
      </c>
      <c r="U208" s="147"/>
      <c r="V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47"/>
      <c r="DK208" s="147"/>
      <c r="DL208" s="147"/>
      <c r="DM208" s="147"/>
      <c r="DN208" s="147"/>
      <c r="DO208" s="147"/>
      <c r="DP208" s="147"/>
      <c r="DQ208" s="147"/>
      <c r="DR208" s="147"/>
      <c r="DS208" s="147"/>
      <c r="DT208" s="147"/>
      <c r="DU208" s="147"/>
      <c r="DV208" s="147"/>
      <c r="DW208" s="147"/>
      <c r="DX208" s="147"/>
      <c r="DY208" s="147"/>
      <c r="DZ208" s="147"/>
      <c r="EA208" s="147"/>
      <c r="EB208" s="147"/>
      <c r="EC208" s="147"/>
      <c r="ED208" s="147"/>
      <c r="EE208" s="147"/>
      <c r="EF208" s="147"/>
      <c r="EG208" s="147"/>
      <c r="EH208" s="147"/>
      <c r="EI208" s="147"/>
      <c r="EJ208" s="147"/>
      <c r="EK208" s="147"/>
      <c r="EL208" s="147"/>
      <c r="EM208" s="147"/>
      <c r="EN208" s="147"/>
      <c r="EO208" s="147"/>
      <c r="EP208" s="147"/>
      <c r="EQ208" s="147"/>
      <c r="ER208" s="147"/>
      <c r="ES208" s="147"/>
      <c r="ET208" s="147"/>
      <c r="EU208" s="147"/>
      <c r="EV208" s="147"/>
      <c r="EW208" s="147"/>
      <c r="EX208" s="147"/>
      <c r="EY208" s="147"/>
      <c r="EZ208" s="147"/>
      <c r="FA208" s="147"/>
      <c r="FB208" s="147"/>
      <c r="FC208" s="147"/>
      <c r="FD208" s="147"/>
      <c r="FE208" s="147"/>
      <c r="FF208" s="147"/>
      <c r="FG208" s="147"/>
      <c r="FH208" s="147"/>
      <c r="FI208" s="147"/>
      <c r="FJ208" s="147"/>
      <c r="FK208" s="147"/>
      <c r="FL208" s="147"/>
      <c r="FM208" s="147"/>
      <c r="FN208" s="147"/>
      <c r="FO208" s="147"/>
      <c r="FP208" s="147"/>
      <c r="FQ208" s="147"/>
      <c r="FR208" s="147"/>
      <c r="FS208" s="147"/>
    </row>
    <row r="209" spans="8:175" x14ac:dyDescent="0.2">
      <c r="H209">
        <v>67</v>
      </c>
      <c r="I209">
        <v>-13.15526246090084</v>
      </c>
      <c r="J209">
        <v>49</v>
      </c>
      <c r="K209">
        <v>45.934160733556539</v>
      </c>
      <c r="L209">
        <v>24.232305750301755</v>
      </c>
      <c r="M209">
        <v>29310.599747089029</v>
      </c>
      <c r="N209">
        <v>0</v>
      </c>
      <c r="O209">
        <v>-27.961994658516986</v>
      </c>
      <c r="P209">
        <v>49</v>
      </c>
      <c r="Q209">
        <v>47.641247523009781</v>
      </c>
      <c r="R209">
        <v>30.212447233536587</v>
      </c>
      <c r="S209">
        <v>9268.0337547346862</v>
      </c>
      <c r="T209">
        <v>0</v>
      </c>
      <c r="U209" s="147"/>
      <c r="V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47"/>
      <c r="DG209" s="147"/>
      <c r="DH209" s="147"/>
      <c r="DI209" s="147"/>
      <c r="DJ209" s="147"/>
      <c r="DK209" s="147"/>
      <c r="DL209" s="147"/>
      <c r="DM209" s="147"/>
      <c r="DN209" s="147"/>
      <c r="DO209" s="147"/>
      <c r="DP209" s="147"/>
      <c r="DQ209" s="147"/>
      <c r="DR209" s="147"/>
      <c r="DS209" s="147"/>
      <c r="DT209" s="147"/>
      <c r="DU209" s="147"/>
      <c r="DV209" s="147"/>
      <c r="DW209" s="147"/>
      <c r="DX209" s="147"/>
      <c r="DY209" s="147"/>
      <c r="DZ209" s="147"/>
      <c r="EA209" s="147"/>
      <c r="EB209" s="147"/>
      <c r="EC209" s="147"/>
      <c r="ED209" s="147"/>
      <c r="EE209" s="147"/>
      <c r="EF209" s="147"/>
      <c r="EG209" s="147"/>
      <c r="EH209" s="147"/>
      <c r="EI209" s="147"/>
      <c r="EJ209" s="147"/>
      <c r="EK209" s="147"/>
      <c r="EL209" s="147"/>
      <c r="EM209" s="147"/>
      <c r="EN209" s="147"/>
      <c r="EO209" s="147"/>
      <c r="EP209" s="147"/>
      <c r="EQ209" s="147"/>
      <c r="ER209" s="147"/>
      <c r="ES209" s="147"/>
      <c r="ET209" s="147"/>
      <c r="EU209" s="147"/>
      <c r="EV209" s="147"/>
      <c r="EW209" s="147"/>
      <c r="EX209" s="147"/>
      <c r="EY209" s="147"/>
      <c r="EZ209" s="147"/>
      <c r="FA209" s="147"/>
      <c r="FB209" s="147"/>
      <c r="FC209" s="147"/>
      <c r="FD209" s="147"/>
      <c r="FE209" s="147"/>
      <c r="FF209" s="147"/>
      <c r="FG209" s="147"/>
      <c r="FH209" s="147"/>
      <c r="FI209" s="147"/>
      <c r="FJ209" s="147"/>
      <c r="FK209" s="147"/>
      <c r="FL209" s="147"/>
      <c r="FM209" s="147"/>
      <c r="FN209" s="147"/>
      <c r="FO209" s="147"/>
      <c r="FP209" s="147"/>
      <c r="FQ209" s="147"/>
      <c r="FR209" s="147"/>
      <c r="FS209" s="147"/>
    </row>
    <row r="210" spans="8:175" x14ac:dyDescent="0.2">
      <c r="H210">
        <v>68</v>
      </c>
      <c r="I210">
        <v>12.269821923672541</v>
      </c>
      <c r="J210">
        <v>42</v>
      </c>
      <c r="K210">
        <v>39.372225756743092</v>
      </c>
      <c r="L210">
        <v>21.901584952215664</v>
      </c>
      <c r="M210">
        <v>39264.092826830187</v>
      </c>
      <c r="N210">
        <v>9234.8467789449569</v>
      </c>
      <c r="O210">
        <v>13.0186516212067</v>
      </c>
      <c r="P210">
        <v>42</v>
      </c>
      <c r="Q210">
        <v>41.094005913207411</v>
      </c>
      <c r="R210">
        <v>28.97428792890581</v>
      </c>
      <c r="S210">
        <v>20249.416278914163</v>
      </c>
      <c r="T210">
        <v>6961.5993905991636</v>
      </c>
      <c r="U210" s="147"/>
      <c r="V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147"/>
      <c r="BX210" s="147"/>
      <c r="BY210" s="147"/>
      <c r="BZ210" s="147"/>
      <c r="CA210" s="147"/>
      <c r="CB210" s="147"/>
      <c r="CC210" s="147"/>
      <c r="CD210" s="147"/>
      <c r="CE210" s="147"/>
      <c r="CF210" s="147"/>
      <c r="CG210" s="147"/>
      <c r="CH210" s="147"/>
      <c r="CI210" s="147"/>
      <c r="CJ210" s="147"/>
      <c r="CK210" s="147"/>
      <c r="CL210" s="147"/>
      <c r="CM210" s="147"/>
      <c r="CN210" s="147"/>
      <c r="CO210" s="147"/>
      <c r="CP210" s="147"/>
      <c r="CQ210" s="147"/>
      <c r="CR210" s="147"/>
      <c r="CS210" s="147"/>
      <c r="CT210" s="147"/>
      <c r="CU210" s="147"/>
      <c r="CV210" s="147"/>
      <c r="CW210" s="147"/>
      <c r="CX210" s="147"/>
      <c r="CY210" s="147"/>
      <c r="CZ210" s="147"/>
      <c r="DA210" s="147"/>
      <c r="DB210" s="147"/>
      <c r="DC210" s="147"/>
      <c r="DD210" s="147"/>
      <c r="DE210" s="147"/>
      <c r="DF210" s="147"/>
      <c r="DG210" s="147"/>
      <c r="DH210" s="147"/>
      <c r="DI210" s="147"/>
      <c r="DJ210" s="147"/>
      <c r="DK210" s="147"/>
      <c r="DL210" s="147"/>
      <c r="DM210" s="147"/>
      <c r="DN210" s="147"/>
      <c r="DO210" s="147"/>
      <c r="DP210" s="147"/>
      <c r="DQ210" s="147"/>
      <c r="DR210" s="147"/>
      <c r="DS210" s="147"/>
      <c r="DT210" s="147"/>
      <c r="DU210" s="147"/>
      <c r="DV210" s="147"/>
      <c r="DW210" s="147"/>
      <c r="DX210" s="147"/>
      <c r="DY210" s="147"/>
      <c r="DZ210" s="147"/>
      <c r="EA210" s="147"/>
      <c r="EB210" s="147"/>
      <c r="EC210" s="147"/>
      <c r="ED210" s="147"/>
      <c r="EE210" s="147"/>
      <c r="EF210" s="147"/>
      <c r="EG210" s="147"/>
      <c r="EH210" s="147"/>
      <c r="EI210" s="147"/>
      <c r="EJ210" s="147"/>
      <c r="EK210" s="147"/>
      <c r="EL210" s="147"/>
      <c r="EM210" s="147"/>
      <c r="EN210" s="147"/>
      <c r="EO210" s="147"/>
      <c r="EP210" s="147"/>
      <c r="EQ210" s="147"/>
      <c r="ER210" s="147"/>
      <c r="ES210" s="147"/>
      <c r="ET210" s="147"/>
      <c r="EU210" s="147"/>
      <c r="EV210" s="147"/>
      <c r="EW210" s="147"/>
      <c r="EX210" s="147"/>
      <c r="EY210" s="147"/>
      <c r="EZ210" s="147"/>
      <c r="FA210" s="147"/>
      <c r="FB210" s="147"/>
      <c r="FC210" s="147"/>
      <c r="FD210" s="147"/>
      <c r="FE210" s="147"/>
      <c r="FF210" s="147"/>
      <c r="FG210" s="147"/>
      <c r="FH210" s="147"/>
      <c r="FI210" s="147"/>
      <c r="FJ210" s="147"/>
      <c r="FK210" s="147"/>
      <c r="FL210" s="147"/>
      <c r="FM210" s="147"/>
      <c r="FN210" s="147"/>
      <c r="FO210" s="147"/>
      <c r="FP210" s="147"/>
      <c r="FQ210" s="147"/>
      <c r="FR210" s="147"/>
      <c r="FS210" s="147"/>
    </row>
    <row r="211" spans="8:175" x14ac:dyDescent="0.2">
      <c r="H211">
        <v>69</v>
      </c>
      <c r="I211">
        <v>11.414897048365646</v>
      </c>
      <c r="J211">
        <v>43</v>
      </c>
      <c r="K211">
        <v>41.330250900080422</v>
      </c>
      <c r="L211">
        <v>22.721579254869035</v>
      </c>
      <c r="M211">
        <v>39989.468463162426</v>
      </c>
      <c r="N211">
        <v>9082.2260144529719</v>
      </c>
      <c r="O211">
        <v>10.574709030680873</v>
      </c>
      <c r="P211">
        <v>43</v>
      </c>
      <c r="Q211">
        <v>42.537827095564495</v>
      </c>
      <c r="R211">
        <v>29.303218930094783</v>
      </c>
      <c r="S211">
        <v>21291.423654949274</v>
      </c>
      <c r="T211">
        <v>5923.6388711923355</v>
      </c>
      <c r="U211" s="147"/>
      <c r="V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7"/>
      <c r="FK211" s="147"/>
      <c r="FL211" s="147"/>
      <c r="FM211" s="147"/>
      <c r="FN211" s="147"/>
      <c r="FO211" s="147"/>
      <c r="FP211" s="147"/>
      <c r="FQ211" s="147"/>
      <c r="FR211" s="147"/>
      <c r="FS211" s="147"/>
    </row>
    <row r="212" spans="8:175" x14ac:dyDescent="0.2">
      <c r="H212">
        <v>70</v>
      </c>
      <c r="I212">
        <v>-15.705671626902051</v>
      </c>
      <c r="J212">
        <v>49</v>
      </c>
      <c r="K212">
        <v>45.886659799919862</v>
      </c>
      <c r="L212">
        <v>22.926790809025828</v>
      </c>
      <c r="M212">
        <v>28739.835108347193</v>
      </c>
      <c r="N212">
        <v>0</v>
      </c>
      <c r="O212">
        <v>-31.249716931350658</v>
      </c>
      <c r="P212">
        <v>49</v>
      </c>
      <c r="Q212">
        <v>47.718162729973805</v>
      </c>
      <c r="R212">
        <v>31.357639223693909</v>
      </c>
      <c r="S212">
        <v>7876.8628063038177</v>
      </c>
      <c r="T212">
        <v>0</v>
      </c>
      <c r="U212" s="147"/>
      <c r="V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47"/>
      <c r="DA212" s="147"/>
      <c r="DB212" s="147"/>
      <c r="DC212" s="147"/>
      <c r="DD212" s="147"/>
      <c r="DE212" s="147"/>
      <c r="DF212" s="147"/>
      <c r="DG212" s="147"/>
      <c r="DH212" s="147"/>
      <c r="DI212" s="147"/>
      <c r="DJ212" s="147"/>
      <c r="DK212" s="147"/>
      <c r="DL212" s="147"/>
      <c r="DM212" s="147"/>
      <c r="DN212" s="147"/>
      <c r="DO212" s="147"/>
      <c r="DP212" s="147"/>
      <c r="DQ212" s="147"/>
      <c r="DR212" s="147"/>
      <c r="DS212" s="147"/>
      <c r="DT212" s="147"/>
      <c r="DU212" s="147"/>
      <c r="DV212" s="147"/>
      <c r="DW212" s="147"/>
      <c r="DX212" s="147"/>
      <c r="DY212" s="147"/>
      <c r="DZ212" s="147"/>
      <c r="EA212" s="147"/>
      <c r="EB212" s="147"/>
      <c r="EC212" s="147"/>
      <c r="ED212" s="147"/>
      <c r="EE212" s="147"/>
      <c r="EF212" s="147"/>
      <c r="EG212" s="147"/>
      <c r="EH212" s="147"/>
      <c r="EI212" s="147"/>
      <c r="EJ212" s="147"/>
      <c r="EK212" s="147"/>
      <c r="EL212" s="147"/>
      <c r="EM212" s="147"/>
      <c r="EN212" s="147"/>
      <c r="EO212" s="147"/>
      <c r="EP212" s="147"/>
      <c r="EQ212" s="147"/>
      <c r="ER212" s="147"/>
      <c r="ES212" s="147"/>
      <c r="ET212" s="147"/>
      <c r="EU212" s="147"/>
      <c r="EV212" s="147"/>
      <c r="EW212" s="147"/>
      <c r="EX212" s="147"/>
      <c r="EY212" s="147"/>
      <c r="EZ212" s="147"/>
      <c r="FA212" s="147"/>
      <c r="FB212" s="147"/>
      <c r="FC212" s="147"/>
      <c r="FD212" s="147"/>
      <c r="FE212" s="147"/>
      <c r="FF212" s="147"/>
      <c r="FG212" s="147"/>
      <c r="FH212" s="147"/>
      <c r="FI212" s="147"/>
      <c r="FJ212" s="147"/>
      <c r="FK212" s="147"/>
      <c r="FL212" s="147"/>
      <c r="FM212" s="147"/>
      <c r="FN212" s="147"/>
      <c r="FO212" s="147"/>
      <c r="FP212" s="147"/>
      <c r="FQ212" s="147"/>
      <c r="FR212" s="147"/>
      <c r="FS212" s="147"/>
    </row>
    <row r="213" spans="8:175" x14ac:dyDescent="0.2">
      <c r="H213">
        <v>71</v>
      </c>
      <c r="I213">
        <v>9.43697993224648</v>
      </c>
      <c r="J213">
        <v>48</v>
      </c>
      <c r="K213">
        <v>45.699566075959446</v>
      </c>
      <c r="L213">
        <v>25.400950548541111</v>
      </c>
      <c r="M213">
        <v>39163.164316575734</v>
      </c>
      <c r="N213">
        <v>8236.8225319848643</v>
      </c>
      <c r="O213">
        <v>8.8077779530326694</v>
      </c>
      <c r="P213">
        <v>48</v>
      </c>
      <c r="Q213">
        <v>47.221017095028721</v>
      </c>
      <c r="R213">
        <v>33.414558639541866</v>
      </c>
      <c r="S213">
        <v>20758.929634685333</v>
      </c>
      <c r="T213">
        <v>5500.5593321133456</v>
      </c>
      <c r="U213" s="147"/>
      <c r="V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/>
      <c r="CP213" s="147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47"/>
      <c r="DA213" s="147"/>
      <c r="DB213" s="147"/>
      <c r="DC213" s="147"/>
      <c r="DD213" s="147"/>
      <c r="DE213" s="147"/>
      <c r="DF213" s="147"/>
      <c r="DG213" s="147"/>
      <c r="DH213" s="147"/>
      <c r="DI213" s="147"/>
      <c r="DJ213" s="147"/>
      <c r="DK213" s="147"/>
      <c r="DL213" s="147"/>
      <c r="DM213" s="147"/>
      <c r="DN213" s="147"/>
      <c r="DO213" s="147"/>
      <c r="DP213" s="147"/>
      <c r="DQ213" s="147"/>
      <c r="DR213" s="147"/>
      <c r="DS213" s="147"/>
      <c r="DT213" s="147"/>
      <c r="DU213" s="147"/>
      <c r="DV213" s="147"/>
      <c r="DW213" s="147"/>
      <c r="DX213" s="147"/>
      <c r="DY213" s="147"/>
      <c r="DZ213" s="147"/>
      <c r="EA213" s="147"/>
      <c r="EB213" s="147"/>
      <c r="EC213" s="147"/>
      <c r="ED213" s="147"/>
      <c r="EE213" s="147"/>
      <c r="EF213" s="147"/>
      <c r="EG213" s="147"/>
      <c r="EH213" s="147"/>
      <c r="EI213" s="147"/>
      <c r="EJ213" s="147"/>
      <c r="EK213" s="147"/>
      <c r="EL213" s="147"/>
      <c r="EM213" s="147"/>
      <c r="EN213" s="147"/>
      <c r="EO213" s="147"/>
      <c r="EP213" s="147"/>
      <c r="EQ213" s="147"/>
      <c r="ER213" s="147"/>
      <c r="ES213" s="147"/>
      <c r="ET213" s="147"/>
      <c r="EU213" s="147"/>
      <c r="EV213" s="147"/>
      <c r="EW213" s="147"/>
      <c r="EX213" s="147"/>
      <c r="EY213" s="147"/>
      <c r="EZ213" s="147"/>
      <c r="FA213" s="147"/>
      <c r="FB213" s="147"/>
      <c r="FC213" s="147"/>
      <c r="FD213" s="147"/>
      <c r="FE213" s="147"/>
      <c r="FF213" s="147"/>
      <c r="FG213" s="147"/>
      <c r="FH213" s="147"/>
      <c r="FI213" s="147"/>
      <c r="FJ213" s="147"/>
      <c r="FK213" s="147"/>
      <c r="FL213" s="147"/>
      <c r="FM213" s="147"/>
      <c r="FN213" s="147"/>
      <c r="FO213" s="147"/>
      <c r="FP213" s="147"/>
      <c r="FQ213" s="147"/>
      <c r="FR213" s="147"/>
      <c r="FS213" s="147"/>
    </row>
    <row r="214" spans="8:175" x14ac:dyDescent="0.2">
      <c r="H214">
        <v>72</v>
      </c>
      <c r="I214">
        <v>-22.732273728443133</v>
      </c>
      <c r="J214">
        <v>49</v>
      </c>
      <c r="K214">
        <v>45.443243789363763</v>
      </c>
      <c r="L214">
        <v>22.380082622500041</v>
      </c>
      <c r="M214">
        <v>25371.752695879921</v>
      </c>
      <c r="N214">
        <v>0</v>
      </c>
      <c r="O214">
        <v>-49.674273247759558</v>
      </c>
      <c r="P214">
        <v>49</v>
      </c>
      <c r="Q214">
        <v>47.874084249277807</v>
      </c>
      <c r="R214">
        <v>27.738457665852934</v>
      </c>
      <c r="S214">
        <v>4640.0565025315</v>
      </c>
      <c r="T214">
        <v>0</v>
      </c>
      <c r="U214" s="147"/>
      <c r="V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47"/>
      <c r="DG214" s="147"/>
      <c r="DH214" s="147"/>
      <c r="DI214" s="147"/>
      <c r="DJ214" s="147"/>
      <c r="DK214" s="147"/>
      <c r="DL214" s="147"/>
      <c r="DM214" s="147"/>
      <c r="DN214" s="147"/>
      <c r="DO214" s="147"/>
      <c r="DP214" s="147"/>
      <c r="DQ214" s="147"/>
      <c r="DR214" s="147"/>
      <c r="DS214" s="147"/>
      <c r="DT214" s="147"/>
      <c r="DU214" s="147"/>
      <c r="DV214" s="147"/>
      <c r="DW214" s="147"/>
      <c r="DX214" s="147"/>
      <c r="DY214" s="147"/>
      <c r="DZ214" s="147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47"/>
      <c r="EK214" s="147"/>
      <c r="EL214" s="147"/>
      <c r="EM214" s="147"/>
      <c r="EN214" s="147"/>
      <c r="EO214" s="147"/>
      <c r="EP214" s="147"/>
      <c r="EQ214" s="147"/>
      <c r="ER214" s="147"/>
      <c r="ES214" s="147"/>
      <c r="ET214" s="147"/>
      <c r="EU214" s="147"/>
      <c r="EV214" s="147"/>
      <c r="EW214" s="147"/>
      <c r="EX214" s="147"/>
      <c r="EY214" s="147"/>
      <c r="EZ214" s="147"/>
      <c r="FA214" s="147"/>
      <c r="FB214" s="147"/>
      <c r="FC214" s="147"/>
      <c r="FD214" s="147"/>
      <c r="FE214" s="147"/>
      <c r="FF214" s="147"/>
      <c r="FG214" s="147"/>
      <c r="FH214" s="147"/>
      <c r="FI214" s="147"/>
      <c r="FJ214" s="147"/>
      <c r="FK214" s="147"/>
      <c r="FL214" s="147"/>
      <c r="FM214" s="147"/>
      <c r="FN214" s="147"/>
      <c r="FO214" s="147"/>
      <c r="FP214" s="147"/>
      <c r="FQ214" s="147"/>
      <c r="FR214" s="147"/>
      <c r="FS214" s="147"/>
    </row>
    <row r="215" spans="8:175" x14ac:dyDescent="0.2">
      <c r="H215">
        <v>73</v>
      </c>
      <c r="I215">
        <v>-16.556744484518969</v>
      </c>
      <c r="J215">
        <v>49</v>
      </c>
      <c r="K215">
        <v>45.439784326330596</v>
      </c>
      <c r="L215">
        <v>24.007315304715682</v>
      </c>
      <c r="M215">
        <v>28534.762425793724</v>
      </c>
      <c r="N215">
        <v>0</v>
      </c>
      <c r="O215">
        <v>-37.35411923394301</v>
      </c>
      <c r="P215">
        <v>49</v>
      </c>
      <c r="Q215">
        <v>47.588322391710662</v>
      </c>
      <c r="R215">
        <v>27.937836317978608</v>
      </c>
      <c r="S215">
        <v>7904.5548007738398</v>
      </c>
      <c r="T215">
        <v>0</v>
      </c>
      <c r="U215" s="147"/>
      <c r="V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  <c r="BL215" s="147"/>
      <c r="BM215" s="147"/>
      <c r="BN215" s="147"/>
      <c r="BO215" s="147"/>
      <c r="BP215" s="147"/>
      <c r="BQ215" s="147"/>
      <c r="BR215" s="147"/>
      <c r="BS215" s="147"/>
      <c r="BT215" s="147"/>
      <c r="BU215" s="147"/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47"/>
      <c r="DG215" s="147"/>
      <c r="DH215" s="147"/>
      <c r="DI215" s="147"/>
      <c r="DJ215" s="147"/>
      <c r="DK215" s="147"/>
      <c r="DL215" s="147"/>
      <c r="DM215" s="147"/>
      <c r="DN215" s="147"/>
      <c r="DO215" s="147"/>
      <c r="DP215" s="147"/>
      <c r="DQ215" s="147"/>
      <c r="DR215" s="147"/>
      <c r="DS215" s="147"/>
      <c r="DT215" s="147"/>
      <c r="DU215" s="147"/>
      <c r="DV215" s="147"/>
      <c r="DW215" s="147"/>
      <c r="DX215" s="147"/>
      <c r="DY215" s="147"/>
      <c r="DZ215" s="147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47"/>
      <c r="EK215" s="147"/>
      <c r="EL215" s="147"/>
      <c r="EM215" s="147"/>
      <c r="EN215" s="147"/>
      <c r="EO215" s="147"/>
      <c r="EP215" s="147"/>
      <c r="EQ215" s="147"/>
      <c r="ER215" s="147"/>
      <c r="ES215" s="147"/>
      <c r="ET215" s="147"/>
      <c r="EU215" s="147"/>
      <c r="EV215" s="147"/>
      <c r="EW215" s="147"/>
      <c r="EX215" s="147"/>
      <c r="EY215" s="147"/>
      <c r="EZ215" s="147"/>
      <c r="FA215" s="147"/>
      <c r="FB215" s="147"/>
      <c r="FC215" s="147"/>
      <c r="FD215" s="147"/>
      <c r="FE215" s="147"/>
      <c r="FF215" s="147"/>
      <c r="FG215" s="147"/>
      <c r="FH215" s="147"/>
      <c r="FI215" s="147"/>
      <c r="FJ215" s="147"/>
      <c r="FK215" s="147"/>
      <c r="FL215" s="147"/>
      <c r="FM215" s="147"/>
      <c r="FN215" s="147"/>
      <c r="FO215" s="147"/>
      <c r="FP215" s="147"/>
      <c r="FQ215" s="147"/>
      <c r="FR215" s="147"/>
      <c r="FS215" s="147"/>
    </row>
    <row r="216" spans="8:175" x14ac:dyDescent="0.2">
      <c r="H216">
        <v>74</v>
      </c>
      <c r="I216">
        <v>-43.933698366424402</v>
      </c>
      <c r="J216">
        <v>49</v>
      </c>
      <c r="K216">
        <v>46.90380299469988</v>
      </c>
      <c r="L216">
        <v>20.347041882036066</v>
      </c>
      <c r="M216">
        <v>14977.657347163306</v>
      </c>
      <c r="N216">
        <v>0</v>
      </c>
      <c r="O216">
        <v>0</v>
      </c>
      <c r="P216">
        <v>49</v>
      </c>
      <c r="Q216">
        <v>0</v>
      </c>
      <c r="R216">
        <v>0</v>
      </c>
      <c r="S216">
        <v>-1.4779288903810084E-12</v>
      </c>
      <c r="T216">
        <v>0</v>
      </c>
      <c r="U216" s="147"/>
      <c r="V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  <c r="DK216" s="147"/>
      <c r="DL216" s="147"/>
      <c r="DM216" s="147"/>
      <c r="DN216" s="147"/>
      <c r="DO216" s="147"/>
      <c r="DP216" s="147"/>
      <c r="DQ216" s="147"/>
      <c r="DR216" s="147"/>
      <c r="DS216" s="147"/>
      <c r="DT216" s="147"/>
      <c r="DU216" s="147"/>
      <c r="DV216" s="147"/>
      <c r="DW216" s="147"/>
      <c r="DX216" s="147"/>
      <c r="DY216" s="147"/>
      <c r="DZ216" s="147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47"/>
      <c r="EK216" s="147"/>
      <c r="EL216" s="147"/>
      <c r="EM216" s="147"/>
      <c r="EN216" s="147"/>
      <c r="EO216" s="147"/>
      <c r="EP216" s="147"/>
      <c r="EQ216" s="147"/>
      <c r="ER216" s="147"/>
      <c r="ES216" s="147"/>
      <c r="ET216" s="147"/>
      <c r="EU216" s="147"/>
      <c r="EV216" s="147"/>
      <c r="EW216" s="147"/>
      <c r="EX216" s="147"/>
      <c r="EY216" s="147"/>
      <c r="EZ216" s="147"/>
      <c r="FA216" s="147"/>
      <c r="FB216" s="147"/>
      <c r="FC216" s="147"/>
      <c r="FD216" s="147"/>
      <c r="FE216" s="147"/>
      <c r="FF216" s="147"/>
      <c r="FG216" s="147"/>
      <c r="FH216" s="147"/>
      <c r="FI216" s="147"/>
      <c r="FJ216" s="147"/>
      <c r="FK216" s="147"/>
      <c r="FL216" s="147"/>
      <c r="FM216" s="147"/>
      <c r="FN216" s="147"/>
      <c r="FO216" s="147"/>
      <c r="FP216" s="147"/>
      <c r="FQ216" s="147"/>
      <c r="FR216" s="147"/>
      <c r="FS216" s="147"/>
    </row>
    <row r="217" spans="8:175" x14ac:dyDescent="0.2">
      <c r="H217">
        <v>75</v>
      </c>
      <c r="I217">
        <v>9.9236140994439772</v>
      </c>
      <c r="J217">
        <v>47</v>
      </c>
      <c r="K217">
        <v>45.118112116361281</v>
      </c>
      <c r="L217">
        <v>24.266380848283273</v>
      </c>
      <c r="M217">
        <v>40362.630748972675</v>
      </c>
      <c r="N217">
        <v>8510.8890121742297</v>
      </c>
      <c r="O217">
        <v>9.6467088909658152</v>
      </c>
      <c r="P217">
        <v>47</v>
      </c>
      <c r="Q217">
        <v>46.571108090788229</v>
      </c>
      <c r="R217">
        <v>31.19764868382428</v>
      </c>
      <c r="S217">
        <v>22151.651575918822</v>
      </c>
      <c r="T217">
        <v>5992.414159599648</v>
      </c>
      <c r="U217" s="147"/>
      <c r="V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  <c r="BI217" s="147"/>
      <c r="BJ217" s="147"/>
      <c r="BK217" s="147"/>
      <c r="BL217" s="147"/>
      <c r="BM217" s="147"/>
      <c r="BN217" s="147"/>
      <c r="BO217" s="147"/>
      <c r="BP217" s="147"/>
      <c r="BQ217" s="147"/>
      <c r="BR217" s="147"/>
      <c r="BS217" s="147"/>
      <c r="BT217" s="147"/>
      <c r="BU217" s="147"/>
      <c r="BV217" s="147"/>
      <c r="BW217" s="147"/>
      <c r="BX217" s="147"/>
      <c r="BY217" s="147"/>
      <c r="BZ217" s="147"/>
      <c r="CA217" s="147"/>
      <c r="CB217" s="147"/>
      <c r="CC217" s="147"/>
      <c r="CD217" s="147"/>
      <c r="CE217" s="147"/>
      <c r="CF217" s="147"/>
      <c r="CG217" s="147"/>
      <c r="CH217" s="147"/>
      <c r="CI217" s="147"/>
      <c r="CJ217" s="147"/>
      <c r="CK217" s="147"/>
      <c r="CL217" s="147"/>
      <c r="CM217" s="147"/>
      <c r="CN217" s="147"/>
      <c r="CO217" s="147"/>
      <c r="CP217" s="147"/>
      <c r="CQ217" s="147"/>
      <c r="CR217" s="147"/>
      <c r="CS217" s="147"/>
      <c r="CT217" s="147"/>
      <c r="CU217" s="147"/>
      <c r="CV217" s="147"/>
      <c r="CW217" s="147"/>
      <c r="CX217" s="147"/>
      <c r="CY217" s="147"/>
      <c r="CZ217" s="147"/>
      <c r="DA217" s="147"/>
      <c r="DB217" s="147"/>
      <c r="DC217" s="147"/>
      <c r="DD217" s="147"/>
      <c r="DE217" s="147"/>
      <c r="DF217" s="147"/>
      <c r="DG217" s="147"/>
      <c r="DH217" s="147"/>
      <c r="DI217" s="147"/>
      <c r="DJ217" s="147"/>
      <c r="DK217" s="147"/>
      <c r="DL217" s="147"/>
      <c r="DM217" s="147"/>
      <c r="DN217" s="147"/>
      <c r="DO217" s="147"/>
      <c r="DP217" s="147"/>
      <c r="DQ217" s="147"/>
      <c r="DR217" s="147"/>
      <c r="DS217" s="147"/>
      <c r="DT217" s="147"/>
      <c r="DU217" s="147"/>
      <c r="DV217" s="147"/>
      <c r="DW217" s="147"/>
      <c r="DX217" s="147"/>
      <c r="DY217" s="147"/>
      <c r="DZ217" s="147"/>
      <c r="EA217" s="147"/>
      <c r="EB217" s="147"/>
      <c r="EC217" s="147"/>
      <c r="ED217" s="147"/>
      <c r="EE217" s="147"/>
      <c r="EF217" s="147"/>
      <c r="EG217" s="147"/>
      <c r="EH217" s="147"/>
      <c r="EI217" s="147"/>
      <c r="EJ217" s="147"/>
      <c r="EK217" s="147"/>
      <c r="EL217" s="147"/>
      <c r="EM217" s="147"/>
      <c r="EN217" s="147"/>
      <c r="EO217" s="147"/>
      <c r="EP217" s="147"/>
      <c r="EQ217" s="147"/>
      <c r="ER217" s="147"/>
      <c r="ES217" s="147"/>
      <c r="ET217" s="147"/>
      <c r="EU217" s="147"/>
      <c r="EV217" s="147"/>
      <c r="EW217" s="147"/>
      <c r="EX217" s="147"/>
      <c r="EY217" s="147"/>
      <c r="EZ217" s="147"/>
      <c r="FA217" s="147"/>
      <c r="FB217" s="147"/>
      <c r="FC217" s="147"/>
      <c r="FD217" s="147"/>
      <c r="FE217" s="147"/>
      <c r="FF217" s="147"/>
      <c r="FG217" s="147"/>
      <c r="FH217" s="147"/>
      <c r="FI217" s="147"/>
      <c r="FJ217" s="147"/>
      <c r="FK217" s="147"/>
      <c r="FL217" s="147"/>
      <c r="FM217" s="147"/>
      <c r="FN217" s="147"/>
      <c r="FO217" s="147"/>
      <c r="FP217" s="147"/>
      <c r="FQ217" s="147"/>
      <c r="FR217" s="147"/>
      <c r="FS217" s="147"/>
    </row>
    <row r="218" spans="8:175" x14ac:dyDescent="0.2">
      <c r="H218">
        <v>76</v>
      </c>
      <c r="I218">
        <v>-21.682847640830559</v>
      </c>
      <c r="J218">
        <v>49</v>
      </c>
      <c r="K218">
        <v>45.972957601114267</v>
      </c>
      <c r="L218">
        <v>23.261518437942378</v>
      </c>
      <c r="M218">
        <v>25178.108346247485</v>
      </c>
      <c r="N218">
        <v>0</v>
      </c>
      <c r="O218">
        <v>-51.16500098867629</v>
      </c>
      <c r="P218">
        <v>49</v>
      </c>
      <c r="Q218">
        <v>48.000000000000149</v>
      </c>
      <c r="R218">
        <v>25.718907451031168</v>
      </c>
      <c r="S218">
        <v>4904.2569127672905</v>
      </c>
      <c r="T218">
        <v>0</v>
      </c>
      <c r="U218" s="147"/>
      <c r="V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  <c r="BI218" s="147"/>
      <c r="BJ218" s="147"/>
      <c r="BK218" s="147"/>
      <c r="BL218" s="147"/>
      <c r="BM218" s="147"/>
      <c r="BN218" s="147"/>
      <c r="BO218" s="147"/>
      <c r="BP218" s="147"/>
      <c r="BQ218" s="147"/>
      <c r="BR218" s="147"/>
      <c r="BS218" s="147"/>
      <c r="BT218" s="147"/>
      <c r="BU218" s="147"/>
      <c r="BV218" s="147"/>
      <c r="BW218" s="147"/>
      <c r="BX218" s="147"/>
      <c r="BY218" s="147"/>
      <c r="BZ218" s="147"/>
      <c r="CA218" s="147"/>
      <c r="CB218" s="147"/>
      <c r="CC218" s="147"/>
      <c r="CD218" s="147"/>
      <c r="CE218" s="147"/>
      <c r="CF218" s="147"/>
      <c r="CG218" s="147"/>
      <c r="CH218" s="147"/>
      <c r="CI218" s="147"/>
      <c r="CJ218" s="147"/>
      <c r="CK218" s="147"/>
      <c r="CL218" s="147"/>
      <c r="CM218" s="147"/>
      <c r="CN218" s="147"/>
      <c r="CO218" s="147"/>
      <c r="CP218" s="147"/>
      <c r="CQ218" s="147"/>
      <c r="CR218" s="147"/>
      <c r="CS218" s="147"/>
      <c r="CT218" s="147"/>
      <c r="CU218" s="147"/>
      <c r="CV218" s="147"/>
      <c r="CW218" s="147"/>
      <c r="CX218" s="147"/>
      <c r="CY218" s="147"/>
      <c r="CZ218" s="147"/>
      <c r="DA218" s="147"/>
      <c r="DB218" s="147"/>
      <c r="DC218" s="147"/>
      <c r="DD218" s="147"/>
      <c r="DE218" s="147"/>
      <c r="DF218" s="147"/>
      <c r="DG218" s="147"/>
      <c r="DH218" s="147"/>
      <c r="DI218" s="147"/>
      <c r="DJ218" s="147"/>
      <c r="DK218" s="147"/>
      <c r="DL218" s="147"/>
      <c r="DM218" s="147"/>
      <c r="DN218" s="147"/>
      <c r="DO218" s="147"/>
      <c r="DP218" s="147"/>
      <c r="DQ218" s="147"/>
      <c r="DR218" s="147"/>
      <c r="DS218" s="147"/>
      <c r="DT218" s="147"/>
      <c r="DU218" s="147"/>
      <c r="DV218" s="147"/>
      <c r="DW218" s="147"/>
      <c r="DX218" s="147"/>
      <c r="DY218" s="147"/>
      <c r="DZ218" s="147"/>
      <c r="EA218" s="147"/>
      <c r="EB218" s="147"/>
      <c r="EC218" s="147"/>
      <c r="ED218" s="147"/>
      <c r="EE218" s="147"/>
      <c r="EF218" s="147"/>
      <c r="EG218" s="147"/>
      <c r="EH218" s="147"/>
      <c r="EI218" s="147"/>
      <c r="EJ218" s="147"/>
      <c r="EK218" s="147"/>
      <c r="EL218" s="147"/>
      <c r="EM218" s="147"/>
      <c r="EN218" s="147"/>
      <c r="EO218" s="147"/>
      <c r="EP218" s="147"/>
      <c r="EQ218" s="147"/>
      <c r="ER218" s="147"/>
      <c r="ES218" s="147"/>
      <c r="ET218" s="147"/>
      <c r="EU218" s="147"/>
      <c r="EV218" s="147"/>
      <c r="EW218" s="147"/>
      <c r="EX218" s="147"/>
      <c r="EY218" s="147"/>
      <c r="EZ218" s="147"/>
      <c r="FA218" s="147"/>
      <c r="FB218" s="147"/>
      <c r="FC218" s="147"/>
      <c r="FD218" s="147"/>
      <c r="FE218" s="147"/>
      <c r="FF218" s="147"/>
      <c r="FG218" s="147"/>
      <c r="FH218" s="147"/>
      <c r="FI218" s="147"/>
      <c r="FJ218" s="147"/>
      <c r="FK218" s="147"/>
      <c r="FL218" s="147"/>
      <c r="FM218" s="147"/>
      <c r="FN218" s="147"/>
      <c r="FO218" s="147"/>
      <c r="FP218" s="147"/>
      <c r="FQ218" s="147"/>
      <c r="FR218" s="147"/>
      <c r="FS218" s="147"/>
    </row>
    <row r="219" spans="8:175" x14ac:dyDescent="0.2">
      <c r="H219">
        <v>77</v>
      </c>
      <c r="I219">
        <v>10.555472342771655</v>
      </c>
      <c r="J219">
        <v>45</v>
      </c>
      <c r="K219">
        <v>43.075404348270091</v>
      </c>
      <c r="L219">
        <v>24.458893278348786</v>
      </c>
      <c r="M219">
        <v>40155.053927328707</v>
      </c>
      <c r="N219">
        <v>9113.2099835622867</v>
      </c>
      <c r="O219">
        <v>10.57501798070961</v>
      </c>
      <c r="P219">
        <v>45</v>
      </c>
      <c r="Q219">
        <v>44.550491750813656</v>
      </c>
      <c r="R219">
        <v>30.616664919170432</v>
      </c>
      <c r="S219">
        <v>22022.836398957414</v>
      </c>
      <c r="T219">
        <v>6438.7614885754683</v>
      </c>
      <c r="U219" s="147"/>
      <c r="V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  <c r="CU219" s="147"/>
      <c r="CV219" s="147"/>
      <c r="CW219" s="147"/>
      <c r="CX219" s="147"/>
      <c r="CY219" s="147"/>
      <c r="CZ219" s="147"/>
      <c r="DA219" s="147"/>
      <c r="DB219" s="147"/>
      <c r="DC219" s="147"/>
      <c r="DD219" s="147"/>
      <c r="DE219" s="147"/>
      <c r="DF219" s="147"/>
      <c r="DG219" s="147"/>
      <c r="DH219" s="147"/>
      <c r="DI219" s="147"/>
      <c r="DJ219" s="147"/>
      <c r="DK219" s="147"/>
      <c r="DL219" s="147"/>
      <c r="DM219" s="147"/>
      <c r="DN219" s="147"/>
      <c r="DO219" s="147"/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7"/>
      <c r="ED219" s="147"/>
      <c r="EE219" s="147"/>
      <c r="EF219" s="147"/>
      <c r="EG219" s="147"/>
      <c r="EH219" s="147"/>
      <c r="EI219" s="147"/>
      <c r="EJ219" s="147"/>
      <c r="EK219" s="147"/>
      <c r="EL219" s="147"/>
      <c r="EM219" s="147"/>
      <c r="EN219" s="147"/>
      <c r="EO219" s="147"/>
      <c r="EP219" s="147"/>
      <c r="EQ219" s="147"/>
      <c r="ER219" s="147"/>
      <c r="ES219" s="147"/>
      <c r="ET219" s="147"/>
      <c r="EU219" s="147"/>
      <c r="EV219" s="147"/>
      <c r="EW219" s="147"/>
      <c r="EX219" s="147"/>
      <c r="EY219" s="147"/>
      <c r="EZ219" s="147"/>
      <c r="FA219" s="147"/>
      <c r="FB219" s="147"/>
      <c r="FC219" s="147"/>
      <c r="FD219" s="147"/>
      <c r="FE219" s="147"/>
      <c r="FF219" s="147"/>
      <c r="FG219" s="147"/>
      <c r="FH219" s="147"/>
      <c r="FI219" s="147"/>
      <c r="FJ219" s="147"/>
      <c r="FK219" s="147"/>
      <c r="FL219" s="147"/>
      <c r="FM219" s="147"/>
      <c r="FN219" s="147"/>
      <c r="FO219" s="147"/>
      <c r="FP219" s="147"/>
      <c r="FQ219" s="147"/>
      <c r="FR219" s="147"/>
      <c r="FS219" s="147"/>
    </row>
    <row r="220" spans="8:175" x14ac:dyDescent="0.2">
      <c r="H220">
        <v>78</v>
      </c>
      <c r="I220">
        <v>10.106250776734861</v>
      </c>
      <c r="J220">
        <v>46</v>
      </c>
      <c r="K220">
        <v>43.810900732910042</v>
      </c>
      <c r="L220">
        <v>24.33609694758923</v>
      </c>
      <c r="M220">
        <v>40821.509872583942</v>
      </c>
      <c r="N220">
        <v>8801.612412475537</v>
      </c>
      <c r="O220">
        <v>8.8870855142535241</v>
      </c>
      <c r="P220">
        <v>46</v>
      </c>
      <c r="Q220">
        <v>45.529873250849171</v>
      </c>
      <c r="R220">
        <v>30.760759242570156</v>
      </c>
      <c r="S220">
        <v>22714.044755313847</v>
      </c>
      <c r="T220">
        <v>5539.9322662025752</v>
      </c>
      <c r="U220" s="147"/>
      <c r="V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47"/>
      <c r="CX220" s="147"/>
      <c r="CY220" s="147"/>
      <c r="CZ220" s="147"/>
      <c r="DA220" s="147"/>
      <c r="DB220" s="147"/>
      <c r="DC220" s="147"/>
      <c r="DD220" s="147"/>
      <c r="DE220" s="147"/>
      <c r="DF220" s="147"/>
      <c r="DG220" s="147"/>
      <c r="DH220" s="147"/>
      <c r="DI220" s="147"/>
      <c r="DJ220" s="147"/>
      <c r="DK220" s="147"/>
      <c r="DL220" s="147"/>
      <c r="DM220" s="147"/>
      <c r="DN220" s="147"/>
      <c r="DO220" s="147"/>
      <c r="DP220" s="147"/>
      <c r="DQ220" s="147"/>
      <c r="DR220" s="147"/>
      <c r="DS220" s="147"/>
      <c r="DT220" s="147"/>
      <c r="DU220" s="147"/>
      <c r="DV220" s="147"/>
      <c r="DW220" s="147"/>
      <c r="DX220" s="147"/>
      <c r="DY220" s="147"/>
      <c r="DZ220" s="147"/>
      <c r="EA220" s="147"/>
      <c r="EB220" s="147"/>
      <c r="EC220" s="147"/>
      <c r="ED220" s="147"/>
      <c r="EE220" s="147"/>
      <c r="EF220" s="147"/>
      <c r="EG220" s="147"/>
      <c r="EH220" s="147"/>
      <c r="EI220" s="147"/>
      <c r="EJ220" s="147"/>
      <c r="EK220" s="147"/>
      <c r="EL220" s="147"/>
      <c r="EM220" s="147"/>
      <c r="EN220" s="147"/>
      <c r="EO220" s="147"/>
      <c r="EP220" s="147"/>
      <c r="EQ220" s="147"/>
      <c r="ER220" s="147"/>
      <c r="ES220" s="147"/>
      <c r="ET220" s="147"/>
      <c r="EU220" s="147"/>
      <c r="EV220" s="147"/>
      <c r="EW220" s="147"/>
      <c r="EX220" s="147"/>
      <c r="EY220" s="147"/>
      <c r="EZ220" s="147"/>
      <c r="FA220" s="147"/>
      <c r="FB220" s="147"/>
      <c r="FC220" s="147"/>
      <c r="FD220" s="147"/>
      <c r="FE220" s="147"/>
      <c r="FF220" s="147"/>
      <c r="FG220" s="147"/>
      <c r="FH220" s="147"/>
      <c r="FI220" s="147"/>
      <c r="FJ220" s="147"/>
      <c r="FK220" s="147"/>
      <c r="FL220" s="147"/>
      <c r="FM220" s="147"/>
      <c r="FN220" s="147"/>
      <c r="FO220" s="147"/>
      <c r="FP220" s="147"/>
      <c r="FQ220" s="147"/>
      <c r="FR220" s="147"/>
      <c r="FS220" s="147"/>
    </row>
    <row r="221" spans="8:175" x14ac:dyDescent="0.2">
      <c r="H221">
        <v>79</v>
      </c>
      <c r="I221">
        <v>-42.14820669221546</v>
      </c>
      <c r="J221">
        <v>49</v>
      </c>
      <c r="K221">
        <v>47.398134810575733</v>
      </c>
      <c r="L221">
        <v>20.466097035763102</v>
      </c>
      <c r="M221">
        <v>15790.442389951413</v>
      </c>
      <c r="N221">
        <v>0</v>
      </c>
      <c r="O221">
        <v>0</v>
      </c>
      <c r="P221">
        <v>49</v>
      </c>
      <c r="Q221">
        <v>0</v>
      </c>
      <c r="R221">
        <v>0</v>
      </c>
      <c r="S221">
        <v>1.1368683772161603E-12</v>
      </c>
      <c r="T221">
        <v>0</v>
      </c>
      <c r="U221" s="147"/>
      <c r="V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47"/>
      <c r="BO221" s="147"/>
      <c r="BP221" s="147"/>
      <c r="BQ221" s="147"/>
      <c r="BR221" s="147"/>
      <c r="BS221" s="147"/>
      <c r="BT221" s="147"/>
      <c r="BU221" s="147"/>
      <c r="BV221" s="147"/>
      <c r="BW221" s="147"/>
      <c r="BX221" s="147"/>
      <c r="BY221" s="147"/>
      <c r="BZ221" s="147"/>
      <c r="CA221" s="147"/>
      <c r="CB221" s="147"/>
      <c r="CC221" s="147"/>
      <c r="CD221" s="147"/>
      <c r="CE221" s="147"/>
      <c r="CF221" s="147"/>
      <c r="CG221" s="147"/>
      <c r="CH221" s="147"/>
      <c r="CI221" s="147"/>
      <c r="CJ221" s="147"/>
      <c r="CK221" s="147"/>
      <c r="CL221" s="147"/>
      <c r="CM221" s="147"/>
      <c r="CN221" s="147"/>
      <c r="CO221" s="147"/>
      <c r="CP221" s="147"/>
      <c r="CQ221" s="147"/>
      <c r="CR221" s="147"/>
      <c r="CS221" s="147"/>
      <c r="CT221" s="147"/>
      <c r="CU221" s="147"/>
      <c r="CV221" s="147"/>
      <c r="CW221" s="147"/>
      <c r="CX221" s="147"/>
      <c r="CY221" s="147"/>
      <c r="CZ221" s="147"/>
      <c r="DA221" s="147"/>
      <c r="DB221" s="147"/>
      <c r="DC221" s="147"/>
      <c r="DD221" s="147"/>
      <c r="DE221" s="147"/>
      <c r="DF221" s="147"/>
      <c r="DG221" s="147"/>
      <c r="DH221" s="147"/>
      <c r="DI221" s="147"/>
      <c r="DJ221" s="147"/>
      <c r="DK221" s="147"/>
      <c r="DL221" s="147"/>
      <c r="DM221" s="147"/>
      <c r="DN221" s="147"/>
      <c r="DO221" s="147"/>
      <c r="DP221" s="147"/>
      <c r="DQ221" s="147"/>
      <c r="DR221" s="147"/>
      <c r="DS221" s="147"/>
      <c r="DT221" s="147"/>
      <c r="DU221" s="147"/>
      <c r="DV221" s="147"/>
      <c r="DW221" s="147"/>
      <c r="DX221" s="147"/>
      <c r="DY221" s="147"/>
      <c r="DZ221" s="147"/>
      <c r="EA221" s="147"/>
      <c r="EB221" s="147"/>
      <c r="EC221" s="147"/>
      <c r="ED221" s="147"/>
      <c r="EE221" s="147"/>
      <c r="EF221" s="147"/>
      <c r="EG221" s="147"/>
      <c r="EH221" s="147"/>
      <c r="EI221" s="147"/>
      <c r="EJ221" s="147"/>
      <c r="EK221" s="147"/>
      <c r="EL221" s="147"/>
      <c r="EM221" s="147"/>
      <c r="EN221" s="147"/>
      <c r="EO221" s="147"/>
      <c r="EP221" s="147"/>
      <c r="EQ221" s="147"/>
      <c r="ER221" s="147"/>
      <c r="ES221" s="147"/>
      <c r="ET221" s="147"/>
      <c r="EU221" s="147"/>
      <c r="EV221" s="147"/>
      <c r="EW221" s="147"/>
      <c r="EX221" s="147"/>
      <c r="EY221" s="147"/>
      <c r="EZ221" s="147"/>
      <c r="FA221" s="147"/>
      <c r="FB221" s="147"/>
      <c r="FC221" s="147"/>
      <c r="FD221" s="147"/>
      <c r="FE221" s="147"/>
      <c r="FF221" s="147"/>
      <c r="FG221" s="147"/>
      <c r="FH221" s="147"/>
      <c r="FI221" s="147"/>
      <c r="FJ221" s="147"/>
      <c r="FK221" s="147"/>
      <c r="FL221" s="147"/>
      <c r="FM221" s="147"/>
      <c r="FN221" s="147"/>
      <c r="FO221" s="147"/>
      <c r="FP221" s="147"/>
      <c r="FQ221" s="147"/>
      <c r="FR221" s="147"/>
      <c r="FS221" s="147"/>
    </row>
    <row r="222" spans="8:175" x14ac:dyDescent="0.2">
      <c r="H222">
        <v>80</v>
      </c>
      <c r="I222">
        <v>-14.44127586436178</v>
      </c>
      <c r="J222">
        <v>49</v>
      </c>
      <c r="K222">
        <v>46.444542771473166</v>
      </c>
      <c r="L222">
        <v>23.369056287850086</v>
      </c>
      <c r="M222">
        <v>29640.082486397623</v>
      </c>
      <c r="N222">
        <v>0</v>
      </c>
      <c r="O222">
        <v>-31.535950974835693</v>
      </c>
      <c r="P222">
        <v>49</v>
      </c>
      <c r="Q222">
        <v>47.827705312588002</v>
      </c>
      <c r="R222">
        <v>29.771966375298319</v>
      </c>
      <c r="S222">
        <v>8587.6553035603501</v>
      </c>
      <c r="T222">
        <v>0</v>
      </c>
      <c r="U222" s="147"/>
      <c r="V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47"/>
      <c r="BL222" s="147"/>
      <c r="BM222" s="147"/>
      <c r="BN222" s="147"/>
      <c r="BO222" s="147"/>
      <c r="BP222" s="147"/>
      <c r="BQ222" s="147"/>
      <c r="BR222" s="147"/>
      <c r="BS222" s="147"/>
      <c r="BT222" s="147"/>
      <c r="BU222" s="147"/>
      <c r="BV222" s="147"/>
      <c r="BW222" s="147"/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/>
      <c r="CP222" s="147"/>
      <c r="CQ222" s="147"/>
      <c r="CR222" s="147"/>
      <c r="CS222" s="147"/>
      <c r="CT222" s="147"/>
      <c r="CU222" s="147"/>
      <c r="CV222" s="147"/>
      <c r="CW222" s="147"/>
      <c r="CX222" s="147"/>
      <c r="CY222" s="147"/>
      <c r="CZ222" s="147"/>
      <c r="DA222" s="147"/>
      <c r="DB222" s="147"/>
      <c r="DC222" s="147"/>
      <c r="DD222" s="147"/>
      <c r="DE222" s="147"/>
      <c r="DF222" s="147"/>
      <c r="DG222" s="147"/>
      <c r="DH222" s="147"/>
      <c r="DI222" s="147"/>
      <c r="DJ222" s="147"/>
      <c r="DK222" s="147"/>
      <c r="DL222" s="147"/>
      <c r="DM222" s="147"/>
      <c r="DN222" s="147"/>
      <c r="DO222" s="147"/>
      <c r="DP222" s="147"/>
      <c r="DQ222" s="147"/>
      <c r="DR222" s="147"/>
      <c r="DS222" s="147"/>
      <c r="DT222" s="147"/>
      <c r="DU222" s="147"/>
      <c r="DV222" s="147"/>
      <c r="DW222" s="147"/>
      <c r="DX222" s="147"/>
      <c r="DY222" s="147"/>
      <c r="DZ222" s="147"/>
      <c r="EA222" s="147"/>
      <c r="EB222" s="147"/>
      <c r="EC222" s="147"/>
      <c r="ED222" s="147"/>
      <c r="EE222" s="147"/>
      <c r="EF222" s="147"/>
      <c r="EG222" s="147"/>
      <c r="EH222" s="147"/>
      <c r="EI222" s="147"/>
      <c r="EJ222" s="147"/>
      <c r="EK222" s="147"/>
      <c r="EL222" s="147"/>
      <c r="EM222" s="147"/>
      <c r="EN222" s="147"/>
      <c r="EO222" s="147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  <c r="FH222" s="147"/>
      <c r="FI222" s="147"/>
      <c r="FJ222" s="147"/>
      <c r="FK222" s="147"/>
      <c r="FL222" s="147"/>
      <c r="FM222" s="147"/>
      <c r="FN222" s="147"/>
      <c r="FO222" s="147"/>
      <c r="FP222" s="147"/>
      <c r="FQ222" s="147"/>
      <c r="FR222" s="147"/>
      <c r="FS222" s="147"/>
    </row>
    <row r="223" spans="8:175" x14ac:dyDescent="0.2">
      <c r="H223">
        <v>81</v>
      </c>
      <c r="I223">
        <v>8.3878249052989915</v>
      </c>
      <c r="J223">
        <v>48</v>
      </c>
      <c r="K223">
        <v>46.538761670019674</v>
      </c>
      <c r="L223">
        <v>25.278792549410376</v>
      </c>
      <c r="M223">
        <v>41289.703317334533</v>
      </c>
      <c r="N223">
        <v>7635.2588112086742</v>
      </c>
      <c r="O223">
        <v>8.5408418521895726</v>
      </c>
      <c r="P223">
        <v>48</v>
      </c>
      <c r="Q223">
        <v>47.770076754792562</v>
      </c>
      <c r="R223">
        <v>32.29033455036987</v>
      </c>
      <c r="S223">
        <v>23028.259390403349</v>
      </c>
      <c r="T223">
        <v>5682.0211033344167</v>
      </c>
      <c r="U223" s="147"/>
      <c r="V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147"/>
      <c r="BO223" s="147"/>
      <c r="BP223" s="147"/>
      <c r="BQ223" s="147"/>
      <c r="BR223" s="147"/>
      <c r="BS223" s="147"/>
      <c r="BT223" s="147"/>
      <c r="BU223" s="147"/>
      <c r="BV223" s="147"/>
      <c r="BW223" s="147"/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/>
      <c r="CP223" s="147"/>
      <c r="CQ223" s="147"/>
      <c r="CR223" s="147"/>
      <c r="CS223" s="147"/>
      <c r="CT223" s="147"/>
      <c r="CU223" s="147"/>
      <c r="CV223" s="147"/>
      <c r="CW223" s="147"/>
      <c r="CX223" s="147"/>
      <c r="CY223" s="147"/>
      <c r="CZ223" s="147"/>
      <c r="DA223" s="147"/>
      <c r="DB223" s="147"/>
      <c r="DC223" s="147"/>
      <c r="DD223" s="147"/>
      <c r="DE223" s="147"/>
      <c r="DF223" s="147"/>
      <c r="DG223" s="147"/>
      <c r="DH223" s="147"/>
      <c r="DI223" s="147"/>
      <c r="DJ223" s="147"/>
      <c r="DK223" s="147"/>
      <c r="DL223" s="147"/>
      <c r="DM223" s="147"/>
      <c r="DN223" s="147"/>
      <c r="DO223" s="147"/>
      <c r="DP223" s="147"/>
      <c r="DQ223" s="147"/>
      <c r="DR223" s="147"/>
      <c r="DS223" s="147"/>
      <c r="DT223" s="147"/>
      <c r="DU223" s="147"/>
      <c r="DV223" s="147"/>
      <c r="DW223" s="147"/>
      <c r="DX223" s="147"/>
      <c r="DY223" s="147"/>
      <c r="DZ223" s="147"/>
      <c r="EA223" s="147"/>
      <c r="EB223" s="147"/>
      <c r="EC223" s="147"/>
      <c r="ED223" s="147"/>
      <c r="EE223" s="147"/>
      <c r="EF223" s="147"/>
      <c r="EG223" s="147"/>
      <c r="EH223" s="147"/>
      <c r="EI223" s="147"/>
      <c r="EJ223" s="147"/>
      <c r="EK223" s="147"/>
      <c r="EL223" s="147"/>
      <c r="EM223" s="147"/>
      <c r="EN223" s="147"/>
      <c r="EO223" s="147"/>
      <c r="EP223" s="147"/>
      <c r="EQ223" s="147"/>
      <c r="ER223" s="147"/>
      <c r="ES223" s="147"/>
      <c r="ET223" s="147"/>
      <c r="EU223" s="147"/>
      <c r="EV223" s="147"/>
      <c r="EW223" s="147"/>
      <c r="EX223" s="147"/>
      <c r="EY223" s="147"/>
      <c r="EZ223" s="147"/>
      <c r="FA223" s="147"/>
      <c r="FB223" s="147"/>
      <c r="FC223" s="147"/>
      <c r="FD223" s="147"/>
      <c r="FE223" s="147"/>
      <c r="FF223" s="147"/>
      <c r="FG223" s="147"/>
      <c r="FH223" s="147"/>
      <c r="FI223" s="147"/>
      <c r="FJ223" s="147"/>
      <c r="FK223" s="147"/>
      <c r="FL223" s="147"/>
      <c r="FM223" s="147"/>
      <c r="FN223" s="147"/>
      <c r="FO223" s="147"/>
      <c r="FP223" s="147"/>
      <c r="FQ223" s="147"/>
      <c r="FR223" s="147"/>
      <c r="FS223" s="147"/>
    </row>
    <row r="224" spans="8:175" x14ac:dyDescent="0.2">
      <c r="H224">
        <v>82</v>
      </c>
      <c r="I224">
        <v>10.239868435999334</v>
      </c>
      <c r="J224">
        <v>46</v>
      </c>
      <c r="K224">
        <v>43.332602049520652</v>
      </c>
      <c r="L224">
        <v>24.643552499955941</v>
      </c>
      <c r="M224">
        <v>40267.346622779907</v>
      </c>
      <c r="N224">
        <v>8925.3899595838448</v>
      </c>
      <c r="O224">
        <v>9.540040457510802</v>
      </c>
      <c r="P224">
        <v>46</v>
      </c>
      <c r="Q224">
        <v>45.314309650190232</v>
      </c>
      <c r="R224">
        <v>31.269434931033278</v>
      </c>
      <c r="S224">
        <v>22103.395739010764</v>
      </c>
      <c r="T224">
        <v>5923.6621145067948</v>
      </c>
      <c r="U224" s="147"/>
      <c r="V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</row>
    <row r="225" spans="8:175" x14ac:dyDescent="0.2">
      <c r="H225">
        <v>83</v>
      </c>
      <c r="I225">
        <v>9.4359007618273658</v>
      </c>
      <c r="J225">
        <v>47</v>
      </c>
      <c r="K225">
        <v>45.145899599700265</v>
      </c>
      <c r="L225">
        <v>24.839900191987816</v>
      </c>
      <c r="M225">
        <v>40687.881156413343</v>
      </c>
      <c r="N225">
        <v>8349.3081657393341</v>
      </c>
      <c r="O225">
        <v>9.2609626746571472</v>
      </c>
      <c r="P225">
        <v>47</v>
      </c>
      <c r="Q225">
        <v>46.600012041527663</v>
      </c>
      <c r="R225">
        <v>31.434948379193315</v>
      </c>
      <c r="S225">
        <v>22531.522662716456</v>
      </c>
      <c r="T225">
        <v>5883.8076491728843</v>
      </c>
      <c r="U225" s="147"/>
      <c r="V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  <c r="BL225" s="147"/>
      <c r="BM225" s="147"/>
      <c r="BN225" s="147"/>
      <c r="BO225" s="147"/>
      <c r="BP225" s="147"/>
      <c r="BQ225" s="147"/>
      <c r="BR225" s="147"/>
      <c r="BS225" s="147"/>
      <c r="BT225" s="147"/>
      <c r="BU225" s="147"/>
      <c r="BV225" s="147"/>
      <c r="BW225" s="147"/>
      <c r="BX225" s="147"/>
      <c r="BY225" s="147"/>
      <c r="BZ225" s="147"/>
      <c r="CA225" s="147"/>
      <c r="CB225" s="147"/>
      <c r="CC225" s="147"/>
      <c r="CD225" s="147"/>
      <c r="CE225" s="147"/>
      <c r="CF225" s="147"/>
      <c r="CG225" s="147"/>
      <c r="CH225" s="147"/>
      <c r="CI225" s="147"/>
      <c r="CJ225" s="147"/>
      <c r="CK225" s="147"/>
      <c r="CL225" s="147"/>
      <c r="CM225" s="147"/>
      <c r="CN225" s="147"/>
      <c r="CO225" s="147"/>
      <c r="CP225" s="147"/>
      <c r="CQ225" s="147"/>
      <c r="CR225" s="147"/>
      <c r="CS225" s="147"/>
      <c r="CT225" s="147"/>
      <c r="CU225" s="147"/>
      <c r="CV225" s="147"/>
      <c r="CW225" s="147"/>
      <c r="CX225" s="147"/>
      <c r="CY225" s="147"/>
      <c r="CZ225" s="147"/>
      <c r="DA225" s="147"/>
      <c r="DB225" s="147"/>
      <c r="DC225" s="147"/>
      <c r="DD225" s="147"/>
      <c r="DE225" s="147"/>
      <c r="DF225" s="147"/>
      <c r="DG225" s="147"/>
      <c r="DH225" s="147"/>
      <c r="DI225" s="147"/>
      <c r="DJ225" s="147"/>
      <c r="DK225" s="147"/>
      <c r="DL225" s="147"/>
      <c r="DM225" s="147"/>
      <c r="DN225" s="147"/>
      <c r="DO225" s="147"/>
      <c r="DP225" s="147"/>
      <c r="DQ225" s="147"/>
      <c r="DR225" s="147"/>
      <c r="DS225" s="147"/>
      <c r="DT225" s="147"/>
      <c r="DU225" s="147"/>
      <c r="DV225" s="147"/>
      <c r="DW225" s="147"/>
      <c r="DX225" s="147"/>
      <c r="DY225" s="147"/>
      <c r="DZ225" s="147"/>
      <c r="EA225" s="147"/>
      <c r="EB225" s="147"/>
      <c r="EC225" s="147"/>
      <c r="ED225" s="147"/>
      <c r="EE225" s="147"/>
      <c r="EF225" s="147"/>
      <c r="EG225" s="147"/>
      <c r="EH225" s="147"/>
      <c r="EI225" s="147"/>
      <c r="EJ225" s="147"/>
      <c r="EK225" s="147"/>
      <c r="EL225" s="147"/>
      <c r="EM225" s="147"/>
      <c r="EN225" s="147"/>
      <c r="EO225" s="147"/>
      <c r="EP225" s="147"/>
      <c r="EQ225" s="147"/>
      <c r="ER225" s="147"/>
      <c r="ES225" s="147"/>
      <c r="ET225" s="147"/>
      <c r="EU225" s="147"/>
      <c r="EV225" s="147"/>
      <c r="EW225" s="147"/>
      <c r="EX225" s="147"/>
      <c r="EY225" s="147"/>
      <c r="EZ225" s="147"/>
      <c r="FA225" s="147"/>
      <c r="FB225" s="147"/>
      <c r="FC225" s="147"/>
      <c r="FD225" s="147"/>
      <c r="FE225" s="147"/>
      <c r="FF225" s="147"/>
      <c r="FG225" s="147"/>
      <c r="FH225" s="147"/>
      <c r="FI225" s="147"/>
      <c r="FJ225" s="147"/>
      <c r="FK225" s="147"/>
      <c r="FL225" s="147"/>
      <c r="FM225" s="147"/>
      <c r="FN225" s="147"/>
      <c r="FO225" s="147"/>
      <c r="FP225" s="147"/>
      <c r="FQ225" s="147"/>
      <c r="FR225" s="147"/>
      <c r="FS225" s="147"/>
    </row>
    <row r="226" spans="8:175" x14ac:dyDescent="0.2">
      <c r="H226">
        <v>84</v>
      </c>
      <c r="I226">
        <v>10.203510436556208</v>
      </c>
      <c r="J226">
        <v>47</v>
      </c>
      <c r="K226">
        <v>44.997868031629295</v>
      </c>
      <c r="L226">
        <v>24.886365615471099</v>
      </c>
      <c r="M226">
        <v>40083.870889576006</v>
      </c>
      <c r="N226">
        <v>8947.8602542718581</v>
      </c>
      <c r="O226">
        <v>9.8271906859238811</v>
      </c>
      <c r="P226">
        <v>47</v>
      </c>
      <c r="Q226">
        <v>46.458384671402584</v>
      </c>
      <c r="R226">
        <v>31.364989338229456</v>
      </c>
      <c r="S226">
        <v>22167.866041254372</v>
      </c>
      <c r="T226">
        <v>6154.4840860696186</v>
      </c>
      <c r="U226" s="147"/>
      <c r="V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</row>
    <row r="227" spans="8:175" x14ac:dyDescent="0.2">
      <c r="H227">
        <v>85</v>
      </c>
      <c r="I227">
        <v>9.2123585825197196</v>
      </c>
      <c r="J227">
        <v>48</v>
      </c>
      <c r="K227">
        <v>45.492924871215223</v>
      </c>
      <c r="L227">
        <v>24.657265741453372</v>
      </c>
      <c r="M227">
        <v>40910.118775786024</v>
      </c>
      <c r="N227">
        <v>8120.8575236382094</v>
      </c>
      <c r="O227">
        <v>9.0169404224768268</v>
      </c>
      <c r="P227">
        <v>48</v>
      </c>
      <c r="Q227">
        <v>47.496199246619774</v>
      </c>
      <c r="R227">
        <v>32.281260249007275</v>
      </c>
      <c r="S227">
        <v>22404.815807064042</v>
      </c>
      <c r="T227">
        <v>5857.2658455854034</v>
      </c>
      <c r="U227" s="147"/>
      <c r="V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  <c r="BJ227" s="147"/>
      <c r="BK227" s="147"/>
      <c r="BL227" s="147"/>
      <c r="BM227" s="147"/>
      <c r="BN227" s="147"/>
      <c r="BO227" s="147"/>
      <c r="BP227" s="147"/>
      <c r="BQ227" s="147"/>
      <c r="BR227" s="147"/>
      <c r="BS227" s="147"/>
      <c r="BT227" s="147"/>
      <c r="BU227" s="147"/>
      <c r="BV227" s="147"/>
      <c r="BW227" s="147"/>
      <c r="BX227" s="147"/>
      <c r="BY227" s="147"/>
      <c r="BZ227" s="147"/>
      <c r="CA227" s="147"/>
      <c r="CB227" s="147"/>
      <c r="CC227" s="147"/>
      <c r="CD227" s="147"/>
      <c r="CE227" s="147"/>
      <c r="CF227" s="147"/>
      <c r="CG227" s="147"/>
      <c r="CH227" s="147"/>
      <c r="CI227" s="147"/>
      <c r="CJ227" s="147"/>
      <c r="CK227" s="147"/>
      <c r="CL227" s="147"/>
      <c r="CM227" s="147"/>
      <c r="CN227" s="147"/>
      <c r="CO227" s="147"/>
      <c r="CP227" s="147"/>
      <c r="CQ227" s="147"/>
      <c r="CR227" s="147"/>
      <c r="CS227" s="147"/>
      <c r="CT227" s="147"/>
      <c r="CU227" s="147"/>
      <c r="CV227" s="147"/>
      <c r="CW227" s="147"/>
      <c r="CX227" s="147"/>
      <c r="CY227" s="147"/>
      <c r="CZ227" s="147"/>
      <c r="DA227" s="147"/>
      <c r="DB227" s="147"/>
      <c r="DC227" s="147"/>
      <c r="DD227" s="147"/>
      <c r="DE227" s="147"/>
      <c r="DF227" s="147"/>
      <c r="DG227" s="147"/>
      <c r="DH227" s="147"/>
      <c r="DI227" s="147"/>
      <c r="DJ227" s="147"/>
      <c r="DK227" s="147"/>
      <c r="DL227" s="147"/>
      <c r="DM227" s="147"/>
      <c r="DN227" s="147"/>
      <c r="DO227" s="147"/>
      <c r="DP227" s="147"/>
      <c r="DQ227" s="147"/>
      <c r="DR227" s="147"/>
      <c r="DS227" s="147"/>
      <c r="DT227" s="147"/>
      <c r="DU227" s="147"/>
      <c r="DV227" s="147"/>
      <c r="DW227" s="147"/>
      <c r="DX227" s="147"/>
      <c r="DY227" s="147"/>
      <c r="DZ227" s="147"/>
      <c r="EA227" s="147"/>
      <c r="EB227" s="147"/>
      <c r="EC227" s="147"/>
      <c r="ED227" s="147"/>
      <c r="EE227" s="147"/>
      <c r="EF227" s="147"/>
      <c r="EG227" s="147"/>
      <c r="EH227" s="147"/>
      <c r="EI227" s="147"/>
      <c r="EJ227" s="147"/>
      <c r="EK227" s="147"/>
      <c r="EL227" s="147"/>
      <c r="EM227" s="147"/>
      <c r="EN227" s="147"/>
      <c r="EO227" s="147"/>
      <c r="EP227" s="147"/>
      <c r="EQ227" s="147"/>
      <c r="ER227" s="147"/>
      <c r="ES227" s="147"/>
      <c r="ET227" s="147"/>
      <c r="EU227" s="147"/>
      <c r="EV227" s="147"/>
      <c r="EW227" s="147"/>
      <c r="EX227" s="147"/>
      <c r="EY227" s="147"/>
      <c r="EZ227" s="147"/>
      <c r="FA227" s="147"/>
      <c r="FB227" s="147"/>
      <c r="FC227" s="147"/>
      <c r="FD227" s="147"/>
      <c r="FE227" s="147"/>
      <c r="FF227" s="147"/>
      <c r="FG227" s="147"/>
      <c r="FH227" s="147"/>
      <c r="FI227" s="147"/>
      <c r="FJ227" s="147"/>
      <c r="FK227" s="147"/>
      <c r="FL227" s="147"/>
      <c r="FM227" s="147"/>
      <c r="FN227" s="147"/>
      <c r="FO227" s="147"/>
      <c r="FP227" s="147"/>
      <c r="FQ227" s="147"/>
      <c r="FR227" s="147"/>
      <c r="FS227" s="147"/>
    </row>
    <row r="228" spans="8:175" x14ac:dyDescent="0.2">
      <c r="H228">
        <v>86</v>
      </c>
      <c r="I228">
        <v>-26.127722909005936</v>
      </c>
      <c r="J228">
        <v>49</v>
      </c>
      <c r="K228">
        <v>45.97107114237005</v>
      </c>
      <c r="L228">
        <v>21.662505186658287</v>
      </c>
      <c r="M228">
        <v>23155.617398913917</v>
      </c>
      <c r="N228">
        <v>0</v>
      </c>
      <c r="O228">
        <v>-66.165201784452293</v>
      </c>
      <c r="P228">
        <v>49</v>
      </c>
      <c r="Q228">
        <v>47.999999999999972</v>
      </c>
      <c r="R228">
        <v>22.928287476359642</v>
      </c>
      <c r="S228">
        <v>2764.1826984894774</v>
      </c>
      <c r="T228">
        <v>0</v>
      </c>
      <c r="U228" s="147"/>
      <c r="V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  <c r="BI228" s="147"/>
      <c r="BJ228" s="147"/>
      <c r="BK228" s="147"/>
      <c r="BL228" s="147"/>
      <c r="BM228" s="147"/>
      <c r="BN228" s="147"/>
      <c r="BO228" s="147"/>
      <c r="BP228" s="147"/>
      <c r="BQ228" s="147"/>
      <c r="BR228" s="147"/>
      <c r="BS228" s="147"/>
      <c r="BT228" s="147"/>
      <c r="BU228" s="147"/>
      <c r="BV228" s="147"/>
      <c r="BW228" s="147"/>
      <c r="BX228" s="147"/>
      <c r="BY228" s="147"/>
      <c r="BZ228" s="147"/>
      <c r="CA228" s="147"/>
      <c r="CB228" s="147"/>
      <c r="CC228" s="147"/>
      <c r="CD228" s="147"/>
      <c r="CE228" s="147"/>
      <c r="CF228" s="147"/>
      <c r="CG228" s="147"/>
      <c r="CH228" s="147"/>
      <c r="CI228" s="147"/>
      <c r="CJ228" s="147"/>
      <c r="CK228" s="147"/>
      <c r="CL228" s="147"/>
      <c r="CM228" s="147"/>
      <c r="CN228" s="147"/>
      <c r="CO228" s="147"/>
      <c r="CP228" s="147"/>
      <c r="CQ228" s="147"/>
      <c r="CR228" s="147"/>
      <c r="CS228" s="147"/>
      <c r="CT228" s="147"/>
      <c r="CU228" s="147"/>
      <c r="CV228" s="147"/>
      <c r="CW228" s="147"/>
      <c r="CX228" s="147"/>
      <c r="CY228" s="147"/>
      <c r="CZ228" s="147"/>
      <c r="DA228" s="147"/>
      <c r="DB228" s="147"/>
      <c r="DC228" s="147"/>
      <c r="DD228" s="147"/>
      <c r="DE228" s="147"/>
      <c r="DF228" s="147"/>
      <c r="DG228" s="147"/>
      <c r="DH228" s="147"/>
      <c r="DI228" s="147"/>
      <c r="DJ228" s="147"/>
      <c r="DK228" s="147"/>
      <c r="DL228" s="147"/>
      <c r="DM228" s="147"/>
      <c r="DN228" s="147"/>
      <c r="DO228" s="147"/>
      <c r="DP228" s="147"/>
      <c r="DQ228" s="147"/>
      <c r="DR228" s="147"/>
      <c r="DS228" s="147"/>
      <c r="DT228" s="147"/>
      <c r="DU228" s="147"/>
      <c r="DV228" s="147"/>
      <c r="DW228" s="147"/>
      <c r="DX228" s="147"/>
      <c r="DY228" s="147"/>
      <c r="DZ228" s="147"/>
      <c r="EA228" s="147"/>
      <c r="EB228" s="147"/>
      <c r="EC228" s="147"/>
      <c r="ED228" s="147"/>
      <c r="EE228" s="147"/>
      <c r="EF228" s="147"/>
      <c r="EG228" s="147"/>
      <c r="EH228" s="147"/>
      <c r="EI228" s="147"/>
      <c r="EJ228" s="147"/>
      <c r="EK228" s="147"/>
      <c r="EL228" s="147"/>
      <c r="EM228" s="147"/>
      <c r="EN228" s="147"/>
      <c r="EO228" s="147"/>
      <c r="EP228" s="147"/>
      <c r="EQ228" s="147"/>
      <c r="ER228" s="147"/>
      <c r="ES228" s="147"/>
      <c r="ET228" s="147"/>
      <c r="EU228" s="147"/>
      <c r="EV228" s="147"/>
      <c r="EW228" s="147"/>
      <c r="EX228" s="147"/>
      <c r="EY228" s="147"/>
      <c r="EZ228" s="147"/>
      <c r="FA228" s="147"/>
      <c r="FB228" s="147"/>
      <c r="FC228" s="147"/>
      <c r="FD228" s="147"/>
      <c r="FE228" s="147"/>
      <c r="FF228" s="147"/>
      <c r="FG228" s="147"/>
      <c r="FH228" s="147"/>
      <c r="FI228" s="147"/>
      <c r="FJ228" s="147"/>
      <c r="FK228" s="147"/>
      <c r="FL228" s="147"/>
      <c r="FM228" s="147"/>
      <c r="FN228" s="147"/>
      <c r="FO228" s="147"/>
      <c r="FP228" s="147"/>
      <c r="FQ228" s="147"/>
      <c r="FR228" s="147"/>
      <c r="FS228" s="147"/>
    </row>
    <row r="229" spans="8:175" x14ac:dyDescent="0.2">
      <c r="H229">
        <v>87</v>
      </c>
      <c r="I229">
        <v>-20.172291149035726</v>
      </c>
      <c r="J229">
        <v>49</v>
      </c>
      <c r="K229">
        <v>46.403594944716929</v>
      </c>
      <c r="L229">
        <v>23.695828090591064</v>
      </c>
      <c r="M229">
        <v>25614.029205987728</v>
      </c>
      <c r="N229">
        <v>0</v>
      </c>
      <c r="O229">
        <v>-45.224167379179129</v>
      </c>
      <c r="P229">
        <v>49</v>
      </c>
      <c r="Q229">
        <v>48.000000000000014</v>
      </c>
      <c r="R229">
        <v>29.180497954201915</v>
      </c>
      <c r="S229">
        <v>5020.6107230961106</v>
      </c>
      <c r="T229">
        <v>0</v>
      </c>
      <c r="U229" s="147"/>
      <c r="V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  <c r="BI229" s="147"/>
      <c r="BJ229" s="147"/>
      <c r="BK229" s="147"/>
      <c r="BL229" s="147"/>
      <c r="BM229" s="147"/>
      <c r="BN229" s="147"/>
      <c r="BO229" s="147"/>
      <c r="BP229" s="147"/>
      <c r="BQ229" s="147"/>
      <c r="BR229" s="147"/>
      <c r="BS229" s="147"/>
      <c r="BT229" s="147"/>
      <c r="BU229" s="147"/>
      <c r="BV229" s="147"/>
      <c r="BW229" s="147"/>
      <c r="BX229" s="147"/>
      <c r="BY229" s="147"/>
      <c r="BZ229" s="147"/>
      <c r="CA229" s="147"/>
      <c r="CB229" s="147"/>
      <c r="CC229" s="147"/>
      <c r="CD229" s="147"/>
      <c r="CE229" s="147"/>
      <c r="CF229" s="147"/>
      <c r="CG229" s="147"/>
      <c r="CH229" s="147"/>
      <c r="CI229" s="147"/>
      <c r="CJ229" s="147"/>
      <c r="CK229" s="147"/>
      <c r="CL229" s="147"/>
      <c r="CM229" s="147"/>
      <c r="CN229" s="147"/>
      <c r="CO229" s="147"/>
      <c r="CP229" s="147"/>
      <c r="CQ229" s="147"/>
      <c r="CR229" s="147"/>
      <c r="CS229" s="147"/>
      <c r="CT229" s="147"/>
      <c r="CU229" s="147"/>
      <c r="CV229" s="147"/>
      <c r="CW229" s="147"/>
      <c r="CX229" s="147"/>
      <c r="CY229" s="147"/>
      <c r="CZ229" s="147"/>
      <c r="DA229" s="147"/>
      <c r="DB229" s="147"/>
      <c r="DC229" s="147"/>
      <c r="DD229" s="147"/>
      <c r="DE229" s="147"/>
      <c r="DF229" s="147"/>
      <c r="DG229" s="147"/>
      <c r="DH229" s="147"/>
      <c r="DI229" s="147"/>
      <c r="DJ229" s="147"/>
      <c r="DK229" s="147"/>
      <c r="DL229" s="147"/>
      <c r="DM229" s="147"/>
      <c r="DN229" s="147"/>
      <c r="DO229" s="147"/>
      <c r="DP229" s="147"/>
      <c r="DQ229" s="147"/>
      <c r="DR229" s="147"/>
      <c r="DS229" s="147"/>
      <c r="DT229" s="147"/>
      <c r="DU229" s="147"/>
      <c r="DV229" s="147"/>
      <c r="DW229" s="147"/>
      <c r="DX229" s="147"/>
      <c r="DY229" s="147"/>
      <c r="DZ229" s="147"/>
      <c r="EA229" s="147"/>
      <c r="EB229" s="147"/>
      <c r="EC229" s="147"/>
      <c r="ED229" s="147"/>
      <c r="EE229" s="147"/>
      <c r="EF229" s="147"/>
      <c r="EG229" s="147"/>
      <c r="EH229" s="147"/>
      <c r="EI229" s="147"/>
      <c r="EJ229" s="147"/>
      <c r="EK229" s="147"/>
      <c r="EL229" s="147"/>
      <c r="EM229" s="147"/>
      <c r="EN229" s="147"/>
      <c r="EO229" s="147"/>
      <c r="EP229" s="147"/>
      <c r="EQ229" s="147"/>
      <c r="ER229" s="147"/>
      <c r="ES229" s="147"/>
      <c r="ET229" s="147"/>
      <c r="EU229" s="147"/>
      <c r="EV229" s="147"/>
      <c r="EW229" s="147"/>
      <c r="EX229" s="147"/>
      <c r="EY229" s="147"/>
      <c r="EZ229" s="147"/>
      <c r="FA229" s="147"/>
      <c r="FB229" s="147"/>
      <c r="FC229" s="147"/>
      <c r="FD229" s="147"/>
      <c r="FE229" s="147"/>
      <c r="FF229" s="147"/>
      <c r="FG229" s="147"/>
      <c r="FH229" s="147"/>
      <c r="FI229" s="147"/>
      <c r="FJ229" s="147"/>
      <c r="FK229" s="147"/>
      <c r="FL229" s="147"/>
      <c r="FM229" s="147"/>
      <c r="FN229" s="147"/>
      <c r="FO229" s="147"/>
      <c r="FP229" s="147"/>
      <c r="FQ229" s="147"/>
      <c r="FR229" s="147"/>
      <c r="FS229" s="147"/>
    </row>
    <row r="230" spans="8:175" x14ac:dyDescent="0.2">
      <c r="H230">
        <v>88</v>
      </c>
      <c r="I230">
        <v>9.5422556302238171</v>
      </c>
      <c r="J230">
        <v>47</v>
      </c>
      <c r="K230">
        <v>44.759610478579162</v>
      </c>
      <c r="L230">
        <v>23.979893169127845</v>
      </c>
      <c r="M230">
        <v>40803.689358217402</v>
      </c>
      <c r="N230">
        <v>8151.2446634227381</v>
      </c>
      <c r="O230">
        <v>10.058976237291816</v>
      </c>
      <c r="P230">
        <v>47</v>
      </c>
      <c r="Q230">
        <v>46.526448016168459</v>
      </c>
      <c r="R230">
        <v>31.691424630150227</v>
      </c>
      <c r="S230">
        <v>22088.806393684379</v>
      </c>
      <c r="T230">
        <v>6362.5591619587067</v>
      </c>
      <c r="U230" s="147"/>
      <c r="V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  <c r="BI230" s="147"/>
      <c r="BJ230" s="147"/>
      <c r="BK230" s="147"/>
      <c r="BL230" s="147"/>
      <c r="BM230" s="147"/>
      <c r="BN230" s="147"/>
      <c r="BO230" s="147"/>
      <c r="BP230" s="147"/>
      <c r="BQ230" s="147"/>
      <c r="BR230" s="147"/>
      <c r="BS230" s="147"/>
      <c r="BT230" s="147"/>
      <c r="BU230" s="147"/>
      <c r="BV230" s="147"/>
      <c r="BW230" s="147"/>
      <c r="BX230" s="147"/>
      <c r="BY230" s="147"/>
      <c r="BZ230" s="147"/>
      <c r="CA230" s="147"/>
      <c r="CB230" s="147"/>
      <c r="CC230" s="147"/>
      <c r="CD230" s="147"/>
      <c r="CE230" s="147"/>
      <c r="CF230" s="147"/>
      <c r="CG230" s="147"/>
      <c r="CH230" s="147"/>
      <c r="CI230" s="147"/>
      <c r="CJ230" s="147"/>
      <c r="CK230" s="147"/>
      <c r="CL230" s="147"/>
      <c r="CM230" s="147"/>
      <c r="CN230" s="147"/>
      <c r="CO230" s="147"/>
      <c r="CP230" s="147"/>
      <c r="CQ230" s="147"/>
      <c r="CR230" s="147"/>
      <c r="CS230" s="147"/>
      <c r="CT230" s="147"/>
      <c r="CU230" s="147"/>
      <c r="CV230" s="147"/>
      <c r="CW230" s="147"/>
      <c r="CX230" s="147"/>
      <c r="CY230" s="147"/>
      <c r="CZ230" s="147"/>
      <c r="DA230" s="147"/>
      <c r="DB230" s="147"/>
      <c r="DC230" s="147"/>
      <c r="DD230" s="147"/>
      <c r="DE230" s="147"/>
      <c r="DF230" s="147"/>
      <c r="DG230" s="147"/>
      <c r="DH230" s="147"/>
      <c r="DI230" s="147"/>
      <c r="DJ230" s="147"/>
      <c r="DK230" s="147"/>
      <c r="DL230" s="147"/>
      <c r="DM230" s="147"/>
      <c r="DN230" s="147"/>
      <c r="DO230" s="147"/>
      <c r="DP230" s="147"/>
      <c r="DQ230" s="147"/>
      <c r="DR230" s="147"/>
      <c r="DS230" s="147"/>
      <c r="DT230" s="147"/>
      <c r="DU230" s="147"/>
      <c r="DV230" s="147"/>
      <c r="DW230" s="147"/>
      <c r="DX230" s="147"/>
      <c r="DY230" s="147"/>
      <c r="DZ230" s="147"/>
      <c r="EA230" s="147"/>
      <c r="EB230" s="147"/>
      <c r="EC230" s="147"/>
      <c r="ED230" s="147"/>
      <c r="EE230" s="147"/>
      <c r="EF230" s="147"/>
      <c r="EG230" s="147"/>
      <c r="EH230" s="147"/>
      <c r="EI230" s="147"/>
      <c r="EJ230" s="147"/>
      <c r="EK230" s="147"/>
      <c r="EL230" s="147"/>
      <c r="EM230" s="147"/>
      <c r="EN230" s="147"/>
      <c r="EO230" s="147"/>
      <c r="EP230" s="147"/>
      <c r="EQ230" s="147"/>
      <c r="ER230" s="147"/>
      <c r="ES230" s="147"/>
      <c r="ET230" s="147"/>
      <c r="EU230" s="147"/>
      <c r="EV230" s="147"/>
      <c r="EW230" s="147"/>
      <c r="EX230" s="147"/>
      <c r="EY230" s="147"/>
      <c r="EZ230" s="147"/>
      <c r="FA230" s="147"/>
      <c r="FB230" s="147"/>
      <c r="FC230" s="147"/>
      <c r="FD230" s="147"/>
      <c r="FE230" s="147"/>
      <c r="FF230" s="147"/>
      <c r="FG230" s="147"/>
      <c r="FH230" s="147"/>
      <c r="FI230" s="147"/>
      <c r="FJ230" s="147"/>
      <c r="FK230" s="147"/>
      <c r="FL230" s="147"/>
      <c r="FM230" s="147"/>
      <c r="FN230" s="147"/>
      <c r="FO230" s="147"/>
      <c r="FP230" s="147"/>
      <c r="FQ230" s="147"/>
      <c r="FR230" s="147"/>
      <c r="FS230" s="147"/>
    </row>
    <row r="231" spans="8:175" x14ac:dyDescent="0.2">
      <c r="H231">
        <v>89</v>
      </c>
      <c r="I231">
        <v>10.441713490250093</v>
      </c>
      <c r="J231">
        <v>43</v>
      </c>
      <c r="K231">
        <v>40.769275754147102</v>
      </c>
      <c r="L231">
        <v>23.301387508633471</v>
      </c>
      <c r="M231">
        <v>40567.675704794019</v>
      </c>
      <c r="N231">
        <v>8628.9465110663223</v>
      </c>
      <c r="O231">
        <v>10.494183172242778</v>
      </c>
      <c r="P231">
        <v>43</v>
      </c>
      <c r="Q231">
        <v>42.527082070700921</v>
      </c>
      <c r="R231">
        <v>28.844727485323617</v>
      </c>
      <c r="S231">
        <v>22520.059465857001</v>
      </c>
      <c r="T231">
        <v>6104.9520008734107</v>
      </c>
      <c r="U231" s="147"/>
      <c r="V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  <c r="BI231" s="147"/>
      <c r="BJ231" s="147"/>
      <c r="BK231" s="147"/>
      <c r="BL231" s="147"/>
      <c r="BM231" s="147"/>
      <c r="BN231" s="147"/>
      <c r="BO231" s="147"/>
      <c r="BP231" s="147"/>
      <c r="BQ231" s="147"/>
      <c r="BR231" s="147"/>
      <c r="BS231" s="147"/>
      <c r="BT231" s="147"/>
      <c r="BU231" s="147"/>
      <c r="BV231" s="147"/>
      <c r="BW231" s="147"/>
      <c r="BX231" s="147"/>
      <c r="BY231" s="147"/>
      <c r="BZ231" s="147"/>
      <c r="CA231" s="147"/>
      <c r="CB231" s="147"/>
      <c r="CC231" s="147"/>
      <c r="CD231" s="147"/>
      <c r="CE231" s="147"/>
      <c r="CF231" s="147"/>
      <c r="CG231" s="147"/>
      <c r="CH231" s="147"/>
      <c r="CI231" s="147"/>
      <c r="CJ231" s="147"/>
      <c r="CK231" s="147"/>
      <c r="CL231" s="147"/>
      <c r="CM231" s="147"/>
      <c r="CN231" s="147"/>
      <c r="CO231" s="147"/>
      <c r="CP231" s="147"/>
      <c r="CQ231" s="147"/>
      <c r="CR231" s="147"/>
      <c r="CS231" s="147"/>
      <c r="CT231" s="147"/>
      <c r="CU231" s="147"/>
      <c r="CV231" s="147"/>
      <c r="CW231" s="147"/>
      <c r="CX231" s="147"/>
      <c r="CY231" s="147"/>
      <c r="CZ231" s="147"/>
      <c r="DA231" s="147"/>
      <c r="DB231" s="147"/>
      <c r="DC231" s="147"/>
      <c r="DD231" s="147"/>
      <c r="DE231" s="147"/>
      <c r="DF231" s="147"/>
      <c r="DG231" s="147"/>
      <c r="DH231" s="147"/>
      <c r="DI231" s="147"/>
      <c r="DJ231" s="147"/>
      <c r="DK231" s="147"/>
      <c r="DL231" s="147"/>
      <c r="DM231" s="147"/>
      <c r="DN231" s="147"/>
      <c r="DO231" s="147"/>
      <c r="DP231" s="147"/>
      <c r="DQ231" s="147"/>
      <c r="DR231" s="147"/>
      <c r="DS231" s="147"/>
      <c r="DT231" s="147"/>
      <c r="DU231" s="147"/>
      <c r="DV231" s="147"/>
      <c r="DW231" s="147"/>
      <c r="DX231" s="147"/>
      <c r="DY231" s="147"/>
      <c r="DZ231" s="147"/>
      <c r="EA231" s="147"/>
      <c r="EB231" s="147"/>
      <c r="EC231" s="147"/>
      <c r="ED231" s="147"/>
      <c r="EE231" s="147"/>
      <c r="EF231" s="147"/>
      <c r="EG231" s="147"/>
      <c r="EH231" s="147"/>
      <c r="EI231" s="147"/>
      <c r="EJ231" s="147"/>
      <c r="EK231" s="147"/>
      <c r="EL231" s="147"/>
      <c r="EM231" s="147"/>
      <c r="EN231" s="147"/>
      <c r="EO231" s="147"/>
      <c r="EP231" s="147"/>
      <c r="EQ231" s="147"/>
      <c r="ER231" s="147"/>
      <c r="ES231" s="147"/>
      <c r="ET231" s="147"/>
      <c r="EU231" s="147"/>
      <c r="EV231" s="147"/>
      <c r="EW231" s="147"/>
      <c r="EX231" s="147"/>
      <c r="EY231" s="147"/>
      <c r="EZ231" s="147"/>
      <c r="FA231" s="147"/>
      <c r="FB231" s="147"/>
      <c r="FC231" s="147"/>
      <c r="FD231" s="147"/>
      <c r="FE231" s="147"/>
      <c r="FF231" s="147"/>
      <c r="FG231" s="147"/>
      <c r="FH231" s="147"/>
      <c r="FI231" s="147"/>
      <c r="FJ231" s="147"/>
      <c r="FK231" s="147"/>
      <c r="FL231" s="147"/>
      <c r="FM231" s="147"/>
      <c r="FN231" s="147"/>
      <c r="FO231" s="147"/>
      <c r="FP231" s="147"/>
      <c r="FQ231" s="147"/>
      <c r="FR231" s="147"/>
      <c r="FS231" s="147"/>
    </row>
    <row r="232" spans="8:175" x14ac:dyDescent="0.2">
      <c r="H232">
        <v>90</v>
      </c>
      <c r="I232">
        <v>9.5669697322051448</v>
      </c>
      <c r="J232">
        <v>44</v>
      </c>
      <c r="K232">
        <v>42.224011780279881</v>
      </c>
      <c r="L232">
        <v>23.984488391705558</v>
      </c>
      <c r="M232">
        <v>40917.722183156919</v>
      </c>
      <c r="N232">
        <v>8197.8784416719136</v>
      </c>
      <c r="O232">
        <v>9.6376993702630429</v>
      </c>
      <c r="P232">
        <v>44</v>
      </c>
      <c r="Q232">
        <v>43.680222412365964</v>
      </c>
      <c r="R232">
        <v>29.28925081925335</v>
      </c>
      <c r="S232">
        <v>23000.467721019177</v>
      </c>
      <c r="T232">
        <v>5791.3883304869487</v>
      </c>
      <c r="U232" s="147"/>
      <c r="V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  <c r="BI232" s="147"/>
      <c r="BJ232" s="147"/>
      <c r="BK232" s="147"/>
      <c r="BL232" s="147"/>
      <c r="BM232" s="147"/>
      <c r="BN232" s="147"/>
      <c r="BO232" s="147"/>
      <c r="BP232" s="147"/>
      <c r="BQ232" s="147"/>
      <c r="BR232" s="147"/>
      <c r="BS232" s="147"/>
      <c r="BT232" s="147"/>
      <c r="BU232" s="147"/>
      <c r="BV232" s="147"/>
      <c r="BW232" s="147"/>
      <c r="BX232" s="147"/>
      <c r="BY232" s="147"/>
      <c r="BZ232" s="147"/>
      <c r="CA232" s="147"/>
      <c r="CB232" s="147"/>
      <c r="CC232" s="147"/>
      <c r="CD232" s="147"/>
      <c r="CE232" s="147"/>
      <c r="CF232" s="147"/>
      <c r="CG232" s="147"/>
      <c r="CH232" s="147"/>
      <c r="CI232" s="147"/>
      <c r="CJ232" s="147"/>
      <c r="CK232" s="147"/>
      <c r="CL232" s="147"/>
      <c r="CM232" s="147"/>
      <c r="CN232" s="147"/>
      <c r="CO232" s="147"/>
      <c r="CP232" s="147"/>
      <c r="CQ232" s="147"/>
      <c r="CR232" s="147"/>
      <c r="CS232" s="147"/>
      <c r="CT232" s="147"/>
      <c r="CU232" s="147"/>
      <c r="CV232" s="147"/>
      <c r="CW232" s="147"/>
      <c r="CX232" s="147"/>
      <c r="CY232" s="147"/>
      <c r="CZ232" s="147"/>
      <c r="DA232" s="147"/>
      <c r="DB232" s="147"/>
      <c r="DC232" s="147"/>
      <c r="DD232" s="147"/>
      <c r="DE232" s="147"/>
      <c r="DF232" s="147"/>
      <c r="DG232" s="147"/>
      <c r="DH232" s="147"/>
      <c r="DI232" s="147"/>
      <c r="DJ232" s="147"/>
      <c r="DK232" s="147"/>
      <c r="DL232" s="147"/>
      <c r="DM232" s="147"/>
      <c r="DN232" s="147"/>
      <c r="DO232" s="147"/>
      <c r="DP232" s="147"/>
      <c r="DQ232" s="147"/>
      <c r="DR232" s="147"/>
      <c r="DS232" s="147"/>
      <c r="DT232" s="147"/>
      <c r="DU232" s="147"/>
      <c r="DV232" s="147"/>
      <c r="DW232" s="147"/>
      <c r="DX232" s="147"/>
      <c r="DY232" s="147"/>
      <c r="DZ232" s="147"/>
      <c r="EA232" s="147"/>
      <c r="EB232" s="147"/>
      <c r="EC232" s="147"/>
      <c r="ED232" s="147"/>
      <c r="EE232" s="147"/>
      <c r="EF232" s="147"/>
      <c r="EG232" s="147"/>
      <c r="EH232" s="147"/>
      <c r="EI232" s="147"/>
      <c r="EJ232" s="147"/>
      <c r="EK232" s="147"/>
      <c r="EL232" s="147"/>
      <c r="EM232" s="147"/>
      <c r="EN232" s="147"/>
      <c r="EO232" s="147"/>
      <c r="EP232" s="147"/>
      <c r="EQ232" s="147"/>
      <c r="ER232" s="147"/>
      <c r="ES232" s="147"/>
      <c r="ET232" s="147"/>
      <c r="EU232" s="147"/>
      <c r="EV232" s="147"/>
      <c r="EW232" s="147"/>
      <c r="EX232" s="147"/>
      <c r="EY232" s="147"/>
      <c r="EZ232" s="147"/>
      <c r="FA232" s="147"/>
      <c r="FB232" s="147"/>
      <c r="FC232" s="147"/>
      <c r="FD232" s="147"/>
      <c r="FE232" s="147"/>
      <c r="FF232" s="147"/>
      <c r="FG232" s="147"/>
      <c r="FH232" s="147"/>
      <c r="FI232" s="147"/>
      <c r="FJ232" s="147"/>
      <c r="FK232" s="147"/>
      <c r="FL232" s="147"/>
      <c r="FM232" s="147"/>
      <c r="FN232" s="147"/>
      <c r="FO232" s="147"/>
      <c r="FP232" s="147"/>
      <c r="FQ232" s="147"/>
      <c r="FR232" s="147"/>
      <c r="FS232" s="147"/>
    </row>
    <row r="233" spans="8:175" x14ac:dyDescent="0.2">
      <c r="H233">
        <v>91</v>
      </c>
      <c r="I233">
        <v>-26.069297163013992</v>
      </c>
      <c r="J233">
        <v>49</v>
      </c>
      <c r="K233">
        <v>45.967957097108254</v>
      </c>
      <c r="L233">
        <v>21.694758903186759</v>
      </c>
      <c r="M233">
        <v>23616.350760339217</v>
      </c>
      <c r="N233">
        <v>0</v>
      </c>
      <c r="O233">
        <v>-66.608484666216455</v>
      </c>
      <c r="P233">
        <v>49</v>
      </c>
      <c r="Q233">
        <v>48.000000000006004</v>
      </c>
      <c r="R233">
        <v>21.992195125960219</v>
      </c>
      <c r="S233">
        <v>3055.0616257779775</v>
      </c>
      <c r="T233">
        <v>0</v>
      </c>
      <c r="U233" s="147"/>
      <c r="V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  <c r="BI233" s="147"/>
      <c r="BJ233" s="147"/>
      <c r="BK233" s="147"/>
      <c r="BL233" s="147"/>
      <c r="BM233" s="147"/>
      <c r="BN233" s="147"/>
      <c r="BO233" s="147"/>
      <c r="BP233" s="147"/>
      <c r="BQ233" s="147"/>
      <c r="BR233" s="147"/>
      <c r="BS233" s="147"/>
      <c r="BT233" s="147"/>
      <c r="BU233" s="147"/>
      <c r="BV233" s="147"/>
      <c r="BW233" s="147"/>
      <c r="BX233" s="147"/>
      <c r="BY233" s="147"/>
      <c r="BZ233" s="147"/>
      <c r="CA233" s="147"/>
      <c r="CB233" s="147"/>
      <c r="CC233" s="147"/>
      <c r="CD233" s="147"/>
      <c r="CE233" s="147"/>
      <c r="CF233" s="147"/>
      <c r="CG233" s="147"/>
      <c r="CH233" s="147"/>
      <c r="CI233" s="147"/>
      <c r="CJ233" s="147"/>
      <c r="CK233" s="147"/>
      <c r="CL233" s="147"/>
      <c r="CM233" s="147"/>
      <c r="CN233" s="147"/>
      <c r="CO233" s="147"/>
      <c r="CP233" s="147"/>
      <c r="CQ233" s="147"/>
      <c r="CR233" s="147"/>
      <c r="CS233" s="147"/>
      <c r="CT233" s="147"/>
      <c r="CU233" s="147"/>
      <c r="CV233" s="147"/>
      <c r="CW233" s="147"/>
      <c r="CX233" s="147"/>
      <c r="CY233" s="147"/>
      <c r="CZ233" s="147"/>
      <c r="DA233" s="147"/>
      <c r="DB233" s="147"/>
      <c r="DC233" s="147"/>
      <c r="DD233" s="147"/>
      <c r="DE233" s="147"/>
      <c r="DF233" s="147"/>
      <c r="DG233" s="147"/>
      <c r="DH233" s="147"/>
      <c r="DI233" s="147"/>
      <c r="DJ233" s="147"/>
      <c r="DK233" s="147"/>
      <c r="DL233" s="147"/>
      <c r="DM233" s="147"/>
      <c r="DN233" s="147"/>
      <c r="DO233" s="147"/>
      <c r="DP233" s="147"/>
      <c r="DQ233" s="147"/>
      <c r="DR233" s="147"/>
      <c r="DS233" s="147"/>
      <c r="DT233" s="147"/>
      <c r="DU233" s="147"/>
      <c r="DV233" s="147"/>
      <c r="DW233" s="147"/>
      <c r="DX233" s="147"/>
      <c r="DY233" s="147"/>
      <c r="DZ233" s="147"/>
      <c r="EA233" s="147"/>
      <c r="EB233" s="147"/>
      <c r="EC233" s="147"/>
      <c r="ED233" s="147"/>
      <c r="EE233" s="147"/>
      <c r="EF233" s="147"/>
      <c r="EG233" s="147"/>
      <c r="EH233" s="147"/>
      <c r="EI233" s="147"/>
      <c r="EJ233" s="147"/>
      <c r="EK233" s="147"/>
      <c r="EL233" s="147"/>
      <c r="EM233" s="147"/>
      <c r="EN233" s="147"/>
      <c r="EO233" s="147"/>
      <c r="EP233" s="147"/>
      <c r="EQ233" s="147"/>
      <c r="ER233" s="147"/>
      <c r="ES233" s="147"/>
      <c r="ET233" s="147"/>
      <c r="EU233" s="147"/>
      <c r="EV233" s="147"/>
      <c r="EW233" s="147"/>
      <c r="EX233" s="147"/>
      <c r="EY233" s="147"/>
      <c r="EZ233" s="147"/>
      <c r="FA233" s="147"/>
      <c r="FB233" s="147"/>
      <c r="FC233" s="147"/>
      <c r="FD233" s="147"/>
      <c r="FE233" s="147"/>
      <c r="FF233" s="147"/>
      <c r="FG233" s="147"/>
      <c r="FH233" s="147"/>
      <c r="FI233" s="147"/>
      <c r="FJ233" s="147"/>
      <c r="FK233" s="147"/>
      <c r="FL233" s="147"/>
      <c r="FM233" s="147"/>
      <c r="FN233" s="147"/>
      <c r="FO233" s="147"/>
      <c r="FP233" s="147"/>
      <c r="FQ233" s="147"/>
      <c r="FR233" s="147"/>
      <c r="FS233" s="147"/>
    </row>
    <row r="234" spans="8:175" x14ac:dyDescent="0.2">
      <c r="H234">
        <v>92</v>
      </c>
      <c r="I234">
        <v>9.8159719398232639</v>
      </c>
      <c r="J234">
        <v>48</v>
      </c>
      <c r="K234">
        <v>45.70813569827699</v>
      </c>
      <c r="L234">
        <v>24.914145685974862</v>
      </c>
      <c r="M234">
        <v>40505.017143419376</v>
      </c>
      <c r="N234">
        <v>8691.8774107174831</v>
      </c>
      <c r="O234">
        <v>9.1294029444232816</v>
      </c>
      <c r="P234">
        <v>48</v>
      </c>
      <c r="Q234">
        <v>47.463292759477547</v>
      </c>
      <c r="R234">
        <v>32.147197283675787</v>
      </c>
      <c r="S234">
        <v>22211.177183026004</v>
      </c>
      <c r="T234">
        <v>5857.0552901783485</v>
      </c>
      <c r="U234" s="147"/>
      <c r="V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  <c r="BI234" s="147"/>
      <c r="BJ234" s="147"/>
      <c r="BK234" s="147"/>
      <c r="BL234" s="147"/>
      <c r="BM234" s="147"/>
      <c r="BN234" s="147"/>
      <c r="BO234" s="147"/>
      <c r="BP234" s="147"/>
      <c r="BQ234" s="147"/>
      <c r="BR234" s="147"/>
      <c r="BS234" s="147"/>
      <c r="BT234" s="147"/>
      <c r="BU234" s="147"/>
      <c r="BV234" s="147"/>
      <c r="BW234" s="147"/>
      <c r="BX234" s="147"/>
      <c r="BY234" s="147"/>
      <c r="BZ234" s="147"/>
      <c r="CA234" s="147"/>
      <c r="CB234" s="147"/>
      <c r="CC234" s="147"/>
      <c r="CD234" s="147"/>
      <c r="CE234" s="147"/>
      <c r="CF234" s="147"/>
      <c r="CG234" s="147"/>
      <c r="CH234" s="147"/>
      <c r="CI234" s="147"/>
      <c r="CJ234" s="147"/>
      <c r="CK234" s="147"/>
      <c r="CL234" s="147"/>
      <c r="CM234" s="147"/>
      <c r="CN234" s="147"/>
      <c r="CO234" s="147"/>
      <c r="CP234" s="147"/>
      <c r="CQ234" s="147"/>
      <c r="CR234" s="147"/>
      <c r="CS234" s="147"/>
      <c r="CT234" s="147"/>
      <c r="CU234" s="147"/>
      <c r="CV234" s="147"/>
      <c r="CW234" s="147"/>
      <c r="CX234" s="147"/>
      <c r="CY234" s="147"/>
      <c r="CZ234" s="147"/>
      <c r="DA234" s="147"/>
      <c r="DB234" s="147"/>
      <c r="DC234" s="147"/>
      <c r="DD234" s="147"/>
      <c r="DE234" s="147"/>
      <c r="DF234" s="147"/>
      <c r="DG234" s="147"/>
      <c r="DH234" s="147"/>
      <c r="DI234" s="147"/>
      <c r="DJ234" s="147"/>
      <c r="DK234" s="147"/>
      <c r="DL234" s="147"/>
      <c r="DM234" s="147"/>
      <c r="DN234" s="147"/>
      <c r="DO234" s="147"/>
      <c r="DP234" s="147"/>
      <c r="DQ234" s="147"/>
      <c r="DR234" s="147"/>
      <c r="DS234" s="147"/>
      <c r="DT234" s="147"/>
      <c r="DU234" s="147"/>
      <c r="DV234" s="147"/>
      <c r="DW234" s="147"/>
      <c r="DX234" s="147"/>
      <c r="DY234" s="147"/>
      <c r="DZ234" s="147"/>
      <c r="EA234" s="147"/>
      <c r="EB234" s="147"/>
      <c r="EC234" s="147"/>
      <c r="ED234" s="147"/>
      <c r="EE234" s="147"/>
      <c r="EF234" s="147"/>
      <c r="EG234" s="147"/>
      <c r="EH234" s="147"/>
      <c r="EI234" s="147"/>
      <c r="EJ234" s="147"/>
      <c r="EK234" s="147"/>
      <c r="EL234" s="147"/>
      <c r="EM234" s="147"/>
      <c r="EN234" s="147"/>
      <c r="EO234" s="147"/>
      <c r="EP234" s="147"/>
      <c r="EQ234" s="147"/>
      <c r="ER234" s="147"/>
      <c r="ES234" s="147"/>
      <c r="ET234" s="147"/>
      <c r="EU234" s="147"/>
      <c r="EV234" s="147"/>
      <c r="EW234" s="147"/>
      <c r="EX234" s="147"/>
      <c r="EY234" s="147"/>
      <c r="EZ234" s="147"/>
      <c r="FA234" s="147"/>
      <c r="FB234" s="147"/>
      <c r="FC234" s="147"/>
      <c r="FD234" s="147"/>
      <c r="FE234" s="147"/>
      <c r="FF234" s="147"/>
      <c r="FG234" s="147"/>
      <c r="FH234" s="147"/>
      <c r="FI234" s="147"/>
      <c r="FJ234" s="147"/>
      <c r="FK234" s="147"/>
      <c r="FL234" s="147"/>
      <c r="FM234" s="147"/>
      <c r="FN234" s="147"/>
      <c r="FO234" s="147"/>
      <c r="FP234" s="147"/>
      <c r="FQ234" s="147"/>
      <c r="FR234" s="147"/>
      <c r="FS234" s="147"/>
    </row>
    <row r="235" spans="8:175" x14ac:dyDescent="0.2">
      <c r="H235">
        <v>93</v>
      </c>
      <c r="I235">
        <v>9.8747557424626375</v>
      </c>
      <c r="J235">
        <v>47</v>
      </c>
      <c r="K235">
        <v>45.03818429006796</v>
      </c>
      <c r="L235">
        <v>25.12072073544498</v>
      </c>
      <c r="M235">
        <v>39973.380867682245</v>
      </c>
      <c r="N235">
        <v>8710.6268539646262</v>
      </c>
      <c r="O235">
        <v>9.8258346496684403</v>
      </c>
      <c r="P235">
        <v>47</v>
      </c>
      <c r="Q235">
        <v>46.479262239229129</v>
      </c>
      <c r="R235">
        <v>31.860620126904191</v>
      </c>
      <c r="S235">
        <v>21885.136324489074</v>
      </c>
      <c r="T235">
        <v>6183.5340472724765</v>
      </c>
      <c r="U235" s="147"/>
      <c r="V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  <c r="BI235" s="147"/>
      <c r="BJ235" s="147"/>
      <c r="BK235" s="147"/>
      <c r="BL235" s="147"/>
      <c r="BM235" s="147"/>
      <c r="BN235" s="147"/>
      <c r="BO235" s="147"/>
      <c r="BP235" s="147"/>
      <c r="BQ235" s="147"/>
      <c r="BR235" s="147"/>
      <c r="BS235" s="147"/>
      <c r="BT235" s="147"/>
      <c r="BU235" s="147"/>
      <c r="BV235" s="147"/>
      <c r="BW235" s="147"/>
      <c r="BX235" s="147"/>
      <c r="BY235" s="147"/>
      <c r="BZ235" s="147"/>
      <c r="CA235" s="147"/>
      <c r="CB235" s="147"/>
      <c r="CC235" s="147"/>
      <c r="CD235" s="147"/>
      <c r="CE235" s="147"/>
      <c r="CF235" s="147"/>
      <c r="CG235" s="147"/>
      <c r="CH235" s="147"/>
      <c r="CI235" s="147"/>
      <c r="CJ235" s="147"/>
      <c r="CK235" s="147"/>
      <c r="CL235" s="147"/>
      <c r="CM235" s="147"/>
      <c r="CN235" s="147"/>
      <c r="CO235" s="147"/>
      <c r="CP235" s="147"/>
      <c r="CQ235" s="147"/>
      <c r="CR235" s="147"/>
      <c r="CS235" s="147"/>
      <c r="CT235" s="147"/>
      <c r="CU235" s="147"/>
      <c r="CV235" s="147"/>
      <c r="CW235" s="147"/>
      <c r="CX235" s="147"/>
      <c r="CY235" s="147"/>
      <c r="CZ235" s="147"/>
      <c r="DA235" s="147"/>
      <c r="DB235" s="147"/>
      <c r="DC235" s="147"/>
      <c r="DD235" s="147"/>
      <c r="DE235" s="147"/>
      <c r="DF235" s="147"/>
      <c r="DG235" s="147"/>
      <c r="DH235" s="147"/>
      <c r="DI235" s="147"/>
      <c r="DJ235" s="147"/>
      <c r="DK235" s="147"/>
      <c r="DL235" s="147"/>
      <c r="DM235" s="147"/>
      <c r="DN235" s="147"/>
      <c r="DO235" s="147"/>
      <c r="DP235" s="147"/>
      <c r="DQ235" s="147"/>
      <c r="DR235" s="147"/>
      <c r="DS235" s="147"/>
      <c r="DT235" s="147"/>
      <c r="DU235" s="147"/>
      <c r="DV235" s="147"/>
      <c r="DW235" s="147"/>
      <c r="DX235" s="147"/>
      <c r="DY235" s="147"/>
      <c r="DZ235" s="147"/>
      <c r="EA235" s="147"/>
      <c r="EB235" s="147"/>
      <c r="EC235" s="147"/>
      <c r="ED235" s="147"/>
      <c r="EE235" s="147"/>
      <c r="EF235" s="147"/>
      <c r="EG235" s="147"/>
      <c r="EH235" s="147"/>
      <c r="EI235" s="147"/>
      <c r="EJ235" s="147"/>
      <c r="EK235" s="147"/>
      <c r="EL235" s="147"/>
      <c r="EM235" s="147"/>
      <c r="EN235" s="147"/>
      <c r="EO235" s="147"/>
      <c r="EP235" s="147"/>
      <c r="EQ235" s="147"/>
      <c r="ER235" s="147"/>
      <c r="ES235" s="147"/>
      <c r="ET235" s="147"/>
      <c r="EU235" s="147"/>
      <c r="EV235" s="147"/>
      <c r="EW235" s="147"/>
      <c r="EX235" s="147"/>
      <c r="EY235" s="147"/>
      <c r="EZ235" s="147"/>
      <c r="FA235" s="147"/>
      <c r="FB235" s="147"/>
      <c r="FC235" s="147"/>
      <c r="FD235" s="147"/>
      <c r="FE235" s="147"/>
      <c r="FF235" s="147"/>
      <c r="FG235" s="147"/>
      <c r="FH235" s="147"/>
      <c r="FI235" s="147"/>
      <c r="FJ235" s="147"/>
      <c r="FK235" s="147"/>
      <c r="FL235" s="147"/>
      <c r="FM235" s="147"/>
      <c r="FN235" s="147"/>
      <c r="FO235" s="147"/>
      <c r="FP235" s="147"/>
      <c r="FQ235" s="147"/>
      <c r="FR235" s="147"/>
      <c r="FS235" s="147"/>
    </row>
    <row r="236" spans="8:175" x14ac:dyDescent="0.2">
      <c r="H236">
        <v>94</v>
      </c>
      <c r="I236">
        <v>-10.997501295497869</v>
      </c>
      <c r="J236">
        <v>49</v>
      </c>
      <c r="K236">
        <v>45.434811493892219</v>
      </c>
      <c r="L236">
        <v>22.923053391716699</v>
      </c>
      <c r="M236">
        <v>31905.409245254792</v>
      </c>
      <c r="N236">
        <v>0</v>
      </c>
      <c r="O236">
        <v>-22.626585738776829</v>
      </c>
      <c r="P236">
        <v>49</v>
      </c>
      <c r="Q236">
        <v>47.402361051590411</v>
      </c>
      <c r="R236">
        <v>30.356706782525073</v>
      </c>
      <c r="S236">
        <v>11148.099171068161</v>
      </c>
      <c r="T236">
        <v>0</v>
      </c>
      <c r="U236" s="147"/>
      <c r="V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  <c r="CA236" s="147"/>
      <c r="CB236" s="147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7"/>
      <c r="DC236" s="147"/>
      <c r="DD236" s="147"/>
      <c r="DE236" s="147"/>
      <c r="DF236" s="147"/>
      <c r="DG236" s="147"/>
      <c r="DH236" s="147"/>
      <c r="DI236" s="147"/>
      <c r="DJ236" s="147"/>
      <c r="DK236" s="147"/>
      <c r="DL236" s="147"/>
      <c r="DM236" s="147"/>
      <c r="DN236" s="147"/>
      <c r="DO236" s="147"/>
      <c r="DP236" s="147"/>
      <c r="DQ236" s="147"/>
      <c r="DR236" s="147"/>
      <c r="DS236" s="147"/>
      <c r="DT236" s="147"/>
      <c r="DU236" s="147"/>
      <c r="DV236" s="147"/>
      <c r="DW236" s="147"/>
      <c r="DX236" s="147"/>
      <c r="DY236" s="147"/>
      <c r="DZ236" s="147"/>
      <c r="EA236" s="147"/>
      <c r="EB236" s="147"/>
      <c r="EC236" s="147"/>
      <c r="ED236" s="147"/>
      <c r="EE236" s="147"/>
      <c r="EF236" s="147"/>
      <c r="EG236" s="147"/>
      <c r="EH236" s="147"/>
      <c r="EI236" s="147"/>
      <c r="EJ236" s="147"/>
      <c r="EK236" s="147"/>
      <c r="EL236" s="147"/>
      <c r="EM236" s="147"/>
      <c r="EN236" s="147"/>
      <c r="EO236" s="147"/>
      <c r="EP236" s="147"/>
      <c r="EQ236" s="147"/>
      <c r="ER236" s="147"/>
      <c r="ES236" s="147"/>
      <c r="ET236" s="147"/>
      <c r="EU236" s="147"/>
      <c r="EV236" s="147"/>
      <c r="EW236" s="147"/>
      <c r="EX236" s="147"/>
      <c r="EY236" s="147"/>
      <c r="EZ236" s="147"/>
      <c r="FA236" s="147"/>
      <c r="FB236" s="147"/>
      <c r="FC236" s="147"/>
      <c r="FD236" s="147"/>
      <c r="FE236" s="147"/>
      <c r="FF236" s="147"/>
      <c r="FG236" s="147"/>
      <c r="FH236" s="147"/>
      <c r="FI236" s="147"/>
      <c r="FJ236" s="147"/>
      <c r="FK236" s="147"/>
      <c r="FL236" s="147"/>
      <c r="FM236" s="147"/>
      <c r="FN236" s="147"/>
      <c r="FO236" s="147"/>
      <c r="FP236" s="147"/>
      <c r="FQ236" s="147"/>
      <c r="FR236" s="147"/>
      <c r="FS236" s="147"/>
    </row>
    <row r="237" spans="8:175" x14ac:dyDescent="0.2">
      <c r="H237">
        <v>95</v>
      </c>
      <c r="I237">
        <v>-24.548304446035385</v>
      </c>
      <c r="J237">
        <v>49</v>
      </c>
      <c r="K237">
        <v>46.423449848686239</v>
      </c>
      <c r="L237">
        <v>23.031361087343495</v>
      </c>
      <c r="M237">
        <v>23537.006034160506</v>
      </c>
      <c r="N237">
        <v>0</v>
      </c>
      <c r="O237">
        <v>-63.211497975291906</v>
      </c>
      <c r="P237">
        <v>49</v>
      </c>
      <c r="Q237">
        <v>47.999999999999957</v>
      </c>
      <c r="R237">
        <v>23.837670241984128</v>
      </c>
      <c r="S237">
        <v>3085.5913463178081</v>
      </c>
      <c r="T237">
        <v>0</v>
      </c>
      <c r="U237" s="147"/>
      <c r="V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  <c r="BI237" s="147"/>
      <c r="BJ237" s="147"/>
      <c r="BK237" s="147"/>
      <c r="BL237" s="147"/>
      <c r="BM237" s="147"/>
      <c r="BN237" s="147"/>
      <c r="BO237" s="147"/>
      <c r="BP237" s="147"/>
      <c r="BQ237" s="147"/>
      <c r="BR237" s="147"/>
      <c r="BS237" s="147"/>
      <c r="BT237" s="147"/>
      <c r="BU237" s="147"/>
      <c r="BV237" s="147"/>
      <c r="BW237" s="147"/>
      <c r="BX237" s="147"/>
      <c r="BY237" s="147"/>
      <c r="BZ237" s="147"/>
      <c r="CA237" s="147"/>
      <c r="CB237" s="147"/>
      <c r="CC237" s="147"/>
      <c r="CD237" s="147"/>
      <c r="CE237" s="147"/>
      <c r="CF237" s="147"/>
      <c r="CG237" s="147"/>
      <c r="CH237" s="147"/>
      <c r="CI237" s="147"/>
      <c r="CJ237" s="147"/>
      <c r="CK237" s="147"/>
      <c r="CL237" s="147"/>
      <c r="CM237" s="147"/>
      <c r="CN237" s="147"/>
      <c r="CO237" s="147"/>
      <c r="CP237" s="147"/>
      <c r="CQ237" s="147"/>
      <c r="CR237" s="147"/>
      <c r="CS237" s="147"/>
      <c r="CT237" s="147"/>
      <c r="CU237" s="147"/>
      <c r="CV237" s="147"/>
      <c r="CW237" s="147"/>
      <c r="CX237" s="147"/>
      <c r="CY237" s="147"/>
      <c r="CZ237" s="147"/>
      <c r="DA237" s="147"/>
      <c r="DB237" s="147"/>
      <c r="DC237" s="147"/>
      <c r="DD237" s="147"/>
      <c r="DE237" s="147"/>
      <c r="DF237" s="147"/>
      <c r="DG237" s="147"/>
      <c r="DH237" s="147"/>
      <c r="DI237" s="147"/>
      <c r="DJ237" s="147"/>
      <c r="DK237" s="147"/>
      <c r="DL237" s="147"/>
      <c r="DM237" s="147"/>
      <c r="DN237" s="147"/>
      <c r="DO237" s="147"/>
      <c r="DP237" s="147"/>
      <c r="DQ237" s="147"/>
      <c r="DR237" s="147"/>
      <c r="DS237" s="147"/>
      <c r="DT237" s="147"/>
      <c r="DU237" s="147"/>
      <c r="DV237" s="147"/>
      <c r="DW237" s="147"/>
      <c r="DX237" s="147"/>
      <c r="DY237" s="147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47"/>
      <c r="EJ237" s="147"/>
      <c r="EK237" s="147"/>
      <c r="EL237" s="147"/>
      <c r="EM237" s="147"/>
      <c r="EN237" s="147"/>
      <c r="EO237" s="147"/>
      <c r="EP237" s="147"/>
      <c r="EQ237" s="147"/>
      <c r="ER237" s="147"/>
      <c r="ES237" s="147"/>
      <c r="ET237" s="147"/>
      <c r="EU237" s="147"/>
      <c r="EV237" s="147"/>
      <c r="EW237" s="147"/>
      <c r="EX237" s="147"/>
      <c r="EY237" s="147"/>
      <c r="EZ237" s="147"/>
      <c r="FA237" s="147"/>
      <c r="FB237" s="147"/>
      <c r="FC237" s="147"/>
      <c r="FD237" s="147"/>
      <c r="FE237" s="147"/>
      <c r="FF237" s="147"/>
      <c r="FG237" s="147"/>
      <c r="FH237" s="147"/>
      <c r="FI237" s="147"/>
      <c r="FJ237" s="147"/>
      <c r="FK237" s="147"/>
      <c r="FL237" s="147"/>
      <c r="FM237" s="147"/>
      <c r="FN237" s="147"/>
      <c r="FO237" s="147"/>
      <c r="FP237" s="147"/>
      <c r="FQ237" s="147"/>
      <c r="FR237" s="147"/>
      <c r="FS237" s="147"/>
    </row>
    <row r="238" spans="8:175" x14ac:dyDescent="0.2">
      <c r="H238">
        <v>96</v>
      </c>
      <c r="I238">
        <v>9.8643746333313853</v>
      </c>
      <c r="J238">
        <v>48</v>
      </c>
      <c r="K238">
        <v>45.856540886675326</v>
      </c>
      <c r="L238">
        <v>26.025037486107806</v>
      </c>
      <c r="M238">
        <v>39435.16716780432</v>
      </c>
      <c r="N238">
        <v>8925.4895311378204</v>
      </c>
      <c r="O238">
        <v>9.9098077682026506</v>
      </c>
      <c r="P238">
        <v>48</v>
      </c>
      <c r="Q238">
        <v>47.336954002087708</v>
      </c>
      <c r="R238">
        <v>33.108530596453505</v>
      </c>
      <c r="S238">
        <v>21430.053448470771</v>
      </c>
      <c r="T238">
        <v>6382.7412167990879</v>
      </c>
      <c r="U238" s="147"/>
      <c r="V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  <c r="BI238" s="147"/>
      <c r="BJ238" s="147"/>
      <c r="BK238" s="147"/>
      <c r="BL238" s="147"/>
      <c r="BM238" s="147"/>
      <c r="BN238" s="147"/>
      <c r="BO238" s="147"/>
      <c r="BP238" s="147"/>
      <c r="BQ238" s="147"/>
      <c r="BR238" s="147"/>
      <c r="BS238" s="147"/>
      <c r="BT238" s="147"/>
      <c r="BU238" s="147"/>
      <c r="BV238" s="147"/>
      <c r="BW238" s="147"/>
      <c r="BX238" s="147"/>
      <c r="BY238" s="147"/>
      <c r="BZ238" s="147"/>
      <c r="CA238" s="147"/>
      <c r="CB238" s="147"/>
      <c r="CC238" s="147"/>
      <c r="CD238" s="147"/>
      <c r="CE238" s="147"/>
      <c r="CF238" s="147"/>
      <c r="CG238" s="147"/>
      <c r="CH238" s="147"/>
      <c r="CI238" s="147"/>
      <c r="CJ238" s="147"/>
      <c r="CK238" s="147"/>
      <c r="CL238" s="147"/>
      <c r="CM238" s="147"/>
      <c r="CN238" s="147"/>
      <c r="CO238" s="147"/>
      <c r="CP238" s="147"/>
      <c r="CQ238" s="147"/>
      <c r="CR238" s="147"/>
      <c r="CS238" s="147"/>
      <c r="CT238" s="147"/>
      <c r="CU238" s="147"/>
      <c r="CV238" s="147"/>
      <c r="CW238" s="147"/>
      <c r="CX238" s="147"/>
      <c r="CY238" s="147"/>
      <c r="CZ238" s="147"/>
      <c r="DA238" s="147"/>
      <c r="DB238" s="147"/>
      <c r="DC238" s="147"/>
      <c r="DD238" s="147"/>
      <c r="DE238" s="147"/>
      <c r="DF238" s="147"/>
      <c r="DG238" s="147"/>
      <c r="DH238" s="147"/>
      <c r="DI238" s="147"/>
      <c r="DJ238" s="147"/>
      <c r="DK238" s="147"/>
      <c r="DL238" s="147"/>
      <c r="DM238" s="147"/>
      <c r="DN238" s="147"/>
      <c r="DO238" s="147"/>
      <c r="DP238" s="147"/>
      <c r="DQ238" s="147"/>
      <c r="DR238" s="147"/>
      <c r="DS238" s="147"/>
      <c r="DT238" s="147"/>
      <c r="DU238" s="147"/>
      <c r="DV238" s="147"/>
      <c r="DW238" s="147"/>
      <c r="DX238" s="147"/>
      <c r="DY238" s="147"/>
      <c r="DZ238" s="147"/>
      <c r="EA238" s="147"/>
      <c r="EB238" s="147"/>
      <c r="EC238" s="147"/>
      <c r="ED238" s="147"/>
      <c r="EE238" s="147"/>
      <c r="EF238" s="147"/>
      <c r="EG238" s="147"/>
      <c r="EH238" s="147"/>
      <c r="EI238" s="147"/>
      <c r="EJ238" s="147"/>
      <c r="EK238" s="147"/>
      <c r="EL238" s="147"/>
      <c r="EM238" s="147"/>
      <c r="EN238" s="147"/>
      <c r="EO238" s="147"/>
      <c r="EP238" s="147"/>
      <c r="EQ238" s="147"/>
      <c r="ER238" s="147"/>
      <c r="ES238" s="147"/>
      <c r="ET238" s="147"/>
      <c r="EU238" s="147"/>
      <c r="EV238" s="147"/>
      <c r="EW238" s="147"/>
      <c r="EX238" s="147"/>
      <c r="EY238" s="147"/>
      <c r="EZ238" s="147"/>
      <c r="FA238" s="147"/>
      <c r="FB238" s="147"/>
      <c r="FC238" s="147"/>
      <c r="FD238" s="147"/>
      <c r="FE238" s="147"/>
      <c r="FF238" s="147"/>
      <c r="FG238" s="147"/>
      <c r="FH238" s="147"/>
      <c r="FI238" s="147"/>
      <c r="FJ238" s="147"/>
      <c r="FK238" s="147"/>
      <c r="FL238" s="147"/>
      <c r="FM238" s="147"/>
      <c r="FN238" s="147"/>
      <c r="FO238" s="147"/>
      <c r="FP238" s="147"/>
      <c r="FQ238" s="147"/>
      <c r="FR238" s="147"/>
      <c r="FS238" s="147"/>
    </row>
    <row r="239" spans="8:175" x14ac:dyDescent="0.2">
      <c r="H239">
        <v>97</v>
      </c>
      <c r="I239">
        <v>10.545261860664933</v>
      </c>
      <c r="J239">
        <v>44</v>
      </c>
      <c r="K239">
        <v>42.476143058710846</v>
      </c>
      <c r="L239">
        <v>22.903199319951216</v>
      </c>
      <c r="M239">
        <v>40524.25199652624</v>
      </c>
      <c r="N239">
        <v>8545.707813927067</v>
      </c>
      <c r="O239">
        <v>11.101080349600579</v>
      </c>
      <c r="P239">
        <v>44</v>
      </c>
      <c r="Q239">
        <v>43.717049847037025</v>
      </c>
      <c r="R239">
        <v>29.790312823097754</v>
      </c>
      <c r="S239">
        <v>21698.640575538735</v>
      </c>
      <c r="T239">
        <v>6480.6044300001577</v>
      </c>
      <c r="U239" s="147"/>
      <c r="V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  <c r="BM239" s="147"/>
      <c r="BN239" s="147"/>
      <c r="BO239" s="147"/>
      <c r="BP239" s="147"/>
      <c r="BQ239" s="147"/>
      <c r="BR239" s="147"/>
      <c r="BS239" s="147"/>
      <c r="BT239" s="147"/>
      <c r="BU239" s="147"/>
      <c r="BV239" s="147"/>
      <c r="BW239" s="147"/>
      <c r="BX239" s="147"/>
      <c r="BY239" s="147"/>
      <c r="BZ239" s="147"/>
      <c r="CA239" s="147"/>
      <c r="CB239" s="147"/>
      <c r="CC239" s="147"/>
      <c r="CD239" s="147"/>
      <c r="CE239" s="147"/>
      <c r="CF239" s="147"/>
      <c r="CG239" s="147"/>
      <c r="CH239" s="147"/>
      <c r="CI239" s="147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  <c r="CU239" s="147"/>
      <c r="CV239" s="147"/>
      <c r="CW239" s="147"/>
      <c r="CX239" s="147"/>
      <c r="CY239" s="147"/>
      <c r="CZ239" s="147"/>
      <c r="DA239" s="147"/>
      <c r="DB239" s="147"/>
      <c r="DC239" s="147"/>
      <c r="DD239" s="147"/>
      <c r="DE239" s="147"/>
      <c r="DF239" s="147"/>
      <c r="DG239" s="147"/>
      <c r="DH239" s="147"/>
      <c r="DI239" s="147"/>
      <c r="DJ239" s="147"/>
      <c r="DK239" s="147"/>
      <c r="DL239" s="147"/>
      <c r="DM239" s="147"/>
      <c r="DN239" s="147"/>
      <c r="DO239" s="147"/>
      <c r="DP239" s="147"/>
      <c r="DQ239" s="147"/>
      <c r="DR239" s="147"/>
      <c r="DS239" s="147"/>
      <c r="DT239" s="147"/>
      <c r="DU239" s="147"/>
      <c r="DV239" s="147"/>
      <c r="DW239" s="147"/>
      <c r="DX239" s="147"/>
      <c r="DY239" s="147"/>
      <c r="DZ239" s="147"/>
      <c r="EA239" s="147"/>
      <c r="EB239" s="147"/>
      <c r="EC239" s="147"/>
      <c r="ED239" s="147"/>
      <c r="EE239" s="147"/>
      <c r="EF239" s="147"/>
      <c r="EG239" s="147"/>
      <c r="EH239" s="147"/>
      <c r="EI239" s="147"/>
      <c r="EJ239" s="147"/>
      <c r="EK239" s="147"/>
      <c r="EL239" s="147"/>
      <c r="EM239" s="147"/>
      <c r="EN239" s="147"/>
      <c r="EO239" s="147"/>
      <c r="EP239" s="147"/>
      <c r="EQ239" s="147"/>
      <c r="ER239" s="147"/>
      <c r="ES239" s="147"/>
      <c r="ET239" s="147"/>
      <c r="EU239" s="147"/>
      <c r="EV239" s="147"/>
      <c r="EW239" s="147"/>
      <c r="EX239" s="147"/>
      <c r="EY239" s="147"/>
      <c r="EZ239" s="147"/>
      <c r="FA239" s="147"/>
      <c r="FB239" s="147"/>
      <c r="FC239" s="147"/>
      <c r="FD239" s="147"/>
      <c r="FE239" s="147"/>
      <c r="FF239" s="147"/>
      <c r="FG239" s="147"/>
      <c r="FH239" s="147"/>
      <c r="FI239" s="147"/>
      <c r="FJ239" s="147"/>
      <c r="FK239" s="147"/>
      <c r="FL239" s="147"/>
      <c r="FM239" s="147"/>
      <c r="FN239" s="147"/>
      <c r="FO239" s="147"/>
      <c r="FP239" s="147"/>
      <c r="FQ239" s="147"/>
      <c r="FR239" s="147"/>
      <c r="FS239" s="147"/>
    </row>
    <row r="240" spans="8:175" x14ac:dyDescent="0.2">
      <c r="H240">
        <v>98</v>
      </c>
      <c r="I240">
        <v>8.9789767929746809</v>
      </c>
      <c r="J240">
        <v>47</v>
      </c>
      <c r="K240">
        <v>44.470630305765461</v>
      </c>
      <c r="L240">
        <v>24.869719686093134</v>
      </c>
      <c r="M240">
        <v>40970.998831364086</v>
      </c>
      <c r="N240">
        <v>7992.0529766657492</v>
      </c>
      <c r="O240">
        <v>8.5321715718601254</v>
      </c>
      <c r="P240">
        <v>47</v>
      </c>
      <c r="Q240">
        <v>46.501455338706599</v>
      </c>
      <c r="R240">
        <v>31.605912519120999</v>
      </c>
      <c r="S240">
        <v>22696.597082429558</v>
      </c>
      <c r="T240">
        <v>5462.2994557148413</v>
      </c>
      <c r="U240" s="147"/>
      <c r="V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  <c r="BI240" s="147"/>
      <c r="BJ240" s="147"/>
      <c r="BK240" s="147"/>
      <c r="BL240" s="147"/>
      <c r="BM240" s="147"/>
      <c r="BN240" s="147"/>
      <c r="BO240" s="147"/>
      <c r="BP240" s="147"/>
      <c r="BQ240" s="147"/>
      <c r="BR240" s="147"/>
      <c r="BS240" s="147"/>
      <c r="BT240" s="147"/>
      <c r="BU240" s="147"/>
      <c r="BV240" s="147"/>
      <c r="BW240" s="147"/>
      <c r="BX240" s="147"/>
      <c r="BY240" s="147"/>
      <c r="BZ240" s="147"/>
      <c r="CA240" s="147"/>
      <c r="CB240" s="147"/>
      <c r="CC240" s="147"/>
      <c r="CD240" s="147"/>
      <c r="CE240" s="147"/>
      <c r="CF240" s="147"/>
      <c r="CG240" s="147"/>
      <c r="CH240" s="147"/>
      <c r="CI240" s="147"/>
      <c r="CJ240" s="147"/>
      <c r="CK240" s="147"/>
      <c r="CL240" s="147"/>
      <c r="CM240" s="147"/>
      <c r="CN240" s="147"/>
      <c r="CO240" s="147"/>
      <c r="CP240" s="147"/>
      <c r="CQ240" s="147"/>
      <c r="CR240" s="147"/>
      <c r="CS240" s="147"/>
      <c r="CT240" s="147"/>
      <c r="CU240" s="147"/>
      <c r="CV240" s="147"/>
      <c r="CW240" s="147"/>
      <c r="CX240" s="147"/>
      <c r="CY240" s="147"/>
      <c r="CZ240" s="147"/>
      <c r="DA240" s="147"/>
      <c r="DB240" s="147"/>
      <c r="DC240" s="147"/>
      <c r="DD240" s="147"/>
      <c r="DE240" s="147"/>
      <c r="DF240" s="147"/>
      <c r="DG240" s="147"/>
      <c r="DH240" s="147"/>
      <c r="DI240" s="147"/>
      <c r="DJ240" s="147"/>
      <c r="DK240" s="147"/>
      <c r="DL240" s="147"/>
      <c r="DM240" s="147"/>
      <c r="DN240" s="147"/>
      <c r="DO240" s="147"/>
      <c r="DP240" s="147"/>
      <c r="DQ240" s="147"/>
      <c r="DR240" s="147"/>
      <c r="DS240" s="147"/>
      <c r="DT240" s="147"/>
      <c r="DU240" s="147"/>
      <c r="DV240" s="147"/>
      <c r="DW240" s="147"/>
      <c r="DX240" s="147"/>
      <c r="DY240" s="147"/>
      <c r="DZ240" s="147"/>
      <c r="EA240" s="147"/>
      <c r="EB240" s="147"/>
      <c r="EC240" s="147"/>
      <c r="ED240" s="147"/>
      <c r="EE240" s="147"/>
      <c r="EF240" s="147"/>
      <c r="EG240" s="147"/>
      <c r="EH240" s="147"/>
      <c r="EI240" s="147"/>
      <c r="EJ240" s="147"/>
      <c r="EK240" s="147"/>
      <c r="EL240" s="147"/>
      <c r="EM240" s="147"/>
      <c r="EN240" s="147"/>
      <c r="EO240" s="147"/>
      <c r="EP240" s="147"/>
      <c r="EQ240" s="147"/>
      <c r="ER240" s="147"/>
      <c r="ES240" s="147"/>
      <c r="ET240" s="147"/>
      <c r="EU240" s="147"/>
      <c r="EV240" s="147"/>
      <c r="EW240" s="147"/>
      <c r="EX240" s="147"/>
      <c r="EY240" s="147"/>
      <c r="EZ240" s="147"/>
      <c r="FA240" s="147"/>
      <c r="FB240" s="147"/>
      <c r="FC240" s="147"/>
      <c r="FD240" s="147"/>
      <c r="FE240" s="147"/>
      <c r="FF240" s="147"/>
      <c r="FG240" s="147"/>
      <c r="FH240" s="147"/>
      <c r="FI240" s="147"/>
      <c r="FJ240" s="147"/>
      <c r="FK240" s="147"/>
      <c r="FL240" s="147"/>
      <c r="FM240" s="147"/>
      <c r="FN240" s="147"/>
      <c r="FO240" s="147"/>
      <c r="FP240" s="147"/>
      <c r="FQ240" s="147"/>
      <c r="FR240" s="147"/>
      <c r="FS240" s="147"/>
    </row>
    <row r="241" spans="8:176" x14ac:dyDescent="0.2">
      <c r="H241">
        <v>99</v>
      </c>
      <c r="I241">
        <v>-15.425692367479583</v>
      </c>
      <c r="J241">
        <v>49</v>
      </c>
      <c r="K241">
        <v>44.958952863257629</v>
      </c>
      <c r="L241">
        <v>23.359614634207635</v>
      </c>
      <c r="M241">
        <v>29321.755999506182</v>
      </c>
      <c r="N241">
        <v>0</v>
      </c>
      <c r="O241">
        <v>-33.71330187451197</v>
      </c>
      <c r="P241">
        <v>49</v>
      </c>
      <c r="Q241">
        <v>47.398707424802986</v>
      </c>
      <c r="R241">
        <v>28.141591565847346</v>
      </c>
      <c r="S241">
        <v>8718.924849425428</v>
      </c>
      <c r="T241">
        <v>0</v>
      </c>
      <c r="U241" s="147"/>
      <c r="V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  <c r="BI241" s="147"/>
      <c r="BJ241" s="147"/>
      <c r="BK241" s="147"/>
      <c r="BL241" s="147"/>
      <c r="BM241" s="147"/>
      <c r="BN241" s="147"/>
      <c r="BO241" s="147"/>
      <c r="BP241" s="147"/>
      <c r="BQ241" s="147"/>
      <c r="BR241" s="147"/>
      <c r="BS241" s="147"/>
      <c r="BT241" s="147"/>
      <c r="BU241" s="147"/>
      <c r="BV241" s="147"/>
      <c r="BW241" s="147"/>
      <c r="BX241" s="147"/>
      <c r="BY241" s="147"/>
      <c r="BZ241" s="147"/>
      <c r="CA241" s="147"/>
      <c r="CB241" s="147"/>
      <c r="CC241" s="147"/>
      <c r="CD241" s="147"/>
      <c r="CE241" s="147"/>
      <c r="CF241" s="147"/>
      <c r="CG241" s="147"/>
      <c r="CH241" s="147"/>
      <c r="CI241" s="147"/>
      <c r="CJ241" s="147"/>
      <c r="CK241" s="147"/>
      <c r="CL241" s="147"/>
      <c r="CM241" s="147"/>
      <c r="CN241" s="147"/>
      <c r="CO241" s="147"/>
      <c r="CP241" s="147"/>
      <c r="CQ241" s="147"/>
      <c r="CR241" s="147"/>
      <c r="CS241" s="147"/>
      <c r="CT241" s="147"/>
      <c r="CU241" s="147"/>
      <c r="CV241" s="147"/>
      <c r="CW241" s="147"/>
      <c r="CX241" s="147"/>
      <c r="CY241" s="147"/>
      <c r="CZ241" s="147"/>
      <c r="DA241" s="147"/>
      <c r="DB241" s="147"/>
      <c r="DC241" s="147"/>
      <c r="DD241" s="147"/>
      <c r="DE241" s="147"/>
      <c r="DF241" s="147"/>
      <c r="DG241" s="147"/>
      <c r="DH241" s="147"/>
      <c r="DI241" s="147"/>
      <c r="DJ241" s="147"/>
      <c r="DK241" s="147"/>
      <c r="DL241" s="147"/>
      <c r="DM241" s="147"/>
      <c r="DN241" s="147"/>
      <c r="DO241" s="147"/>
      <c r="DP241" s="147"/>
      <c r="DQ241" s="147"/>
      <c r="DR241" s="147"/>
      <c r="DS241" s="147"/>
      <c r="DT241" s="147"/>
      <c r="DU241" s="147"/>
      <c r="DV241" s="147"/>
      <c r="DW241" s="147"/>
      <c r="DX241" s="147"/>
      <c r="DY241" s="147"/>
      <c r="DZ241" s="147"/>
      <c r="EA241" s="147"/>
      <c r="EB241" s="147"/>
      <c r="EC241" s="147"/>
      <c r="ED241" s="147"/>
      <c r="EE241" s="147"/>
      <c r="EF241" s="147"/>
      <c r="EG241" s="147"/>
      <c r="EH241" s="147"/>
      <c r="EI241" s="147"/>
      <c r="EJ241" s="147"/>
      <c r="EK241" s="147"/>
      <c r="EL241" s="147"/>
      <c r="EM241" s="147"/>
      <c r="EN241" s="147"/>
      <c r="EO241" s="147"/>
      <c r="EP241" s="147"/>
      <c r="EQ241" s="147"/>
      <c r="ER241" s="147"/>
      <c r="ES241" s="147"/>
      <c r="ET241" s="147"/>
      <c r="EU241" s="147"/>
      <c r="EV241" s="147"/>
      <c r="EW241" s="147"/>
      <c r="EX241" s="147"/>
      <c r="EY241" s="147"/>
      <c r="EZ241" s="147"/>
      <c r="FA241" s="147"/>
      <c r="FB241" s="147"/>
      <c r="FC241" s="147"/>
      <c r="FD241" s="147"/>
      <c r="FE241" s="147"/>
      <c r="FF241" s="147"/>
      <c r="FG241" s="147"/>
      <c r="FH241" s="147"/>
      <c r="FI241" s="147"/>
      <c r="FJ241" s="147"/>
      <c r="FK241" s="147"/>
      <c r="FL241" s="147"/>
      <c r="FM241" s="147"/>
      <c r="FN241" s="147"/>
      <c r="FO241" s="147"/>
      <c r="FP241" s="147"/>
      <c r="FQ241" s="147"/>
      <c r="FR241" s="147"/>
      <c r="FS241" s="147"/>
    </row>
    <row r="242" spans="8:176" x14ac:dyDescent="0.2">
      <c r="H242">
        <v>100</v>
      </c>
      <c r="I242">
        <v>-14.559721259000947</v>
      </c>
      <c r="J242">
        <v>49</v>
      </c>
      <c r="K242">
        <v>45.939812580807192</v>
      </c>
      <c r="L242">
        <v>23.85949561735341</v>
      </c>
      <c r="M242">
        <v>29675.200967262925</v>
      </c>
      <c r="N242">
        <v>0</v>
      </c>
      <c r="O242">
        <v>-31.477388956333996</v>
      </c>
      <c r="P242">
        <v>49</v>
      </c>
      <c r="Q242">
        <v>47.649965114089902</v>
      </c>
      <c r="R242">
        <v>29.266429176272229</v>
      </c>
      <c r="S242">
        <v>8946.5050635587977</v>
      </c>
      <c r="T242">
        <v>0</v>
      </c>
      <c r="U242" s="147"/>
      <c r="V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  <c r="BI242" s="147"/>
      <c r="BJ242" s="147"/>
      <c r="BK242" s="147"/>
      <c r="BL242" s="147"/>
      <c r="BM242" s="147"/>
      <c r="BN242" s="147"/>
      <c r="BO242" s="147"/>
      <c r="BP242" s="147"/>
      <c r="BQ242" s="147"/>
      <c r="BR242" s="147"/>
      <c r="BS242" s="147"/>
      <c r="BT242" s="147"/>
      <c r="BU242" s="147"/>
      <c r="BV242" s="147"/>
      <c r="BW242" s="147"/>
      <c r="BX242" s="147"/>
      <c r="BY242" s="147"/>
      <c r="BZ242" s="147"/>
      <c r="CA242" s="147"/>
      <c r="CB242" s="147"/>
      <c r="CC242" s="147"/>
      <c r="CD242" s="147"/>
      <c r="CE242" s="147"/>
      <c r="CF242" s="147"/>
      <c r="CG242" s="147"/>
      <c r="CH242" s="147"/>
      <c r="CI242" s="147"/>
      <c r="CJ242" s="147"/>
      <c r="CK242" s="147"/>
      <c r="CL242" s="147"/>
      <c r="CM242" s="147"/>
      <c r="CN242" s="147"/>
      <c r="CO242" s="147"/>
      <c r="CP242" s="147"/>
      <c r="CQ242" s="147"/>
      <c r="CR242" s="147"/>
      <c r="CS242" s="147"/>
      <c r="CT242" s="147"/>
      <c r="CU242" s="147"/>
      <c r="CV242" s="147"/>
      <c r="CW242" s="147"/>
      <c r="CX242" s="147"/>
      <c r="CY242" s="147"/>
      <c r="CZ242" s="147"/>
      <c r="DA242" s="147"/>
      <c r="DB242" s="147"/>
      <c r="DC242" s="147"/>
      <c r="DD242" s="147"/>
      <c r="DE242" s="147"/>
      <c r="DF242" s="147"/>
      <c r="DG242" s="147"/>
      <c r="DH242" s="147"/>
      <c r="DI242" s="147"/>
      <c r="DJ242" s="147"/>
      <c r="DK242" s="147"/>
      <c r="DL242" s="147"/>
      <c r="DM242" s="147"/>
      <c r="DN242" s="147"/>
      <c r="DO242" s="147"/>
      <c r="DP242" s="147"/>
      <c r="DQ242" s="147"/>
      <c r="DR242" s="147"/>
      <c r="DS242" s="147"/>
      <c r="DT242" s="147"/>
      <c r="DU242" s="147"/>
      <c r="DV242" s="147"/>
      <c r="DW242" s="147"/>
      <c r="DX242" s="147"/>
      <c r="DY242" s="147"/>
      <c r="DZ242" s="147"/>
      <c r="EA242" s="147"/>
      <c r="EB242" s="147"/>
      <c r="EC242" s="147"/>
      <c r="ED242" s="147"/>
      <c r="EE242" s="147"/>
      <c r="EF242" s="147"/>
      <c r="EG242" s="147"/>
      <c r="EH242" s="147"/>
      <c r="EI242" s="147"/>
      <c r="EJ242" s="147"/>
      <c r="EK242" s="147"/>
      <c r="EL242" s="147"/>
      <c r="EM242" s="147"/>
      <c r="EN242" s="147"/>
      <c r="EO242" s="147"/>
      <c r="EP242" s="147"/>
      <c r="EQ242" s="147"/>
      <c r="ER242" s="147"/>
      <c r="ES242" s="147"/>
      <c r="ET242" s="147"/>
      <c r="EU242" s="147"/>
      <c r="EV242" s="147"/>
      <c r="EW242" s="147"/>
      <c r="EX242" s="147"/>
      <c r="EY242" s="147"/>
      <c r="EZ242" s="147"/>
      <c r="FA242" s="147"/>
      <c r="FB242" s="147"/>
      <c r="FC242" s="147"/>
      <c r="FD242" s="147"/>
      <c r="FE242" s="147"/>
      <c r="FF242" s="147"/>
      <c r="FG242" s="147"/>
      <c r="FH242" s="147"/>
      <c r="FI242" s="147"/>
      <c r="FJ242" s="147"/>
      <c r="FK242" s="147"/>
      <c r="FL242" s="147"/>
      <c r="FM242" s="147"/>
      <c r="FN242" s="147"/>
      <c r="FO242" s="147"/>
      <c r="FP242" s="147"/>
      <c r="FQ242" s="147"/>
      <c r="FR242" s="147"/>
      <c r="FS242" s="147"/>
    </row>
    <row r="243" spans="8:176" x14ac:dyDescent="0.2">
      <c r="U243" s="147"/>
      <c r="V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  <c r="BI243" s="147"/>
      <c r="BJ243" s="147"/>
      <c r="BK243" s="147"/>
      <c r="BL243" s="147"/>
      <c r="BM243" s="147"/>
      <c r="BN243" s="147"/>
      <c r="BO243" s="147"/>
      <c r="BP243" s="147"/>
      <c r="BQ243" s="147"/>
      <c r="BR243" s="147"/>
      <c r="BS243" s="147"/>
      <c r="BT243" s="147"/>
      <c r="BU243" s="147"/>
      <c r="BV243" s="147"/>
      <c r="BW243" s="147"/>
      <c r="BX243" s="147"/>
      <c r="BY243" s="147"/>
      <c r="BZ243" s="147"/>
      <c r="CA243" s="147"/>
      <c r="CB243" s="147"/>
      <c r="CC243" s="147"/>
      <c r="CD243" s="147"/>
      <c r="CE243" s="147"/>
      <c r="CF243" s="147"/>
      <c r="CG243" s="147"/>
      <c r="CH243" s="147"/>
      <c r="CI243" s="147"/>
      <c r="CJ243" s="147"/>
      <c r="CK243" s="147"/>
      <c r="CL243" s="147"/>
      <c r="CM243" s="147"/>
      <c r="CN243" s="147"/>
      <c r="CO243" s="147"/>
      <c r="CP243" s="147"/>
      <c r="CQ243" s="147"/>
      <c r="CR243" s="147"/>
      <c r="CS243" s="147"/>
      <c r="CT243" s="147"/>
      <c r="CU243" s="147"/>
      <c r="CV243" s="147"/>
      <c r="CW243" s="147"/>
      <c r="CX243" s="147"/>
      <c r="CY243" s="147"/>
      <c r="CZ243" s="147"/>
      <c r="DA243" s="147"/>
      <c r="DB243" s="147"/>
      <c r="DC243" s="147"/>
      <c r="DD243" s="147"/>
      <c r="DE243" s="147"/>
      <c r="DF243" s="147"/>
      <c r="DG243" s="147"/>
      <c r="DH243" s="147"/>
      <c r="DI243" s="147"/>
      <c r="DJ243" s="147"/>
      <c r="DK243" s="147"/>
      <c r="DL243" s="147"/>
      <c r="DM243" s="147"/>
      <c r="DN243" s="147"/>
      <c r="DO243" s="147"/>
      <c r="DP243" s="147"/>
      <c r="DQ243" s="147"/>
      <c r="DR243" s="147"/>
      <c r="DS243" s="147"/>
      <c r="DT243" s="147"/>
      <c r="DU243" s="147"/>
      <c r="DV243" s="147"/>
      <c r="DW243" s="147"/>
      <c r="DX243" s="147"/>
      <c r="DY243" s="147"/>
      <c r="DZ243" s="147"/>
      <c r="EA243" s="147"/>
      <c r="EB243" s="147"/>
      <c r="EC243" s="147"/>
      <c r="ED243" s="147"/>
      <c r="EE243" s="147"/>
      <c r="EF243" s="147"/>
      <c r="EG243" s="147"/>
      <c r="EH243" s="147"/>
      <c r="EI243" s="147"/>
      <c r="EJ243" s="147"/>
      <c r="EK243" s="147"/>
      <c r="EL243" s="147"/>
      <c r="EM243" s="147"/>
      <c r="EN243" s="147"/>
      <c r="EO243" s="147"/>
      <c r="EP243" s="147"/>
      <c r="EQ243" s="147"/>
      <c r="ER243" s="147"/>
      <c r="ES243" s="147"/>
      <c r="ET243" s="147"/>
      <c r="EU243" s="147"/>
      <c r="EV243" s="147"/>
      <c r="EW243" s="147"/>
      <c r="EX243" s="147"/>
      <c r="EY243" s="147"/>
      <c r="EZ243" s="147"/>
      <c r="FA243" s="147"/>
      <c r="FB243" s="147"/>
      <c r="FC243" s="147"/>
      <c r="FD243" s="147"/>
      <c r="FE243" s="147"/>
      <c r="FF243" s="147"/>
      <c r="FG243" s="147"/>
      <c r="FH243" s="147"/>
      <c r="FI243" s="147"/>
      <c r="FJ243" s="147"/>
      <c r="FK243" s="147"/>
      <c r="FL243" s="147"/>
      <c r="FM243" s="147"/>
      <c r="FN243" s="147"/>
      <c r="FO243" s="147"/>
      <c r="FP243" s="147"/>
      <c r="FQ243" s="147"/>
      <c r="FR243" s="147"/>
      <c r="FS243" s="147"/>
    </row>
    <row r="244" spans="8:176" x14ac:dyDescent="0.2"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  <c r="BI244" s="147"/>
      <c r="BJ244" s="147"/>
      <c r="BK244" s="147"/>
      <c r="BL244" s="147"/>
      <c r="BM244" s="147"/>
      <c r="BN244" s="147"/>
      <c r="BO244" s="147"/>
      <c r="BP244" s="147"/>
      <c r="BQ244" s="147"/>
      <c r="BR244" s="147"/>
      <c r="BS244" s="147"/>
      <c r="BT244" s="147"/>
      <c r="BU244" s="147"/>
      <c r="BV244" s="147"/>
      <c r="BW244" s="147"/>
      <c r="BX244" s="147"/>
      <c r="BY244" s="147"/>
      <c r="BZ244" s="147"/>
      <c r="CA244" s="147"/>
      <c r="CB244" s="147"/>
      <c r="CC244" s="147"/>
      <c r="CD244" s="147"/>
      <c r="CE244" s="147"/>
      <c r="CF244" s="147"/>
      <c r="CG244" s="147"/>
      <c r="CH244" s="147"/>
      <c r="CI244" s="147"/>
      <c r="CJ244" s="147"/>
      <c r="CK244" s="147"/>
      <c r="CL244" s="147"/>
      <c r="CM244" s="147"/>
      <c r="CN244" s="147"/>
      <c r="CO244" s="147"/>
      <c r="CP244" s="147"/>
      <c r="CQ244" s="147"/>
      <c r="CR244" s="147"/>
      <c r="CS244" s="147"/>
      <c r="CT244" s="147"/>
      <c r="CU244" s="147"/>
      <c r="CV244" s="147"/>
      <c r="CW244" s="147"/>
      <c r="CX244" s="147"/>
      <c r="CY244" s="147"/>
      <c r="CZ244" s="147"/>
      <c r="DA244" s="147"/>
      <c r="DB244" s="147"/>
      <c r="DC244" s="147"/>
      <c r="DD244" s="147"/>
      <c r="DE244" s="147"/>
      <c r="DF244" s="147"/>
      <c r="DG244" s="147"/>
      <c r="DH244" s="147"/>
      <c r="DI244" s="147"/>
      <c r="DJ244" s="147"/>
      <c r="DK244" s="147"/>
      <c r="DL244" s="147"/>
      <c r="DM244" s="147"/>
      <c r="DN244" s="147"/>
      <c r="DO244" s="147"/>
      <c r="DP244" s="147"/>
      <c r="DQ244" s="147"/>
      <c r="DR244" s="147"/>
      <c r="DS244" s="147"/>
      <c r="DT244" s="147"/>
      <c r="DU244" s="147"/>
      <c r="DV244" s="147"/>
      <c r="DW244" s="147"/>
      <c r="DX244" s="147"/>
      <c r="DY244" s="147"/>
      <c r="DZ244" s="147"/>
      <c r="EA244" s="147"/>
      <c r="EB244" s="147"/>
      <c r="EC244" s="147"/>
      <c r="ED244" s="147"/>
      <c r="EE244" s="147"/>
      <c r="EF244" s="147"/>
      <c r="EG244" s="147"/>
      <c r="EH244" s="147"/>
      <c r="EI244" s="147"/>
      <c r="EJ244" s="147"/>
      <c r="EK244" s="147"/>
      <c r="EL244" s="147"/>
      <c r="EM244" s="147"/>
      <c r="EN244" s="147"/>
      <c r="EO244" s="147"/>
      <c r="EP244" s="147"/>
      <c r="EQ244" s="147"/>
      <c r="ER244" s="147"/>
      <c r="ES244" s="147"/>
      <c r="ET244" s="147"/>
      <c r="EU244" s="147"/>
      <c r="EV244" s="147"/>
      <c r="EW244" s="147"/>
      <c r="EX244" s="147"/>
      <c r="EY244" s="147"/>
      <c r="EZ244" s="147"/>
      <c r="FA244" s="147"/>
      <c r="FB244" s="147"/>
      <c r="FC244" s="147"/>
      <c r="FD244" s="147"/>
      <c r="FE244" s="147"/>
      <c r="FF244" s="147"/>
      <c r="FG244" s="147"/>
      <c r="FH244" s="147"/>
      <c r="FI244" s="147"/>
      <c r="FJ244" s="147"/>
      <c r="FK244" s="147"/>
      <c r="FL244" s="147"/>
      <c r="FM244" s="147"/>
      <c r="FN244" s="147"/>
      <c r="FO244" s="147"/>
      <c r="FP244" s="147"/>
      <c r="FQ244" s="147"/>
      <c r="FR244" s="147"/>
      <c r="FS244" s="147"/>
      <c r="FT244" s="147"/>
    </row>
    <row r="245" spans="8:176" x14ac:dyDescent="0.2"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  <c r="BI245" s="147"/>
      <c r="BJ245" s="147"/>
      <c r="BK245" s="147"/>
      <c r="BL245" s="147"/>
      <c r="BM245" s="147"/>
      <c r="BN245" s="147"/>
      <c r="BO245" s="147"/>
      <c r="BP245" s="147"/>
      <c r="BQ245" s="147"/>
      <c r="BR245" s="147"/>
      <c r="BS245" s="147"/>
      <c r="BT245" s="147"/>
      <c r="BU245" s="147"/>
      <c r="BV245" s="147"/>
      <c r="BW245" s="147"/>
      <c r="BX245" s="147"/>
      <c r="BY245" s="147"/>
      <c r="BZ245" s="147"/>
      <c r="CA245" s="147"/>
      <c r="CB245" s="147"/>
      <c r="CC245" s="147"/>
      <c r="CD245" s="147"/>
      <c r="CE245" s="147"/>
      <c r="CF245" s="147"/>
      <c r="CG245" s="147"/>
      <c r="CH245" s="147"/>
      <c r="CI245" s="147"/>
      <c r="CJ245" s="147"/>
      <c r="CK245" s="147"/>
      <c r="CL245" s="147"/>
      <c r="CM245" s="147"/>
      <c r="CN245" s="147"/>
      <c r="CO245" s="147"/>
      <c r="CP245" s="147"/>
      <c r="CQ245" s="147"/>
      <c r="CR245" s="147"/>
      <c r="CS245" s="147"/>
      <c r="CT245" s="147"/>
      <c r="CU245" s="147"/>
      <c r="CV245" s="147"/>
      <c r="CW245" s="147"/>
      <c r="CX245" s="147"/>
      <c r="CY245" s="147"/>
      <c r="CZ245" s="147"/>
      <c r="DA245" s="147"/>
      <c r="DB245" s="147"/>
      <c r="DC245" s="147"/>
      <c r="DD245" s="147"/>
      <c r="DE245" s="147"/>
      <c r="DF245" s="147"/>
      <c r="DG245" s="147"/>
      <c r="DH245" s="147"/>
      <c r="DI245" s="147"/>
      <c r="DJ245" s="147"/>
      <c r="DK245" s="147"/>
      <c r="DL245" s="147"/>
      <c r="DM245" s="147"/>
      <c r="DN245" s="147"/>
      <c r="DO245" s="147"/>
      <c r="DP245" s="147"/>
      <c r="DQ245" s="147"/>
      <c r="DR245" s="147"/>
      <c r="DS245" s="147"/>
      <c r="DT245" s="147"/>
      <c r="DU245" s="147"/>
      <c r="DV245" s="147"/>
      <c r="DW245" s="147"/>
      <c r="DX245" s="147"/>
      <c r="DY245" s="147"/>
      <c r="DZ245" s="147"/>
      <c r="EA245" s="147"/>
      <c r="EB245" s="147"/>
      <c r="EC245" s="147"/>
      <c r="ED245" s="147"/>
      <c r="EE245" s="147"/>
      <c r="EF245" s="147"/>
      <c r="EG245" s="147"/>
      <c r="EH245" s="147"/>
      <c r="EI245" s="147"/>
      <c r="EJ245" s="147"/>
      <c r="EK245" s="147"/>
      <c r="EL245" s="147"/>
      <c r="EM245" s="147"/>
      <c r="EN245" s="147"/>
      <c r="EO245" s="147"/>
      <c r="EP245" s="147"/>
      <c r="EQ245" s="147"/>
      <c r="ER245" s="147"/>
      <c r="ES245" s="147"/>
      <c r="ET245" s="147"/>
      <c r="EU245" s="147"/>
      <c r="EV245" s="147"/>
      <c r="EW245" s="147"/>
      <c r="EX245" s="147"/>
      <c r="EY245" s="147"/>
      <c r="EZ245" s="147"/>
      <c r="FA245" s="147"/>
      <c r="FB245" s="147"/>
      <c r="FC245" s="147"/>
      <c r="FD245" s="147"/>
      <c r="FE245" s="147"/>
      <c r="FF245" s="147"/>
      <c r="FG245" s="147"/>
      <c r="FH245" s="147"/>
      <c r="FI245" s="147"/>
      <c r="FJ245" s="147"/>
      <c r="FK245" s="147"/>
      <c r="FL245" s="147"/>
      <c r="FM245" s="147"/>
      <c r="FN245" s="147"/>
      <c r="FO245" s="147"/>
      <c r="FP245" s="147"/>
      <c r="FQ245" s="147"/>
      <c r="FR245" s="147"/>
      <c r="FS245" s="147"/>
      <c r="FT245" s="147"/>
    </row>
    <row r="246" spans="8:176" x14ac:dyDescent="0.2"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147"/>
      <c r="BM246" s="147"/>
      <c r="BN246" s="147"/>
      <c r="BO246" s="147"/>
      <c r="BP246" s="147"/>
      <c r="BQ246" s="147"/>
      <c r="BR246" s="147"/>
      <c r="BS246" s="147"/>
      <c r="BT246" s="147"/>
      <c r="BU246" s="147"/>
      <c r="BV246" s="147"/>
      <c r="BW246" s="147"/>
      <c r="BX246" s="147"/>
      <c r="BY246" s="147"/>
      <c r="BZ246" s="147"/>
      <c r="CA246" s="147"/>
      <c r="CB246" s="147"/>
      <c r="CC246" s="147"/>
      <c r="CD246" s="147"/>
      <c r="CE246" s="147"/>
      <c r="CF246" s="147"/>
      <c r="CG246" s="147"/>
      <c r="CH246" s="147"/>
      <c r="CI246" s="147"/>
      <c r="CJ246" s="147"/>
      <c r="CK246" s="147"/>
      <c r="CL246" s="147"/>
      <c r="CM246" s="147"/>
      <c r="CN246" s="147"/>
      <c r="CO246" s="147"/>
      <c r="CP246" s="147"/>
      <c r="CQ246" s="147"/>
      <c r="CR246" s="147"/>
      <c r="CS246" s="147"/>
      <c r="CT246" s="147"/>
      <c r="CU246" s="147"/>
      <c r="CV246" s="147"/>
      <c r="CW246" s="147"/>
      <c r="CX246" s="147"/>
      <c r="CY246" s="147"/>
      <c r="CZ246" s="147"/>
      <c r="DA246" s="147"/>
      <c r="DB246" s="147"/>
      <c r="DC246" s="147"/>
      <c r="DD246" s="147"/>
      <c r="DE246" s="147"/>
      <c r="DF246" s="147"/>
      <c r="DG246" s="147"/>
      <c r="DH246" s="147"/>
      <c r="DI246" s="147"/>
      <c r="DJ246" s="147"/>
      <c r="DK246" s="147"/>
      <c r="DL246" s="147"/>
      <c r="DM246" s="147"/>
      <c r="DN246" s="147"/>
      <c r="DO246" s="147"/>
      <c r="DP246" s="147"/>
      <c r="DQ246" s="147"/>
      <c r="DR246" s="147"/>
      <c r="DS246" s="147"/>
      <c r="DT246" s="147"/>
      <c r="DU246" s="147"/>
      <c r="DV246" s="147"/>
      <c r="DW246" s="147"/>
      <c r="DX246" s="147"/>
      <c r="DY246" s="147"/>
      <c r="DZ246" s="147"/>
      <c r="EA246" s="147"/>
      <c r="EB246" s="147"/>
      <c r="EC246" s="147"/>
      <c r="ED246" s="147"/>
      <c r="EE246" s="147"/>
      <c r="EF246" s="147"/>
      <c r="EG246" s="147"/>
      <c r="EH246" s="147"/>
      <c r="EI246" s="147"/>
      <c r="EJ246" s="147"/>
      <c r="EK246" s="147"/>
      <c r="EL246" s="147"/>
      <c r="EM246" s="147"/>
      <c r="EN246" s="147"/>
      <c r="EO246" s="147"/>
      <c r="EP246" s="147"/>
      <c r="EQ246" s="147"/>
      <c r="ER246" s="147"/>
      <c r="ES246" s="147"/>
      <c r="ET246" s="147"/>
      <c r="EU246" s="147"/>
      <c r="EV246" s="147"/>
      <c r="EW246" s="147"/>
      <c r="EX246" s="147"/>
      <c r="EY246" s="147"/>
      <c r="EZ246" s="147"/>
      <c r="FA246" s="147"/>
      <c r="FB246" s="147"/>
      <c r="FC246" s="147"/>
      <c r="FD246" s="147"/>
      <c r="FE246" s="147"/>
      <c r="FF246" s="147"/>
      <c r="FG246" s="147"/>
      <c r="FH246" s="147"/>
      <c r="FI246" s="147"/>
      <c r="FJ246" s="147"/>
      <c r="FK246" s="147"/>
      <c r="FL246" s="147"/>
      <c r="FM246" s="147"/>
      <c r="FN246" s="147"/>
      <c r="FO246" s="147"/>
      <c r="FP246" s="147"/>
      <c r="FQ246" s="147"/>
      <c r="FR246" s="147"/>
      <c r="FS246" s="147"/>
      <c r="FT246" s="147"/>
    </row>
    <row r="247" spans="8:176" x14ac:dyDescent="0.2"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  <c r="BI247" s="147"/>
      <c r="BJ247" s="147"/>
      <c r="BK247" s="147"/>
      <c r="BL247" s="147"/>
      <c r="BM247" s="147"/>
      <c r="BN247" s="147"/>
      <c r="BO247" s="147"/>
      <c r="BP247" s="147"/>
      <c r="BQ247" s="147"/>
      <c r="BR247" s="147"/>
      <c r="BS247" s="147"/>
      <c r="BT247" s="147"/>
      <c r="BU247" s="147"/>
      <c r="BV247" s="147"/>
      <c r="BW247" s="147"/>
      <c r="BX247" s="147"/>
      <c r="BY247" s="147"/>
      <c r="BZ247" s="147"/>
      <c r="CA247" s="147"/>
      <c r="CB247" s="147"/>
      <c r="CC247" s="147"/>
      <c r="CD247" s="147"/>
      <c r="CE247" s="147"/>
      <c r="CF247" s="147"/>
      <c r="CG247" s="147"/>
      <c r="CH247" s="147"/>
      <c r="CI247" s="147"/>
      <c r="CJ247" s="147"/>
      <c r="CK247" s="147"/>
      <c r="CL247" s="147"/>
      <c r="CM247" s="147"/>
      <c r="CN247" s="147"/>
      <c r="CO247" s="147"/>
      <c r="CP247" s="147"/>
      <c r="CQ247" s="147"/>
      <c r="CR247" s="147"/>
      <c r="CS247" s="147"/>
      <c r="CT247" s="147"/>
      <c r="CU247" s="147"/>
      <c r="CV247" s="147"/>
      <c r="CW247" s="147"/>
      <c r="CX247" s="147"/>
      <c r="CY247" s="147"/>
      <c r="CZ247" s="147"/>
      <c r="DA247" s="147"/>
      <c r="DB247" s="147"/>
      <c r="DC247" s="147"/>
      <c r="DD247" s="147"/>
      <c r="DE247" s="147"/>
      <c r="DF247" s="147"/>
      <c r="DG247" s="147"/>
      <c r="DH247" s="147"/>
      <c r="DI247" s="147"/>
      <c r="DJ247" s="147"/>
      <c r="DK247" s="147"/>
      <c r="DL247" s="147"/>
      <c r="DM247" s="147"/>
      <c r="DN247" s="147"/>
      <c r="DO247" s="147"/>
      <c r="DP247" s="147"/>
      <c r="DQ247" s="147"/>
      <c r="DR247" s="147"/>
      <c r="DS247" s="147"/>
      <c r="DT247" s="147"/>
      <c r="DU247" s="147"/>
      <c r="DV247" s="147"/>
      <c r="DW247" s="147"/>
      <c r="DX247" s="147"/>
      <c r="DY247" s="147"/>
      <c r="DZ247" s="147"/>
      <c r="EA247" s="147"/>
      <c r="EB247" s="147"/>
      <c r="EC247" s="147"/>
      <c r="ED247" s="147"/>
      <c r="EE247" s="147"/>
      <c r="EF247" s="147"/>
      <c r="EG247" s="147"/>
      <c r="EH247" s="147"/>
      <c r="EI247" s="147"/>
      <c r="EJ247" s="147"/>
      <c r="EK247" s="147"/>
      <c r="EL247" s="147"/>
      <c r="EM247" s="147"/>
      <c r="EN247" s="147"/>
      <c r="EO247" s="147"/>
      <c r="EP247" s="147"/>
      <c r="EQ247" s="147"/>
      <c r="ER247" s="147"/>
      <c r="ES247" s="147"/>
      <c r="ET247" s="147"/>
      <c r="EU247" s="147"/>
      <c r="EV247" s="147"/>
      <c r="EW247" s="147"/>
      <c r="EX247" s="147"/>
      <c r="EY247" s="147"/>
      <c r="EZ247" s="147"/>
      <c r="FA247" s="147"/>
      <c r="FB247" s="147"/>
      <c r="FC247" s="147"/>
      <c r="FD247" s="147"/>
      <c r="FE247" s="147"/>
      <c r="FF247" s="147"/>
      <c r="FG247" s="147"/>
      <c r="FH247" s="147"/>
      <c r="FI247" s="147"/>
      <c r="FJ247" s="147"/>
      <c r="FK247" s="147"/>
      <c r="FL247" s="147"/>
      <c r="FM247" s="147"/>
      <c r="FN247" s="147"/>
      <c r="FO247" s="147"/>
      <c r="FP247" s="147"/>
      <c r="FQ247" s="147"/>
      <c r="FR247" s="147"/>
      <c r="FS247" s="147"/>
      <c r="FT247" s="147"/>
    </row>
    <row r="248" spans="8:176" x14ac:dyDescent="0.2"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  <c r="BI248" s="147"/>
      <c r="BJ248" s="147"/>
      <c r="BK248" s="147"/>
      <c r="BL248" s="147"/>
      <c r="BM248" s="147"/>
      <c r="BN248" s="147"/>
      <c r="BO248" s="147"/>
      <c r="BP248" s="147"/>
      <c r="BQ248" s="147"/>
      <c r="BR248" s="147"/>
      <c r="BS248" s="147"/>
      <c r="BT248" s="147"/>
      <c r="BU248" s="147"/>
      <c r="BV248" s="147"/>
      <c r="BW248" s="147"/>
      <c r="BX248" s="147"/>
      <c r="BY248" s="147"/>
      <c r="BZ248" s="147"/>
      <c r="CA248" s="147"/>
      <c r="CB248" s="147"/>
      <c r="CC248" s="147"/>
      <c r="CD248" s="147"/>
      <c r="CE248" s="147"/>
      <c r="CF248" s="147"/>
      <c r="CG248" s="147"/>
      <c r="CH248" s="147"/>
      <c r="CI248" s="147"/>
      <c r="CJ248" s="147"/>
      <c r="CK248" s="147"/>
      <c r="CL248" s="147"/>
      <c r="CM248" s="147"/>
      <c r="CN248" s="147"/>
      <c r="CO248" s="147"/>
      <c r="CP248" s="147"/>
      <c r="CQ248" s="147"/>
      <c r="CR248" s="147"/>
      <c r="CS248" s="147"/>
      <c r="CT248" s="147"/>
      <c r="CU248" s="147"/>
      <c r="CV248" s="147"/>
      <c r="CW248" s="147"/>
      <c r="CX248" s="147"/>
      <c r="CY248" s="147"/>
      <c r="CZ248" s="147"/>
      <c r="DA248" s="147"/>
      <c r="DB248" s="147"/>
      <c r="DC248" s="147"/>
      <c r="DD248" s="147"/>
      <c r="DE248" s="147"/>
      <c r="DF248" s="147"/>
      <c r="DG248" s="147"/>
      <c r="DH248" s="147"/>
      <c r="DI248" s="147"/>
      <c r="DJ248" s="147"/>
      <c r="DK248" s="147"/>
      <c r="DL248" s="147"/>
      <c r="DM248" s="147"/>
      <c r="DN248" s="147"/>
      <c r="DO248" s="147"/>
      <c r="DP248" s="147"/>
      <c r="DQ248" s="147"/>
      <c r="DR248" s="147"/>
      <c r="DS248" s="147"/>
      <c r="DT248" s="147"/>
      <c r="DU248" s="147"/>
      <c r="DV248" s="147"/>
      <c r="DW248" s="147"/>
      <c r="DX248" s="147"/>
      <c r="DY248" s="147"/>
      <c r="DZ248" s="147"/>
      <c r="EA248" s="147"/>
      <c r="EB248" s="147"/>
      <c r="EC248" s="147"/>
      <c r="ED248" s="147"/>
      <c r="EE248" s="147"/>
      <c r="EF248" s="147"/>
      <c r="EG248" s="147"/>
      <c r="EH248" s="147"/>
      <c r="EI248" s="147"/>
      <c r="EJ248" s="147"/>
      <c r="EK248" s="147"/>
      <c r="EL248" s="147"/>
      <c r="EM248" s="147"/>
      <c r="EN248" s="147"/>
      <c r="EO248" s="147"/>
      <c r="EP248" s="147"/>
      <c r="EQ248" s="147"/>
      <c r="ER248" s="147"/>
      <c r="ES248" s="147"/>
      <c r="ET248" s="147"/>
      <c r="EU248" s="147"/>
      <c r="EV248" s="147"/>
      <c r="EW248" s="147"/>
      <c r="EX248" s="147"/>
      <c r="EY248" s="147"/>
      <c r="EZ248" s="147"/>
      <c r="FA248" s="147"/>
      <c r="FB248" s="147"/>
      <c r="FC248" s="147"/>
      <c r="FD248" s="147"/>
      <c r="FE248" s="147"/>
      <c r="FF248" s="147"/>
      <c r="FG248" s="147"/>
      <c r="FH248" s="147"/>
      <c r="FI248" s="147"/>
      <c r="FJ248" s="147"/>
      <c r="FK248" s="147"/>
      <c r="FL248" s="147"/>
      <c r="FM248" s="147"/>
      <c r="FN248" s="147"/>
      <c r="FO248" s="147"/>
      <c r="FP248" s="147"/>
      <c r="FQ248" s="147"/>
      <c r="FR248" s="147"/>
      <c r="FS248" s="147"/>
      <c r="FT248" s="147"/>
    </row>
    <row r="249" spans="8:176" x14ac:dyDescent="0.2"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  <c r="BI249" s="147"/>
      <c r="BJ249" s="147"/>
      <c r="BK249" s="147"/>
      <c r="BL249" s="147"/>
      <c r="BM249" s="147"/>
      <c r="BN249" s="147"/>
      <c r="BO249" s="147"/>
      <c r="BP249" s="147"/>
      <c r="BQ249" s="147"/>
      <c r="BR249" s="147"/>
      <c r="BS249" s="147"/>
      <c r="BT249" s="147"/>
      <c r="BU249" s="147"/>
      <c r="BV249" s="147"/>
      <c r="BW249" s="147"/>
      <c r="BX249" s="147"/>
      <c r="BY249" s="147"/>
      <c r="BZ249" s="147"/>
      <c r="CA249" s="147"/>
      <c r="CB249" s="147"/>
      <c r="CC249" s="147"/>
      <c r="CD249" s="147"/>
      <c r="CE249" s="147"/>
      <c r="CF249" s="147"/>
      <c r="CG249" s="147"/>
      <c r="CH249" s="147"/>
      <c r="CI249" s="147"/>
      <c r="CJ249" s="147"/>
      <c r="CK249" s="147"/>
      <c r="CL249" s="147"/>
      <c r="CM249" s="147"/>
      <c r="CN249" s="147"/>
      <c r="CO249" s="147"/>
      <c r="CP249" s="147"/>
      <c r="CQ249" s="147"/>
      <c r="CR249" s="147"/>
      <c r="CS249" s="147"/>
      <c r="CT249" s="147"/>
      <c r="CU249" s="147"/>
      <c r="CV249" s="147"/>
      <c r="CW249" s="147"/>
      <c r="CX249" s="147"/>
      <c r="CY249" s="147"/>
      <c r="CZ249" s="147"/>
      <c r="DA249" s="147"/>
      <c r="DB249" s="147"/>
      <c r="DC249" s="147"/>
      <c r="DD249" s="147"/>
      <c r="DE249" s="147"/>
      <c r="DF249" s="147"/>
      <c r="DG249" s="147"/>
      <c r="DH249" s="147"/>
      <c r="DI249" s="147"/>
      <c r="DJ249" s="147"/>
      <c r="DK249" s="147"/>
      <c r="DL249" s="147"/>
      <c r="DM249" s="147"/>
      <c r="DN249" s="147"/>
      <c r="DO249" s="147"/>
      <c r="DP249" s="147"/>
      <c r="DQ249" s="147"/>
      <c r="DR249" s="147"/>
      <c r="DS249" s="147"/>
      <c r="DT249" s="147"/>
      <c r="DU249" s="147"/>
      <c r="DV249" s="147"/>
      <c r="DW249" s="147"/>
      <c r="DX249" s="147"/>
      <c r="DY249" s="147"/>
      <c r="DZ249" s="147"/>
      <c r="EA249" s="147"/>
      <c r="EB249" s="147"/>
      <c r="EC249" s="147"/>
      <c r="ED249" s="147"/>
      <c r="EE249" s="147"/>
      <c r="EF249" s="147"/>
      <c r="EG249" s="147"/>
      <c r="EH249" s="147"/>
      <c r="EI249" s="147"/>
      <c r="EJ249" s="147"/>
      <c r="EK249" s="147"/>
      <c r="EL249" s="147"/>
      <c r="EM249" s="147"/>
      <c r="EN249" s="147"/>
      <c r="EO249" s="147"/>
      <c r="EP249" s="147"/>
      <c r="EQ249" s="147"/>
      <c r="ER249" s="147"/>
      <c r="ES249" s="147"/>
      <c r="ET249" s="147"/>
      <c r="EU249" s="147"/>
      <c r="EV249" s="147"/>
      <c r="EW249" s="147"/>
      <c r="EX249" s="147"/>
      <c r="EY249" s="147"/>
      <c r="EZ249" s="147"/>
      <c r="FA249" s="147"/>
      <c r="FB249" s="147"/>
      <c r="FC249" s="147"/>
      <c r="FD249" s="147"/>
      <c r="FE249" s="147"/>
      <c r="FF249" s="147"/>
      <c r="FG249" s="147"/>
      <c r="FH249" s="147"/>
      <c r="FI249" s="147"/>
      <c r="FJ249" s="147"/>
      <c r="FK249" s="147"/>
      <c r="FL249" s="147"/>
      <c r="FM249" s="147"/>
      <c r="FN249" s="147"/>
      <c r="FO249" s="147"/>
      <c r="FP249" s="147"/>
      <c r="FQ249" s="147"/>
      <c r="FR249" s="147"/>
      <c r="FS249" s="147"/>
      <c r="FT249" s="147"/>
    </row>
    <row r="250" spans="8:176" x14ac:dyDescent="0.2"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  <c r="BI250" s="147"/>
      <c r="BJ250" s="147"/>
      <c r="BK250" s="147"/>
      <c r="BL250" s="147"/>
      <c r="BM250" s="147"/>
      <c r="BN250" s="147"/>
      <c r="BO250" s="147"/>
      <c r="BP250" s="147"/>
      <c r="BQ250" s="147"/>
      <c r="BR250" s="147"/>
      <c r="BS250" s="147"/>
      <c r="BT250" s="147"/>
      <c r="BU250" s="147"/>
      <c r="BV250" s="147"/>
      <c r="BW250" s="147"/>
      <c r="BX250" s="147"/>
      <c r="BY250" s="147"/>
      <c r="BZ250" s="147"/>
      <c r="CA250" s="147"/>
      <c r="CB250" s="147"/>
      <c r="CC250" s="147"/>
      <c r="CD250" s="147"/>
      <c r="CE250" s="147"/>
      <c r="CF250" s="147"/>
      <c r="CG250" s="147"/>
      <c r="CH250" s="147"/>
      <c r="CI250" s="147"/>
      <c r="CJ250" s="147"/>
      <c r="CK250" s="147"/>
      <c r="CL250" s="147"/>
      <c r="CM250" s="147"/>
      <c r="CN250" s="147"/>
      <c r="CO250" s="147"/>
      <c r="CP250" s="147"/>
      <c r="CQ250" s="147"/>
      <c r="CR250" s="147"/>
      <c r="CS250" s="147"/>
      <c r="CT250" s="147"/>
      <c r="CU250" s="147"/>
      <c r="CV250" s="147"/>
      <c r="CW250" s="147"/>
      <c r="CX250" s="147"/>
      <c r="CY250" s="147"/>
      <c r="CZ250" s="147"/>
      <c r="DA250" s="147"/>
      <c r="DB250" s="147"/>
      <c r="DC250" s="147"/>
      <c r="DD250" s="147"/>
      <c r="DE250" s="147"/>
      <c r="DF250" s="147"/>
      <c r="DG250" s="147"/>
      <c r="DH250" s="147"/>
      <c r="DI250" s="147"/>
      <c r="DJ250" s="147"/>
      <c r="DK250" s="147"/>
      <c r="DL250" s="147"/>
      <c r="DM250" s="147"/>
      <c r="DN250" s="147"/>
      <c r="DO250" s="147"/>
      <c r="DP250" s="147"/>
      <c r="DQ250" s="147"/>
      <c r="DR250" s="147"/>
      <c r="DS250" s="147"/>
      <c r="DT250" s="147"/>
      <c r="DU250" s="147"/>
      <c r="DV250" s="147"/>
      <c r="DW250" s="147"/>
      <c r="DX250" s="147"/>
      <c r="DY250" s="147"/>
      <c r="DZ250" s="147"/>
      <c r="EA250" s="147"/>
      <c r="EB250" s="147"/>
      <c r="EC250" s="147"/>
      <c r="ED250" s="147"/>
      <c r="EE250" s="147"/>
      <c r="EF250" s="147"/>
      <c r="EG250" s="147"/>
      <c r="EH250" s="147"/>
      <c r="EI250" s="147"/>
      <c r="EJ250" s="147"/>
      <c r="EK250" s="147"/>
      <c r="EL250" s="147"/>
      <c r="EM250" s="147"/>
      <c r="EN250" s="147"/>
      <c r="EO250" s="147"/>
      <c r="EP250" s="147"/>
      <c r="EQ250" s="147"/>
      <c r="ER250" s="147"/>
      <c r="ES250" s="147"/>
      <c r="ET250" s="147"/>
      <c r="EU250" s="147"/>
      <c r="EV250" s="147"/>
      <c r="EW250" s="147"/>
      <c r="EX250" s="147"/>
      <c r="EY250" s="147"/>
      <c r="EZ250" s="147"/>
      <c r="FA250" s="147"/>
      <c r="FB250" s="147"/>
      <c r="FC250" s="147"/>
      <c r="FD250" s="147"/>
      <c r="FE250" s="147"/>
      <c r="FF250" s="147"/>
      <c r="FG250" s="147"/>
      <c r="FH250" s="147"/>
      <c r="FI250" s="147"/>
      <c r="FJ250" s="147"/>
      <c r="FK250" s="147"/>
      <c r="FL250" s="147"/>
      <c r="FM250" s="147"/>
      <c r="FN250" s="147"/>
      <c r="FO250" s="147"/>
      <c r="FP250" s="147"/>
      <c r="FQ250" s="147"/>
      <c r="FR250" s="147"/>
      <c r="FS250" s="147"/>
      <c r="FT250" s="147"/>
    </row>
    <row r="251" spans="8:176" x14ac:dyDescent="0.2"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  <c r="BI251" s="147"/>
      <c r="BJ251" s="147"/>
      <c r="BK251" s="147"/>
      <c r="BL251" s="147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7"/>
      <c r="BX251" s="147"/>
      <c r="BY251" s="147"/>
      <c r="BZ251" s="147"/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7"/>
      <c r="DE251" s="147"/>
      <c r="DF251" s="147"/>
      <c r="DG251" s="147"/>
      <c r="DH251" s="147"/>
      <c r="DI251" s="147"/>
      <c r="DJ251" s="147"/>
      <c r="DK251" s="147"/>
      <c r="DL251" s="147"/>
      <c r="DM251" s="147"/>
      <c r="DN251" s="147"/>
      <c r="DO251" s="147"/>
      <c r="DP251" s="147"/>
      <c r="DQ251" s="147"/>
      <c r="DR251" s="147"/>
      <c r="DS251" s="147"/>
      <c r="DT251" s="147"/>
      <c r="DU251" s="147"/>
      <c r="DV251" s="147"/>
      <c r="DW251" s="147"/>
      <c r="DX251" s="147"/>
      <c r="DY251" s="147"/>
      <c r="DZ251" s="147"/>
      <c r="EA251" s="147"/>
      <c r="EB251" s="147"/>
      <c r="EC251" s="147"/>
      <c r="ED251" s="147"/>
      <c r="EE251" s="147"/>
      <c r="EF251" s="147"/>
      <c r="EG251" s="147"/>
      <c r="EH251" s="147"/>
      <c r="EI251" s="147"/>
      <c r="EJ251" s="147"/>
      <c r="EK251" s="147"/>
      <c r="EL251" s="147"/>
      <c r="EM251" s="147"/>
      <c r="EN251" s="147"/>
      <c r="EO251" s="147"/>
      <c r="EP251" s="147"/>
      <c r="EQ251" s="147"/>
      <c r="ER251" s="147"/>
      <c r="ES251" s="147"/>
      <c r="ET251" s="147"/>
      <c r="EU251" s="147"/>
      <c r="EV251" s="147"/>
      <c r="EW251" s="147"/>
      <c r="EX251" s="147"/>
      <c r="EY251" s="147"/>
      <c r="EZ251" s="147"/>
      <c r="FA251" s="147"/>
      <c r="FB251" s="147"/>
      <c r="FC251" s="147"/>
      <c r="FD251" s="147"/>
      <c r="FE251" s="147"/>
      <c r="FF251" s="147"/>
      <c r="FG251" s="147"/>
      <c r="FH251" s="147"/>
      <c r="FI251" s="147"/>
      <c r="FJ251" s="147"/>
      <c r="FK251" s="147"/>
      <c r="FL251" s="147"/>
      <c r="FM251" s="147"/>
      <c r="FN251" s="147"/>
      <c r="FO251" s="147"/>
      <c r="FP251" s="147"/>
      <c r="FQ251" s="147"/>
      <c r="FR251" s="147"/>
      <c r="FS251" s="147"/>
      <c r="FT251" s="147"/>
    </row>
    <row r="252" spans="8:176" x14ac:dyDescent="0.2"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  <c r="BI252" s="147"/>
      <c r="BJ252" s="147"/>
      <c r="BK252" s="147"/>
      <c r="BL252" s="147"/>
      <c r="BM252" s="147"/>
      <c r="BN252" s="147"/>
      <c r="BO252" s="147"/>
      <c r="BP252" s="147"/>
      <c r="BQ252" s="147"/>
      <c r="BR252" s="147"/>
      <c r="BS252" s="147"/>
      <c r="BT252" s="147"/>
      <c r="BU252" s="147"/>
      <c r="BV252" s="147"/>
      <c r="BW252" s="147"/>
      <c r="BX252" s="147"/>
      <c r="BY252" s="147"/>
      <c r="BZ252" s="147"/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7"/>
      <c r="CM252" s="147"/>
      <c r="CN252" s="147"/>
      <c r="CO252" s="147"/>
      <c r="CP252" s="147"/>
      <c r="CQ252" s="147"/>
      <c r="CR252" s="147"/>
      <c r="CS252" s="147"/>
      <c r="CT252" s="147"/>
      <c r="CU252" s="147"/>
      <c r="CV252" s="147"/>
      <c r="CW252" s="147"/>
      <c r="CX252" s="147"/>
      <c r="CY252" s="147"/>
      <c r="CZ252" s="147"/>
      <c r="DA252" s="147"/>
      <c r="DB252" s="147"/>
      <c r="DC252" s="147"/>
      <c r="DD252" s="147"/>
      <c r="DE252" s="147"/>
      <c r="DF252" s="147"/>
      <c r="DG252" s="147"/>
      <c r="DH252" s="147"/>
      <c r="DI252" s="147"/>
      <c r="DJ252" s="147"/>
      <c r="DK252" s="147"/>
      <c r="DL252" s="147"/>
      <c r="DM252" s="147"/>
      <c r="DN252" s="147"/>
      <c r="DO252" s="147"/>
      <c r="DP252" s="147"/>
      <c r="DQ252" s="147"/>
      <c r="DR252" s="147"/>
      <c r="DS252" s="147"/>
      <c r="DT252" s="147"/>
      <c r="DU252" s="147"/>
      <c r="DV252" s="147"/>
      <c r="DW252" s="147"/>
      <c r="DX252" s="147"/>
      <c r="DY252" s="147"/>
      <c r="DZ252" s="147"/>
      <c r="EA252" s="147"/>
      <c r="EB252" s="147"/>
      <c r="EC252" s="147"/>
      <c r="ED252" s="147"/>
      <c r="EE252" s="147"/>
      <c r="EF252" s="147"/>
      <c r="EG252" s="147"/>
      <c r="EH252" s="147"/>
      <c r="EI252" s="147"/>
      <c r="EJ252" s="147"/>
      <c r="EK252" s="147"/>
      <c r="EL252" s="147"/>
      <c r="EM252" s="147"/>
      <c r="EN252" s="147"/>
      <c r="EO252" s="147"/>
      <c r="EP252" s="147"/>
      <c r="EQ252" s="147"/>
      <c r="ER252" s="147"/>
      <c r="ES252" s="147"/>
      <c r="ET252" s="147"/>
      <c r="EU252" s="147"/>
      <c r="EV252" s="147"/>
      <c r="EW252" s="147"/>
      <c r="EX252" s="147"/>
      <c r="EY252" s="147"/>
      <c r="EZ252" s="147"/>
      <c r="FA252" s="147"/>
      <c r="FB252" s="147"/>
      <c r="FC252" s="147"/>
      <c r="FD252" s="147"/>
      <c r="FE252" s="147"/>
      <c r="FF252" s="147"/>
      <c r="FG252" s="147"/>
      <c r="FH252" s="147"/>
      <c r="FI252" s="147"/>
      <c r="FJ252" s="147"/>
      <c r="FK252" s="147"/>
      <c r="FL252" s="147"/>
      <c r="FM252" s="147"/>
      <c r="FN252" s="147"/>
      <c r="FO252" s="147"/>
      <c r="FP252" s="147"/>
      <c r="FQ252" s="147"/>
      <c r="FR252" s="147"/>
      <c r="FS252" s="147"/>
      <c r="FT252" s="147"/>
    </row>
    <row r="253" spans="8:176" x14ac:dyDescent="0.2"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  <c r="BI253" s="147"/>
      <c r="BJ253" s="147"/>
      <c r="BK253" s="147"/>
      <c r="BL253" s="147"/>
      <c r="BM253" s="147"/>
      <c r="BN253" s="147"/>
      <c r="BO253" s="147"/>
      <c r="BP253" s="147"/>
      <c r="BQ253" s="147"/>
      <c r="BR253" s="147"/>
      <c r="BS253" s="147"/>
      <c r="BT253" s="147"/>
      <c r="BU253" s="147"/>
      <c r="BV253" s="147"/>
      <c r="BW253" s="147"/>
      <c r="BX253" s="147"/>
      <c r="BY253" s="147"/>
      <c r="BZ253" s="147"/>
      <c r="CA253" s="147"/>
      <c r="CB253" s="147"/>
      <c r="CC253" s="147"/>
      <c r="CD253" s="147"/>
      <c r="CE253" s="147"/>
      <c r="CF253" s="147"/>
      <c r="CG253" s="147"/>
      <c r="CH253" s="147"/>
      <c r="CI253" s="147"/>
      <c r="CJ253" s="147"/>
      <c r="CK253" s="147"/>
      <c r="CL253" s="147"/>
      <c r="CM253" s="147"/>
      <c r="CN253" s="147"/>
      <c r="CO253" s="147"/>
      <c r="CP253" s="147"/>
      <c r="CQ253" s="147"/>
      <c r="CR253" s="147"/>
      <c r="CS253" s="147"/>
      <c r="CT253" s="147"/>
      <c r="CU253" s="147"/>
      <c r="CV253" s="147"/>
      <c r="CW253" s="147"/>
      <c r="CX253" s="147"/>
      <c r="CY253" s="147"/>
      <c r="CZ253" s="147"/>
      <c r="DA253" s="147"/>
      <c r="DB253" s="147"/>
      <c r="DC253" s="147"/>
      <c r="DD253" s="147"/>
      <c r="DE253" s="147"/>
      <c r="DF253" s="147"/>
      <c r="DG253" s="147"/>
      <c r="DH253" s="147"/>
      <c r="DI253" s="147"/>
      <c r="DJ253" s="147"/>
      <c r="DK253" s="147"/>
      <c r="DL253" s="147"/>
      <c r="DM253" s="147"/>
      <c r="DN253" s="147"/>
      <c r="DO253" s="147"/>
      <c r="DP253" s="147"/>
      <c r="DQ253" s="147"/>
      <c r="DR253" s="147"/>
      <c r="DS253" s="147"/>
      <c r="DT253" s="147"/>
      <c r="DU253" s="147"/>
      <c r="DV253" s="147"/>
      <c r="DW253" s="147"/>
      <c r="DX253" s="147"/>
      <c r="DY253" s="147"/>
      <c r="DZ253" s="147"/>
      <c r="EA253" s="147"/>
      <c r="EB253" s="147"/>
      <c r="EC253" s="147"/>
      <c r="ED253" s="147"/>
      <c r="EE253" s="147"/>
      <c r="EF253" s="147"/>
      <c r="EG253" s="147"/>
      <c r="EH253" s="147"/>
      <c r="EI253" s="147"/>
      <c r="EJ253" s="147"/>
      <c r="EK253" s="147"/>
      <c r="EL253" s="147"/>
      <c r="EM253" s="147"/>
      <c r="EN253" s="147"/>
      <c r="EO253" s="147"/>
      <c r="EP253" s="147"/>
      <c r="EQ253" s="147"/>
      <c r="ER253" s="147"/>
      <c r="ES253" s="147"/>
      <c r="ET253" s="147"/>
      <c r="EU253" s="147"/>
      <c r="EV253" s="147"/>
      <c r="EW253" s="147"/>
      <c r="EX253" s="147"/>
      <c r="EY253" s="147"/>
      <c r="EZ253" s="147"/>
      <c r="FA253" s="147"/>
      <c r="FB253" s="147"/>
      <c r="FC253" s="147"/>
      <c r="FD253" s="147"/>
      <c r="FE253" s="147"/>
      <c r="FF253" s="147"/>
      <c r="FG253" s="147"/>
      <c r="FH253" s="147"/>
      <c r="FI253" s="147"/>
      <c r="FJ253" s="147"/>
      <c r="FK253" s="147"/>
      <c r="FL253" s="147"/>
      <c r="FM253" s="147"/>
      <c r="FN253" s="147"/>
      <c r="FO253" s="147"/>
      <c r="FP253" s="147"/>
      <c r="FQ253" s="147"/>
      <c r="FR253" s="147"/>
      <c r="FS253" s="147"/>
      <c r="FT253" s="147"/>
    </row>
    <row r="254" spans="8:176" x14ac:dyDescent="0.2"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  <c r="BI254" s="147"/>
      <c r="BJ254" s="147"/>
      <c r="BK254" s="147"/>
      <c r="BL254" s="147"/>
      <c r="BM254" s="147"/>
      <c r="BN254" s="147"/>
      <c r="BO254" s="147"/>
      <c r="BP254" s="147"/>
      <c r="BQ254" s="147"/>
      <c r="BR254" s="147"/>
      <c r="BS254" s="147"/>
      <c r="BT254" s="147"/>
      <c r="BU254" s="147"/>
      <c r="BV254" s="147"/>
      <c r="BW254" s="147"/>
      <c r="BX254" s="147"/>
      <c r="BY254" s="147"/>
      <c r="BZ254" s="147"/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147"/>
      <c r="CL254" s="147"/>
      <c r="CM254" s="147"/>
      <c r="CN254" s="147"/>
      <c r="CO254" s="147"/>
      <c r="CP254" s="147"/>
      <c r="CQ254" s="147"/>
      <c r="CR254" s="147"/>
      <c r="CS254" s="147"/>
      <c r="CT254" s="147"/>
      <c r="CU254" s="147"/>
      <c r="CV254" s="147"/>
      <c r="CW254" s="147"/>
      <c r="CX254" s="147"/>
      <c r="CY254" s="147"/>
      <c r="CZ254" s="147"/>
      <c r="DA254" s="147"/>
      <c r="DB254" s="147"/>
      <c r="DC254" s="147"/>
      <c r="DD254" s="147"/>
      <c r="DE254" s="147"/>
      <c r="DF254" s="147"/>
      <c r="DG254" s="147"/>
      <c r="DH254" s="147"/>
      <c r="DI254" s="147"/>
      <c r="DJ254" s="147"/>
      <c r="DK254" s="147"/>
      <c r="DL254" s="147"/>
      <c r="DM254" s="147"/>
      <c r="DN254" s="147"/>
      <c r="DO254" s="147"/>
      <c r="DP254" s="147"/>
      <c r="DQ254" s="147"/>
      <c r="DR254" s="147"/>
      <c r="DS254" s="147"/>
      <c r="DT254" s="147"/>
      <c r="DU254" s="147"/>
      <c r="DV254" s="147"/>
      <c r="DW254" s="147"/>
      <c r="DX254" s="147"/>
      <c r="DY254" s="147"/>
      <c r="DZ254" s="147"/>
      <c r="EA254" s="147"/>
      <c r="EB254" s="147"/>
      <c r="EC254" s="147"/>
      <c r="ED254" s="147"/>
      <c r="EE254" s="147"/>
      <c r="EF254" s="147"/>
      <c r="EG254" s="147"/>
      <c r="EH254" s="147"/>
      <c r="EI254" s="147"/>
      <c r="EJ254" s="147"/>
      <c r="EK254" s="147"/>
      <c r="EL254" s="147"/>
      <c r="EM254" s="147"/>
      <c r="EN254" s="147"/>
      <c r="EO254" s="147"/>
      <c r="EP254" s="147"/>
      <c r="EQ254" s="147"/>
      <c r="ER254" s="147"/>
      <c r="ES254" s="147"/>
      <c r="ET254" s="147"/>
      <c r="EU254" s="147"/>
      <c r="EV254" s="147"/>
      <c r="EW254" s="147"/>
      <c r="EX254" s="147"/>
      <c r="EY254" s="147"/>
      <c r="EZ254" s="147"/>
      <c r="FA254" s="147"/>
      <c r="FB254" s="147"/>
      <c r="FC254" s="147"/>
      <c r="FD254" s="147"/>
      <c r="FE254" s="147"/>
      <c r="FF254" s="147"/>
      <c r="FG254" s="147"/>
      <c r="FH254" s="147"/>
      <c r="FI254" s="147"/>
      <c r="FJ254" s="147"/>
      <c r="FK254" s="147"/>
      <c r="FL254" s="147"/>
      <c r="FM254" s="147"/>
      <c r="FN254" s="147"/>
      <c r="FO254" s="147"/>
      <c r="FP254" s="147"/>
      <c r="FQ254" s="147"/>
      <c r="FR254" s="147"/>
      <c r="FS254" s="147"/>
      <c r="FT254" s="147"/>
    </row>
    <row r="255" spans="8:176" x14ac:dyDescent="0.2"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  <c r="BI255" s="147"/>
      <c r="BJ255" s="147"/>
      <c r="BK255" s="147"/>
      <c r="BL255" s="147"/>
      <c r="BM255" s="147"/>
      <c r="BN255" s="147"/>
      <c r="BO255" s="147"/>
      <c r="BP255" s="147"/>
      <c r="BQ255" s="147"/>
      <c r="BR255" s="147"/>
      <c r="BS255" s="147"/>
      <c r="BT255" s="147"/>
      <c r="BU255" s="147"/>
      <c r="BV255" s="147"/>
      <c r="BW255" s="147"/>
      <c r="BX255" s="147"/>
      <c r="BY255" s="147"/>
      <c r="BZ255" s="147"/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7"/>
      <c r="CM255" s="147"/>
      <c r="CN255" s="147"/>
      <c r="CO255" s="147"/>
      <c r="CP255" s="147"/>
      <c r="CQ255" s="147"/>
      <c r="CR255" s="147"/>
      <c r="CS255" s="147"/>
      <c r="CT255" s="147"/>
      <c r="CU255" s="147"/>
      <c r="CV255" s="147"/>
      <c r="CW255" s="147"/>
      <c r="CX255" s="147"/>
      <c r="CY255" s="147"/>
      <c r="CZ255" s="147"/>
      <c r="DA255" s="147"/>
      <c r="DB255" s="147"/>
      <c r="DC255" s="147"/>
      <c r="DD255" s="147"/>
      <c r="DE255" s="147"/>
      <c r="DF255" s="147"/>
      <c r="DG255" s="147"/>
      <c r="DH255" s="147"/>
      <c r="DI255" s="147"/>
      <c r="DJ255" s="147"/>
      <c r="DK255" s="147"/>
      <c r="DL255" s="147"/>
      <c r="DM255" s="147"/>
      <c r="DN255" s="147"/>
      <c r="DO255" s="147"/>
      <c r="DP255" s="147"/>
      <c r="DQ255" s="147"/>
      <c r="DR255" s="147"/>
      <c r="DS255" s="147"/>
      <c r="DT255" s="147"/>
      <c r="DU255" s="147"/>
      <c r="DV255" s="147"/>
      <c r="DW255" s="147"/>
      <c r="DX255" s="147"/>
      <c r="DY255" s="147"/>
      <c r="DZ255" s="147"/>
      <c r="EA255" s="147"/>
      <c r="EB255" s="147"/>
      <c r="EC255" s="147"/>
      <c r="ED255" s="147"/>
      <c r="EE255" s="147"/>
      <c r="EF255" s="147"/>
      <c r="EG255" s="147"/>
      <c r="EH255" s="147"/>
      <c r="EI255" s="147"/>
      <c r="EJ255" s="147"/>
      <c r="EK255" s="147"/>
      <c r="EL255" s="147"/>
      <c r="EM255" s="147"/>
      <c r="EN255" s="147"/>
      <c r="EO255" s="147"/>
      <c r="EP255" s="147"/>
      <c r="EQ255" s="147"/>
      <c r="ER255" s="147"/>
      <c r="ES255" s="147"/>
      <c r="ET255" s="147"/>
      <c r="EU255" s="147"/>
      <c r="EV255" s="147"/>
      <c r="EW255" s="147"/>
      <c r="EX255" s="147"/>
      <c r="EY255" s="147"/>
      <c r="EZ255" s="147"/>
      <c r="FA255" s="147"/>
      <c r="FB255" s="147"/>
      <c r="FC255" s="147"/>
      <c r="FD255" s="147"/>
      <c r="FE255" s="147"/>
      <c r="FF255" s="147"/>
      <c r="FG255" s="147"/>
      <c r="FH255" s="147"/>
      <c r="FI255" s="147"/>
      <c r="FJ255" s="147"/>
      <c r="FK255" s="147"/>
      <c r="FL255" s="147"/>
      <c r="FM255" s="147"/>
      <c r="FN255" s="147"/>
      <c r="FO255" s="147"/>
      <c r="FP255" s="147"/>
      <c r="FQ255" s="147"/>
      <c r="FR255" s="147"/>
      <c r="FS255" s="147"/>
      <c r="FT255" s="147"/>
    </row>
    <row r="256" spans="8:176" x14ac:dyDescent="0.2"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  <c r="BI256" s="147"/>
      <c r="BJ256" s="147"/>
      <c r="BK256" s="147"/>
      <c r="BL256" s="147"/>
      <c r="BM256" s="147"/>
      <c r="BN256" s="147"/>
      <c r="BO256" s="147"/>
      <c r="BP256" s="147"/>
      <c r="BQ256" s="147"/>
      <c r="BR256" s="147"/>
      <c r="BS256" s="147"/>
      <c r="BT256" s="147"/>
      <c r="BU256" s="147"/>
      <c r="BV256" s="147"/>
      <c r="BW256" s="147"/>
      <c r="BX256" s="147"/>
      <c r="BY256" s="147"/>
      <c r="BZ256" s="147"/>
      <c r="CA256" s="147"/>
      <c r="CB256" s="147"/>
      <c r="CC256" s="147"/>
      <c r="CD256" s="147"/>
      <c r="CE256" s="147"/>
      <c r="CF256" s="147"/>
      <c r="CG256" s="147"/>
      <c r="CH256" s="147"/>
      <c r="CI256" s="147"/>
      <c r="CJ256" s="147"/>
      <c r="CK256" s="147"/>
      <c r="CL256" s="147"/>
      <c r="CM256" s="147"/>
      <c r="CN256" s="147"/>
      <c r="CO256" s="147"/>
      <c r="CP256" s="147"/>
      <c r="CQ256" s="147"/>
      <c r="CR256" s="147"/>
      <c r="CS256" s="147"/>
      <c r="CT256" s="147"/>
      <c r="CU256" s="147"/>
      <c r="CV256" s="147"/>
      <c r="CW256" s="147"/>
      <c r="CX256" s="147"/>
      <c r="CY256" s="147"/>
      <c r="CZ256" s="147"/>
      <c r="DA256" s="147"/>
      <c r="DB256" s="147"/>
      <c r="DC256" s="147"/>
      <c r="DD256" s="147"/>
      <c r="DE256" s="147"/>
      <c r="DF256" s="147"/>
      <c r="DG256" s="147"/>
      <c r="DH256" s="147"/>
      <c r="DI256" s="147"/>
      <c r="DJ256" s="147"/>
      <c r="DK256" s="147"/>
      <c r="DL256" s="147"/>
      <c r="DM256" s="147"/>
      <c r="DN256" s="147"/>
      <c r="DO256" s="147"/>
      <c r="DP256" s="147"/>
      <c r="DQ256" s="147"/>
      <c r="DR256" s="147"/>
      <c r="DS256" s="147"/>
      <c r="DT256" s="147"/>
      <c r="DU256" s="147"/>
      <c r="DV256" s="147"/>
      <c r="DW256" s="147"/>
      <c r="DX256" s="147"/>
      <c r="DY256" s="147"/>
      <c r="DZ256" s="147"/>
      <c r="EA256" s="147"/>
      <c r="EB256" s="147"/>
      <c r="EC256" s="147"/>
      <c r="ED256" s="147"/>
      <c r="EE256" s="147"/>
      <c r="EF256" s="147"/>
      <c r="EG256" s="147"/>
      <c r="EH256" s="147"/>
      <c r="EI256" s="147"/>
      <c r="EJ256" s="147"/>
      <c r="EK256" s="147"/>
      <c r="EL256" s="147"/>
      <c r="EM256" s="147"/>
      <c r="EN256" s="147"/>
      <c r="EO256" s="147"/>
      <c r="EP256" s="147"/>
      <c r="EQ256" s="147"/>
      <c r="ER256" s="147"/>
      <c r="ES256" s="147"/>
      <c r="ET256" s="147"/>
      <c r="EU256" s="147"/>
      <c r="EV256" s="147"/>
      <c r="EW256" s="147"/>
      <c r="EX256" s="147"/>
      <c r="EY256" s="147"/>
      <c r="EZ256" s="147"/>
      <c r="FA256" s="147"/>
      <c r="FB256" s="147"/>
      <c r="FC256" s="147"/>
      <c r="FD256" s="147"/>
      <c r="FE256" s="147"/>
      <c r="FF256" s="147"/>
      <c r="FG256" s="147"/>
      <c r="FH256" s="147"/>
      <c r="FI256" s="147"/>
      <c r="FJ256" s="147"/>
      <c r="FK256" s="147"/>
      <c r="FL256" s="147"/>
      <c r="FM256" s="147"/>
      <c r="FN256" s="147"/>
      <c r="FO256" s="147"/>
      <c r="FP256" s="147"/>
      <c r="FQ256" s="147"/>
      <c r="FR256" s="147"/>
      <c r="FS256" s="147"/>
      <c r="FT256" s="147"/>
    </row>
    <row r="257" spans="25:176" x14ac:dyDescent="0.2"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  <c r="BI257" s="147"/>
      <c r="BJ257" s="147"/>
      <c r="BK257" s="147"/>
      <c r="BL257" s="147"/>
      <c r="BM257" s="147"/>
      <c r="BN257" s="147"/>
      <c r="BO257" s="147"/>
      <c r="BP257" s="147"/>
      <c r="BQ257" s="147"/>
      <c r="BR257" s="147"/>
      <c r="BS257" s="147"/>
      <c r="BT257" s="147"/>
      <c r="BU257" s="147"/>
      <c r="BV257" s="147"/>
      <c r="BW257" s="147"/>
      <c r="BX257" s="147"/>
      <c r="BY257" s="147"/>
      <c r="BZ257" s="147"/>
      <c r="CA257" s="147"/>
      <c r="CB257" s="147"/>
      <c r="CC257" s="147"/>
      <c r="CD257" s="147"/>
      <c r="CE257" s="147"/>
      <c r="CF257" s="147"/>
      <c r="CG257" s="147"/>
      <c r="CH257" s="147"/>
      <c r="CI257" s="147"/>
      <c r="CJ257" s="147"/>
      <c r="CK257" s="147"/>
      <c r="CL257" s="147"/>
      <c r="CM257" s="147"/>
      <c r="CN257" s="147"/>
      <c r="CO257" s="147"/>
      <c r="CP257" s="147"/>
      <c r="CQ257" s="147"/>
      <c r="CR257" s="147"/>
      <c r="CS257" s="147"/>
      <c r="CT257" s="147"/>
      <c r="CU257" s="147"/>
      <c r="CV257" s="147"/>
      <c r="CW257" s="147"/>
      <c r="CX257" s="147"/>
      <c r="CY257" s="147"/>
      <c r="CZ257" s="147"/>
      <c r="DA257" s="147"/>
      <c r="DB257" s="147"/>
      <c r="DC257" s="147"/>
      <c r="DD257" s="147"/>
      <c r="DE257" s="147"/>
      <c r="DF257" s="147"/>
      <c r="DG257" s="147"/>
      <c r="DH257" s="147"/>
      <c r="DI257" s="147"/>
      <c r="DJ257" s="147"/>
      <c r="DK257" s="147"/>
      <c r="DL257" s="147"/>
      <c r="DM257" s="147"/>
      <c r="DN257" s="147"/>
      <c r="DO257" s="147"/>
      <c r="DP257" s="147"/>
      <c r="DQ257" s="147"/>
      <c r="DR257" s="147"/>
      <c r="DS257" s="147"/>
      <c r="DT257" s="147"/>
      <c r="DU257" s="147"/>
      <c r="DV257" s="147"/>
      <c r="DW257" s="147"/>
      <c r="DX257" s="147"/>
      <c r="DY257" s="147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47"/>
      <c r="EJ257" s="147"/>
      <c r="EK257" s="147"/>
      <c r="EL257" s="147"/>
      <c r="EM257" s="147"/>
      <c r="EN257" s="147"/>
      <c r="EO257" s="147"/>
      <c r="EP257" s="147"/>
      <c r="EQ257" s="147"/>
      <c r="ER257" s="147"/>
      <c r="ES257" s="147"/>
      <c r="ET257" s="147"/>
      <c r="EU257" s="147"/>
      <c r="EV257" s="147"/>
      <c r="EW257" s="147"/>
      <c r="EX257" s="147"/>
      <c r="EY257" s="147"/>
      <c r="EZ257" s="147"/>
      <c r="FA257" s="147"/>
      <c r="FB257" s="147"/>
      <c r="FC257" s="147"/>
      <c r="FD257" s="147"/>
      <c r="FE257" s="147"/>
      <c r="FF257" s="147"/>
      <c r="FG257" s="147"/>
      <c r="FH257" s="147"/>
      <c r="FI257" s="147"/>
      <c r="FJ257" s="147"/>
      <c r="FK257" s="147"/>
      <c r="FL257" s="147"/>
      <c r="FM257" s="147"/>
      <c r="FN257" s="147"/>
      <c r="FO257" s="147"/>
      <c r="FP257" s="147"/>
      <c r="FQ257" s="147"/>
      <c r="FR257" s="147"/>
      <c r="FS257" s="147"/>
      <c r="FT257" s="147"/>
    </row>
    <row r="258" spans="25:176" x14ac:dyDescent="0.2"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  <c r="BI258" s="147"/>
      <c r="BJ258" s="147"/>
      <c r="BK258" s="147"/>
      <c r="BL258" s="147"/>
      <c r="BM258" s="147"/>
      <c r="BN258" s="147"/>
      <c r="BO258" s="147"/>
      <c r="BP258" s="147"/>
      <c r="BQ258" s="147"/>
      <c r="BR258" s="147"/>
      <c r="BS258" s="147"/>
      <c r="BT258" s="147"/>
      <c r="BU258" s="147"/>
      <c r="BV258" s="147"/>
      <c r="BW258" s="147"/>
      <c r="BX258" s="147"/>
      <c r="BY258" s="147"/>
      <c r="BZ258" s="147"/>
      <c r="CA258" s="147"/>
      <c r="CB258" s="147"/>
      <c r="CC258" s="147"/>
      <c r="CD258" s="147"/>
      <c r="CE258" s="147"/>
      <c r="CF258" s="147"/>
      <c r="CG258" s="147"/>
      <c r="CH258" s="147"/>
      <c r="CI258" s="147"/>
      <c r="CJ258" s="147"/>
      <c r="CK258" s="147"/>
      <c r="CL258" s="147"/>
      <c r="CM258" s="147"/>
      <c r="CN258" s="147"/>
      <c r="CO258" s="147"/>
      <c r="CP258" s="147"/>
      <c r="CQ258" s="147"/>
      <c r="CR258" s="147"/>
      <c r="CS258" s="147"/>
      <c r="CT258" s="147"/>
      <c r="CU258" s="147"/>
      <c r="CV258" s="147"/>
      <c r="CW258" s="147"/>
      <c r="CX258" s="147"/>
      <c r="CY258" s="147"/>
      <c r="CZ258" s="147"/>
      <c r="DA258" s="147"/>
      <c r="DB258" s="147"/>
      <c r="DC258" s="147"/>
      <c r="DD258" s="147"/>
      <c r="DE258" s="147"/>
      <c r="DF258" s="147"/>
      <c r="DG258" s="147"/>
      <c r="DH258" s="147"/>
      <c r="DI258" s="147"/>
      <c r="DJ258" s="147"/>
      <c r="DK258" s="147"/>
      <c r="DL258" s="147"/>
      <c r="DM258" s="147"/>
      <c r="DN258" s="147"/>
      <c r="DO258" s="147"/>
      <c r="DP258" s="147"/>
      <c r="DQ258" s="147"/>
      <c r="DR258" s="147"/>
      <c r="DS258" s="147"/>
      <c r="DT258" s="147"/>
      <c r="DU258" s="147"/>
      <c r="DV258" s="147"/>
      <c r="DW258" s="147"/>
      <c r="DX258" s="147"/>
      <c r="DY258" s="147"/>
      <c r="DZ258" s="147"/>
      <c r="EA258" s="147"/>
      <c r="EB258" s="147"/>
      <c r="EC258" s="147"/>
      <c r="ED258" s="147"/>
      <c r="EE258" s="147"/>
      <c r="EF258" s="147"/>
      <c r="EG258" s="147"/>
      <c r="EH258" s="147"/>
      <c r="EI258" s="147"/>
      <c r="EJ258" s="147"/>
      <c r="EK258" s="147"/>
      <c r="EL258" s="147"/>
      <c r="EM258" s="147"/>
      <c r="EN258" s="147"/>
      <c r="EO258" s="147"/>
      <c r="EP258" s="147"/>
      <c r="EQ258" s="147"/>
      <c r="ER258" s="147"/>
      <c r="ES258" s="147"/>
      <c r="ET258" s="147"/>
      <c r="EU258" s="147"/>
      <c r="EV258" s="147"/>
      <c r="EW258" s="147"/>
      <c r="EX258" s="147"/>
      <c r="EY258" s="147"/>
      <c r="EZ258" s="147"/>
      <c r="FA258" s="147"/>
      <c r="FB258" s="147"/>
      <c r="FC258" s="147"/>
      <c r="FD258" s="147"/>
      <c r="FE258" s="147"/>
      <c r="FF258" s="147"/>
      <c r="FG258" s="147"/>
      <c r="FH258" s="147"/>
      <c r="FI258" s="147"/>
      <c r="FJ258" s="147"/>
      <c r="FK258" s="147"/>
      <c r="FL258" s="147"/>
      <c r="FM258" s="147"/>
      <c r="FN258" s="147"/>
      <c r="FO258" s="147"/>
      <c r="FP258" s="147"/>
      <c r="FQ258" s="147"/>
      <c r="FR258" s="147"/>
      <c r="FS258" s="147"/>
      <c r="FT258" s="147"/>
    </row>
    <row r="259" spans="25:176" x14ac:dyDescent="0.2"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  <c r="BI259" s="147"/>
      <c r="BJ259" s="147"/>
      <c r="BK259" s="147"/>
      <c r="BL259" s="147"/>
      <c r="BM259" s="147"/>
      <c r="BN259" s="147"/>
      <c r="BO259" s="147"/>
      <c r="BP259" s="147"/>
      <c r="BQ259" s="147"/>
      <c r="BR259" s="147"/>
      <c r="BS259" s="147"/>
      <c r="BT259" s="147"/>
      <c r="BU259" s="147"/>
      <c r="BV259" s="147"/>
      <c r="BW259" s="147"/>
      <c r="BX259" s="147"/>
      <c r="BY259" s="147"/>
      <c r="BZ259" s="147"/>
      <c r="CA259" s="147"/>
      <c r="CB259" s="147"/>
      <c r="CC259" s="147"/>
      <c r="CD259" s="147"/>
      <c r="CE259" s="147"/>
      <c r="CF259" s="147"/>
      <c r="CG259" s="147"/>
      <c r="CH259" s="147"/>
      <c r="CI259" s="147"/>
      <c r="CJ259" s="147"/>
      <c r="CK259" s="147"/>
      <c r="CL259" s="147"/>
      <c r="CM259" s="147"/>
      <c r="CN259" s="147"/>
      <c r="CO259" s="147"/>
      <c r="CP259" s="147"/>
      <c r="CQ259" s="147"/>
      <c r="CR259" s="147"/>
      <c r="CS259" s="147"/>
      <c r="CT259" s="147"/>
      <c r="CU259" s="147"/>
      <c r="CV259" s="147"/>
      <c r="CW259" s="147"/>
      <c r="CX259" s="147"/>
      <c r="CY259" s="147"/>
      <c r="CZ259" s="147"/>
      <c r="DA259" s="147"/>
      <c r="DB259" s="147"/>
      <c r="DC259" s="147"/>
      <c r="DD259" s="147"/>
      <c r="DE259" s="147"/>
      <c r="DF259" s="147"/>
      <c r="DG259" s="147"/>
      <c r="DH259" s="147"/>
      <c r="DI259" s="147"/>
      <c r="DJ259" s="147"/>
      <c r="DK259" s="147"/>
      <c r="DL259" s="147"/>
      <c r="DM259" s="147"/>
      <c r="DN259" s="147"/>
      <c r="DO259" s="147"/>
      <c r="DP259" s="147"/>
      <c r="DQ259" s="147"/>
      <c r="DR259" s="147"/>
      <c r="DS259" s="147"/>
      <c r="DT259" s="147"/>
      <c r="DU259" s="147"/>
      <c r="DV259" s="147"/>
      <c r="DW259" s="147"/>
      <c r="DX259" s="147"/>
      <c r="DY259" s="147"/>
      <c r="DZ259" s="147"/>
      <c r="EA259" s="147"/>
      <c r="EB259" s="147"/>
      <c r="EC259" s="147"/>
      <c r="ED259" s="147"/>
      <c r="EE259" s="147"/>
      <c r="EF259" s="147"/>
      <c r="EG259" s="147"/>
      <c r="EH259" s="147"/>
      <c r="EI259" s="147"/>
      <c r="EJ259" s="147"/>
      <c r="EK259" s="147"/>
      <c r="EL259" s="147"/>
      <c r="EM259" s="147"/>
      <c r="EN259" s="147"/>
      <c r="EO259" s="147"/>
      <c r="EP259" s="147"/>
      <c r="EQ259" s="147"/>
      <c r="ER259" s="147"/>
      <c r="ES259" s="147"/>
      <c r="ET259" s="147"/>
      <c r="EU259" s="147"/>
      <c r="EV259" s="147"/>
      <c r="EW259" s="147"/>
      <c r="EX259" s="147"/>
      <c r="EY259" s="147"/>
      <c r="EZ259" s="147"/>
      <c r="FA259" s="147"/>
      <c r="FB259" s="147"/>
      <c r="FC259" s="147"/>
      <c r="FD259" s="147"/>
      <c r="FE259" s="147"/>
      <c r="FF259" s="147"/>
      <c r="FG259" s="147"/>
      <c r="FH259" s="147"/>
      <c r="FI259" s="147"/>
      <c r="FJ259" s="147"/>
      <c r="FK259" s="147"/>
      <c r="FL259" s="147"/>
      <c r="FM259" s="147"/>
      <c r="FN259" s="147"/>
      <c r="FO259" s="147"/>
      <c r="FP259" s="147"/>
      <c r="FQ259" s="147"/>
      <c r="FR259" s="147"/>
      <c r="FS259" s="147"/>
      <c r="FT259" s="147"/>
    </row>
    <row r="260" spans="25:176" x14ac:dyDescent="0.2"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147"/>
      <c r="BN260" s="147"/>
      <c r="BO260" s="147"/>
      <c r="BP260" s="147"/>
      <c r="BQ260" s="147"/>
      <c r="BR260" s="147"/>
      <c r="BS260" s="147"/>
      <c r="BT260" s="147"/>
      <c r="BU260" s="147"/>
      <c r="BV260" s="147"/>
      <c r="BW260" s="147"/>
      <c r="BX260" s="147"/>
      <c r="BY260" s="147"/>
      <c r="BZ260" s="147"/>
      <c r="CA260" s="147"/>
      <c r="CB260" s="147"/>
      <c r="CC260" s="147"/>
      <c r="CD260" s="147"/>
      <c r="CE260" s="147"/>
      <c r="CF260" s="147"/>
      <c r="CG260" s="147"/>
      <c r="CH260" s="147"/>
      <c r="CI260" s="147"/>
      <c r="CJ260" s="147"/>
      <c r="CK260" s="147"/>
      <c r="CL260" s="147"/>
      <c r="CM260" s="147"/>
      <c r="CN260" s="147"/>
      <c r="CO260" s="147"/>
      <c r="CP260" s="147"/>
      <c r="CQ260" s="147"/>
      <c r="CR260" s="147"/>
      <c r="CS260" s="147"/>
      <c r="CT260" s="147"/>
      <c r="CU260" s="147"/>
      <c r="CV260" s="147"/>
      <c r="CW260" s="147"/>
      <c r="CX260" s="147"/>
      <c r="CY260" s="147"/>
      <c r="CZ260" s="147"/>
      <c r="DA260" s="147"/>
      <c r="DB260" s="147"/>
      <c r="DC260" s="147"/>
      <c r="DD260" s="147"/>
      <c r="DE260" s="147"/>
      <c r="DF260" s="147"/>
      <c r="DG260" s="147"/>
      <c r="DH260" s="147"/>
      <c r="DI260" s="147"/>
      <c r="DJ260" s="147"/>
      <c r="DK260" s="147"/>
      <c r="DL260" s="147"/>
      <c r="DM260" s="147"/>
      <c r="DN260" s="147"/>
      <c r="DO260" s="147"/>
      <c r="DP260" s="147"/>
      <c r="DQ260" s="147"/>
      <c r="DR260" s="147"/>
      <c r="DS260" s="147"/>
      <c r="DT260" s="147"/>
      <c r="DU260" s="147"/>
      <c r="DV260" s="147"/>
      <c r="DW260" s="147"/>
      <c r="DX260" s="147"/>
      <c r="DY260" s="147"/>
      <c r="DZ260" s="147"/>
      <c r="EA260" s="147"/>
      <c r="EB260" s="147"/>
      <c r="EC260" s="147"/>
      <c r="ED260" s="147"/>
      <c r="EE260" s="147"/>
      <c r="EF260" s="147"/>
      <c r="EG260" s="147"/>
      <c r="EH260" s="147"/>
      <c r="EI260" s="147"/>
      <c r="EJ260" s="147"/>
      <c r="EK260" s="147"/>
      <c r="EL260" s="147"/>
      <c r="EM260" s="147"/>
      <c r="EN260" s="147"/>
      <c r="EO260" s="147"/>
      <c r="EP260" s="147"/>
      <c r="EQ260" s="147"/>
      <c r="ER260" s="147"/>
      <c r="ES260" s="147"/>
      <c r="ET260" s="147"/>
      <c r="EU260" s="147"/>
      <c r="EV260" s="147"/>
      <c r="EW260" s="147"/>
      <c r="EX260" s="147"/>
      <c r="EY260" s="147"/>
      <c r="EZ260" s="147"/>
      <c r="FA260" s="147"/>
      <c r="FB260" s="147"/>
      <c r="FC260" s="147"/>
      <c r="FD260" s="147"/>
      <c r="FE260" s="147"/>
      <c r="FF260" s="147"/>
      <c r="FG260" s="147"/>
      <c r="FH260" s="147"/>
      <c r="FI260" s="147"/>
      <c r="FJ260" s="147"/>
      <c r="FK260" s="147"/>
      <c r="FL260" s="147"/>
      <c r="FM260" s="147"/>
      <c r="FN260" s="147"/>
      <c r="FO260" s="147"/>
      <c r="FP260" s="147"/>
      <c r="FQ260" s="147"/>
      <c r="FR260" s="147"/>
      <c r="FS260" s="147"/>
      <c r="FT260" s="147"/>
    </row>
    <row r="261" spans="25:176" x14ac:dyDescent="0.2"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  <c r="BI261" s="147"/>
      <c r="BJ261" s="147"/>
      <c r="BK261" s="147"/>
      <c r="BL261" s="147"/>
      <c r="BM261" s="147"/>
      <c r="BN261" s="147"/>
      <c r="BO261" s="147"/>
      <c r="BP261" s="147"/>
      <c r="BQ261" s="147"/>
      <c r="BR261" s="147"/>
      <c r="BS261" s="147"/>
      <c r="BT261" s="147"/>
      <c r="BU261" s="147"/>
      <c r="BV261" s="147"/>
      <c r="BW261" s="147"/>
      <c r="BX261" s="147"/>
      <c r="BY261" s="147"/>
      <c r="BZ261" s="147"/>
      <c r="CA261" s="147"/>
      <c r="CB261" s="147"/>
      <c r="CC261" s="147"/>
      <c r="CD261" s="147"/>
      <c r="CE261" s="147"/>
      <c r="CF261" s="147"/>
      <c r="CG261" s="147"/>
      <c r="CH261" s="147"/>
      <c r="CI261" s="147"/>
      <c r="CJ261" s="147"/>
      <c r="CK261" s="147"/>
      <c r="CL261" s="147"/>
      <c r="CM261" s="147"/>
      <c r="CN261" s="147"/>
      <c r="CO261" s="147"/>
      <c r="CP261" s="147"/>
      <c r="CQ261" s="147"/>
      <c r="CR261" s="147"/>
      <c r="CS261" s="147"/>
      <c r="CT261" s="147"/>
      <c r="CU261" s="147"/>
      <c r="CV261" s="147"/>
      <c r="CW261" s="147"/>
      <c r="CX261" s="147"/>
      <c r="CY261" s="147"/>
      <c r="CZ261" s="147"/>
      <c r="DA261" s="147"/>
      <c r="DB261" s="147"/>
      <c r="DC261" s="147"/>
      <c r="DD261" s="147"/>
      <c r="DE261" s="147"/>
      <c r="DF261" s="147"/>
      <c r="DG261" s="147"/>
      <c r="DH261" s="147"/>
      <c r="DI261" s="147"/>
      <c r="DJ261" s="147"/>
      <c r="DK261" s="147"/>
      <c r="DL261" s="147"/>
      <c r="DM261" s="147"/>
      <c r="DN261" s="147"/>
      <c r="DO261" s="147"/>
      <c r="DP261" s="147"/>
      <c r="DQ261" s="147"/>
      <c r="DR261" s="147"/>
      <c r="DS261" s="147"/>
      <c r="DT261" s="147"/>
      <c r="DU261" s="147"/>
      <c r="DV261" s="147"/>
      <c r="DW261" s="147"/>
      <c r="DX261" s="147"/>
      <c r="DY261" s="147"/>
      <c r="DZ261" s="147"/>
      <c r="EA261" s="147"/>
      <c r="EB261" s="147"/>
      <c r="EC261" s="147"/>
      <c r="ED261" s="147"/>
      <c r="EE261" s="147"/>
      <c r="EF261" s="147"/>
      <c r="EG261" s="147"/>
      <c r="EH261" s="147"/>
      <c r="EI261" s="147"/>
      <c r="EJ261" s="147"/>
      <c r="EK261" s="147"/>
      <c r="EL261" s="147"/>
      <c r="EM261" s="147"/>
      <c r="EN261" s="147"/>
      <c r="EO261" s="147"/>
      <c r="EP261" s="147"/>
      <c r="EQ261" s="147"/>
      <c r="ER261" s="147"/>
      <c r="ES261" s="147"/>
      <c r="ET261" s="147"/>
      <c r="EU261" s="147"/>
      <c r="EV261" s="147"/>
      <c r="EW261" s="147"/>
      <c r="EX261" s="147"/>
      <c r="EY261" s="147"/>
      <c r="EZ261" s="147"/>
      <c r="FA261" s="147"/>
      <c r="FB261" s="147"/>
      <c r="FC261" s="147"/>
      <c r="FD261" s="147"/>
      <c r="FE261" s="147"/>
      <c r="FF261" s="147"/>
      <c r="FG261" s="147"/>
      <c r="FH261" s="147"/>
      <c r="FI261" s="147"/>
      <c r="FJ261" s="147"/>
      <c r="FK261" s="147"/>
      <c r="FL261" s="147"/>
      <c r="FM261" s="147"/>
      <c r="FN261" s="147"/>
      <c r="FO261" s="147"/>
      <c r="FP261" s="147"/>
      <c r="FQ261" s="147"/>
      <c r="FR261" s="147"/>
      <c r="FS261" s="147"/>
      <c r="FT261" s="147"/>
    </row>
    <row r="262" spans="25:176" x14ac:dyDescent="0.2"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  <c r="BL262" s="147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  <c r="CE262" s="147"/>
      <c r="CF262" s="147"/>
      <c r="CG262" s="147"/>
      <c r="CH262" s="147"/>
      <c r="CI262" s="147"/>
      <c r="CJ262" s="147"/>
      <c r="CK262" s="147"/>
      <c r="CL262" s="147"/>
      <c r="CM262" s="147"/>
      <c r="CN262" s="147"/>
      <c r="CO262" s="147"/>
      <c r="CP262" s="147"/>
      <c r="CQ262" s="147"/>
      <c r="CR262" s="147"/>
      <c r="CS262" s="147"/>
      <c r="CT262" s="147"/>
      <c r="CU262" s="147"/>
      <c r="CV262" s="147"/>
      <c r="CW262" s="147"/>
      <c r="CX262" s="147"/>
      <c r="CY262" s="147"/>
      <c r="CZ262" s="147"/>
      <c r="DA262" s="147"/>
      <c r="DB262" s="147"/>
      <c r="DC262" s="147"/>
      <c r="DD262" s="147"/>
      <c r="DE262" s="147"/>
      <c r="DF262" s="147"/>
      <c r="DG262" s="147"/>
      <c r="DH262" s="147"/>
      <c r="DI262" s="147"/>
      <c r="DJ262" s="147"/>
      <c r="DK262" s="147"/>
      <c r="DL262" s="147"/>
      <c r="DM262" s="147"/>
      <c r="DN262" s="147"/>
      <c r="DO262" s="147"/>
      <c r="DP262" s="147"/>
      <c r="DQ262" s="147"/>
      <c r="DR262" s="147"/>
      <c r="DS262" s="147"/>
      <c r="DT262" s="147"/>
      <c r="DU262" s="147"/>
      <c r="DV262" s="147"/>
      <c r="DW262" s="147"/>
      <c r="DX262" s="147"/>
      <c r="DY262" s="147"/>
      <c r="DZ262" s="147"/>
      <c r="EA262" s="147"/>
      <c r="EB262" s="147"/>
      <c r="EC262" s="147"/>
      <c r="ED262" s="147"/>
      <c r="EE262" s="147"/>
      <c r="EF262" s="147"/>
      <c r="EG262" s="147"/>
      <c r="EH262" s="147"/>
      <c r="EI262" s="147"/>
      <c r="EJ262" s="147"/>
      <c r="EK262" s="147"/>
      <c r="EL262" s="147"/>
      <c r="EM262" s="147"/>
      <c r="EN262" s="147"/>
      <c r="EO262" s="147"/>
      <c r="EP262" s="147"/>
      <c r="EQ262" s="147"/>
      <c r="ER262" s="147"/>
      <c r="ES262" s="147"/>
      <c r="ET262" s="147"/>
      <c r="EU262" s="147"/>
      <c r="EV262" s="147"/>
      <c r="EW262" s="147"/>
      <c r="EX262" s="147"/>
      <c r="EY262" s="147"/>
      <c r="EZ262" s="147"/>
      <c r="FA262" s="147"/>
      <c r="FB262" s="147"/>
      <c r="FC262" s="147"/>
      <c r="FD262" s="147"/>
      <c r="FE262" s="147"/>
      <c r="FF262" s="147"/>
      <c r="FG262" s="147"/>
      <c r="FH262" s="147"/>
      <c r="FI262" s="147"/>
      <c r="FJ262" s="147"/>
      <c r="FK262" s="147"/>
      <c r="FL262" s="147"/>
      <c r="FM262" s="147"/>
      <c r="FN262" s="147"/>
      <c r="FO262" s="147"/>
      <c r="FP262" s="147"/>
      <c r="FQ262" s="147"/>
      <c r="FR262" s="147"/>
      <c r="FS262" s="147"/>
      <c r="FT262" s="147"/>
    </row>
    <row r="263" spans="25:176" x14ac:dyDescent="0.2"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</row>
  </sheetData>
  <mergeCells count="28">
    <mergeCell ref="D1:F2"/>
    <mergeCell ref="C108:R108"/>
    <mergeCell ref="R71:R72"/>
    <mergeCell ref="Q18:R18"/>
    <mergeCell ref="A1:C1"/>
    <mergeCell ref="A2:C2"/>
    <mergeCell ref="K26:L26"/>
    <mergeCell ref="H21:J21"/>
    <mergeCell ref="H22:J22"/>
    <mergeCell ref="H31:J31"/>
    <mergeCell ref="H32:J32"/>
    <mergeCell ref="H33:J33"/>
    <mergeCell ref="H34:J34"/>
    <mergeCell ref="H23:J23"/>
    <mergeCell ref="H24:J24"/>
    <mergeCell ref="H28:J28"/>
    <mergeCell ref="H29:J29"/>
    <mergeCell ref="H30:J30"/>
    <mergeCell ref="Q42:R42"/>
    <mergeCell ref="H46:J46"/>
    <mergeCell ref="H47:J47"/>
    <mergeCell ref="H50:J50"/>
    <mergeCell ref="K44:M44"/>
    <mergeCell ref="N92:N93"/>
    <mergeCell ref="H55:J55"/>
    <mergeCell ref="H56:J56"/>
    <mergeCell ref="H54:J54"/>
    <mergeCell ref="H60:J60"/>
  </mergeCells>
  <conditionalFormatting sqref="Q112:Q113 Q115:Q117 Q119:Q122 Q126">
    <cfRule type="cellIs" dxfId="7" priority="10" operator="equal">
      <formula>"referencial"</formula>
    </cfRule>
  </conditionalFormatting>
  <conditionalFormatting sqref="C50">
    <cfRule type="cellIs" dxfId="6" priority="9" operator="equal">
      <formula>B50</formula>
    </cfRule>
  </conditionalFormatting>
  <conditionalFormatting sqref="C52">
    <cfRule type="cellIs" dxfId="5" priority="7" operator="equal">
      <formula>B52</formula>
    </cfRule>
  </conditionalFormatting>
  <conditionalFormatting sqref="E32:E33">
    <cfRule type="cellIs" dxfId="4" priority="6" operator="equal">
      <formula>B32</formula>
    </cfRule>
  </conditionalFormatting>
  <conditionalFormatting sqref="A49">
    <cfRule type="cellIs" dxfId="3" priority="5" operator="equal">
      <formula>XFB49</formula>
    </cfRule>
  </conditionalFormatting>
  <conditionalFormatting sqref="E49">
    <cfRule type="cellIs" dxfId="2" priority="3" operator="equal">
      <formula>B49</formula>
    </cfRule>
  </conditionalFormatting>
  <conditionalFormatting sqref="D49">
    <cfRule type="cellIs" dxfId="1" priority="2" operator="equal">
      <formula>A49</formula>
    </cfRule>
  </conditionalFormatting>
  <conditionalFormatting sqref="Q124">
    <cfRule type="cellIs" dxfId="0" priority="1" operator="equal">
      <formula>"referencial"</formula>
    </cfRule>
  </conditionalFormatting>
  <dataValidations disablePrompts="1" count="1">
    <dataValidation type="list" allowBlank="1" showInputMessage="1" showErrorMessage="1" sqref="Q112:Q113 Q119:Q122 Q115:Q117 Q126 Q124" xr:uid="{00000000-0002-0000-0000-000000000000}">
      <formula1>"referencial,estressado"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base</vt:lpstr>
      <vt:lpstr>datab</vt:lpstr>
      <vt:lpstr>dataFinal</vt:lpstr>
      <vt:lpstr>FPcus</vt:lpstr>
      <vt:lpstr>FPcusp</vt:lpstr>
      <vt:lpstr>FPglo</vt:lpstr>
      <vt:lpstr>FPirep</vt:lpstr>
      <vt:lpstr>FPpcon</vt:lpstr>
      <vt:lpstr>FPpest</vt:lpstr>
      <vt:lpstr>FPprep</vt:lpstr>
      <vt:lpstr>FPrec</vt:lpstr>
      <vt:lpstr>FPvest</vt:lpstr>
      <vt:lpstr>FPvlan</vt:lpstr>
      <vt:lpstr>FVran</vt:lpstr>
      <vt:lpstr>incc</vt:lpstr>
      <vt:lpstr>infla</vt:lpstr>
      <vt:lpstr>ipca</vt:lpstr>
      <vt:lpstr>iprecos</vt:lpstr>
      <vt:lpstr>quaST1EI</vt:lpstr>
      <vt:lpstr>tatano</vt:lpstr>
      <vt:lpstr>tatMes</vt:lpstr>
      <vt:lpstr>taxaCDIadiante</vt:lpstr>
      <vt:lpstr>taxaCDIB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da Rocha Lima Jr.</dc:creator>
  <cp:lastModifiedBy>João da Rocha Lima</cp:lastModifiedBy>
  <dcterms:created xsi:type="dcterms:W3CDTF">2011-02-21T19:27:31Z</dcterms:created>
  <dcterms:modified xsi:type="dcterms:W3CDTF">2020-05-07T20:09:15Z</dcterms:modified>
</cp:coreProperties>
</file>