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Google Drive\POLI\PMT 3206\Material Didático\"/>
    </mc:Choice>
  </mc:AlternateContent>
  <xr:revisionPtr revIDLastSave="0" documentId="13_ncr:1_{D1B0FD6B-0938-468B-8494-F856D8F639CF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OX" sheetId="1" r:id="rId1"/>
    <sheet name="EL_OX" sheetId="2" r:id="rId2"/>
    <sheet name="EL" sheetId="3" r:id="rId3"/>
    <sheet name="a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D12" i="3" s="1"/>
  <c r="C12" i="3"/>
  <c r="C11" i="3"/>
  <c r="B6" i="3" l="1"/>
  <c r="C6" i="3" s="1"/>
  <c r="C15" i="3"/>
  <c r="B20" i="2" l="1"/>
  <c r="E14" i="2"/>
  <c r="F14" i="2" s="1"/>
  <c r="E19" i="2"/>
  <c r="F19" i="2" s="1"/>
  <c r="E18" i="2"/>
  <c r="F18" i="2" s="1"/>
  <c r="E17" i="2"/>
  <c r="F17" i="2" s="1"/>
  <c r="E16" i="2"/>
  <c r="F16" i="2" s="1"/>
  <c r="E15" i="2"/>
  <c r="F15" i="2" s="1"/>
  <c r="C29" i="2" l="1"/>
  <c r="C28" i="2"/>
  <c r="C27" i="2"/>
  <c r="C26" i="2"/>
  <c r="C25" i="2"/>
  <c r="C24" i="2"/>
  <c r="C23" i="2"/>
  <c r="B31" i="2"/>
  <c r="E11" i="2" l="1"/>
  <c r="F11" i="2" s="1"/>
  <c r="E10" i="2"/>
  <c r="D28" i="2" s="1"/>
  <c r="E9" i="2"/>
  <c r="D24" i="2" s="1"/>
  <c r="E8" i="2"/>
  <c r="F8" i="2" s="1"/>
  <c r="E3" i="2"/>
  <c r="D25" i="2" s="1"/>
  <c r="E13" i="2"/>
  <c r="F13" i="2" s="1"/>
  <c r="E12" i="2"/>
  <c r="F12" i="2" s="1"/>
  <c r="E7" i="2"/>
  <c r="D26" i="2" s="1"/>
  <c r="E6" i="2"/>
  <c r="E5" i="2"/>
  <c r="F5" i="2" s="1"/>
  <c r="E4" i="2"/>
  <c r="D29" i="2" s="1"/>
  <c r="E2" i="2"/>
  <c r="D27" i="2" s="1"/>
  <c r="C13" i="2"/>
  <c r="C12" i="2"/>
  <c r="C11" i="2"/>
  <c r="C10" i="2"/>
  <c r="C9" i="2"/>
  <c r="C8" i="2"/>
  <c r="C7" i="2"/>
  <c r="C6" i="2"/>
  <c r="C5" i="2"/>
  <c r="C4" i="2"/>
  <c r="C3" i="2"/>
  <c r="C2" i="2"/>
  <c r="F7" i="2" l="1"/>
  <c r="F2" i="2"/>
  <c r="F3" i="2"/>
  <c r="D31" i="2"/>
  <c r="E25" i="2" s="1"/>
  <c r="F4" i="2"/>
  <c r="E20" i="2"/>
  <c r="F10" i="2"/>
  <c r="E27" i="2"/>
  <c r="F9" i="2"/>
  <c r="F6" i="2"/>
  <c r="C20" i="2"/>
  <c r="C13" i="1"/>
  <c r="D13" i="1" s="1"/>
  <c r="B13" i="1"/>
  <c r="E28" i="2" l="1"/>
  <c r="E24" i="2"/>
  <c r="E26" i="2"/>
  <c r="E29" i="2"/>
  <c r="F20" i="2"/>
  <c r="J3" i="3"/>
  <c r="G6" i="2" l="1"/>
  <c r="G15" i="2"/>
  <c r="G16" i="2"/>
  <c r="G18" i="2"/>
  <c r="G19" i="2"/>
  <c r="G14" i="2"/>
  <c r="G17" i="2"/>
  <c r="E31" i="2"/>
  <c r="G3" i="2"/>
  <c r="G11" i="2"/>
  <c r="G9" i="2"/>
  <c r="G4" i="2"/>
  <c r="G5" i="2"/>
  <c r="G13" i="2"/>
  <c r="G2" i="2"/>
  <c r="G7" i="2"/>
  <c r="G10" i="2"/>
  <c r="G8" i="2"/>
  <c r="G12" i="2"/>
  <c r="J2" i="3"/>
  <c r="G20" i="2" l="1"/>
  <c r="B16" i="3"/>
  <c r="C14" i="3"/>
  <c r="B1" i="4" l="1"/>
  <c r="C13" i="3" l="1"/>
  <c r="C5" i="3" l="1"/>
  <c r="C7" i="3"/>
  <c r="C10" i="3"/>
  <c r="C9" i="3"/>
  <c r="C8" i="3"/>
  <c r="C4" i="3"/>
  <c r="C3" i="3"/>
  <c r="C2" i="3"/>
  <c r="D12" i="1"/>
  <c r="B2" i="1"/>
  <c r="D2" i="1" s="1"/>
  <c r="D3" i="1"/>
  <c r="B4" i="1"/>
  <c r="D4" i="1"/>
  <c r="B5" i="1"/>
  <c r="D5" i="1" s="1"/>
  <c r="B6" i="1"/>
  <c r="D6" i="1" s="1"/>
  <c r="B7" i="1"/>
  <c r="D7" i="1" s="1"/>
  <c r="D8" i="1"/>
  <c r="B9" i="1"/>
  <c r="D9" i="1" s="1"/>
  <c r="B10" i="1"/>
  <c r="D10" i="1"/>
  <c r="B11" i="1"/>
  <c r="D11" i="1" s="1"/>
  <c r="C16" i="1"/>
  <c r="C16" i="3" l="1"/>
  <c r="E6" i="3" s="1"/>
  <c r="D6" i="3" s="1"/>
  <c r="D16" i="1"/>
  <c r="E3" i="1" s="1"/>
  <c r="E4" i="1"/>
  <c r="E11" i="1"/>
  <c r="E7" i="1"/>
  <c r="E3" i="3" l="1"/>
  <c r="D3" i="3" s="1"/>
  <c r="E11" i="3"/>
  <c r="D11" i="3" s="1"/>
  <c r="E8" i="1"/>
  <c r="E2" i="3"/>
  <c r="D2" i="3" s="1"/>
  <c r="E5" i="1"/>
  <c r="E7" i="3"/>
  <c r="D7" i="3" s="1"/>
  <c r="E5" i="3"/>
  <c r="D5" i="3" s="1"/>
  <c r="E12" i="1"/>
  <c r="E4" i="3"/>
  <c r="D4" i="3" s="1"/>
  <c r="E9" i="3"/>
  <c r="D9" i="3" s="1"/>
  <c r="E9" i="1"/>
  <c r="E14" i="3"/>
  <c r="D14" i="3" s="1"/>
  <c r="E15" i="3"/>
  <c r="D15" i="3" s="1"/>
  <c r="E13" i="1"/>
  <c r="E15" i="1"/>
  <c r="E6" i="1"/>
  <c r="E10" i="1"/>
  <c r="E14" i="1"/>
  <c r="E2" i="1"/>
  <c r="E10" i="3"/>
  <c r="D10" i="3" s="1"/>
  <c r="E8" i="3"/>
  <c r="D8" i="3" s="1"/>
  <c r="E13" i="3"/>
  <c r="D13" i="3" s="1"/>
  <c r="D21" i="3" l="1"/>
  <c r="E16" i="1"/>
  <c r="D16" i="3"/>
  <c r="E16" i="3"/>
  <c r="C31" i="2"/>
</calcChain>
</file>

<file path=xl/sharedStrings.xml><?xml version="1.0" encoding="utf-8"?>
<sst xmlns="http://schemas.openxmlformats.org/spreadsheetml/2006/main" count="94" uniqueCount="67">
  <si>
    <t>M</t>
  </si>
  <si>
    <t>%</t>
  </si>
  <si>
    <t>moles</t>
  </si>
  <si>
    <t>X</t>
  </si>
  <si>
    <t>SiO2</t>
  </si>
  <si>
    <t>MgO</t>
  </si>
  <si>
    <t>CaO</t>
  </si>
  <si>
    <t>MnO</t>
  </si>
  <si>
    <t>FeO</t>
  </si>
  <si>
    <t>Al2O3</t>
  </si>
  <si>
    <t>P2O5</t>
  </si>
  <si>
    <t>Fe2O3</t>
  </si>
  <si>
    <t>Na2O</t>
  </si>
  <si>
    <t>K2O</t>
  </si>
  <si>
    <t>AlO1.5</t>
  </si>
  <si>
    <t>Total</t>
  </si>
  <si>
    <t>ELEM</t>
  </si>
  <si>
    <t>%ELEM</t>
  </si>
  <si>
    <t>%molar</t>
  </si>
  <si>
    <t>Si</t>
  </si>
  <si>
    <t>Mg</t>
  </si>
  <si>
    <t>Ca</t>
  </si>
  <si>
    <t>Mn</t>
  </si>
  <si>
    <t>Fe</t>
  </si>
  <si>
    <t>Al</t>
  </si>
  <si>
    <t>P</t>
  </si>
  <si>
    <t>Na</t>
  </si>
  <si>
    <t>K</t>
  </si>
  <si>
    <t>Ti</t>
  </si>
  <si>
    <t>TOTAL</t>
  </si>
  <si>
    <t>C</t>
  </si>
  <si>
    <t>H</t>
  </si>
  <si>
    <t>gama</t>
  </si>
  <si>
    <t>e</t>
  </si>
  <si>
    <t>NiO</t>
  </si>
  <si>
    <t>Ox</t>
  </si>
  <si>
    <t>TiO2</t>
  </si>
  <si>
    <t>CO</t>
  </si>
  <si>
    <t>H2O</t>
  </si>
  <si>
    <t>%Ox</t>
  </si>
  <si>
    <t>mOx</t>
  </si>
  <si>
    <t>OK</t>
  </si>
  <si>
    <t>NaK</t>
  </si>
  <si>
    <t>MgK</t>
  </si>
  <si>
    <t>AlK</t>
  </si>
  <si>
    <t>SiK</t>
  </si>
  <si>
    <t>KK</t>
  </si>
  <si>
    <t>CaK</t>
  </si>
  <si>
    <t>mol%</t>
  </si>
  <si>
    <t>total</t>
  </si>
  <si>
    <t>g</t>
  </si>
  <si>
    <t>%elem</t>
  </si>
  <si>
    <t>%OX</t>
  </si>
  <si>
    <t>Ce</t>
  </si>
  <si>
    <t>La</t>
  </si>
  <si>
    <t>Pr</t>
  </si>
  <si>
    <t>Ba</t>
  </si>
  <si>
    <t>BaO</t>
  </si>
  <si>
    <t>Nd</t>
  </si>
  <si>
    <t>Sm</t>
  </si>
  <si>
    <t>Nd2O3</t>
  </si>
  <si>
    <t>La2O3</t>
  </si>
  <si>
    <t>Pr2O3</t>
  </si>
  <si>
    <t>CeO2</t>
  </si>
  <si>
    <t>Sm2O3</t>
  </si>
  <si>
    <t>Nb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</si>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</sst>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C4" sqref="C4"/>
    </sheetView>
  </sheetViews>
  <sheetFormatPr defaultRowHeight="12.75" x14ac:dyDescent="0.2"/>
  <cols>
    <col min="1" max="1" width="6.7109375" bestFit="1" customWidth="1"/>
    <col min="2" max="2" width="5" bestFit="1" customWidth="1"/>
    <col min="3" max="3" width="7" bestFit="1" customWidth="1"/>
    <col min="4" max="4" width="5.7109375" bestFit="1" customWidth="1"/>
    <col min="5" max="5" width="9" bestFit="1" customWidth="1"/>
  </cols>
  <sheetData>
    <row r="1" spans="1:5" s="5" customFormat="1" x14ac:dyDescent="0.2"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">
      <c r="A2" s="1" t="s">
        <v>4</v>
      </c>
      <c r="B2">
        <f>28+2*16</f>
        <v>60</v>
      </c>
      <c r="C2">
        <v>0</v>
      </c>
      <c r="D2" s="3">
        <f>C2/B2</f>
        <v>0</v>
      </c>
      <c r="E2" s="3">
        <f>D2/D$16</f>
        <v>0</v>
      </c>
    </row>
    <row r="3" spans="1:5" x14ac:dyDescent="0.2">
      <c r="A3" s="1" t="s">
        <v>5</v>
      </c>
      <c r="B3">
        <v>40.299999999999997</v>
      </c>
      <c r="C3">
        <v>0</v>
      </c>
      <c r="D3" s="3">
        <f t="shared" ref="D3:D12" si="0">C3/B3</f>
        <v>0</v>
      </c>
      <c r="E3" s="3">
        <f t="shared" ref="E3:E15" si="1">D3/D$16</f>
        <v>0</v>
      </c>
    </row>
    <row r="4" spans="1:5" x14ac:dyDescent="0.2">
      <c r="A4" s="1" t="s">
        <v>6</v>
      </c>
      <c r="B4">
        <f>40+16</f>
        <v>56</v>
      </c>
      <c r="C4">
        <v>34.289000000000001</v>
      </c>
      <c r="D4" s="3">
        <f t="shared" si="0"/>
        <v>0.6123035714285715</v>
      </c>
      <c r="E4" s="3">
        <f t="shared" si="1"/>
        <v>0.41037636490208601</v>
      </c>
    </row>
    <row r="5" spans="1:5" x14ac:dyDescent="0.2">
      <c r="A5" s="1" t="s">
        <v>7</v>
      </c>
      <c r="B5">
        <f>55+16</f>
        <v>71</v>
      </c>
      <c r="D5" s="3">
        <f t="shared" si="0"/>
        <v>0</v>
      </c>
      <c r="E5" s="3">
        <f t="shared" si="1"/>
        <v>0</v>
      </c>
    </row>
    <row r="6" spans="1:5" x14ac:dyDescent="0.2">
      <c r="A6" s="1" t="s">
        <v>8</v>
      </c>
      <c r="B6">
        <f>56+16</f>
        <v>72</v>
      </c>
      <c r="C6">
        <v>0</v>
      </c>
      <c r="D6" s="3">
        <f t="shared" si="0"/>
        <v>0</v>
      </c>
      <c r="E6" s="3">
        <f t="shared" si="1"/>
        <v>0</v>
      </c>
    </row>
    <row r="7" spans="1:5" x14ac:dyDescent="0.2">
      <c r="A7" s="1" t="s">
        <v>9</v>
      </c>
      <c r="B7">
        <f>2*27+3*16</f>
        <v>102</v>
      </c>
      <c r="C7">
        <v>0</v>
      </c>
      <c r="D7" s="3">
        <f t="shared" si="0"/>
        <v>0</v>
      </c>
      <c r="E7" s="3">
        <f t="shared" si="1"/>
        <v>0</v>
      </c>
    </row>
    <row r="8" spans="1:5" x14ac:dyDescent="0.2">
      <c r="A8" s="1" t="s">
        <v>10</v>
      </c>
      <c r="B8">
        <v>142</v>
      </c>
      <c r="C8">
        <v>0</v>
      </c>
      <c r="D8" s="3">
        <f t="shared" si="0"/>
        <v>0</v>
      </c>
      <c r="E8" s="3">
        <f t="shared" si="1"/>
        <v>0</v>
      </c>
    </row>
    <row r="9" spans="1:5" x14ac:dyDescent="0.2">
      <c r="A9" s="1" t="s">
        <v>11</v>
      </c>
      <c r="B9">
        <f>2*56+3*16</f>
        <v>160</v>
      </c>
      <c r="C9">
        <v>0</v>
      </c>
      <c r="D9" s="3">
        <f t="shared" si="0"/>
        <v>0</v>
      </c>
      <c r="E9" s="3">
        <f t="shared" si="1"/>
        <v>0</v>
      </c>
    </row>
    <row r="10" spans="1:5" x14ac:dyDescent="0.2">
      <c r="A10" s="1" t="s">
        <v>12</v>
      </c>
      <c r="B10">
        <f>2*23+16</f>
        <v>62</v>
      </c>
      <c r="C10">
        <v>0</v>
      </c>
      <c r="D10" s="3">
        <f t="shared" si="0"/>
        <v>0</v>
      </c>
      <c r="E10" s="3">
        <f t="shared" si="1"/>
        <v>0</v>
      </c>
    </row>
    <row r="11" spans="1:5" x14ac:dyDescent="0.2">
      <c r="A11" s="1" t="s">
        <v>13</v>
      </c>
      <c r="B11">
        <f>2*39+16</f>
        <v>94</v>
      </c>
      <c r="C11">
        <v>0</v>
      </c>
      <c r="D11" s="3">
        <f t="shared" si="0"/>
        <v>0</v>
      </c>
      <c r="E11" s="3">
        <f t="shared" si="1"/>
        <v>0</v>
      </c>
    </row>
    <row r="12" spans="1:5" x14ac:dyDescent="0.2">
      <c r="A12" s="1" t="s">
        <v>14</v>
      </c>
      <c r="B12">
        <v>51</v>
      </c>
      <c r="C12">
        <v>0</v>
      </c>
      <c r="D12" s="3">
        <f t="shared" si="0"/>
        <v>0</v>
      </c>
      <c r="E12" s="3">
        <f t="shared" si="1"/>
        <v>0</v>
      </c>
    </row>
    <row r="13" spans="1:5" x14ac:dyDescent="0.2">
      <c r="A13" s="1" t="s">
        <v>34</v>
      </c>
      <c r="B13">
        <f>58.6934+15.9994</f>
        <v>74.692799999999991</v>
      </c>
      <c r="C13">
        <f>100-C4</f>
        <v>65.710999999999999</v>
      </c>
      <c r="D13" s="3">
        <f t="shared" ref="D13" si="2">C13/B13</f>
        <v>0.87975012317117585</v>
      </c>
      <c r="E13" s="3">
        <f t="shared" si="1"/>
        <v>0.58962363509791405</v>
      </c>
    </row>
    <row r="14" spans="1:5" x14ac:dyDescent="0.2">
      <c r="A14" s="1"/>
      <c r="D14" s="3"/>
      <c r="E14" s="3">
        <f t="shared" si="1"/>
        <v>0</v>
      </c>
    </row>
    <row r="15" spans="1:5" x14ac:dyDescent="0.2">
      <c r="A15" s="1"/>
      <c r="D15" s="3"/>
      <c r="E15" s="3">
        <f t="shared" si="1"/>
        <v>0</v>
      </c>
    </row>
    <row r="16" spans="1:5" x14ac:dyDescent="0.2">
      <c r="A16" s="1" t="s">
        <v>15</v>
      </c>
      <c r="B16" s="1"/>
      <c r="C16" s="6">
        <f>SUM(C2:C15)</f>
        <v>100</v>
      </c>
      <c r="D16" s="4">
        <f>SUM(D2:D15)</f>
        <v>1.4920536945997473</v>
      </c>
      <c r="E16" s="7">
        <f>SUM(E2:E15)</f>
        <v>1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G13" sqref="G13"/>
    </sheetView>
  </sheetViews>
  <sheetFormatPr defaultRowHeight="12.75" x14ac:dyDescent="0.2"/>
  <cols>
    <col min="1" max="1" width="7" bestFit="1" customWidth="1"/>
    <col min="2" max="2" width="7.7109375" bestFit="1" customWidth="1"/>
    <col min="4" max="4" width="5.85546875" bestFit="1" customWidth="1"/>
    <col min="5" max="5" width="5.85546875" customWidth="1"/>
    <col min="6" max="6" width="6.5703125" bestFit="1" customWidth="1"/>
  </cols>
  <sheetData>
    <row r="1" spans="1:7" s="5" customFormat="1" x14ac:dyDescent="0.2">
      <c r="A1" s="5" t="s">
        <v>16</v>
      </c>
      <c r="B1" s="5" t="s">
        <v>1</v>
      </c>
      <c r="C1" s="5" t="s">
        <v>2</v>
      </c>
      <c r="D1" s="5" t="s">
        <v>35</v>
      </c>
      <c r="E1" s="5" t="s">
        <v>51</v>
      </c>
      <c r="F1" s="5" t="s">
        <v>40</v>
      </c>
      <c r="G1" s="5" t="s">
        <v>39</v>
      </c>
    </row>
    <row r="2" spans="1:7" x14ac:dyDescent="0.2">
      <c r="A2" s="1" t="s">
        <v>19</v>
      </c>
      <c r="B2">
        <v>48.6</v>
      </c>
      <c r="C2" s="3">
        <f>(B2)/(28)</f>
        <v>1.7357142857142858</v>
      </c>
      <c r="D2" s="12" t="s">
        <v>4</v>
      </c>
      <c r="E2" s="12">
        <f>28/(28+2*16)</f>
        <v>0.46666666666666667</v>
      </c>
      <c r="F2" s="12">
        <f>B2/E2</f>
        <v>104.14285714285714</v>
      </c>
      <c r="G2" s="2">
        <f>F2*100/F$20</f>
        <v>74.417027582960316</v>
      </c>
    </row>
    <row r="3" spans="1:7" x14ac:dyDescent="0.2">
      <c r="A3" s="1" t="s">
        <v>20</v>
      </c>
      <c r="B3">
        <v>1.66</v>
      </c>
      <c r="C3" s="3">
        <f>(B3)/(24)</f>
        <v>6.9166666666666668E-2</v>
      </c>
      <c r="D3" s="12" t="s">
        <v>5</v>
      </c>
      <c r="E3" s="12">
        <f>24/(24+16)</f>
        <v>0.6</v>
      </c>
      <c r="F3" s="12">
        <f t="shared" ref="F3:F13" si="0">B3/E3</f>
        <v>2.7666666666666666</v>
      </c>
      <c r="G3" s="2">
        <f t="shared" ref="G3:G13" si="1">F3*100/F$20</f>
        <v>1.9769681310333769</v>
      </c>
    </row>
    <row r="4" spans="1:7" x14ac:dyDescent="0.2">
      <c r="A4" s="1" t="s">
        <v>21</v>
      </c>
      <c r="B4">
        <v>8.67</v>
      </c>
      <c r="C4" s="3">
        <f>(B4)/(40)</f>
        <v>0.21675</v>
      </c>
      <c r="D4" s="12" t="s">
        <v>6</v>
      </c>
      <c r="E4" s="12">
        <f>40/(40+16)</f>
        <v>0.7142857142857143</v>
      </c>
      <c r="F4" s="12">
        <f t="shared" si="0"/>
        <v>12.138</v>
      </c>
      <c r="G4" s="2">
        <f t="shared" si="1"/>
        <v>8.6734117498131784</v>
      </c>
    </row>
    <row r="5" spans="1:7" x14ac:dyDescent="0.2">
      <c r="A5" s="1" t="s">
        <v>22</v>
      </c>
      <c r="B5">
        <v>0</v>
      </c>
      <c r="C5" s="3">
        <f>(B5)/(55)</f>
        <v>0</v>
      </c>
      <c r="D5" s="12" t="s">
        <v>7</v>
      </c>
      <c r="E5" s="12">
        <f>55/(55+16)</f>
        <v>0.77464788732394363</v>
      </c>
      <c r="F5" s="12">
        <f t="shared" si="0"/>
        <v>0</v>
      </c>
      <c r="G5" s="2">
        <f t="shared" si="1"/>
        <v>0</v>
      </c>
    </row>
    <row r="6" spans="1:7" x14ac:dyDescent="0.2">
      <c r="A6" s="1" t="s">
        <v>23</v>
      </c>
      <c r="B6">
        <v>0</v>
      </c>
      <c r="C6" s="3">
        <f>(B6)/(56)</f>
        <v>0</v>
      </c>
      <c r="D6" s="12" t="s">
        <v>8</v>
      </c>
      <c r="E6" s="12">
        <f>56/(56+16)</f>
        <v>0.77777777777777779</v>
      </c>
      <c r="F6" s="12">
        <f t="shared" si="0"/>
        <v>0</v>
      </c>
      <c r="G6" s="2">
        <f t="shared" si="1"/>
        <v>0</v>
      </c>
    </row>
    <row r="7" spans="1:7" x14ac:dyDescent="0.2">
      <c r="A7" s="1" t="s">
        <v>24</v>
      </c>
      <c r="B7">
        <v>1.54</v>
      </c>
      <c r="C7" s="3">
        <f>(B7)/(27)</f>
        <v>5.7037037037037039E-2</v>
      </c>
      <c r="D7" s="12" t="s">
        <v>9</v>
      </c>
      <c r="E7" s="12">
        <f>2*27/(2*27+3*16)</f>
        <v>0.52941176470588236</v>
      </c>
      <c r="F7" s="12">
        <f t="shared" si="0"/>
        <v>2.9088888888888889</v>
      </c>
      <c r="G7" s="2">
        <f t="shared" si="1"/>
        <v>2.0785954084519602</v>
      </c>
    </row>
    <row r="8" spans="1:7" x14ac:dyDescent="0.2">
      <c r="A8" s="1" t="s">
        <v>25</v>
      </c>
      <c r="B8">
        <v>0</v>
      </c>
      <c r="C8" s="3">
        <f>(B8)/(31)</f>
        <v>0</v>
      </c>
      <c r="D8" s="12" t="s">
        <v>10</v>
      </c>
      <c r="E8" s="12">
        <f>2*31/(2*31+5*16)</f>
        <v>0.43661971830985913</v>
      </c>
      <c r="F8" s="12">
        <f t="shared" si="0"/>
        <v>0</v>
      </c>
      <c r="G8" s="2">
        <f t="shared" si="1"/>
        <v>0</v>
      </c>
    </row>
    <row r="9" spans="1:7" x14ac:dyDescent="0.2">
      <c r="A9" s="1" t="s">
        <v>26</v>
      </c>
      <c r="B9">
        <v>5.63</v>
      </c>
      <c r="C9" s="3">
        <f>(B9)/(23)</f>
        <v>0.24478260869565216</v>
      </c>
      <c r="D9" s="12" t="s">
        <v>12</v>
      </c>
      <c r="E9" s="12">
        <f>2*23/(2*23+16)</f>
        <v>0.74193548387096775</v>
      </c>
      <c r="F9" s="12">
        <f t="shared" si="0"/>
        <v>7.5882608695652172</v>
      </c>
      <c r="G9" s="2">
        <f t="shared" si="1"/>
        <v>5.4223192442523089</v>
      </c>
    </row>
    <row r="10" spans="1:7" x14ac:dyDescent="0.2">
      <c r="A10" s="1" t="s">
        <v>27</v>
      </c>
      <c r="B10">
        <v>8.6300000000000008</v>
      </c>
      <c r="C10" s="3">
        <f>(B10)/(39)</f>
        <v>0.22128205128205131</v>
      </c>
      <c r="D10" s="12" t="s">
        <v>13</v>
      </c>
      <c r="E10" s="12">
        <f>2*39/(2*39+16)</f>
        <v>0.82978723404255317</v>
      </c>
      <c r="F10" s="12">
        <f t="shared" si="0"/>
        <v>10.400256410256411</v>
      </c>
      <c r="G10" s="2">
        <f t="shared" si="1"/>
        <v>7.4316778834888604</v>
      </c>
    </row>
    <row r="11" spans="1:7" x14ac:dyDescent="0.2">
      <c r="A11" s="1" t="s">
        <v>28</v>
      </c>
      <c r="B11">
        <v>0</v>
      </c>
      <c r="C11" s="3">
        <f>(B11)/(47.867)</f>
        <v>0</v>
      </c>
      <c r="D11" s="12" t="s">
        <v>36</v>
      </c>
      <c r="E11" s="12">
        <f>48/(48+2*16)</f>
        <v>0.6</v>
      </c>
      <c r="F11" s="12">
        <f t="shared" si="0"/>
        <v>0</v>
      </c>
      <c r="G11" s="2">
        <f t="shared" si="1"/>
        <v>0</v>
      </c>
    </row>
    <row r="12" spans="1:7" x14ac:dyDescent="0.2">
      <c r="A12" s="1" t="s">
        <v>30</v>
      </c>
      <c r="B12">
        <v>0</v>
      </c>
      <c r="C12" s="3">
        <f>(B12)/(12)</f>
        <v>0</v>
      </c>
      <c r="D12" s="12" t="s">
        <v>37</v>
      </c>
      <c r="E12" s="12">
        <f>12/(12+16)</f>
        <v>0.42857142857142855</v>
      </c>
      <c r="F12" s="12">
        <f t="shared" si="0"/>
        <v>0</v>
      </c>
      <c r="G12" s="2">
        <f t="shared" si="1"/>
        <v>0</v>
      </c>
    </row>
    <row r="13" spans="1:7" x14ac:dyDescent="0.2">
      <c r="A13" s="1" t="s">
        <v>31</v>
      </c>
      <c r="B13">
        <v>0</v>
      </c>
      <c r="C13" s="3">
        <f>B13/1</f>
        <v>0</v>
      </c>
      <c r="D13" s="12" t="s">
        <v>38</v>
      </c>
      <c r="E13" s="12">
        <f>2*1/(2*1+16)</f>
        <v>0.1111111111111111</v>
      </c>
      <c r="F13" s="12">
        <f t="shared" si="0"/>
        <v>0</v>
      </c>
      <c r="G13" s="2">
        <f t="shared" si="1"/>
        <v>0</v>
      </c>
    </row>
    <row r="14" spans="1:7" x14ac:dyDescent="0.2">
      <c r="A14" s="1" t="s">
        <v>53</v>
      </c>
      <c r="C14" s="9"/>
      <c r="D14" s="12" t="s">
        <v>63</v>
      </c>
      <c r="E14" s="12">
        <f>140.116/(140.116+2*16)</f>
        <v>0.81407887703641735</v>
      </c>
      <c r="F14" s="12">
        <f t="shared" ref="F14:F19" si="2">B14/E14</f>
        <v>0</v>
      </c>
      <c r="G14" s="2">
        <f t="shared" ref="G14:G19" si="3">F14*100/F$20</f>
        <v>0</v>
      </c>
    </row>
    <row r="15" spans="1:7" x14ac:dyDescent="0.2">
      <c r="A15" s="1" t="s">
        <v>54</v>
      </c>
      <c r="C15" s="9"/>
      <c r="D15" s="12" t="s">
        <v>61</v>
      </c>
      <c r="E15" s="12">
        <f>2*138.9055/(2*138.9055+3*16)</f>
        <v>0.85267532403755553</v>
      </c>
      <c r="F15" s="12">
        <f t="shared" si="2"/>
        <v>0</v>
      </c>
      <c r="G15" s="2">
        <f t="shared" si="3"/>
        <v>0</v>
      </c>
    </row>
    <row r="16" spans="1:7" x14ac:dyDescent="0.2">
      <c r="A16" s="1" t="s">
        <v>55</v>
      </c>
      <c r="C16" s="9"/>
      <c r="D16" s="12" t="s">
        <v>62</v>
      </c>
      <c r="E16" s="12">
        <f>2*140.90765/(2*140.90765+3*16)</f>
        <v>0.85446399848642562</v>
      </c>
      <c r="F16" s="12">
        <f t="shared" si="2"/>
        <v>0</v>
      </c>
      <c r="G16" s="2">
        <f t="shared" si="3"/>
        <v>0</v>
      </c>
    </row>
    <row r="17" spans="1:7" x14ac:dyDescent="0.2">
      <c r="A17" s="1" t="s">
        <v>58</v>
      </c>
      <c r="D17" s="13" t="s">
        <v>60</v>
      </c>
      <c r="E17" s="12">
        <f>2*144.24/(2*144.24+3*16)</f>
        <v>0.85734664764621971</v>
      </c>
      <c r="F17" s="12">
        <f t="shared" si="2"/>
        <v>0</v>
      </c>
      <c r="G17" s="2">
        <f t="shared" si="3"/>
        <v>0</v>
      </c>
    </row>
    <row r="18" spans="1:7" x14ac:dyDescent="0.2">
      <c r="A18" s="1" t="s">
        <v>59</v>
      </c>
      <c r="D18" s="12" t="s">
        <v>64</v>
      </c>
      <c r="E18" s="12">
        <f>2*150.36/(2*150.36+3*16)</f>
        <v>0.86235375086028909</v>
      </c>
      <c r="F18" s="12">
        <f t="shared" si="2"/>
        <v>0</v>
      </c>
      <c r="G18" s="2">
        <f t="shared" si="3"/>
        <v>0</v>
      </c>
    </row>
    <row r="19" spans="1:7" x14ac:dyDescent="0.2">
      <c r="A19" s="1" t="s">
        <v>56</v>
      </c>
      <c r="C19" s="9"/>
      <c r="D19" s="12" t="s">
        <v>57</v>
      </c>
      <c r="E19" s="12">
        <f>137.34/(137.34+16)</f>
        <v>0.89565671057780094</v>
      </c>
      <c r="F19" s="12">
        <f t="shared" si="2"/>
        <v>0</v>
      </c>
      <c r="G19" s="2">
        <f t="shared" si="3"/>
        <v>0</v>
      </c>
    </row>
    <row r="20" spans="1:7" x14ac:dyDescent="0.2">
      <c r="A20" s="1" t="s">
        <v>29</v>
      </c>
      <c r="B20" s="4">
        <f>SUM(B2:B19)</f>
        <v>74.72999999999999</v>
      </c>
      <c r="C20" s="4">
        <f>SUM(C2:C13)</f>
        <v>2.544732649395693</v>
      </c>
      <c r="D20" s="4"/>
      <c r="E20" s="4">
        <f>SUM(E2:E13)</f>
        <v>7.0108147866659039</v>
      </c>
      <c r="F20" s="4">
        <f>SUM(F2:F13)</f>
        <v>139.94492997823431</v>
      </c>
      <c r="G20" s="8">
        <f>SUM(G2:G13)</f>
        <v>100</v>
      </c>
    </row>
    <row r="22" spans="1:7" x14ac:dyDescent="0.2">
      <c r="B22" s="13" t="s">
        <v>48</v>
      </c>
      <c r="C22" s="13" t="s">
        <v>50</v>
      </c>
      <c r="E22" s="13" t="s">
        <v>52</v>
      </c>
    </row>
    <row r="23" spans="1:7" x14ac:dyDescent="0.2">
      <c r="A23" t="s">
        <v>41</v>
      </c>
      <c r="B23">
        <v>52.7</v>
      </c>
      <c r="C23" s="13">
        <f>16*B23</f>
        <v>843.2</v>
      </c>
    </row>
    <row r="24" spans="1:7" x14ac:dyDescent="0.2">
      <c r="A24" t="s">
        <v>42</v>
      </c>
      <c r="B24">
        <v>12.32</v>
      </c>
      <c r="C24">
        <f>23*B24</f>
        <v>283.36</v>
      </c>
      <c r="D24">
        <f>C24/E9</f>
        <v>381.92</v>
      </c>
      <c r="E24" s="2">
        <f>D24*100/D$31</f>
        <v>15.858094304838149</v>
      </c>
    </row>
    <row r="25" spans="1:7" x14ac:dyDescent="0.2">
      <c r="A25" t="s">
        <v>43</v>
      </c>
      <c r="B25">
        <v>2.0499999999999998</v>
      </c>
      <c r="C25">
        <f>24*B25</f>
        <v>49.199999999999996</v>
      </c>
      <c r="D25">
        <f>C25/E3</f>
        <v>82</v>
      </c>
      <c r="E25" s="2">
        <f t="shared" ref="E25:E29" si="4">D25*100/D$31</f>
        <v>3.4048065903768543</v>
      </c>
    </row>
    <row r="26" spans="1:7" x14ac:dyDescent="0.2">
      <c r="A26" t="s">
        <v>44</v>
      </c>
      <c r="B26">
        <v>1.1000000000000001</v>
      </c>
      <c r="C26">
        <f>27*B26</f>
        <v>29.700000000000003</v>
      </c>
      <c r="D26">
        <f>C26/E7</f>
        <v>56.1</v>
      </c>
      <c r="E26" s="2">
        <f t="shared" si="4"/>
        <v>2.3293859721968482</v>
      </c>
    </row>
    <row r="27" spans="1:7" x14ac:dyDescent="0.2">
      <c r="A27" t="s">
        <v>45</v>
      </c>
      <c r="B27">
        <v>28.13</v>
      </c>
      <c r="C27">
        <f>28*B27</f>
        <v>787.64</v>
      </c>
      <c r="D27">
        <f>C27/E2</f>
        <v>1687.8</v>
      </c>
      <c r="E27" s="2">
        <f t="shared" si="4"/>
        <v>70.080884917537261</v>
      </c>
    </row>
    <row r="28" spans="1:7" x14ac:dyDescent="0.2">
      <c r="A28" t="s">
        <v>46</v>
      </c>
      <c r="B28">
        <v>0.74</v>
      </c>
      <c r="C28">
        <f>39*B28</f>
        <v>28.86</v>
      </c>
      <c r="D28">
        <f>C28/E10</f>
        <v>34.78</v>
      </c>
      <c r="E28" s="2">
        <f t="shared" si="4"/>
        <v>1.4441362586988657</v>
      </c>
    </row>
    <row r="29" spans="1:7" x14ac:dyDescent="0.2">
      <c r="A29" t="s">
        <v>47</v>
      </c>
      <c r="B29">
        <v>2.96</v>
      </c>
      <c r="C29">
        <f>40*B29</f>
        <v>118.4</v>
      </c>
      <c r="D29">
        <f>C29/E4</f>
        <v>165.76</v>
      </c>
      <c r="E29" s="2">
        <f t="shared" si="4"/>
        <v>6.8826919563520415</v>
      </c>
    </row>
    <row r="31" spans="1:7" x14ac:dyDescent="0.2">
      <c r="A31" s="13" t="s">
        <v>49</v>
      </c>
      <c r="B31">
        <f>SUM(B23:B29)</f>
        <v>99.999999999999986</v>
      </c>
      <c r="C31">
        <f>SUM(C23:C29)</f>
        <v>2140.3599999999997</v>
      </c>
      <c r="D31">
        <f>SUM(D23:D29)</f>
        <v>2408.3599999999997</v>
      </c>
      <c r="E31">
        <f>SUM(E23:E29)</f>
        <v>100.00000000000003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tabSelected="1" workbookViewId="0">
      <selection activeCell="H13" sqref="H13"/>
    </sheetView>
  </sheetViews>
  <sheetFormatPr defaultRowHeight="12.75" x14ac:dyDescent="0.2"/>
  <cols>
    <col min="1" max="1" width="7" bestFit="1" customWidth="1"/>
    <col min="2" max="2" width="7.7109375" bestFit="1" customWidth="1"/>
    <col min="3" max="3" width="8.85546875" bestFit="1" customWidth="1"/>
    <col min="4" max="4" width="8.85546875" customWidth="1"/>
    <col min="5" max="5" width="8.85546875" bestFit="1" customWidth="1"/>
  </cols>
  <sheetData>
    <row r="1" spans="1:11" s="5" customFormat="1" x14ac:dyDescent="0.2">
      <c r="A1" s="5" t="s">
        <v>16</v>
      </c>
      <c r="B1" s="5" t="s">
        <v>17</v>
      </c>
      <c r="C1" s="5" t="s">
        <v>2</v>
      </c>
      <c r="D1" s="5" t="s">
        <v>3</v>
      </c>
      <c r="E1" s="5" t="s">
        <v>18</v>
      </c>
    </row>
    <row r="2" spans="1:11" x14ac:dyDescent="0.2">
      <c r="A2" s="1" t="s">
        <v>19</v>
      </c>
      <c r="B2">
        <v>0</v>
      </c>
      <c r="C2" s="3">
        <f>(B2)/(28)</f>
        <v>0</v>
      </c>
      <c r="D2" s="3">
        <f>E2/100</f>
        <v>0</v>
      </c>
      <c r="E2" s="2">
        <f t="shared" ref="E2:E14" si="0">C2*100/C$16</f>
        <v>0</v>
      </c>
      <c r="I2">
        <v>1.44E-2</v>
      </c>
      <c r="J2">
        <f>4.692+LN(0.57)+7.8*I2+LN(I2)</f>
        <v>1.6740094462770472E-3</v>
      </c>
      <c r="K2" t="s">
        <v>32</v>
      </c>
    </row>
    <row r="3" spans="1:11" x14ac:dyDescent="0.2">
      <c r="A3" s="1" t="s">
        <v>20</v>
      </c>
      <c r="B3">
        <v>0</v>
      </c>
      <c r="C3" s="3">
        <f>(B3)/(24)</f>
        <v>0</v>
      </c>
      <c r="D3" s="3">
        <f t="shared" ref="D3:D14" si="1">E3/100</f>
        <v>0</v>
      </c>
      <c r="E3" s="2">
        <f t="shared" si="0"/>
        <v>0</v>
      </c>
      <c r="I3">
        <v>0.13300000000000001</v>
      </c>
      <c r="J3">
        <f>0.852+0.193*I3+LOG(I3)</f>
        <v>1.5206409670858179E-3</v>
      </c>
      <c r="K3" t="s">
        <v>33</v>
      </c>
    </row>
    <row r="4" spans="1:11" x14ac:dyDescent="0.2">
      <c r="A4" s="1" t="s">
        <v>21</v>
      </c>
      <c r="B4">
        <v>0</v>
      </c>
      <c r="C4" s="3">
        <f>(B4)/(40)</f>
        <v>0</v>
      </c>
      <c r="D4" s="3">
        <f t="shared" si="1"/>
        <v>0</v>
      </c>
      <c r="E4" s="2">
        <f t="shared" si="0"/>
        <v>0</v>
      </c>
    </row>
    <row r="5" spans="1:11" x14ac:dyDescent="0.2">
      <c r="A5" s="1" t="s">
        <v>22</v>
      </c>
      <c r="B5">
        <v>0</v>
      </c>
      <c r="C5" s="3">
        <f>(B5)/(55)</f>
        <v>0</v>
      </c>
      <c r="D5" s="3">
        <f t="shared" si="1"/>
        <v>0</v>
      </c>
      <c r="E5" s="2">
        <f t="shared" si="0"/>
        <v>0</v>
      </c>
    </row>
    <row r="6" spans="1:11" x14ac:dyDescent="0.2">
      <c r="A6" s="1" t="s">
        <v>23</v>
      </c>
      <c r="B6">
        <f>100-SUM(B2:B5)-SUM(B7:B15)</f>
        <v>99</v>
      </c>
      <c r="C6" s="3">
        <f>(B6)/(55.85)</f>
        <v>1.7726051924798567</v>
      </c>
      <c r="D6" s="3">
        <f t="shared" si="1"/>
        <v>0.99120098309517446</v>
      </c>
      <c r="E6" s="2">
        <f t="shared" si="0"/>
        <v>99.120098309517445</v>
      </c>
    </row>
    <row r="7" spans="1:11" x14ac:dyDescent="0.2">
      <c r="A7" s="1" t="s">
        <v>24</v>
      </c>
      <c r="B7">
        <v>0</v>
      </c>
      <c r="C7" s="3">
        <f>(B7)/(27)</f>
        <v>0</v>
      </c>
      <c r="D7" s="3">
        <f t="shared" si="1"/>
        <v>0</v>
      </c>
      <c r="E7" s="2">
        <f t="shared" si="0"/>
        <v>0</v>
      </c>
    </row>
    <row r="8" spans="1:11" x14ac:dyDescent="0.2">
      <c r="A8" s="1" t="s">
        <v>25</v>
      </c>
      <c r="B8">
        <v>0</v>
      </c>
      <c r="C8" s="3">
        <f>(B8)/(31)</f>
        <v>0</v>
      </c>
      <c r="D8" s="3">
        <f t="shared" si="1"/>
        <v>0</v>
      </c>
      <c r="E8" s="2">
        <f t="shared" si="0"/>
        <v>0</v>
      </c>
    </row>
    <row r="9" spans="1:11" x14ac:dyDescent="0.2">
      <c r="A9" s="1" t="s">
        <v>26</v>
      </c>
      <c r="B9">
        <v>0</v>
      </c>
      <c r="C9" s="3">
        <f>(B9)/(23)</f>
        <v>0</v>
      </c>
      <c r="D9" s="3">
        <f t="shared" si="1"/>
        <v>0</v>
      </c>
      <c r="E9" s="2">
        <f t="shared" si="0"/>
        <v>0</v>
      </c>
    </row>
    <row r="10" spans="1:11" x14ac:dyDescent="0.2">
      <c r="A10" s="1" t="s">
        <v>27</v>
      </c>
      <c r="B10">
        <v>0</v>
      </c>
      <c r="C10" s="3">
        <f>(B10)/(39)</f>
        <v>0</v>
      </c>
      <c r="D10" s="3">
        <f t="shared" si="1"/>
        <v>0</v>
      </c>
      <c r="E10" s="2">
        <f t="shared" si="0"/>
        <v>0</v>
      </c>
    </row>
    <row r="11" spans="1:11" x14ac:dyDescent="0.2">
      <c r="A11" s="1" t="s">
        <v>28</v>
      </c>
      <c r="B11">
        <v>0</v>
      </c>
      <c r="C11" s="3">
        <f>(B11)/(47.867)</f>
        <v>0</v>
      </c>
      <c r="D11" s="3">
        <f t="shared" si="1"/>
        <v>0</v>
      </c>
      <c r="E11" s="2">
        <f t="shared" si="0"/>
        <v>0</v>
      </c>
    </row>
    <row r="12" spans="1:11" x14ac:dyDescent="0.2">
      <c r="A12" s="1" t="s">
        <v>66</v>
      </c>
      <c r="B12">
        <v>1</v>
      </c>
      <c r="C12" s="3">
        <f>(B12)/(63.55)</f>
        <v>1.5735641227380016E-2</v>
      </c>
      <c r="D12" s="3">
        <f t="shared" ref="D12" si="2">E12/100</f>
        <v>8.7990169048256742E-3</v>
      </c>
      <c r="E12" s="2">
        <f t="shared" ref="E12" si="3">C12*100/C$16</f>
        <v>0.87990169048256739</v>
      </c>
    </row>
    <row r="13" spans="1:11" x14ac:dyDescent="0.2">
      <c r="A13" s="1" t="s">
        <v>30</v>
      </c>
      <c r="B13">
        <v>0</v>
      </c>
      <c r="C13" s="3">
        <f>(B13)/(12)</f>
        <v>0</v>
      </c>
      <c r="D13" s="11">
        <f t="shared" si="1"/>
        <v>0</v>
      </c>
      <c r="E13" s="10">
        <f t="shared" si="0"/>
        <v>0</v>
      </c>
    </row>
    <row r="14" spans="1:11" x14ac:dyDescent="0.2">
      <c r="A14" s="1" t="s">
        <v>31</v>
      </c>
      <c r="B14">
        <v>0</v>
      </c>
      <c r="C14" s="9">
        <f>B14/1</f>
        <v>0</v>
      </c>
      <c r="D14" s="3">
        <f t="shared" si="1"/>
        <v>0</v>
      </c>
      <c r="E14" s="9">
        <f t="shared" si="0"/>
        <v>0</v>
      </c>
    </row>
    <row r="15" spans="1:11" x14ac:dyDescent="0.2">
      <c r="A15" s="1" t="s">
        <v>65</v>
      </c>
      <c r="B15">
        <v>0</v>
      </c>
      <c r="C15" s="9">
        <f>B15/93</f>
        <v>0</v>
      </c>
      <c r="D15" s="3">
        <f t="shared" ref="D15" si="4">E15/100</f>
        <v>0</v>
      </c>
      <c r="E15" s="10">
        <f t="shared" ref="E15" si="5">C15*100/C$16</f>
        <v>0</v>
      </c>
    </row>
    <row r="16" spans="1:11" x14ac:dyDescent="0.2">
      <c r="A16" s="1" t="s">
        <v>29</v>
      </c>
      <c r="B16" s="4">
        <f>SUM(B2:B15)</f>
        <v>100</v>
      </c>
      <c r="C16" s="4">
        <f>SUM(C2:C15)</f>
        <v>1.7883408337072366</v>
      </c>
      <c r="D16" s="4">
        <f>SUM(D2:D14)</f>
        <v>1.0000000000000002</v>
      </c>
      <c r="E16" s="8">
        <f>SUM(E2:E14)</f>
        <v>100.00000000000001</v>
      </c>
    </row>
    <row r="21" spans="4:4" x14ac:dyDescent="0.2">
      <c r="D21" t="e">
        <f>D13/D15</f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>
      <selection activeCell="B1" sqref="B1"/>
    </sheetView>
  </sheetViews>
  <sheetFormatPr defaultRowHeight="12.75" x14ac:dyDescent="0.2"/>
  <sheetData>
    <row r="1" spans="1:2" x14ac:dyDescent="0.2">
      <c r="A1">
        <v>0.20699999999999999</v>
      </c>
      <c r="B1">
        <f>LN(0.7)+6.9*A1+11.6*A1^2+LN(A1)</f>
        <v>-6.3630296555006183E-3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OX</vt:lpstr>
      <vt:lpstr>EL_OX</vt:lpstr>
      <vt:lpstr>EL</vt:lpstr>
      <vt:lpstr>ag</vt:lpstr>
    </vt:vector>
  </TitlesOfParts>
  <Manager/>
  <Company>FEI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flavione</dc:creator>
  <cp:keywords/>
  <dc:description/>
  <cp:lastModifiedBy>Flávio Beneduce</cp:lastModifiedBy>
  <cp:revision/>
  <dcterms:created xsi:type="dcterms:W3CDTF">2008-10-30T17:16:37Z</dcterms:created>
  <dcterms:modified xsi:type="dcterms:W3CDTF">2020-05-06T21:07:39Z</dcterms:modified>
  <cp:category/>
  <cp:contentStatus/>
</cp:coreProperties>
</file>