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5.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7.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autoCompressPictures="0"/>
  <mc:AlternateContent xmlns:mc="http://schemas.openxmlformats.org/markup-compatibility/2006">
    <mc:Choice Requires="x15">
      <x15ac:absPath xmlns:x15ac="http://schemas.microsoft.com/office/spreadsheetml/2010/11/ac" url="G:\Meu Drive\FEARP\DISCILINAS MINISTRADAS\GRADUAÇÃO\DISCIPLINAS 2020\1º Semestre 2020\RCC0436 - Introdução à Controladoria\Materiais\"/>
    </mc:Choice>
  </mc:AlternateContent>
  <xr:revisionPtr revIDLastSave="0" documentId="13_ncr:1_{316E83CD-177E-4B85-B2F8-7EB201C9060A}" xr6:coauthVersionLast="45" xr6:coauthVersionMax="45" xr10:uidLastSave="{00000000-0000-0000-0000-000000000000}"/>
  <bookViews>
    <workbookView xWindow="-108" yWindow="-108" windowWidth="30936" windowHeight="12576" tabRatio="947" activeTab="10" xr2:uid="{00000000-000D-0000-FFFF-FFFF00000000}"/>
  </bookViews>
  <sheets>
    <sheet name="acopanhamento" sheetId="1" r:id="rId1"/>
    <sheet name="prob. revisao" sheetId="2" r:id="rId2"/>
    <sheet name="questoes" sheetId="3" r:id="rId3"/>
    <sheet name="aplicacao" sheetId="37" r:id="rId4"/>
    <sheet name="10.1" sheetId="4" r:id="rId5"/>
    <sheet name="10.2" sheetId="5" r:id="rId6"/>
    <sheet name="10.3" sheetId="6" r:id="rId7"/>
    <sheet name="10.4" sheetId="7" r:id="rId8"/>
    <sheet name="10.5" sheetId="8" r:id="rId9"/>
    <sheet name="10.6" sheetId="9" r:id="rId10"/>
    <sheet name="10.7" sheetId="10" r:id="rId11"/>
    <sheet name="10.8" sheetId="11" r:id="rId12"/>
    <sheet name="10.9" sheetId="12" r:id="rId13"/>
    <sheet name="10.10" sheetId="13" r:id="rId14"/>
    <sheet name="10.11" sheetId="14" r:id="rId15"/>
    <sheet name="10.12" sheetId="38" r:id="rId16"/>
    <sheet name="10.13" sheetId="15" r:id="rId17"/>
    <sheet name="10.14 top ph" sheetId="16" r:id="rId18"/>
    <sheet name="10.15 top ph" sheetId="17" r:id="rId19"/>
    <sheet name="10.16" sheetId="18" r:id="rId20"/>
    <sheet name="10.17" sheetId="19" r:id="rId21"/>
    <sheet name="acomp apendice A" sheetId="39" r:id="rId22"/>
    <sheet name="10.A1" sheetId="20" r:id="rId23"/>
    <sheet name="10.A2" sheetId="21" r:id="rId24"/>
    <sheet name="10.A3" sheetId="22" r:id="rId25"/>
    <sheet name="10.A4" sheetId="23" r:id="rId26"/>
    <sheet name="10.A5" sheetId="24" r:id="rId27"/>
    <sheet name="10.A6" sheetId="25" r:id="rId28"/>
    <sheet name="10.A7" sheetId="26" r:id="rId29"/>
    <sheet name="10.A8" sheetId="27" r:id="rId30"/>
    <sheet name="10.A9" sheetId="28" r:id="rId31"/>
    <sheet name="10.A10" sheetId="29" r:id="rId32"/>
    <sheet name="10.A11" sheetId="30" r:id="rId33"/>
    <sheet name="10A.12" sheetId="31" r:id="rId34"/>
    <sheet name="10.B1" sheetId="32" r:id="rId35"/>
    <sheet name="10.B2" sheetId="33" r:id="rId36"/>
    <sheet name="10.B3" sheetId="34" r:id="rId37"/>
    <sheet name="10.B4" sheetId="35" r:id="rId38"/>
    <sheet name="10.B5" sheetId="36" r:id="rId39"/>
  </sheet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J6" i="5" l="1"/>
  <c r="I7" i="4"/>
  <c r="I6" i="4"/>
  <c r="L25" i="19"/>
  <c r="L24" i="19"/>
  <c r="L23" i="19"/>
  <c r="K48" i="18"/>
  <c r="M20" i="17"/>
  <c r="L19" i="17"/>
  <c r="N19" i="17"/>
  <c r="M19" i="17"/>
  <c r="L8" i="17"/>
  <c r="N8" i="17"/>
  <c r="L9" i="17"/>
  <c r="M9" i="17"/>
  <c r="N9" i="17"/>
  <c r="K37" i="17"/>
  <c r="K32" i="17"/>
  <c r="K30" i="17"/>
  <c r="K39" i="16"/>
  <c r="K31" i="16"/>
  <c r="K32" i="16"/>
  <c r="K33" i="16"/>
  <c r="K34" i="16"/>
  <c r="K40" i="16"/>
  <c r="K41" i="16"/>
  <c r="K45" i="16"/>
  <c r="K46" i="16"/>
  <c r="K47" i="16"/>
  <c r="K57" i="16"/>
  <c r="K36" i="16"/>
  <c r="K37" i="16"/>
  <c r="K110" i="16"/>
  <c r="K52" i="16"/>
  <c r="N24" i="9"/>
  <c r="N23" i="9"/>
  <c r="N25" i="9"/>
  <c r="N34" i="9"/>
  <c r="N35" i="9"/>
  <c r="K68" i="31"/>
  <c r="K70" i="31"/>
  <c r="K88" i="31"/>
  <c r="K86" i="31"/>
  <c r="K67" i="31"/>
  <c r="K75" i="31"/>
  <c r="K80" i="31"/>
  <c r="K79" i="31"/>
  <c r="K81" i="31"/>
  <c r="K74" i="31"/>
  <c r="K92" i="31"/>
  <c r="K76" i="31"/>
  <c r="K93" i="31"/>
  <c r="K52" i="31"/>
  <c r="K42" i="31"/>
  <c r="K43" i="31"/>
  <c r="K44" i="31"/>
  <c r="K45" i="31"/>
  <c r="K94" i="31"/>
  <c r="K95" i="31"/>
  <c r="K96" i="31"/>
  <c r="K83" i="31"/>
  <c r="K66" i="31"/>
  <c r="K60" i="31"/>
  <c r="K59" i="31"/>
  <c r="K54" i="31"/>
  <c r="K53" i="31"/>
  <c r="K38" i="31"/>
  <c r="K37" i="31"/>
  <c r="K36" i="31"/>
  <c r="K55" i="31"/>
  <c r="K58" i="31"/>
  <c r="K61" i="31"/>
  <c r="K64" i="31"/>
  <c r="L64" i="31"/>
  <c r="L61" i="31"/>
  <c r="L55" i="31"/>
  <c r="K39" i="31"/>
  <c r="K48" i="31"/>
  <c r="L48" i="31"/>
  <c r="L45" i="31"/>
  <c r="L39" i="31"/>
  <c r="M25" i="31"/>
  <c r="M21" i="31"/>
  <c r="M10" i="31"/>
  <c r="M11" i="31"/>
  <c r="M12" i="31"/>
  <c r="M13" i="31"/>
  <c r="J21" i="30"/>
  <c r="J27" i="30"/>
  <c r="J50" i="30"/>
  <c r="J48" i="30"/>
  <c r="J42" i="30"/>
  <c r="J37" i="30"/>
  <c r="J36" i="30"/>
  <c r="J41" i="30"/>
  <c r="J43" i="30"/>
  <c r="J54" i="30"/>
  <c r="J38" i="30"/>
  <c r="J55" i="30"/>
  <c r="J56" i="30"/>
  <c r="J57" i="30"/>
  <c r="J58" i="30"/>
  <c r="J45" i="30"/>
  <c r="J19" i="30"/>
  <c r="K30" i="30"/>
  <c r="J30" i="30"/>
  <c r="K31" i="30"/>
  <c r="L4" i="30"/>
  <c r="L5" i="30"/>
  <c r="L6" i="30"/>
  <c r="K7" i="30"/>
  <c r="J7" i="30"/>
  <c r="L7" i="30"/>
  <c r="L8" i="30"/>
  <c r="J20" i="30"/>
  <c r="J16" i="29"/>
  <c r="J35" i="29"/>
  <c r="J33" i="29"/>
  <c r="J15" i="29"/>
  <c r="J27" i="29"/>
  <c r="J22" i="29"/>
  <c r="J21" i="29"/>
  <c r="J26" i="29"/>
  <c r="J28" i="29"/>
  <c r="J39" i="29"/>
  <c r="J41" i="29"/>
  <c r="J42" i="29"/>
  <c r="J23" i="29"/>
  <c r="J40" i="29"/>
  <c r="J43" i="29"/>
  <c r="J30" i="29"/>
  <c r="J6" i="29"/>
  <c r="J14" i="29"/>
  <c r="J18" i="29"/>
  <c r="L5" i="29"/>
  <c r="I16" i="28"/>
  <c r="I21" i="28"/>
  <c r="I59" i="28"/>
  <c r="I85" i="28"/>
  <c r="I83" i="28"/>
  <c r="I27" i="28"/>
  <c r="I32" i="28"/>
  <c r="J47" i="28"/>
  <c r="I77" i="28"/>
  <c r="I72" i="28"/>
  <c r="I76" i="28"/>
  <c r="I71" i="28"/>
  <c r="I78" i="28"/>
  <c r="I89" i="28"/>
  <c r="I73" i="28"/>
  <c r="I90" i="28"/>
  <c r="I28" i="28"/>
  <c r="I29" i="28"/>
  <c r="I31" i="28"/>
  <c r="I91" i="28"/>
  <c r="I92" i="28"/>
  <c r="I93" i="28"/>
  <c r="I96" i="28"/>
  <c r="I80" i="28"/>
  <c r="I15" i="28"/>
  <c r="I17" i="28"/>
  <c r="I19" i="28"/>
  <c r="K63" i="28"/>
  <c r="K64" i="28"/>
  <c r="I57" i="28"/>
  <c r="I33" i="28"/>
  <c r="J48" i="28"/>
  <c r="I46" i="28"/>
  <c r="I47" i="28"/>
  <c r="I48" i="28"/>
  <c r="J46" i="28"/>
  <c r="K45" i="28"/>
  <c r="K46" i="28"/>
  <c r="K47" i="28"/>
  <c r="K48" i="28"/>
  <c r="K49" i="28"/>
  <c r="K37" i="28"/>
  <c r="J38" i="28"/>
  <c r="I38" i="28"/>
  <c r="K38" i="28"/>
  <c r="J39" i="28"/>
  <c r="I8" i="28"/>
  <c r="I39" i="28"/>
  <c r="K39" i="28"/>
  <c r="J40" i="28"/>
  <c r="I40" i="28"/>
  <c r="K40" i="28"/>
  <c r="K41" i="28"/>
  <c r="I20" i="28"/>
  <c r="K6" i="28"/>
  <c r="K7" i="28"/>
  <c r="K8" i="28"/>
  <c r="K9" i="28"/>
  <c r="J32" i="27"/>
  <c r="J33" i="27"/>
  <c r="J34" i="27"/>
  <c r="J35" i="27"/>
  <c r="J38" i="27"/>
  <c r="J39" i="27"/>
  <c r="J40" i="27"/>
  <c r="J41" i="27"/>
  <c r="J44" i="27"/>
  <c r="J48" i="27"/>
  <c r="J49" i="27"/>
  <c r="J50" i="27"/>
  <c r="J51" i="27"/>
  <c r="J54" i="27"/>
  <c r="J55" i="27"/>
  <c r="J56" i="27"/>
  <c r="J57" i="27"/>
  <c r="J60" i="27"/>
  <c r="J65" i="27"/>
  <c r="J69" i="27"/>
  <c r="J70" i="27"/>
  <c r="J71" i="27"/>
  <c r="J82" i="27"/>
  <c r="J64" i="27"/>
  <c r="J66" i="27"/>
  <c r="J83" i="27"/>
  <c r="J76" i="27"/>
  <c r="J84" i="27"/>
  <c r="J27" i="27"/>
  <c r="J78" i="27"/>
  <c r="J85" i="27"/>
  <c r="J86" i="27"/>
  <c r="J89" i="27"/>
  <c r="K78" i="27"/>
  <c r="K76" i="27"/>
  <c r="J73" i="27"/>
  <c r="K73" i="27"/>
  <c r="K71" i="27"/>
  <c r="K66" i="27"/>
  <c r="K60" i="27"/>
  <c r="K57" i="27"/>
  <c r="K51" i="27"/>
  <c r="K44" i="27"/>
  <c r="K41" i="27"/>
  <c r="K35" i="27"/>
  <c r="L4" i="27"/>
  <c r="L5" i="27"/>
  <c r="L6" i="27"/>
  <c r="L7" i="27"/>
  <c r="L8" i="27"/>
  <c r="J21" i="26"/>
  <c r="I25" i="26"/>
  <c r="J25" i="26"/>
  <c r="J31" i="26"/>
  <c r="K25" i="26"/>
  <c r="J28" i="26"/>
  <c r="J27" i="26"/>
  <c r="L4" i="26"/>
  <c r="L5" i="26"/>
  <c r="L6" i="26"/>
  <c r="L7" i="26"/>
  <c r="L8" i="26"/>
  <c r="J23" i="25"/>
  <c r="J26" i="25"/>
  <c r="J45" i="25"/>
  <c r="J52" i="25"/>
  <c r="J43" i="25"/>
  <c r="J51" i="25"/>
  <c r="J31" i="25"/>
  <c r="J32" i="25"/>
  <c r="J33" i="25"/>
  <c r="J50" i="25"/>
  <c r="J36" i="25"/>
  <c r="J37" i="25"/>
  <c r="J38" i="25"/>
  <c r="J49" i="25"/>
  <c r="J53" i="25"/>
  <c r="J40" i="25"/>
  <c r="J22" i="25"/>
  <c r="J19" i="25"/>
  <c r="J18" i="25"/>
  <c r="J21" i="25"/>
  <c r="L23" i="24"/>
  <c r="K24" i="24"/>
  <c r="J24" i="24"/>
  <c r="L24" i="24"/>
  <c r="J17" i="24"/>
  <c r="K25" i="24"/>
  <c r="J25" i="24"/>
  <c r="L25" i="24"/>
  <c r="J18" i="24"/>
  <c r="K26" i="24"/>
  <c r="J26" i="24"/>
  <c r="L26" i="24"/>
  <c r="L27" i="24"/>
  <c r="J13" i="24"/>
  <c r="J12" i="24"/>
  <c r="J14" i="24"/>
  <c r="J16" i="24"/>
  <c r="J14" i="23"/>
  <c r="J18" i="23"/>
  <c r="J16" i="23"/>
  <c r="J20" i="23"/>
  <c r="K20" i="23"/>
  <c r="N14" i="21"/>
  <c r="N18" i="21"/>
  <c r="O18" i="21"/>
  <c r="N16" i="21"/>
  <c r="O16" i="21"/>
  <c r="N14" i="20"/>
  <c r="N13" i="20"/>
  <c r="N15" i="20"/>
  <c r="N20" i="20"/>
  <c r="N24" i="20"/>
  <c r="B4" i="39"/>
  <c r="E5" i="39"/>
  <c r="E20" i="39"/>
  <c r="E21" i="39"/>
  <c r="E22" i="39"/>
  <c r="E32" i="39"/>
  <c r="E24" i="39"/>
  <c r="E25" i="39"/>
  <c r="E26" i="39"/>
  <c r="E33" i="39"/>
  <c r="E6" i="39"/>
  <c r="E14" i="39"/>
  <c r="E34" i="39"/>
  <c r="E13" i="39"/>
  <c r="E35" i="39"/>
  <c r="E36" i="39"/>
  <c r="F26" i="39"/>
  <c r="F22" i="39"/>
  <c r="B13" i="39"/>
  <c r="E17" i="39"/>
  <c r="M14" i="39"/>
  <c r="N14" i="39"/>
  <c r="B10" i="39"/>
  <c r="E2" i="39"/>
  <c r="E10" i="39"/>
  <c r="I14" i="39"/>
  <c r="J14" i="39"/>
  <c r="F14" i="39"/>
  <c r="F13" i="39"/>
  <c r="L40" i="19"/>
  <c r="L55" i="19"/>
  <c r="L53" i="19"/>
  <c r="L59" i="19"/>
  <c r="L54" i="19"/>
  <c r="L58" i="19"/>
  <c r="L62" i="19"/>
  <c r="M14" i="19"/>
  <c r="L60" i="19"/>
  <c r="L63" i="19"/>
  <c r="L64" i="19"/>
  <c r="L41" i="19"/>
  <c r="L39" i="19"/>
  <c r="L38" i="19"/>
  <c r="L45" i="19"/>
  <c r="L44" i="19"/>
  <c r="L48" i="19"/>
  <c r="L43" i="19"/>
  <c r="L47" i="19"/>
  <c r="L49" i="19"/>
  <c r="L26" i="19"/>
  <c r="L30" i="19"/>
  <c r="L29" i="19"/>
  <c r="L28" i="19"/>
  <c r="L33" i="19"/>
  <c r="L32" i="19"/>
  <c r="L34" i="19"/>
  <c r="N7" i="19"/>
  <c r="N6" i="19"/>
  <c r="L19" i="19"/>
  <c r="L20" i="19"/>
  <c r="N5" i="19"/>
  <c r="L18" i="19"/>
  <c r="N8" i="19"/>
  <c r="K128" i="18"/>
  <c r="K121" i="18"/>
  <c r="K129" i="18"/>
  <c r="K122" i="18"/>
  <c r="K127" i="18"/>
  <c r="K98" i="18"/>
  <c r="K99" i="18"/>
  <c r="K100" i="18"/>
  <c r="K123" i="18"/>
  <c r="K112" i="18"/>
  <c r="K105" i="18"/>
  <c r="K113" i="18"/>
  <c r="K106" i="18"/>
  <c r="K111" i="18"/>
  <c r="K93" i="18"/>
  <c r="K94" i="18"/>
  <c r="K95" i="18"/>
  <c r="K107" i="18"/>
  <c r="K124" i="18"/>
  <c r="K130" i="18"/>
  <c r="K133" i="18"/>
  <c r="L133" i="18"/>
  <c r="L130" i="18"/>
  <c r="L124" i="18"/>
  <c r="K69" i="18"/>
  <c r="K67" i="18"/>
  <c r="K68" i="18"/>
  <c r="K70" i="18"/>
  <c r="K49" i="18"/>
  <c r="K108" i="18"/>
  <c r="K53" i="18"/>
  <c r="K54" i="18"/>
  <c r="K55" i="18"/>
  <c r="K114" i="18"/>
  <c r="K117" i="18"/>
  <c r="L117" i="18"/>
  <c r="L114" i="18"/>
  <c r="L108" i="18"/>
  <c r="K85" i="18"/>
  <c r="K84" i="18"/>
  <c r="K83" i="18"/>
  <c r="K79" i="18"/>
  <c r="K78" i="18"/>
  <c r="K77" i="18"/>
  <c r="K80" i="18"/>
  <c r="K86" i="18"/>
  <c r="L86" i="18"/>
  <c r="L80" i="18"/>
  <c r="K50" i="18"/>
  <c r="K63" i="18"/>
  <c r="K62" i="18"/>
  <c r="K61" i="18"/>
  <c r="K64" i="18"/>
  <c r="L70" i="18"/>
  <c r="L64" i="18"/>
  <c r="M43" i="18"/>
  <c r="M42" i="18"/>
  <c r="M41" i="18"/>
  <c r="M40" i="18"/>
  <c r="M44" i="18"/>
  <c r="M32" i="18"/>
  <c r="M33" i="18"/>
  <c r="M34" i="18"/>
  <c r="M35" i="18"/>
  <c r="M36" i="18"/>
  <c r="L10" i="17"/>
  <c r="M10" i="17"/>
  <c r="N10" i="17"/>
  <c r="K70" i="17"/>
  <c r="L21" i="17"/>
  <c r="M21" i="17"/>
  <c r="N21" i="17"/>
  <c r="K69" i="17"/>
  <c r="K47" i="17"/>
  <c r="K63" i="17"/>
  <c r="K68" i="17"/>
  <c r="K48" i="17"/>
  <c r="K64" i="17"/>
  <c r="K62" i="17"/>
  <c r="K65" i="17"/>
  <c r="K71" i="17"/>
  <c r="K74" i="17"/>
  <c r="K31" i="17"/>
  <c r="K33" i="17"/>
  <c r="K36" i="17"/>
  <c r="K38" i="17"/>
  <c r="K39" i="17"/>
  <c r="K42" i="17"/>
  <c r="K46" i="17"/>
  <c r="K49" i="17"/>
  <c r="K52" i="17"/>
  <c r="L20" i="17"/>
  <c r="N20" i="17"/>
  <c r="K53" i="17"/>
  <c r="K54" i="17"/>
  <c r="K55" i="17"/>
  <c r="K58" i="17"/>
  <c r="K76" i="17"/>
  <c r="L76" i="17"/>
  <c r="L74" i="17"/>
  <c r="L71" i="17"/>
  <c r="L65" i="17"/>
  <c r="L58" i="17"/>
  <c r="L55" i="17"/>
  <c r="L49" i="17"/>
  <c r="L42" i="17"/>
  <c r="L39" i="17"/>
  <c r="L33" i="17"/>
  <c r="L22" i="17"/>
  <c r="L11" i="17"/>
  <c r="M110" i="16"/>
  <c r="K77" i="16"/>
  <c r="K74" i="16"/>
  <c r="K75" i="16"/>
  <c r="K76" i="16"/>
  <c r="K78" i="16"/>
  <c r="L111" i="16"/>
  <c r="K111" i="16"/>
  <c r="M111" i="16"/>
  <c r="K112" i="16"/>
  <c r="M112" i="16"/>
  <c r="M113" i="16"/>
  <c r="K101" i="16"/>
  <c r="K100" i="16"/>
  <c r="K104" i="16"/>
  <c r="K99" i="16"/>
  <c r="K103" i="16"/>
  <c r="K105" i="16"/>
  <c r="K84" i="16"/>
  <c r="O28" i="16"/>
  <c r="K83" i="16"/>
  <c r="K85" i="16"/>
  <c r="K86" i="16"/>
  <c r="K87" i="16"/>
  <c r="K88" i="16"/>
  <c r="K92" i="16"/>
  <c r="K91" i="16"/>
  <c r="K95" i="16"/>
  <c r="K90" i="16"/>
  <c r="K94" i="16"/>
  <c r="K96" i="16"/>
  <c r="K50" i="16"/>
  <c r="K51" i="16"/>
  <c r="K54" i="16"/>
  <c r="K58" i="16"/>
  <c r="K59" i="16"/>
  <c r="K61" i="16"/>
  <c r="K66" i="16"/>
  <c r="K65" i="16"/>
  <c r="K69" i="16"/>
  <c r="K64" i="16"/>
  <c r="K68" i="16"/>
  <c r="K70" i="16"/>
  <c r="K36" i="15"/>
  <c r="S28" i="15"/>
  <c r="K38" i="15"/>
  <c r="S27" i="15"/>
  <c r="M12" i="15"/>
  <c r="K24" i="15"/>
  <c r="K26" i="15"/>
  <c r="K28" i="15"/>
  <c r="R19" i="15"/>
  <c r="Q19" i="15"/>
  <c r="S19" i="15"/>
  <c r="S20" i="15"/>
  <c r="M8" i="15"/>
  <c r="J52" i="38"/>
  <c r="J53" i="38"/>
  <c r="J54" i="38"/>
  <c r="J55" i="38"/>
  <c r="N57" i="38"/>
  <c r="J46" i="38"/>
  <c r="J47" i="38"/>
  <c r="J48" i="38"/>
  <c r="J49" i="38"/>
  <c r="N56" i="38"/>
  <c r="N58" i="38"/>
  <c r="J36" i="38"/>
  <c r="J37" i="38"/>
  <c r="J38" i="38"/>
  <c r="J39" i="38"/>
  <c r="N41" i="38"/>
  <c r="J30" i="38"/>
  <c r="J31" i="38"/>
  <c r="J32" i="38"/>
  <c r="J33" i="38"/>
  <c r="N40" i="38"/>
  <c r="N42" i="38"/>
  <c r="J20" i="38"/>
  <c r="J21" i="38"/>
  <c r="J22" i="38"/>
  <c r="J23" i="38"/>
  <c r="N25" i="38"/>
  <c r="J14" i="38"/>
  <c r="J15" i="38"/>
  <c r="J16" i="38"/>
  <c r="J17" i="38"/>
  <c r="N24" i="38"/>
  <c r="N26" i="38"/>
  <c r="N60" i="38"/>
  <c r="O60" i="38"/>
  <c r="O58" i="38"/>
  <c r="O57" i="38"/>
  <c r="O56" i="38"/>
  <c r="O42" i="38"/>
  <c r="O41" i="38"/>
  <c r="O40" i="38"/>
  <c r="O25" i="38"/>
  <c r="O26" i="38"/>
  <c r="O24" i="38"/>
  <c r="K17" i="38"/>
  <c r="O4" i="38"/>
  <c r="O5" i="38"/>
  <c r="O6" i="38"/>
  <c r="O7" i="38"/>
  <c r="L4" i="38"/>
  <c r="L5" i="38"/>
  <c r="L6" i="38"/>
  <c r="L7" i="38"/>
  <c r="O8" i="38"/>
  <c r="J26" i="38"/>
  <c r="J42" i="38"/>
  <c r="J58" i="38"/>
  <c r="J60" i="38"/>
  <c r="K60" i="38"/>
  <c r="K58" i="38"/>
  <c r="K55" i="38"/>
  <c r="K49" i="38"/>
  <c r="K42" i="38"/>
  <c r="K39" i="38"/>
  <c r="K33" i="38"/>
  <c r="K26" i="38"/>
  <c r="K23" i="38"/>
  <c r="K18" i="14"/>
  <c r="K65" i="14"/>
  <c r="K66" i="14"/>
  <c r="K64" i="14"/>
  <c r="K60" i="14"/>
  <c r="K59" i="14"/>
  <c r="K58" i="14"/>
  <c r="K44" i="14"/>
  <c r="K43" i="14"/>
  <c r="K50" i="14"/>
  <c r="K49" i="14"/>
  <c r="K48" i="14"/>
  <c r="K42" i="14"/>
  <c r="M14" i="14"/>
  <c r="K32" i="14"/>
  <c r="K34" i="14"/>
  <c r="K33" i="14"/>
  <c r="K28" i="14"/>
  <c r="K27" i="14"/>
  <c r="K26" i="14"/>
  <c r="K29" i="14"/>
  <c r="K35" i="14"/>
  <c r="K38" i="14"/>
  <c r="K45" i="14"/>
  <c r="K51" i="14"/>
  <c r="K54" i="14"/>
  <c r="K61" i="14"/>
  <c r="K67" i="14"/>
  <c r="K70" i="14"/>
  <c r="K72" i="14"/>
  <c r="L72" i="14"/>
  <c r="L70" i="14"/>
  <c r="L67" i="14"/>
  <c r="L61" i="14"/>
  <c r="L54" i="14"/>
  <c r="L51" i="14"/>
  <c r="L45" i="14"/>
  <c r="L38" i="14"/>
  <c r="L35" i="14"/>
  <c r="L29" i="14"/>
  <c r="O5" i="14"/>
  <c r="O6" i="14"/>
  <c r="O7" i="14"/>
  <c r="O8" i="14"/>
  <c r="K70" i="13"/>
  <c r="L17" i="13"/>
  <c r="K69" i="13"/>
  <c r="K68" i="13"/>
  <c r="K63" i="13"/>
  <c r="K64" i="13"/>
  <c r="K48" i="13"/>
  <c r="K62" i="13"/>
  <c r="K54" i="13"/>
  <c r="M14" i="13"/>
  <c r="K53" i="13"/>
  <c r="K52" i="13"/>
  <c r="K47" i="13"/>
  <c r="K46" i="13"/>
  <c r="K38" i="13"/>
  <c r="M10" i="13"/>
  <c r="K37" i="13"/>
  <c r="K36" i="13"/>
  <c r="K32" i="13"/>
  <c r="K31" i="13"/>
  <c r="K30" i="13"/>
  <c r="K33" i="13"/>
  <c r="K39" i="13"/>
  <c r="K42" i="13"/>
  <c r="K49" i="13"/>
  <c r="K55" i="13"/>
  <c r="K58" i="13"/>
  <c r="K65" i="13"/>
  <c r="K71" i="13"/>
  <c r="K74" i="13"/>
  <c r="K76" i="13"/>
  <c r="L76" i="13"/>
  <c r="L74" i="13"/>
  <c r="L71" i="13"/>
  <c r="L65" i="13"/>
  <c r="L58" i="13"/>
  <c r="L55" i="13"/>
  <c r="L49" i="13"/>
  <c r="L42" i="13"/>
  <c r="L39" i="13"/>
  <c r="L33" i="13"/>
  <c r="M22" i="13"/>
  <c r="M21" i="13"/>
  <c r="M20" i="13"/>
  <c r="L47" i="12"/>
  <c r="L48" i="12"/>
  <c r="L49" i="12"/>
  <c r="L50" i="12"/>
  <c r="L53" i="12"/>
  <c r="L54" i="12"/>
  <c r="L55" i="12"/>
  <c r="L56" i="12"/>
  <c r="L63" i="12"/>
  <c r="L64" i="12"/>
  <c r="L65" i="12"/>
  <c r="L66" i="12"/>
  <c r="L69" i="12"/>
  <c r="L70" i="12"/>
  <c r="L71" i="12"/>
  <c r="L72" i="12"/>
  <c r="L75" i="12"/>
  <c r="L79" i="12"/>
  <c r="L80" i="12"/>
  <c r="L81" i="12"/>
  <c r="L82" i="12"/>
  <c r="L85" i="12"/>
  <c r="N40" i="12"/>
  <c r="L86" i="12"/>
  <c r="L87" i="12"/>
  <c r="L88" i="12"/>
  <c r="L91" i="12"/>
  <c r="L93" i="12"/>
  <c r="M93" i="12"/>
  <c r="M91" i="12"/>
  <c r="M88" i="12"/>
  <c r="M82" i="12"/>
  <c r="M75" i="12"/>
  <c r="M72" i="12"/>
  <c r="M66" i="12"/>
  <c r="M56" i="12"/>
  <c r="M50" i="12"/>
  <c r="N36" i="12"/>
  <c r="N31" i="12"/>
  <c r="P22" i="12"/>
  <c r="P23" i="12"/>
  <c r="P24" i="12"/>
  <c r="P25" i="12"/>
  <c r="M9" i="12"/>
  <c r="M11" i="12"/>
  <c r="M16" i="12"/>
  <c r="M18" i="12"/>
  <c r="L9" i="12"/>
  <c r="L11" i="12"/>
  <c r="L16" i="12"/>
  <c r="L18" i="12"/>
  <c r="H52" i="11"/>
  <c r="J21" i="11"/>
  <c r="H51" i="11"/>
  <c r="H50" i="11"/>
  <c r="H46" i="11"/>
  <c r="H45" i="11"/>
  <c r="H44" i="11"/>
  <c r="H47" i="11"/>
  <c r="H53" i="11"/>
  <c r="H56" i="11"/>
  <c r="I56" i="11"/>
  <c r="I53" i="11"/>
  <c r="I47" i="11"/>
  <c r="H34" i="11"/>
  <c r="H33" i="11"/>
  <c r="H32" i="11"/>
  <c r="H28" i="11"/>
  <c r="H17" i="11"/>
  <c r="H27" i="11"/>
  <c r="H26" i="11"/>
  <c r="H29" i="11"/>
  <c r="H35" i="11"/>
  <c r="I35" i="11"/>
  <c r="I29" i="11"/>
  <c r="J26" i="10"/>
  <c r="J27" i="10"/>
  <c r="J28" i="10"/>
  <c r="J29" i="10"/>
  <c r="J32" i="10"/>
  <c r="K13" i="10"/>
  <c r="J33" i="10"/>
  <c r="J34" i="10"/>
  <c r="J35" i="10"/>
  <c r="K35" i="10"/>
  <c r="K29" i="10"/>
  <c r="J17" i="11"/>
  <c r="J16" i="11"/>
  <c r="J9" i="11"/>
  <c r="J5" i="11"/>
  <c r="L13" i="10"/>
  <c r="L12" i="10"/>
  <c r="L21" i="10"/>
  <c r="L7" i="10"/>
  <c r="L6" i="10"/>
  <c r="N41" i="9"/>
  <c r="N40" i="9"/>
  <c r="N42" i="9"/>
  <c r="N51" i="9"/>
  <c r="P17" i="9"/>
  <c r="N52" i="9"/>
  <c r="N46" i="9"/>
  <c r="N43" i="9"/>
  <c r="M40" i="9"/>
  <c r="N53" i="9"/>
  <c r="O53" i="9"/>
  <c r="O52" i="9"/>
  <c r="O51" i="9"/>
  <c r="N44" i="9"/>
  <c r="N47" i="9"/>
  <c r="O47" i="9"/>
  <c r="N36" i="9"/>
  <c r="P10" i="9"/>
  <c r="N29" i="9"/>
  <c r="N26" i="9"/>
  <c r="N27" i="9"/>
  <c r="N30" i="9"/>
  <c r="M23" i="9"/>
  <c r="O36" i="9"/>
  <c r="O35" i="9"/>
  <c r="O34" i="9"/>
  <c r="O30" i="9"/>
  <c r="P5" i="9"/>
  <c r="P4" i="9"/>
  <c r="J17" i="7"/>
  <c r="J14" i="7"/>
  <c r="J15" i="7"/>
  <c r="J16" i="7"/>
  <c r="J25" i="7"/>
  <c r="L35" i="8"/>
  <c r="L12" i="8"/>
  <c r="L26" i="8"/>
  <c r="L19" i="8"/>
  <c r="L27" i="8"/>
  <c r="L17" i="8"/>
  <c r="L16" i="8"/>
  <c r="L18" i="8"/>
  <c r="L28" i="8"/>
  <c r="L31" i="8"/>
  <c r="L36" i="8"/>
  <c r="L37" i="8"/>
  <c r="L40" i="8"/>
  <c r="L20" i="8"/>
  <c r="L23" i="8"/>
  <c r="K16" i="8"/>
  <c r="L6" i="8"/>
  <c r="M12" i="8"/>
  <c r="M9" i="8"/>
  <c r="M8" i="8"/>
  <c r="J32" i="7"/>
  <c r="J47" i="7"/>
  <c r="J46" i="7"/>
  <c r="J41" i="7"/>
  <c r="J38" i="7"/>
  <c r="J36" i="7"/>
  <c r="J35" i="7"/>
  <c r="J20" i="7"/>
  <c r="J18" i="7"/>
  <c r="J21" i="7"/>
  <c r="J7" i="7"/>
  <c r="J26" i="7"/>
  <c r="J27" i="7"/>
  <c r="J37" i="7"/>
  <c r="J48" i="7"/>
  <c r="K48" i="7"/>
  <c r="K47" i="7"/>
  <c r="K46" i="7"/>
  <c r="J39" i="7"/>
  <c r="J42" i="7"/>
  <c r="K42" i="7"/>
  <c r="J11" i="7"/>
  <c r="J6" i="7"/>
  <c r="K27" i="7"/>
  <c r="K26" i="7"/>
  <c r="K25" i="7"/>
  <c r="K21" i="7"/>
  <c r="I14" i="7"/>
  <c r="K19" i="6"/>
  <c r="K14" i="6"/>
  <c r="K16" i="6"/>
  <c r="K13" i="6"/>
  <c r="J13" i="6"/>
  <c r="K15" i="6"/>
  <c r="K17" i="6"/>
  <c r="K20" i="6"/>
  <c r="L20" i="6"/>
  <c r="J19" i="5"/>
  <c r="J16" i="5"/>
  <c r="J13" i="5"/>
  <c r="J14" i="5"/>
  <c r="J15" i="5"/>
  <c r="J17" i="5"/>
  <c r="J20" i="5"/>
  <c r="K20" i="5"/>
  <c r="I13" i="5"/>
  <c r="I19" i="4"/>
  <c r="I16" i="4"/>
  <c r="I13" i="4"/>
  <c r="I14" i="4"/>
  <c r="I15" i="4"/>
  <c r="I17" i="4"/>
  <c r="I20" i="4"/>
  <c r="J20" i="4"/>
  <c r="H13" i="4"/>
  <c r="J7" i="5"/>
  <c r="K7" i="6"/>
  <c r="K6" i="6"/>
  <c r="K24" i="6"/>
  <c r="K25" i="6"/>
  <c r="K26" i="6"/>
  <c r="L26" i="6"/>
  <c r="L25" i="6"/>
  <c r="L24" i="6"/>
  <c r="J24" i="5"/>
  <c r="J25" i="5"/>
  <c r="J26" i="5"/>
  <c r="K26" i="5"/>
  <c r="K25" i="5"/>
  <c r="K24" i="5"/>
  <c r="I24" i="4"/>
  <c r="I25" i="4"/>
  <c r="I26" i="4"/>
  <c r="J25" i="4"/>
  <c r="J26" i="4"/>
  <c r="J24" i="4"/>
  <c r="W23" i="37"/>
  <c r="W22" i="37"/>
  <c r="W21" i="37"/>
  <c r="Y41" i="37"/>
  <c r="W41" i="37"/>
  <c r="AA41" i="37"/>
  <c r="Y39" i="37"/>
  <c r="W39" i="37"/>
  <c r="AA39" i="37"/>
  <c r="X45" i="37"/>
  <c r="W45" i="37"/>
  <c r="Y40" i="37"/>
  <c r="W40" i="37"/>
  <c r="AA40" i="37"/>
  <c r="X44" i="37"/>
  <c r="W44" i="37"/>
  <c r="X43" i="37"/>
  <c r="W43" i="37"/>
  <c r="Y32" i="37"/>
  <c r="W32" i="37"/>
  <c r="AA32" i="37"/>
  <c r="Y30" i="37"/>
  <c r="W30" i="37"/>
  <c r="AA30" i="37"/>
  <c r="X36" i="37"/>
  <c r="W36" i="37"/>
  <c r="Y31" i="37"/>
  <c r="W31" i="37"/>
  <c r="AA31" i="37"/>
  <c r="X35" i="37"/>
  <c r="W35" i="37"/>
  <c r="X34" i="37"/>
  <c r="W34" i="37"/>
  <c r="Y23" i="37"/>
  <c r="AA23" i="37"/>
  <c r="Y21" i="37"/>
  <c r="AA21" i="37"/>
  <c r="X27" i="37"/>
  <c r="W27" i="37"/>
  <c r="Y22" i="37"/>
  <c r="AA22" i="37"/>
  <c r="X26" i="37"/>
  <c r="W26" i="37"/>
  <c r="X25" i="37"/>
  <c r="W25" i="37"/>
  <c r="R41" i="37"/>
  <c r="P41" i="37"/>
  <c r="T41" i="37"/>
  <c r="R39" i="37"/>
  <c r="P39" i="37"/>
  <c r="T39" i="37"/>
  <c r="Q45" i="37"/>
  <c r="P45" i="37"/>
  <c r="R40" i="37"/>
  <c r="P40" i="37"/>
  <c r="T40" i="37"/>
  <c r="Q44" i="37"/>
  <c r="P44" i="37"/>
  <c r="Q43" i="37"/>
  <c r="P43" i="37"/>
  <c r="R32" i="37"/>
  <c r="P32" i="37"/>
  <c r="T32" i="37"/>
  <c r="R30" i="37"/>
  <c r="P30" i="37"/>
  <c r="T30" i="37"/>
  <c r="Q36" i="37"/>
  <c r="P36" i="37"/>
  <c r="R31" i="37"/>
  <c r="P31" i="37"/>
  <c r="T31" i="37"/>
  <c r="Q35" i="37"/>
  <c r="P35" i="37"/>
  <c r="Q34" i="37"/>
  <c r="P34" i="37"/>
  <c r="R23" i="37"/>
  <c r="P23" i="37"/>
  <c r="T23" i="37"/>
  <c r="R21" i="37"/>
  <c r="P21" i="37"/>
  <c r="T21" i="37"/>
  <c r="Q27" i="37"/>
  <c r="P27" i="37"/>
  <c r="R22" i="37"/>
  <c r="P22" i="37"/>
  <c r="T22" i="37"/>
  <c r="Q26" i="37"/>
  <c r="P26" i="37"/>
  <c r="Q25" i="37"/>
  <c r="P25" i="37"/>
  <c r="D41" i="37"/>
  <c r="B41" i="37"/>
  <c r="F41" i="37"/>
  <c r="D39" i="37"/>
  <c r="B39" i="37"/>
  <c r="F39" i="37"/>
  <c r="C45" i="37"/>
  <c r="B45" i="37"/>
  <c r="D40" i="37"/>
  <c r="B40" i="37"/>
  <c r="F40" i="37"/>
  <c r="C44" i="37"/>
  <c r="B44" i="37"/>
  <c r="C43" i="37"/>
  <c r="B43" i="37"/>
  <c r="D32" i="37"/>
  <c r="B32" i="37"/>
  <c r="F32" i="37"/>
  <c r="D30" i="37"/>
  <c r="B30" i="37"/>
  <c r="F30" i="37"/>
  <c r="C36" i="37"/>
  <c r="B36" i="37"/>
  <c r="D31" i="37"/>
  <c r="B31" i="37"/>
  <c r="F31" i="37"/>
  <c r="C35" i="37"/>
  <c r="B35" i="37"/>
  <c r="C34" i="37"/>
  <c r="B34" i="37"/>
  <c r="D23" i="37"/>
  <c r="B23" i="37"/>
  <c r="F23" i="37"/>
  <c r="D21" i="37"/>
  <c r="B21" i="37"/>
  <c r="F21" i="37"/>
  <c r="C27" i="37"/>
  <c r="D22" i="37"/>
  <c r="B22" i="37"/>
  <c r="F22" i="37"/>
  <c r="C26" i="37"/>
  <c r="C25" i="37"/>
  <c r="B27" i="37"/>
  <c r="B26" i="37"/>
  <c r="B25" i="37"/>
  <c r="K47" i="2"/>
  <c r="K46" i="2"/>
  <c r="J47" i="2"/>
  <c r="J46" i="2"/>
  <c r="I47" i="2"/>
  <c r="I46" i="2"/>
  <c r="K48" i="2"/>
  <c r="J48" i="2"/>
  <c r="J50" i="2"/>
  <c r="I48" i="2"/>
  <c r="I49" i="2"/>
  <c r="K51" i="2"/>
  <c r="K27" i="2"/>
  <c r="K26" i="2"/>
  <c r="K28" i="2"/>
  <c r="J27" i="2"/>
  <c r="J26" i="2"/>
  <c r="J28" i="2"/>
  <c r="J29" i="2"/>
  <c r="J21" i="2"/>
  <c r="J20" i="2"/>
  <c r="J22" i="2"/>
  <c r="I21" i="2"/>
  <c r="I20" i="2"/>
  <c r="I22" i="2"/>
  <c r="I23" i="2"/>
  <c r="K31" i="2"/>
  <c r="K37" i="2"/>
  <c r="K36" i="2"/>
  <c r="K38" i="2"/>
  <c r="J37" i="2"/>
  <c r="J36" i="2"/>
  <c r="J38" i="2"/>
  <c r="J40" i="2"/>
  <c r="I37" i="2"/>
  <c r="I36" i="2"/>
  <c r="I38" i="2"/>
  <c r="I39" i="2"/>
  <c r="K41" i="2"/>
  <c r="K5" i="2"/>
  <c r="K4" i="2"/>
  <c r="K3" i="2"/>
  <c r="K6" i="2"/>
  <c r="J45" i="1"/>
  <c r="J35" i="1"/>
  <c r="L35" i="1"/>
  <c r="L45" i="1"/>
  <c r="H45" i="1"/>
  <c r="I45" i="1"/>
  <c r="K45" i="1"/>
  <c r="J48" i="1"/>
  <c r="J25" i="1"/>
  <c r="H25" i="1"/>
  <c r="I25" i="1"/>
  <c r="L25" i="1"/>
  <c r="K25" i="1"/>
  <c r="J28" i="1"/>
  <c r="H35" i="1"/>
  <c r="I35" i="1"/>
  <c r="K35" i="1"/>
  <c r="J38" i="1"/>
  <c r="K13" i="1"/>
  <c r="B5" i="1"/>
  <c r="B9" i="1"/>
  <c r="B13" i="1"/>
  <c r="H15" i="1"/>
  <c r="K15" i="1"/>
  <c r="I15" i="1"/>
  <c r="K14" i="1"/>
  <c r="H14" i="1"/>
  <c r="H13" i="1"/>
  <c r="E13" i="1"/>
  <c r="E15" i="1"/>
  <c r="E14" i="1"/>
  <c r="K16" i="1"/>
  <c r="H16" i="1"/>
  <c r="E16" i="1"/>
  <c r="I16" i="1"/>
  <c r="J16" i="1"/>
  <c r="F16" i="1"/>
  <c r="G16" i="1"/>
  <c r="J15" i="1"/>
  <c r="F15" i="1"/>
  <c r="G15" i="1"/>
  <c r="I14" i="1"/>
  <c r="J14" i="1"/>
  <c r="F14" i="1"/>
  <c r="G14" i="1"/>
  <c r="I13" i="1"/>
  <c r="J13" i="1"/>
  <c r="F13" i="1"/>
  <c r="G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Usuário do Microsoft Office</author>
  </authors>
  <commentList>
    <comment ref="N10" authorId="0" shapeId="0" xr:uid="{00000000-0006-0000-0900-000001000000}">
      <text>
        <r>
          <rPr>
            <b/>
            <sz val="10"/>
            <color indexed="81"/>
            <rFont val="Calibri"/>
            <family val="2"/>
          </rPr>
          <t>Ao invés de 567 kg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Usuário do Microsoft Office</author>
  </authors>
  <commentList>
    <comment ref="J13" authorId="0" shapeId="0" xr:uid="{00000000-0006-0000-0A00-000001000000}">
      <text>
        <r>
          <rPr>
            <b/>
            <sz val="10"/>
            <color indexed="81"/>
            <rFont val="Calibri"/>
            <family val="2"/>
          </rPr>
          <t xml:space="preserve">Ao invés de 454 kg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Usuário do Microsoft Office</author>
  </authors>
  <commentList>
    <comment ref="L22" authorId="0" shapeId="0" xr:uid="{00000000-0006-0000-0C00-000001000000}">
      <text>
        <r>
          <rPr>
            <b/>
            <sz val="10"/>
            <color indexed="81"/>
            <rFont val="Calibri"/>
            <family val="2"/>
          </rPr>
          <t xml:space="preserve">Ao invés de 1 kg
</t>
        </r>
      </text>
    </comment>
    <comment ref="L31" authorId="0" shapeId="0" xr:uid="{00000000-0006-0000-0C00-000002000000}">
      <text>
        <r>
          <rPr>
            <b/>
            <sz val="10"/>
            <color indexed="81"/>
            <rFont val="Calibri"/>
            <family val="2"/>
          </rPr>
          <t xml:space="preserve">Ao invés de 9.331 kg
</t>
        </r>
      </text>
    </comment>
    <comment ref="L32" authorId="0" shapeId="0" xr:uid="{00000000-0006-0000-0C00-000003000000}">
      <text>
        <r>
          <rPr>
            <b/>
            <sz val="10"/>
            <color indexed="81"/>
            <rFont val="Calibri"/>
            <family val="2"/>
          </rPr>
          <t xml:space="preserve">Ao invés de 7.390 kg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Bitti , Eugenio</author>
  </authors>
  <commentList>
    <comment ref="K18" authorId="0" shapeId="0" xr:uid="{00000000-0006-0000-0E00-000001000000}">
      <text>
        <r>
          <rPr>
            <b/>
            <sz val="9"/>
            <color indexed="81"/>
            <rFont val="Calibri"/>
            <family val="2"/>
          </rPr>
          <t>Bitti , Eugenio:</t>
        </r>
        <r>
          <rPr>
            <sz val="9"/>
            <color indexed="81"/>
            <rFont val="Calibri"/>
            <family val="2"/>
          </rPr>
          <t xml:space="preserve">
10 pessoas - 160 hs cada - total de 1.600 hs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Bitti , Eugenio</author>
  </authors>
  <commentList>
    <comment ref="K24" authorId="0" shapeId="0" xr:uid="{00000000-0006-0000-1000-000001000000}">
      <text>
        <r>
          <rPr>
            <sz val="9"/>
            <color indexed="81"/>
            <rFont val="Calibri"/>
            <family val="2"/>
          </rPr>
          <t xml:space="preserve">PP(QR - QP) + QR(PR - PP) = Δ Total
1200 + 2.239(2,75 - PP) = -300
PP = 3
</t>
        </r>
      </text>
    </comment>
    <comment ref="K26" authorId="0" shapeId="0" xr:uid="{00000000-0006-0000-1000-000002000000}">
      <text>
        <r>
          <rPr>
            <sz val="9"/>
            <color indexed="81"/>
            <rFont val="Calibri"/>
            <family val="2"/>
          </rPr>
          <t xml:space="preserve">PP(QR - QP) = 1.200
QP = </t>
        </r>
        <r>
          <rPr>
            <u/>
            <sz val="9"/>
            <color indexed="81"/>
            <rFont val="Calibri"/>
            <family val="2"/>
          </rPr>
          <t xml:space="preserve">((PP x QR) - 1.200
</t>
        </r>
        <r>
          <rPr>
            <sz val="9"/>
            <color indexed="81"/>
            <rFont val="Calibri"/>
            <family val="2"/>
          </rPr>
          <t xml:space="preserve">                     PP
QP = 5.600</t>
        </r>
      </text>
    </comment>
    <comment ref="K36" authorId="0" shapeId="0" xr:uid="{00000000-0006-0000-1000-000003000000}">
      <text>
        <r>
          <rPr>
            <sz val="9"/>
            <color indexed="81"/>
            <rFont val="Calibri"/>
            <family val="2"/>
          </rPr>
          <t xml:space="preserve">PP(QR - QP) = 1.200
QR = </t>
        </r>
        <r>
          <rPr>
            <u/>
            <sz val="9"/>
            <color indexed="81"/>
            <rFont val="Calibri"/>
            <family val="2"/>
          </rPr>
          <t xml:space="preserve">((PP x QP) - 4.500
</t>
        </r>
        <r>
          <rPr>
            <sz val="9"/>
            <color indexed="81"/>
            <rFont val="Calibri"/>
            <family val="2"/>
          </rPr>
          <t xml:space="preserve">                     PP
QR = 3.000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Usuário do Microsoft Office</author>
  </authors>
  <commentList>
    <comment ref="M8" authorId="0" shapeId="0" xr:uid="{00000000-0006-0000-1200-000001000000}">
      <text>
        <r>
          <rPr>
            <b/>
            <sz val="10"/>
            <color indexed="81"/>
            <rFont val="Calibri"/>
            <family val="2"/>
          </rPr>
          <t xml:space="preserve">Ao invés de 3 m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Bitti , Eugenio</author>
  </authors>
  <commentList>
    <comment ref="D2" authorId="0" shapeId="0" xr:uid="{00000000-0006-0000-1500-000001000000}">
      <text>
        <r>
          <rPr>
            <b/>
            <sz val="9"/>
            <color indexed="81"/>
            <rFont val="Calibri"/>
            <family val="2"/>
          </rPr>
          <t xml:space="preserve">Tx CIP = </t>
        </r>
        <r>
          <rPr>
            <b/>
            <u/>
            <sz val="9"/>
            <color indexed="81"/>
            <rFont val="Calibri"/>
            <family val="2"/>
          </rPr>
          <t xml:space="preserve">           CIP estimado          </t>
        </r>
        <r>
          <rPr>
            <sz val="9"/>
            <color indexed="81"/>
            <rFont val="Calibri"/>
            <family val="2"/>
          </rPr>
          <t xml:space="preserve">
                </t>
        </r>
        <r>
          <rPr>
            <b/>
            <sz val="9"/>
            <color indexed="81"/>
            <rFont val="Calibri"/>
            <family val="2"/>
          </rPr>
          <t>Base Alocação Estimada</t>
        </r>
      </text>
    </comment>
  </commentList>
</comments>
</file>

<file path=xl/sharedStrings.xml><?xml version="1.0" encoding="utf-8"?>
<sst xmlns="http://schemas.openxmlformats.org/spreadsheetml/2006/main" count="1693" uniqueCount="475">
  <si>
    <t>MP</t>
  </si>
  <si>
    <t>CP - MP</t>
  </si>
  <si>
    <t>MOD</t>
  </si>
  <si>
    <t>CP - MOD</t>
  </si>
  <si>
    <t>CP - CIP</t>
  </si>
  <si>
    <t>Junho</t>
  </si>
  <si>
    <t>Vendas Orçadas</t>
  </si>
  <si>
    <t>Vendas Reais</t>
  </si>
  <si>
    <t>Custo Real - MP</t>
  </si>
  <si>
    <t>Custo Real - MOD</t>
  </si>
  <si>
    <t>Custo Real - CIPV</t>
  </si>
  <si>
    <t>PLANO</t>
  </si>
  <si>
    <t>FLEXIVEL</t>
  </si>
  <si>
    <t>REAL</t>
  </si>
  <si>
    <t>Despesas:</t>
  </si>
  <si>
    <t>CIPV</t>
  </si>
  <si>
    <t>TOTAL</t>
  </si>
  <si>
    <t>QP X PP</t>
  </si>
  <si>
    <t>QR X PP</t>
  </si>
  <si>
    <t>QR X PR</t>
  </si>
  <si>
    <t>Quantidade MP Padrão</t>
  </si>
  <si>
    <t>Preço MP Padrão</t>
  </si>
  <si>
    <t>Quantidade MOD Padrão</t>
  </si>
  <si>
    <t>Preço MOD Padrão</t>
  </si>
  <si>
    <t>Quantidade CIPV Padrão</t>
  </si>
  <si>
    <t>Preço CIPV Padrão</t>
  </si>
  <si>
    <t>Variacao de Custo</t>
  </si>
  <si>
    <t>Compras MP (lb)</t>
  </si>
  <si>
    <t>D</t>
  </si>
  <si>
    <t>F</t>
  </si>
  <si>
    <t>Preço Real</t>
  </si>
  <si>
    <t>MOD - valor pago</t>
  </si>
  <si>
    <t>MOD - tempo gasto</t>
  </si>
  <si>
    <t>CIPV - real</t>
  </si>
  <si>
    <t>MD</t>
  </si>
  <si>
    <t>QP</t>
  </si>
  <si>
    <t>PP</t>
  </si>
  <si>
    <t>CP</t>
  </si>
  <si>
    <t>CPU</t>
  </si>
  <si>
    <t>Producao</t>
  </si>
  <si>
    <t>MD comprado</t>
  </si>
  <si>
    <t>Preço Compra</t>
  </si>
  <si>
    <t>MD usado</t>
  </si>
  <si>
    <t>HMOD</t>
  </si>
  <si>
    <t>Custo MOD</t>
  </si>
  <si>
    <t>Quantidade</t>
  </si>
  <si>
    <t>Preço</t>
  </si>
  <si>
    <t>RP</t>
  </si>
  <si>
    <t>RR</t>
  </si>
  <si>
    <t>Custo</t>
  </si>
  <si>
    <t>Variação Quantidade</t>
  </si>
  <si>
    <t>Variação Preço</t>
  </si>
  <si>
    <t>MD (quantidade)</t>
  </si>
  <si>
    <t>MD (Preço)</t>
  </si>
  <si>
    <t>MOD (quantidade)</t>
  </si>
  <si>
    <t>Variação Total</t>
  </si>
  <si>
    <t>CIPV (quantidade)</t>
  </si>
  <si>
    <r>
      <t>1.</t>
    </r>
    <r>
      <rPr>
        <sz val="7"/>
        <color theme="1"/>
        <rFont val="Times New Roman"/>
        <family val="1"/>
      </rPr>
      <t xml:space="preserve">     </t>
    </r>
    <r>
      <rPr>
        <sz val="12"/>
        <color theme="1"/>
        <rFont val="Cambria"/>
        <family val="1"/>
      </rPr>
      <t>O que é uma quantidade padrão? O que é um preço padrão?</t>
    </r>
  </si>
  <si>
    <t>R: A quantidade padrão indica quanto de insumo deve ser usado para fazer uma unidade de saída. O preço padrão indica qual o custo esperado deste insumo.</t>
  </si>
  <si>
    <r>
      <t>2.</t>
    </r>
    <r>
      <rPr>
        <sz val="7"/>
        <color theme="1"/>
        <rFont val="Times New Roman"/>
        <family val="1"/>
      </rPr>
      <t xml:space="preserve">     </t>
    </r>
    <r>
      <rPr>
        <sz val="12"/>
        <color theme="1"/>
        <rFont val="Cambria"/>
        <family val="1"/>
      </rPr>
      <t>Qual é a distinção entre padrões ideais e práticos?</t>
    </r>
  </si>
  <si>
    <t>R: Padrões ideais assumem perfeição e não permitem qualquer ineficiência. Raramente, ou nunca, são alcançados. Padrões práticos podem ser alcançados por funcionários que trabalham em um ritmo razoável e eficiente, mesmo com pausas e interrupções (previstas) no trabalho.</t>
  </si>
  <si>
    <r>
      <t>3.</t>
    </r>
    <r>
      <rPr>
        <sz val="7"/>
        <color theme="1"/>
        <rFont val="Times New Roman"/>
        <family val="1"/>
      </rPr>
      <t xml:space="preserve">     </t>
    </r>
    <r>
      <rPr>
        <sz val="12"/>
        <color theme="1"/>
        <rFont val="Cambria"/>
        <family val="1"/>
      </rPr>
      <t>O que significa o termo gerenciamento por exceção?</t>
    </r>
  </si>
  <si>
    <t>R: Sob a gestão por exceção, gestores centram sua atenção nos resultados que se afastam das expectativas. Supõe-se que os resultados que correspondem às expectativas não requerem investigação.</t>
  </si>
  <si>
    <r>
      <t>4.</t>
    </r>
    <r>
      <rPr>
        <sz val="7"/>
        <color theme="1"/>
        <rFont val="Times New Roman"/>
        <family val="1"/>
      </rPr>
      <t xml:space="preserve">     </t>
    </r>
    <r>
      <rPr>
        <sz val="12"/>
        <color theme="1"/>
        <rFont val="Cambria"/>
        <family val="1"/>
      </rPr>
      <t>Por que variações de preço e quantidade são calculadas separadamente?</t>
    </r>
  </si>
  <si>
    <t>R: Separar a variação global em desvio de preço e desvio de quantidade fornece mais informações. Além disso, as variações de preço e quantidade são geralmente as responsabilidades de gestores diferentes.</t>
  </si>
  <si>
    <r>
      <t>5.</t>
    </r>
    <r>
      <rPr>
        <sz val="7"/>
        <color theme="1"/>
        <rFont val="Times New Roman"/>
        <family val="1"/>
      </rPr>
      <t xml:space="preserve">     </t>
    </r>
    <r>
      <rPr>
        <sz val="12"/>
        <color theme="1"/>
        <rFont val="Cambria"/>
        <family val="1"/>
      </rPr>
      <t>Em geral, quem é responsável pela variação de preço dos materiais? E pela variação de quantidade dos materiais? E pela variação de eficiência da mão de obra?</t>
    </r>
  </si>
  <si>
    <t>R: A variação de preços de materiais é normalmente da responsabilidade do gerente de compras. Desvios na quantidade consumida de materiais e na eficiência de trabalho são geralmente de responsabilidade dos gerentes de produção e supervisores.</t>
  </si>
  <si>
    <r>
      <t>6.</t>
    </r>
    <r>
      <rPr>
        <sz val="7"/>
        <color theme="1"/>
        <rFont val="Times New Roman"/>
        <family val="1"/>
      </rPr>
      <t xml:space="preserve">     </t>
    </r>
    <r>
      <rPr>
        <sz val="12"/>
        <color theme="1"/>
        <rFont val="Cambria"/>
        <family val="1"/>
      </rPr>
      <t>A variação de preço dos materiais pode ser calculada em quais dois diferentes momentos? Qual momento é melhor? Por quê?</t>
    </r>
  </si>
  <si>
    <t>R: A variação de preços de materiais pode ser calculada quando os materiais são adquiridos ou quando são colocados em produção. Geralmente é melhor calcular a variação quando os materiais são comprados porque é quando o gerente de compras, que tem a responsabilidade por essa variação, completou o seu trabalho. Além disso, o reconhecimento da variação de preços quando os materiais são comprados permite que a empresa para realizar suas matérias-primas nas contas de estoques ao custo padrão, o que simplifica a contabilidade.</t>
  </si>
  <si>
    <r>
      <t>7.</t>
    </r>
    <r>
      <rPr>
        <sz val="7"/>
        <color theme="1"/>
        <rFont val="Times New Roman"/>
        <family val="1"/>
      </rPr>
      <t xml:space="preserve">     </t>
    </r>
    <r>
      <rPr>
        <sz val="12"/>
        <color theme="1"/>
        <rFont val="Cambria"/>
        <family val="1"/>
      </rPr>
      <t>Se a variação de preço dos materiais for favorável, mas a variação de quantidade dos materiais for desfavorável, o que isso pode indicar?</t>
    </r>
  </si>
  <si>
    <t>R: Esta combinação de variações podem indicar que materiais de qualidade inferior foram adquiridos com desconto, mas a baixa qualidade pode estar criando problemas para a produção.</t>
  </si>
  <si>
    <r>
      <t>8.</t>
    </r>
    <r>
      <rPr>
        <sz val="7"/>
        <color theme="1"/>
        <rFont val="Times New Roman"/>
        <family val="1"/>
      </rPr>
      <t xml:space="preserve">     </t>
    </r>
    <r>
      <rPr>
        <sz val="12"/>
        <color theme="1"/>
        <rFont val="Cambria"/>
        <family val="1"/>
      </rPr>
      <t>Os padrões devem ser usados para identificar em quem colocar a culpa pelos problemas?</t>
    </r>
  </si>
  <si>
    <t>R: Se padrões forem usados para encontrar culpados, eles podem gerar ressentimento e desmotivação. Eles não devem ser usados para culpar pessoas.</t>
  </si>
  <si>
    <r>
      <t>9.</t>
    </r>
    <r>
      <rPr>
        <sz val="7"/>
        <color theme="1"/>
        <rFont val="Times New Roman"/>
        <family val="1"/>
      </rPr>
      <t xml:space="preserve">     </t>
    </r>
    <r>
      <rPr>
        <sz val="12"/>
        <color theme="1"/>
        <rFont val="Cambria"/>
        <family val="1"/>
      </rPr>
      <t>“Todos os nossos trabalhadores trabalham com contrato; portanto, nossa variação de taxa salarial será zero”. Discuta.</t>
    </r>
  </si>
  <si>
    <t>R: Vários fatores além da forma de contratação podem causar variações na taxa salarial. Por exemplo, os trabalhadores qualificados com maior remuneração horária podem receber tarefas que exigem pouca habilidade e baixas taxas de remuneração horária, resultando em uma taxa de variação desfavorável. Ou trabalhadores não qualificados ou sem treinamento podem receber tarefas que devem ser preenchidas por trabalhadores mais qualificados, resultando em uma taxa de variação favorável. Variações desfavoráveis da taxa também pode surgir a partir de  horas extras e bônus.</t>
  </si>
  <si>
    <r>
      <t>10.</t>
    </r>
    <r>
      <rPr>
        <sz val="7"/>
        <color theme="1"/>
        <rFont val="Times New Roman"/>
        <family val="1"/>
      </rPr>
      <t xml:space="preserve"> </t>
    </r>
    <r>
      <rPr>
        <sz val="12"/>
        <color theme="1"/>
        <rFont val="Cambria"/>
        <family val="1"/>
      </rPr>
      <t>Se houver, qual efeito você esperaria que materiais de baixa qualidade tivessem sobre as variações de mão de obra direta?</t>
    </r>
  </si>
  <si>
    <t>R: Se materiais de má qualidade criam problemas de produção, o resultado poderia ser o tempo de trabalho excessivo e, portanto, um desvio de eficiência de trabalho desfavorável. Materiais de má qualidade não afetariam ordinariamente a variação taxa de trabalho.</t>
  </si>
  <si>
    <r>
      <t>11.</t>
    </r>
    <r>
      <rPr>
        <sz val="7"/>
        <color theme="1"/>
        <rFont val="Times New Roman"/>
        <family val="1"/>
      </rPr>
      <t xml:space="preserve"> </t>
    </r>
    <r>
      <rPr>
        <sz val="12"/>
        <color theme="1"/>
        <rFont val="Cambria"/>
        <family val="1"/>
      </rPr>
      <t>Se os custos indiretos variáveis de produção são aplicados à produção com base em horas de mão de obra direta e a variação de eficiência da mão de obra direta é desfavorável, a variação de eficiência dos custos indiretos variáveis será favorável ou desfavorável, ou poderia ser qualquer uma das duas? Explique.</t>
    </r>
  </si>
  <si>
    <t>R: Se os custos indiretos variáveis são aplicados com base em MOD, então ambos serão sempre será favoráveis ou desfavoráveis conjuntamente. Ambas as variações são calculadas através da comparação do número de HMOD efetivamente trabalhadas com as horas padrão admitidas. Isto é, em cada caso, a fórmula é:</t>
  </si>
  <si>
    <t>Variação da Eficiência = SR (AH - SH)</t>
  </si>
  <si>
    <t>Somente a parte "SR" da fórmula, a taxa normal, difere entre as duas variações.</t>
  </si>
  <si>
    <r>
      <t>12.</t>
    </r>
    <r>
      <rPr>
        <sz val="7"/>
        <color theme="1"/>
        <rFont val="Times New Roman"/>
        <family val="1"/>
      </rPr>
      <t xml:space="preserve"> </t>
    </r>
    <r>
      <rPr>
        <sz val="12"/>
        <color theme="1"/>
        <rFont val="Cambria"/>
        <family val="1"/>
      </rPr>
      <t>O que é um gráfico de controle estatístico e como ele é usado?</t>
    </r>
  </si>
  <si>
    <t>R: Um gráfico de controle estatístico ajuda a identificar desvios que devem ser investigados. Os limites superior e inferior são definidos na carta de controle. Eventuais variações que caem entre esses limites são considerados normal. Eventuais variações que estejam fora desses limites são considerados anormais e são investigados.</t>
  </si>
  <si>
    <r>
      <t>13.</t>
    </r>
    <r>
      <rPr>
        <sz val="7"/>
        <color theme="1"/>
        <rFont val="Times New Roman"/>
        <family val="1"/>
      </rPr>
      <t xml:space="preserve"> </t>
    </r>
    <r>
      <rPr>
        <sz val="12"/>
        <color theme="1"/>
        <rFont val="Cambria"/>
        <family val="1"/>
      </rPr>
      <t>Por que uma ênfase indevida sobre a variação de eficiência da mão de obras leva a um excesso nos estoques de produção de andamento?</t>
    </r>
  </si>
  <si>
    <t>R: Se o trabalho é um custo fixo e normas estão apertadas, então a única forma de gerar variações de eficiência de trabalho favoráveis é para cada estação de trabalho para produzir a capacidade. No entanto, a saída de todo o sistema é limitada pela capacidade do gargalo. Se as estações de trabalho antes do gargalo no processo de produção produzir em capacidade, o gargalo não será capaz de processar todo o trabalho em processo. Em geral, se cada estação de trabalho está tentando produzir na capacidade, em seguida, trabalhar no inventário processo irá acumular-se em frente das estações de trabalho com o mínimo de capacidade.</t>
  </si>
  <si>
    <t>Capítulo 10: Aplicação em Excel</t>
  </si>
  <si>
    <t>Dados</t>
  </si>
  <si>
    <t>Quadro 10.2: Relatório de custos-padrão</t>
  </si>
  <si>
    <t>Insumos</t>
  </si>
  <si>
    <t>Quantidade-padrão</t>
  </si>
  <si>
    <t>Preço-padrão (US$)</t>
  </si>
  <si>
    <t>Materiais diretos</t>
  </si>
  <si>
    <t>libras</t>
  </si>
  <si>
    <t>por libra</t>
  </si>
  <si>
    <t>Mão de obra direta</t>
  </si>
  <si>
    <t>hora</t>
  </si>
  <si>
    <t>por hora</t>
  </si>
  <si>
    <t>Custos indiretos variáveis de produção</t>
  </si>
  <si>
    <t>Resultados reais</t>
  </si>
  <si>
    <t>Saída real</t>
  </si>
  <si>
    <t>Custos indiretos variáveis reais de produção</t>
  </si>
  <si>
    <t>Quantidade real</t>
  </si>
  <si>
    <t>Preço real</t>
  </si>
  <si>
    <t>Custos reais de materiais diretos</t>
  </si>
  <si>
    <t>Custos reais de mão de obra direta</t>
  </si>
  <si>
    <t>horas</t>
  </si>
  <si>
    <t>Digite uma fórmula em cada uma das células marcadas com um ? abaixo</t>
  </si>
  <si>
    <t>Exemplo principal: Capítulo 10</t>
  </si>
  <si>
    <t>Quadro 10.5: Análise de variação de custos-padrão – materiais diretos</t>
  </si>
  <si>
    <t>Quantidade-padrão permitida para a saída real pelo preço-padrão</t>
  </si>
  <si>
    <t>libras ×</t>
  </si>
  <si>
    <t>por libra =</t>
  </si>
  <si>
    <t>Quantidade real de insumo pelo preço-padrão</t>
  </si>
  <si>
    <t>Quantidade real de insumo pelo preço real</t>
  </si>
  <si>
    <t>Variações dos materiais diretos:</t>
  </si>
  <si>
    <t>Variações de quantidade dos materiais</t>
  </si>
  <si>
    <t>Variações de preço dos materiais</t>
  </si>
  <si>
    <t>Variações das despesas com materiais</t>
  </si>
  <si>
    <t>Quadro 10.6: Análise de variação de custos-padrão – mão de obra direta</t>
  </si>
  <si>
    <t>Horas-padrão permitidas para a saída real pela taxa salarial padrão</t>
  </si>
  <si>
    <t>horas ×</t>
  </si>
  <si>
    <t>por hora =</t>
  </si>
  <si>
    <t>Horas reais de insumo pela taxa salarial padrão</t>
  </si>
  <si>
    <t xml:space="preserve">por hora = </t>
  </si>
  <si>
    <t>Horas reais de insumo pela taxa salarial real</t>
  </si>
  <si>
    <t>Variações da mão de obra direta:</t>
  </si>
  <si>
    <t>Variações de eficiência da mão de obra</t>
  </si>
  <si>
    <t>Variações de taxa salarial da mão de obra</t>
  </si>
  <si>
    <t>Variações das despesas com mão de obra</t>
  </si>
  <si>
    <t>Quadro 10.7: Análise de variação de custos-padrão – custos indiretos variáveis de produção</t>
  </si>
  <si>
    <t>Horas-padrão de insumo pela taxa salarial padrão</t>
  </si>
  <si>
    <t>Variações dos custos indiretos variáveis:</t>
  </si>
  <si>
    <t>Variações de eficiência dos custos indiretos variáveis</t>
  </si>
  <si>
    <t>Variações de preço dos custos indiretos variáveis</t>
  </si>
  <si>
    <t>Variações das despesas indiretas variáveis</t>
  </si>
  <si>
    <t>unidades</t>
  </si>
  <si>
    <t xml:space="preserve">a. A variação da quantidade de materiais é $ 2.800 D. Essa variação é a diferença entre a quantidade de materiais que deveria ter sido usada para produzir a saída real e a quantidade de materiais que foi realmente usada, todas avaliadas pelo preço-padrão. Essa variação é desfavorável porque foram usadas 6.500 libras, quando deveriam ter sido usadas 5.800 libras.
b. A variação de taxa salarial é $ 420 F. Essa variação é a diferença entre a taxa salarial padrão e a taxa salarial real, multiplicada pelo número de horas trabalhadas reais. Ela é favorável porque a taxa salarial real foi US$ 21,60 por hora, enquanto a taxa salarial padrão era de $ 22,00 por hora.
</t>
  </si>
  <si>
    <t>Custo Real</t>
  </si>
  <si>
    <t>h</t>
  </si>
  <si>
    <t>QR</t>
  </si>
  <si>
    <t>PR</t>
  </si>
  <si>
    <t>CIP</t>
  </si>
  <si>
    <t>/HMOD</t>
  </si>
  <si>
    <t>Custo MOD real</t>
  </si>
  <si>
    <t>Variação Taxa Salarial</t>
  </si>
  <si>
    <t>Real</t>
  </si>
  <si>
    <t>Produção</t>
  </si>
  <si>
    <t>QR Total</t>
  </si>
  <si>
    <t>PR Total</t>
  </si>
  <si>
    <t>QR un</t>
  </si>
  <si>
    <t>PR un</t>
  </si>
  <si>
    <t>Variação Preço - QR x ΔP</t>
  </si>
  <si>
    <t>Variação Quantidade - PP x ΔQ</t>
  </si>
  <si>
    <t>(x) QP</t>
  </si>
  <si>
    <t>(x) PP</t>
  </si>
  <si>
    <t>MP - quantidade OF</t>
  </si>
  <si>
    <t>MP - custo OF</t>
  </si>
  <si>
    <t>Cálculo da Variação Total</t>
  </si>
  <si>
    <t>Decomposição</t>
  </si>
  <si>
    <t>PP/HMOD</t>
  </si>
  <si>
    <t>PP/unidade</t>
  </si>
  <si>
    <t>MOD - quantidade OF</t>
  </si>
  <si>
    <t>MOD - custo OF</t>
  </si>
  <si>
    <t>CIP - custo OF</t>
  </si>
  <si>
    <t>CIPV - PP</t>
  </si>
  <si>
    <t>CIPV - custo real</t>
  </si>
  <si>
    <t>HMOD Real</t>
  </si>
  <si>
    <t>CIPV - PR</t>
  </si>
  <si>
    <t>CIPV - custo OF</t>
  </si>
  <si>
    <t>Então:</t>
  </si>
  <si>
    <t>CP/unidade</t>
  </si>
  <si>
    <t>CP/HMOD</t>
  </si>
  <si>
    <t>HMOD - horas OF</t>
  </si>
  <si>
    <t>(x) CP</t>
  </si>
  <si>
    <t>(-) Variação Total</t>
  </si>
  <si>
    <t>Variação Eficiência - PP x ΔQ</t>
  </si>
  <si>
    <t>Variação Taxa - QR x ΔP</t>
  </si>
  <si>
    <t>Variação Taxa Salário - QR x ΔP</t>
  </si>
  <si>
    <t>Variação Eficiência</t>
  </si>
  <si>
    <t>QP - OF</t>
  </si>
  <si>
    <t>Variação Taxa Salário</t>
  </si>
  <si>
    <t>CR</t>
  </si>
  <si>
    <t>Compras</t>
  </si>
  <si>
    <t>Kg</t>
  </si>
  <si>
    <t>$/kg</t>
  </si>
  <si>
    <t>* totalmente consumido na produção</t>
  </si>
  <si>
    <t>$/HMOD</t>
  </si>
  <si>
    <t>Cálculo da Variação Total - MD</t>
  </si>
  <si>
    <t>MD - quantidade OF</t>
  </si>
  <si>
    <t>MD - custo OF</t>
  </si>
  <si>
    <t>Cálculo da Variação Total - MOD</t>
  </si>
  <si>
    <t>Variação Eficiencia MOD - PP x ΔQ</t>
  </si>
  <si>
    <t>MOD - eficiencia OF</t>
  </si>
  <si>
    <t>MOD - taxa OF</t>
  </si>
  <si>
    <t>Consumo</t>
  </si>
  <si>
    <t>Diodo</t>
  </si>
  <si>
    <t>$/Diodo</t>
  </si>
  <si>
    <t>Custo Total Real</t>
  </si>
  <si>
    <t>Custo HMOD Real</t>
  </si>
  <si>
    <t>Variação Quantidade MD</t>
  </si>
  <si>
    <t>Variação Quantidade = PP x ΔQ</t>
  </si>
  <si>
    <t>Variação Preço = QR x ΔP</t>
  </si>
  <si>
    <t>Variação Preço MD</t>
  </si>
  <si>
    <t>Variação MD</t>
  </si>
  <si>
    <t>Variação MOD</t>
  </si>
  <si>
    <t>Variação Eficiencia = PP x ΔQ</t>
  </si>
  <si>
    <t>A variação geralmente tem muitas explicações possíveis. Em particular, devemos sempre ter em mente que o próprio padrão pode estar incorreto. Algumas das outras possíveis explicações para os desvios observados na empresa aparecem abaixo:
* Variação no preço do MD: uma vez que esta variação é favorável, o preço real pago por unidade para o material foi menor do que o preço padrão. Isso pode ocorrer por uma variedade de razões, incluindo a compra de um material de qualidade inferior com desconto, a compra de uma quantidade anormalmente grande para aproveitar os descontos em volume,  mudanças no preço do mercado ou mesmo uma boa negociação obtida pelo departamento de compras.
* Variação na quantidade de MD: uma vez que essa variação é desfavorável, um volume maior de materiais foi usado ​​na produção em comparação ao estabelecido pelo padrão. Isto também pode ocorrer por uma variedade de razões. Algumas das possibilidades incluem trabalhadores mal treinados ou mal supervisionados, máquinas desreguladas ou materiais defeituosos.
* Variação na Taxa Salarial: como essa variação é desfavorável, a taxa real média foi maior do que o padrão. Algumas das explicações possíveis incluem um aumento nos salários que não estava previsto no padrão, horas extras não previstas ou uma maior proporção de funcionários com salários mais altos.
* Variação na Eficiência de MOD: como esta variação for desfavorável, o número real de horas de trabalho foi maior do que as horas de trabalho padrão permitido para a saída real. Tal como com as outras variações, esta variação pode ter sido causado por qualquer de um número de factores. Algumas das explicações possíveis incluem supervisão pobres, trabalhadores mal treinados, materiais de baixa qualidade que exigem mais tempo de trabalho para processar e quebra de máquinas. Além disso, se a força de trabalho directo é fixo essencialmente, um desvio desfavorável a eficiência do trabalho pode ser causado por uma redução na produção devido à diminuição da demanda por produtos da empresa.</t>
  </si>
  <si>
    <t>Vendas (5.000 unidades)</t>
  </si>
  <si>
    <t>CPV variavel</t>
  </si>
  <si>
    <t>Despesas Variaveis de Vendas</t>
  </si>
  <si>
    <t>Total</t>
  </si>
  <si>
    <t>Margem de Contribuição</t>
  </si>
  <si>
    <t>Despesas Fixas:</t>
  </si>
  <si>
    <t>Despesas Com/Adm</t>
  </si>
  <si>
    <t>ROL</t>
  </si>
  <si>
    <t>Orçada</t>
  </si>
  <si>
    <t>Despesas Variáveis:</t>
  </si>
  <si>
    <t>CIPV (/HMAQ)</t>
  </si>
  <si>
    <t>kg</t>
  </si>
  <si>
    <t>$/h</t>
  </si>
  <si>
    <t>Compras MD</t>
  </si>
  <si>
    <t>Consumo MD</t>
  </si>
  <si>
    <t>HMAQ</t>
  </si>
  <si>
    <t>Variação Taxa = QR x ΔP</t>
  </si>
  <si>
    <t>$/HMAQ</t>
  </si>
  <si>
    <t>Variação Total MD</t>
  </si>
  <si>
    <t>Variação Total MOD</t>
  </si>
  <si>
    <t>Variação Total CIPV</t>
  </si>
  <si>
    <t>VARIAÇÃO TOTAL</t>
  </si>
  <si>
    <t xml:space="preserve">1. A variação total líquida fez com que o CPV Variável saltasse dos esperados $80.000 para $96.390. Esta variação desfavorável de  $16.390 também explica a diferença entre a receita operacional líquida no orçamento e da perda líquida real para o mês.
2. As duas variações mais significativas são a variação de preços de materiais e a variação da eficiência de trabalho. Possíveis causas das variações incluem:
Desvio de preço Materiais: normas desatualizadas, quantidade comprada antieconômico, materiais de maior qualidade, o método de alto custo do transporte.
Trabalho variância eficiência: trabalhadores mal treinados, materiais de má qualidade, equipamento defeituoso, interrupções de trabalho, as normas imprecisas, a demanda insuficiente.
</t>
  </si>
  <si>
    <t>Exame Citológico</t>
  </si>
  <si>
    <t>Exame de Sangue</t>
  </si>
  <si>
    <t>Laminas</t>
  </si>
  <si>
    <t>MOD - Citológico</t>
  </si>
  <si>
    <t>MOD - Sangue</t>
  </si>
  <si>
    <t>CIPV (/HMOD)</t>
  </si>
  <si>
    <t>Compras (4% desconto)</t>
  </si>
  <si>
    <t>Valor</t>
  </si>
  <si>
    <t>Unitário</t>
  </si>
  <si>
    <t>Padrões</t>
  </si>
  <si>
    <t>Variação Laminas</t>
  </si>
  <si>
    <t>A política provavelmente não deve ser continuada. Embora o hospital esteja economizando US $ 1,75 por hora, empregando mais assistentes em relação ao número de técnicos superiores do que outros hospitais, esta poupança é mais do que compensado por outros fatores. Demasiado tempo está sendo levado em realizar testes de laboratório, como indicado pela grande variação desfavorável a eficiência do trabalho. E, parece provável que a maioria (ou todos) dos desfavorável desvio de quantidade do hospital para placas é rastreável a supervisão inadequada dos assistentes no laboratório.
Sim, as duas variações estão relacionadas. Ambos são calculados comparando o tempo de trabalho real para as horas padrão permitido para a saída do período. Assim, se houver um desvio da eficiência de trabalho desfavorável, haverá também uma variável de desvio da eficiência de sobrecarga desfavorável.</t>
  </si>
  <si>
    <t>Quatidade</t>
  </si>
  <si>
    <t>/kg</t>
  </si>
  <si>
    <t>/hora</t>
  </si>
  <si>
    <t>Compra</t>
  </si>
  <si>
    <t>Não, o contrato não deveria ser assinado. Embora o novo fornecedor esteja oferecendo o material em apenas $ 5,75 por kg, o grande desvio na quantidademateriais  indica um problema. A empresa ainda tem 2.000 quilos de material não utilizado no armazém; se estes materiais fazer tão mal na produção como as £ 6.000 já usado, a variância total quantidade de 8.000 quilos de materiais adquiridos será muito grande.</t>
  </si>
  <si>
    <t>Sim, o novo mix de trabalho deveria ser continuado. Embora aumenta o custo médio por hora de trabalho a partir de $ 12,00 a $ 12,50, resultando em uma taxa de variação de trabalho desfavorável US $ 800, isso é mais do que compensado por uma maior eficiência do tempo de trabalho. Note-se que a variação da eficiência de trabalho é $ 2.400 favorável. Assim, o novo mix de trabalho reduz os custos gerais de trabalho.</t>
  </si>
  <si>
    <t>Tanto a variação da eficiência de trabalho e a variável desvio de eficiência sobrecarga são calculado comparando reais horas de trabalho para padrão de horas de trabalho. Assim, se a variação da eficiência de trabalho é favorável, então a variável desvio de eficiência sobrecarga será favorável também.</t>
  </si>
  <si>
    <t>Padrão</t>
  </si>
  <si>
    <t>Excesso Custo Real s/ Padrão</t>
  </si>
  <si>
    <t>Variação Eficiencia</t>
  </si>
  <si>
    <t>Variação Taxa</t>
  </si>
  <si>
    <t>Variação Unitária MD</t>
  </si>
  <si>
    <t>Variação Unitária MOD</t>
  </si>
  <si>
    <t>Variação Unitária CIPV</t>
  </si>
  <si>
    <t>3) Basta somar a variação D tanto para MOD como CIPV, no caso:
$0,90 + $,25 = $1,15
Ou seja, dos $0,40 de custo em excesso (real sobre padrão), $1,15 referem-se a ineficiência de MOD</t>
  </si>
  <si>
    <t>Embora o excesso do custo real sobre o custo padrão é de apenas US $ 0,40 por unidade, a quantidade total de 4,8 mil dólares (= US $ 0,40 por unidade × 12.000 unidades) é substancial. Além disso, os detalhes das variâncias são significativas. A variação de preços de materiais é 4200 dólares U, a variação da eficiência de trabalho é $ 10.800 U, a variação taxa de trabalho é $ 6.840 F, a variável desvio de eficiência sobrecarga é 3.000 dólares U, e a variação de taxa variável é 4560 dólares F. Tomados em conjunto, os dois desvios que reflectem uso ineficiente aparente do tempo total de trabalho 13800 dólares U. Cada uma dessas variações podem justificar uma investigação mais aprofundada.</t>
  </si>
  <si>
    <t>?</t>
  </si>
  <si>
    <t>Variacao Quantidade MD</t>
  </si>
  <si>
    <t>Variaçao Total MD</t>
  </si>
  <si>
    <t>Variacao Eficiencia MOD</t>
  </si>
  <si>
    <t>Custo Unitátio</t>
  </si>
  <si>
    <t>QP/unidade de produto</t>
  </si>
  <si>
    <t>MD:</t>
  </si>
  <si>
    <t>MOD:</t>
  </si>
  <si>
    <t>Valor Compra</t>
  </si>
  <si>
    <t>Preço Unitário</t>
  </si>
  <si>
    <t>Quantidade Padrão</t>
  </si>
  <si>
    <t>Preço Padrão</t>
  </si>
  <si>
    <t>Custo Padrão</t>
  </si>
  <si>
    <t>Custo Padrão Unitário</t>
  </si>
  <si>
    <t>Custo Padrão Total</t>
  </si>
  <si>
    <t>Custos Reais Incorridos</t>
  </si>
  <si>
    <t>Variaçao Quantidade MD</t>
  </si>
  <si>
    <t>Variacao Taxa Salarial</t>
  </si>
  <si>
    <t>Variacao Preco CIPV</t>
  </si>
  <si>
    <t>Varicao Eficiencia CIPV</t>
  </si>
  <si>
    <t>HMOD real</t>
  </si>
  <si>
    <t>Diferenca Custo Padrão - Custo Real</t>
  </si>
  <si>
    <t>Informações Adicionais</t>
  </si>
  <si>
    <t>MOD Padrão</t>
  </si>
  <si>
    <t>1)</t>
  </si>
  <si>
    <t>(-) Custo Padrão MOD</t>
  </si>
  <si>
    <t>(-) Custo Padrão CIPV</t>
  </si>
  <si>
    <t>(=) Custo Padrão MOD</t>
  </si>
  <si>
    <t>2)</t>
  </si>
  <si>
    <t>Custo Padrão MD - unidade de produto</t>
  </si>
  <si>
    <t>3)</t>
  </si>
  <si>
    <t>Custo Real - MD</t>
  </si>
  <si>
    <t>Custo Padrão - MD</t>
  </si>
  <si>
    <t>&gt;&gt;&gt;</t>
  </si>
  <si>
    <t xml:space="preserve">Ou seja, Custo Unitário Real = </t>
  </si>
  <si>
    <t>QR x PP</t>
  </si>
  <si>
    <t>QP x PP - produção do periodo</t>
  </si>
  <si>
    <t>QR x PP - produção do periodo</t>
  </si>
  <si>
    <t>Quantidade Padrão - unidade de produto</t>
  </si>
  <si>
    <t>Quantidade Real</t>
  </si>
  <si>
    <t>Ou, tem-se que:</t>
  </si>
  <si>
    <t>QR x PR - producao do periodo</t>
  </si>
  <si>
    <t>Para achar QR, tem-se que:</t>
  </si>
  <si>
    <t>E finalmente, para achar PR</t>
  </si>
  <si>
    <t>4)</t>
  </si>
  <si>
    <t>O Custo Padrão para HMOD não está disponivel, mas para CIPV está</t>
  </si>
  <si>
    <t>Custo Padrão CIPV - Total</t>
  </si>
  <si>
    <t>Custo Padrão CIPV - /HMOD</t>
  </si>
  <si>
    <t>Taxa HMOD Padrão</t>
  </si>
  <si>
    <t>Taxa Salarial HMOD</t>
  </si>
  <si>
    <t>5)</t>
  </si>
  <si>
    <t>Custo Unitario Real</t>
  </si>
  <si>
    <t>(-) Custo Real MD</t>
  </si>
  <si>
    <t>(-) Custo Real CIPV</t>
  </si>
  <si>
    <t>(=) Custo Real MOD</t>
  </si>
  <si>
    <t>Custo Padrão Total*</t>
  </si>
  <si>
    <t>* relativo à producao do mes</t>
  </si>
  <si>
    <t>6)</t>
  </si>
  <si>
    <t>Variação Taxa CIPV</t>
  </si>
  <si>
    <t>7)</t>
  </si>
  <si>
    <t>Padões</t>
  </si>
  <si>
    <t>Producao Orçada</t>
  </si>
  <si>
    <t>MOD Real</t>
  </si>
  <si>
    <t>Produção Real</t>
  </si>
  <si>
    <t>Custo Real Unitário</t>
  </si>
  <si>
    <t>This is a very difficult problem that is harder than it looks. Be sure your students have been thoroughly “checked out” in the variance formulas before assigning it.
Many students will miss parts 2 and 3 because they will try to use product costs as if they were hourly costs. Pay particular attention to the computation of the standard direct labor time per unit and the standard direct labor rate per hour.</t>
  </si>
  <si>
    <t>A8</t>
  </si>
  <si>
    <t>Z9</t>
  </si>
  <si>
    <t>X</t>
  </si>
  <si>
    <t>Y</t>
  </si>
  <si>
    <t>Sinterização</t>
  </si>
  <si>
    <t>Acabamento</t>
  </si>
  <si>
    <t>Produto</t>
  </si>
  <si>
    <t>Material</t>
  </si>
  <si>
    <t>L</t>
  </si>
  <si>
    <t>/Kg</t>
  </si>
  <si>
    <t>/L</t>
  </si>
  <si>
    <t>Taxa Salarial Padrão Sint.</t>
  </si>
  <si>
    <t>Taxa Salarial Padrão Acab.</t>
  </si>
  <si>
    <t>HMOD Real Sint.</t>
  </si>
  <si>
    <t>HMOD Real Acab.</t>
  </si>
  <si>
    <t>Producao A8</t>
  </si>
  <si>
    <t>Producao Z9</t>
  </si>
  <si>
    <t>Produto A8</t>
  </si>
  <si>
    <t>PADRÕES</t>
  </si>
  <si>
    <t>Produto Z9</t>
  </si>
  <si>
    <t>Total MD X</t>
  </si>
  <si>
    <t>Total MD Y</t>
  </si>
  <si>
    <t>Variação MD X</t>
  </si>
  <si>
    <t>QP - MD X</t>
  </si>
  <si>
    <t>QP - MD Y</t>
  </si>
  <si>
    <t>Variação MD Y</t>
  </si>
  <si>
    <t>Variação MOD - Sinterização</t>
  </si>
  <si>
    <t>Variação MOD - Acabamento</t>
  </si>
  <si>
    <t>Relatório de Custos Padrão</t>
  </si>
  <si>
    <t>Variação Quant/Efic</t>
  </si>
  <si>
    <t>Variação Preço/Taxa</t>
  </si>
  <si>
    <t>Producao do Periodo &gt;&gt;&gt; basta dividir o CP total pelo CP unitário (para qualquer insumo dará o mesmo resultado)</t>
  </si>
  <si>
    <t>PP - MD</t>
  </si>
  <si>
    <t>QP - MD</t>
  </si>
  <si>
    <t>QR - MD</t>
  </si>
  <si>
    <t>PR - MD</t>
  </si>
  <si>
    <t>PP - MOD</t>
  </si>
  <si>
    <t>QP - MOD</t>
  </si>
  <si>
    <t>QR - MOD</t>
  </si>
  <si>
    <t>PR - MOD</t>
  </si>
  <si>
    <t>PP - CIPV</t>
  </si>
  <si>
    <t>QP - CIPV</t>
  </si>
  <si>
    <t>QR - CIPV</t>
  </si>
  <si>
    <t>PR - CIPV</t>
  </si>
  <si>
    <t>HMAQ Padrao / motor</t>
  </si>
  <si>
    <t>HMAQ orçada</t>
  </si>
  <si>
    <t>Producao Real</t>
  </si>
  <si>
    <t>HMAQ Reais</t>
  </si>
  <si>
    <t>CIPV orçados</t>
  </si>
  <si>
    <t>CIPF</t>
  </si>
  <si>
    <t>HMAQ padrao para o nivel real de producao</t>
  </si>
  <si>
    <t>CIPF orçado</t>
  </si>
  <si>
    <t>CIP total orçado</t>
  </si>
  <si>
    <t>CIPV real</t>
  </si>
  <si>
    <t>CIPF real</t>
  </si>
  <si>
    <t>CIP total real</t>
  </si>
  <si>
    <t>Tx CIP</t>
  </si>
  <si>
    <t>Sendo:</t>
  </si>
  <si>
    <t>Tx CIP fixo</t>
  </si>
  <si>
    <t>Tx CIP variavel</t>
  </si>
  <si>
    <t>CIP aplicado</t>
  </si>
  <si>
    <t>Variacao do Orçamento</t>
  </si>
  <si>
    <t>Variação de Volume</t>
  </si>
  <si>
    <t>ou</t>
  </si>
  <si>
    <t>Custos Subavaliados</t>
  </si>
  <si>
    <t>QP x PP</t>
  </si>
  <si>
    <t>Variacao de Eficiencia CIPV</t>
  </si>
  <si>
    <t>QR x PR</t>
  </si>
  <si>
    <t>Variação Taxa CIP</t>
  </si>
  <si>
    <t>Variação Total CIP</t>
  </si>
  <si>
    <t>CIPV/HMOD</t>
  </si>
  <si>
    <t>HMOD Orçadas</t>
  </si>
  <si>
    <t>HMOD Output</t>
  </si>
  <si>
    <t>CIPV Total</t>
  </si>
  <si>
    <t>CIP Total</t>
  </si>
  <si>
    <t>CIP Aplicado</t>
  </si>
  <si>
    <t>CIPF Orçado</t>
  </si>
  <si>
    <t>CIPF Real</t>
  </si>
  <si>
    <t>HMOD Orçado</t>
  </si>
  <si>
    <t>Variação Orçamento</t>
  </si>
  <si>
    <t>Variação Volume</t>
  </si>
  <si>
    <t>HMOD nominal</t>
  </si>
  <si>
    <t>Z</t>
  </si>
  <si>
    <t>HMOD Orçada</t>
  </si>
  <si>
    <t>Empresas X e Y apresentam variação de volume desfavorável porque HMOD Output é menor que HMOD Orçada.
A Empresa Z tem variação de volume favorável porque HMOD Output é maior do que HMOD Orçada.</t>
  </si>
  <si>
    <t>Atividade:</t>
  </si>
  <si>
    <t>HMAQ Padrão/unidade</t>
  </si>
  <si>
    <t>HMAQ Orçada</t>
  </si>
  <si>
    <t>Custos:</t>
  </si>
  <si>
    <t>Tx Salarial</t>
  </si>
  <si>
    <t>HMOD Padrão</t>
  </si>
  <si>
    <t>Producão</t>
  </si>
  <si>
    <t>Preço MD (/kg)</t>
  </si>
  <si>
    <t>Quantidade MD (kg)</t>
  </si>
  <si>
    <t>Tx CIPV</t>
  </si>
  <si>
    <t>Tx CIPF</t>
  </si>
  <si>
    <t>HMAQ Estimada</t>
  </si>
  <si>
    <t>HMAQ Real</t>
  </si>
  <si>
    <t>CIPV Real</t>
  </si>
  <si>
    <t>CIPV Total Estimado</t>
  </si>
  <si>
    <t>CIPF Total Estimado</t>
  </si>
  <si>
    <t>CIPF Estimado</t>
  </si>
  <si>
    <t>CIPV Estimado (/HMAQ)</t>
  </si>
  <si>
    <t>HMAQ Output</t>
  </si>
  <si>
    <t>Variação CIP</t>
  </si>
  <si>
    <t>Variação Taxa = QRxPR - QRxPP</t>
  </si>
  <si>
    <t>QRxPR</t>
  </si>
  <si>
    <t>QRxPP</t>
  </si>
  <si>
    <t>Variação Eficiencia = PPxQR - PPxQP</t>
  </si>
  <si>
    <t>PPxQR</t>
  </si>
  <si>
    <t>PPxQP</t>
  </si>
  <si>
    <t>Variação Eficiencia CIPV</t>
  </si>
  <si>
    <t>Variação CIPV</t>
  </si>
  <si>
    <t>Produção (anterior)</t>
  </si>
  <si>
    <t>HMOD (anterior)</t>
  </si>
  <si>
    <t>HMOD output</t>
  </si>
  <si>
    <t>CIPF Aplicados</t>
  </si>
  <si>
    <t>Variação Volume (dado)</t>
  </si>
  <si>
    <t>2) e 3)</t>
  </si>
  <si>
    <t>Atividade</t>
  </si>
  <si>
    <t>Compra MD</t>
  </si>
  <si>
    <t>Quantidade Total</t>
  </si>
  <si>
    <t>Atividade (denominador)</t>
  </si>
  <si>
    <t>Variação Eficiencia MOD</t>
  </si>
  <si>
    <t>Note-se que o total das variações coincide com os $12.250 de variação desfavorável mencionado pelo vice-presidente.
Parece que nem todos deveriam receber bônus com relacao ao controle de custos. A variação de preços de materiais e a variação da eficiência de trabalho são de 7,1% e 8,3%, respectivamente, do custo padrão permitido e, portanto, teria demandado investigação. Além disso, a variável de variância gastos sobrecarga é de 5,0% do custo permitido padrão.
A razão pela qual grandes variações desfavoráveis ​​da empresa (por preço materiais e eficiência do trabalho) não aparecem mais claramente é que eles são compensados ​​pela variação de volume favorável da empresa para o ano. Esta variação de volume favorável é o resultado da empresa que opera no nível de atividade que está bem acima do nível de atividade denominador usado para definir as taxas gerais predeterminados. (A empresa operava em um nível de 30.000 DLHs padrão atividade;. Do nível de atividade denominador definido no início do ano foi de 25.000 DLHs) Como resultado da grande variação de volume favorável, o preço e eficiência variações desfavoráveis ​​têm sido escondida em um pequena figura "net". Finalmente, a grande variação de volume favorável pode ter sido alcançado através da construção de inventários.</t>
  </si>
  <si>
    <t>Nivel de Atividade</t>
  </si>
  <si>
    <t>Padroes</t>
  </si>
  <si>
    <t>Custo Padrao</t>
  </si>
  <si>
    <t>P/ 40.000 HMOD</t>
  </si>
  <si>
    <t>P/ 50.000 HMOD</t>
  </si>
  <si>
    <t>a)</t>
  </si>
  <si>
    <t>b)</t>
  </si>
  <si>
    <t>CIP superavaliados</t>
  </si>
  <si>
    <t>c)</t>
  </si>
  <si>
    <t>A principal desvantagem do uso da atividade normal como o denominador da taxa predeterminada é a grande variação de volume que normalmente ocorre. Isto ocorre porque o denominador de atividade  usado para calcular a taxa CIP predeterminada é diferente do nível de atividade previsto para o período. No caso em questão, a empresa tem usado a atividade normal de 40.000 horas de trabalho directos-para calcular a taxa de despesas pré-determinado, enquanto se esperava a atividade para o período a ser 50.000 DLHs. Isso resultou em uma grande variação de volume favorável que pode ser difícil para a gestão de interpretar. Além disso, a grande variação de volume favorável, neste caso, mascarou o fato de que a empresa não atingir o nível de atividade orçado para o período. A empresa tinha previsto para trabalhar 50.000 DLHs, mas consegui trabalhar apenas 46.250 DLHs (em standard). Este resultado desfavorável é escondida devido à utilização de uma figura denominador que está fora de sintonia com a atividade atual.
Por outro lado, usando a actividade normal, tal como os custos unitários denominador são estáveis, de ano para ano. Assim, as decisões de gestão não são obscurecidas por custos unitários que saltar para cima e para baixo como o nível de atividade sobe e desce.</t>
  </si>
  <si>
    <t>Nivel de Atividade (HMAQ)</t>
  </si>
  <si>
    <t>CIPV
Variable variância taxa de sobrecarga: Essa variação inclui tanto o preço como elementos de quantidade. A variação de gastos sobrecarga reflecte as diferenças entre os preços reais e padrão para itens indiretos variáveis. Ele também reflete diferenças entre os valores de insumos indiretos variáveis ​​que foram realmente utilizados e os valores que deveriam ter sido utilizados para a saída real do período. Como a variável variância gastos sobrecarga é desfavorável, seja muito foi paga por itens indiretos variáveis ​​ou muitos deles foram utilizados.
Variable sobrecarga variância eficiência: O termo "sobrecarga variável eficiência variância" é um equívoco, pois a variância não mede a eficiência no uso de itens gerais. Ele mede o efeito indirecto sobre a sobrecarga variável da eficiência ou ineficiência com que a base é utilizada actividade. Nesta empresa, máquinas-hora é a base atividade. Se sobrecarga variável é realmente proporcional à máquina-hora, então uso mais eficaz de máquinas-hora tem o efeito indireto de reduzir a sobrecarga variável. Porque 1.000 menos máquinas-horas foram necessárias do que o indicado pelas normas, o efeito indireto foi presumivelmente para reduzir os gastos sobrecarga variável em cerca de £ 1.750 (£ 1,75 por máquina horas × 1.000 máquinas-horas).
CIPF
Variância orçamento fixo sobrecarga: Esta variação é simplesmente a diferença entre o custo fixo orçado e o custo fixo real. Neste caso, a variação é favorável, o que indica que os custos fixos reais foram menores do que o previsto no orçamento.
Variação de volume fixo em cima: Esta diferença ocorre como um resultado de actividade real ser diferente da actividade denominador que foi utilizado na taxa de sobrecarga predeterminado. Neste caso, a variância é desfavorável, de modo a actividade real era menos do que a actividade denominador. É muito difícil colocar de uma interpretação económica significativa a essa variável. Ela tende a ser grande, por isso muitas vezes inunda os outros, variações mais significativas se forem simplesmente rendeu uns contra os outros.</t>
  </si>
  <si>
    <t>Atividade Orçada</t>
  </si>
  <si>
    <t>Producao Orcada</t>
  </si>
  <si>
    <t>Acima</t>
  </si>
  <si>
    <t>3)   a)</t>
  </si>
  <si>
    <t xml:space="preserve">      b)</t>
  </si>
  <si>
    <t>Superavaliado</t>
  </si>
  <si>
    <t>Apenas a variação de volume que foram alterados. Teria sido desfavorável, porque as DLHs padrão permitido para a produção do ano (33.000 DLHs) teria sido menor do que os DLHs denominador (36.000 DLHs).</t>
  </si>
  <si>
    <t>CIPV Orçado</t>
  </si>
  <si>
    <t>CIPF Orcado</t>
  </si>
  <si>
    <t>Atividade (HMOD) Orçada</t>
  </si>
  <si>
    <t>A escolha de um nível de atividade denominador afeta os custos unitários em que quanto maior o nível de atividade denominador escolhido, os menores custos unitários será. A razão é que a parte fixa das despesas gerais está espalhada por mais unidades como a actividade denominador aumenta.
A variação de volume não pode ser controlado por controlo da despesa. A variação de volume reflete simplesmente se a atividade real foi maior ou menor que a atividade denominador. Assim, a variação de volume é controlável apenas através da atividade.</t>
  </si>
  <si>
    <t>ao invés de 3.353 m2</t>
  </si>
  <si>
    <t>ao invés de 1 m2</t>
  </si>
  <si>
    <t>ao invés de 2,400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</si>
</sst>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00\)"/>
    <numFmt numFmtId="165" formatCode="#,##0;\(#,##0\)"/>
    <numFmt numFmtId="166" formatCode="#,##0.0;\(#,##0.0\)"/>
    <numFmt numFmtId="167" formatCode="_-* #,##0_-;\-* #,##0_-;_-* &quot;-&quot;??_-;_-@_-"/>
  </numFmts>
  <fonts count="20" x14ac:knownFonts="1">
    <font>
      <sz val="12"/>
      <color theme="1"/>
      <name val="Calibri"/>
      <family val="2"/>
      <scheme val="minor"/>
    </font>
    <font>
      <sz val="12"/>
      <color theme="1"/>
      <name val="Calibri"/>
      <family val="2"/>
      <scheme val="minor"/>
    </font>
    <font>
      <sz val="10"/>
      <color theme="1"/>
      <name val="Times New Roman"/>
      <family val="1"/>
    </font>
    <font>
      <u/>
      <sz val="12"/>
      <color theme="10"/>
      <name val="Calibri"/>
      <family val="2"/>
      <scheme val="minor"/>
    </font>
    <font>
      <u/>
      <sz val="12"/>
      <color theme="11"/>
      <name val="Calibri"/>
      <family val="2"/>
      <scheme val="minor"/>
    </font>
    <font>
      <b/>
      <sz val="10"/>
      <color theme="1"/>
      <name val="Times New Roman"/>
      <family val="1"/>
    </font>
    <font>
      <sz val="12"/>
      <color theme="1"/>
      <name val="Cambria"/>
      <family val="1"/>
    </font>
    <font>
      <sz val="7"/>
      <color theme="1"/>
      <name val="Times New Roman"/>
      <family val="1"/>
    </font>
    <font>
      <b/>
      <sz val="10"/>
      <color theme="7" tint="0.39997558519241921"/>
      <name val="Helvetica"/>
      <family val="2"/>
    </font>
    <font>
      <sz val="10"/>
      <color theme="1"/>
      <name val="Helvetica"/>
      <family val="2"/>
    </font>
    <font>
      <b/>
      <sz val="10"/>
      <color theme="1"/>
      <name val="Helvetica"/>
      <family val="2"/>
    </font>
    <font>
      <b/>
      <i/>
      <sz val="10"/>
      <color theme="1"/>
      <name val="Helvetica"/>
      <family val="2"/>
    </font>
    <font>
      <i/>
      <sz val="10"/>
      <color theme="1"/>
      <name val="Helvetica"/>
      <family val="2"/>
    </font>
    <font>
      <u/>
      <sz val="10"/>
      <color theme="1"/>
      <name val="Times New Roman"/>
      <family val="1"/>
    </font>
    <font>
      <sz val="9"/>
      <color indexed="81"/>
      <name val="Calibri"/>
      <family val="2"/>
    </font>
    <font>
      <b/>
      <sz val="9"/>
      <color indexed="81"/>
      <name val="Calibri"/>
      <family val="2"/>
    </font>
    <font>
      <u/>
      <sz val="9"/>
      <color indexed="81"/>
      <name val="Calibri"/>
      <family val="2"/>
    </font>
    <font>
      <sz val="10"/>
      <color rgb="FF000000"/>
      <name val="Times New Roman"/>
      <family val="1"/>
    </font>
    <font>
      <b/>
      <u/>
      <sz val="9"/>
      <color indexed="81"/>
      <name val="Calibri"/>
      <family val="2"/>
    </font>
    <font>
      <b/>
      <sz val="10"/>
      <color indexed="81"/>
      <name val="Calibri"/>
      <family val="2"/>
    </font>
  </fonts>
  <fills count="3">
    <fill>
      <patternFill patternType="none"/>
    </fill>
    <fill>
      <patternFill patternType="gray125"/>
    </fill>
    <fill>
      <patternFill patternType="solid">
        <fgColor rgb="FFFFFF00"/>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668">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17">
    <xf numFmtId="0" fontId="0" fillId="0" borderId="0" xfId="0"/>
    <xf numFmtId="164" fontId="2" fillId="0" borderId="0" xfId="0" applyNumberFormat="1" applyFont="1"/>
    <xf numFmtId="165" fontId="2" fillId="0" borderId="0" xfId="0" applyNumberFormat="1" applyFont="1"/>
    <xf numFmtId="164" fontId="2" fillId="0" borderId="0" xfId="0" applyNumberFormat="1" applyFont="1" applyAlignment="1">
      <alignment horizontal="center"/>
    </xf>
    <xf numFmtId="164" fontId="5" fillId="0" borderId="0" xfId="0" applyNumberFormat="1" applyFont="1" applyAlignment="1">
      <alignment horizontal="center"/>
    </xf>
    <xf numFmtId="164" fontId="2" fillId="0" borderId="0" xfId="1" applyNumberFormat="1" applyFont="1" applyAlignment="1">
      <alignment horizontal="center"/>
    </xf>
    <xf numFmtId="164" fontId="2" fillId="0" borderId="0" xfId="0" applyNumberFormat="1" applyFont="1" applyAlignment="1">
      <alignment horizontal="left" indent="2"/>
    </xf>
    <xf numFmtId="164" fontId="5" fillId="0" borderId="0" xfId="0" applyNumberFormat="1" applyFont="1"/>
    <xf numFmtId="165" fontId="2" fillId="0" borderId="0" xfId="0" applyNumberFormat="1" applyFont="1" applyAlignment="1">
      <alignment horizontal="center"/>
    </xf>
    <xf numFmtId="164" fontId="2" fillId="0" borderId="4" xfId="0" applyNumberFormat="1" applyFont="1" applyBorder="1"/>
    <xf numFmtId="164" fontId="2" fillId="0" borderId="5" xfId="0" applyNumberFormat="1" applyFont="1" applyBorder="1"/>
    <xf numFmtId="165" fontId="2" fillId="0" borderId="5" xfId="0" applyNumberFormat="1" applyFont="1" applyBorder="1"/>
    <xf numFmtId="164" fontId="2" fillId="0" borderId="6" xfId="0" applyNumberFormat="1" applyFont="1" applyBorder="1"/>
    <xf numFmtId="164" fontId="2" fillId="0" borderId="7" xfId="0" applyNumberFormat="1" applyFont="1" applyBorder="1"/>
    <xf numFmtId="164" fontId="2" fillId="0" borderId="0" xfId="0" applyNumberFormat="1" applyFont="1" applyBorder="1"/>
    <xf numFmtId="164" fontId="2" fillId="0" borderId="8" xfId="0" applyNumberFormat="1" applyFont="1" applyBorder="1"/>
    <xf numFmtId="164" fontId="5" fillId="0" borderId="7" xfId="0" applyNumberFormat="1" applyFont="1" applyBorder="1" applyAlignment="1">
      <alignment horizontal="center"/>
    </xf>
    <xf numFmtId="164" fontId="5" fillId="0" borderId="0" xfId="0" applyNumberFormat="1" applyFont="1" applyBorder="1" applyAlignment="1">
      <alignment horizontal="center"/>
    </xf>
    <xf numFmtId="164" fontId="5" fillId="0" borderId="8" xfId="0" applyNumberFormat="1" applyFont="1" applyBorder="1" applyAlignment="1">
      <alignment horizontal="center"/>
    </xf>
    <xf numFmtId="164" fontId="2" fillId="0" borderId="7" xfId="0" applyNumberFormat="1" applyFont="1" applyBorder="1" applyAlignment="1">
      <alignment horizontal="center"/>
    </xf>
    <xf numFmtId="165" fontId="2" fillId="0" borderId="0" xfId="0" applyNumberFormat="1" applyFont="1" applyBorder="1" applyAlignment="1">
      <alignment horizontal="center"/>
    </xf>
    <xf numFmtId="164" fontId="2" fillId="0" borderId="0" xfId="0" applyNumberFormat="1" applyFont="1" applyBorder="1" applyAlignment="1">
      <alignment horizontal="center"/>
    </xf>
    <xf numFmtId="164" fontId="2" fillId="0" borderId="8" xfId="0" applyNumberFormat="1" applyFont="1" applyBorder="1" applyAlignment="1">
      <alignment horizontal="center"/>
    </xf>
    <xf numFmtId="164" fontId="2" fillId="0" borderId="9" xfId="0" applyNumberFormat="1" applyFont="1" applyBorder="1"/>
    <xf numFmtId="164" fontId="2" fillId="0" borderId="10" xfId="0" applyNumberFormat="1" applyFont="1" applyBorder="1"/>
    <xf numFmtId="164" fontId="2" fillId="0" borderId="11" xfId="0" applyNumberFormat="1" applyFont="1" applyBorder="1"/>
    <xf numFmtId="164" fontId="5" fillId="0" borderId="12" xfId="0" applyNumberFormat="1" applyFont="1" applyBorder="1" applyAlignment="1">
      <alignment horizontal="center" vertical="center"/>
    </xf>
    <xf numFmtId="164" fontId="2" fillId="0" borderId="13" xfId="0" applyNumberFormat="1" applyFont="1" applyBorder="1"/>
    <xf numFmtId="166" fontId="2" fillId="0" borderId="0" xfId="0" applyNumberFormat="1" applyFont="1" applyAlignment="1">
      <alignment horizontal="center"/>
    </xf>
    <xf numFmtId="165" fontId="2" fillId="0" borderId="13" xfId="0" applyNumberFormat="1" applyFont="1" applyBorder="1" applyAlignment="1">
      <alignment horizontal="center"/>
    </xf>
    <xf numFmtId="164" fontId="2" fillId="0" borderId="13" xfId="0" applyNumberFormat="1" applyFont="1" applyBorder="1" applyAlignment="1">
      <alignment horizontal="center"/>
    </xf>
    <xf numFmtId="164" fontId="5" fillId="0" borderId="12" xfId="0" applyNumberFormat="1" applyFont="1" applyBorder="1" applyAlignment="1">
      <alignment horizontal="center"/>
    </xf>
    <xf numFmtId="164" fontId="5" fillId="0" borderId="12" xfId="0" applyNumberFormat="1" applyFont="1" applyBorder="1"/>
    <xf numFmtId="164" fontId="5" fillId="0" borderId="13" xfId="0" applyNumberFormat="1" applyFont="1" applyBorder="1"/>
    <xf numFmtId="164" fontId="5" fillId="0" borderId="0" xfId="0" applyNumberFormat="1" applyFont="1" applyBorder="1"/>
    <xf numFmtId="0" fontId="8" fillId="0" borderId="0" xfId="0" applyFont="1" applyAlignment="1">
      <alignment horizontal="left"/>
    </xf>
    <xf numFmtId="0" fontId="9" fillId="0" borderId="0" xfId="0" applyFont="1" applyAlignment="1">
      <alignment horizontal="right"/>
    </xf>
    <xf numFmtId="0" fontId="9" fillId="0" borderId="0" xfId="0" applyFont="1" applyAlignment="1">
      <alignment horizontal="left"/>
    </xf>
    <xf numFmtId="0" fontId="9" fillId="0" borderId="0" xfId="0" applyFont="1"/>
    <xf numFmtId="0" fontId="10" fillId="0" borderId="0" xfId="0" applyFont="1" applyAlignment="1">
      <alignment horizontal="left"/>
    </xf>
    <xf numFmtId="0" fontId="11" fillId="0" borderId="0" xfId="0" applyFont="1" applyAlignment="1">
      <alignment horizontal="left"/>
    </xf>
    <xf numFmtId="0" fontId="12" fillId="0" borderId="0" xfId="0" applyFont="1" applyAlignment="1">
      <alignment horizontal="left"/>
    </xf>
    <xf numFmtId="0" fontId="9" fillId="0" borderId="0" xfId="0" applyFont="1" applyAlignment="1">
      <alignment horizontal="left" indent="2"/>
    </xf>
    <xf numFmtId="3" fontId="9" fillId="0" borderId="0" xfId="0" applyNumberFormat="1" applyFont="1" applyAlignment="1">
      <alignment horizontal="right"/>
    </xf>
    <xf numFmtId="0" fontId="12" fillId="0" borderId="0" xfId="0" applyFont="1" applyAlignment="1">
      <alignment horizontal="left"/>
    </xf>
    <xf numFmtId="0" fontId="10" fillId="0" borderId="0" xfId="0" applyFont="1" applyAlignment="1">
      <alignment horizontal="left"/>
    </xf>
    <xf numFmtId="0" fontId="11" fillId="0" borderId="0" xfId="0" applyFont="1" applyAlignment="1">
      <alignment horizontal="left"/>
    </xf>
    <xf numFmtId="43" fontId="9" fillId="0" borderId="0" xfId="1" applyFont="1"/>
    <xf numFmtId="43" fontId="9" fillId="0" borderId="0" xfId="1" applyFont="1" applyAlignment="1">
      <alignment horizontal="right"/>
    </xf>
    <xf numFmtId="167" fontId="9" fillId="0" borderId="0" xfId="1" applyNumberFormat="1" applyFont="1" applyAlignment="1">
      <alignment horizontal="right"/>
    </xf>
    <xf numFmtId="0" fontId="9" fillId="0" borderId="0" xfId="0" applyFont="1" applyAlignment="1">
      <alignment vertical="center" wrapText="1"/>
    </xf>
    <xf numFmtId="164" fontId="5" fillId="0" borderId="0" xfId="0" applyNumberFormat="1" applyFont="1" applyAlignment="1">
      <alignment horizontal="center"/>
    </xf>
    <xf numFmtId="164" fontId="2" fillId="0" borderId="0" xfId="0" applyNumberFormat="1" applyFont="1" applyAlignment="1">
      <alignment vertical="center" wrapText="1"/>
    </xf>
    <xf numFmtId="164" fontId="2" fillId="0" borderId="0" xfId="0" applyNumberFormat="1" applyFont="1" applyAlignment="1">
      <alignment vertical="center"/>
    </xf>
    <xf numFmtId="165" fontId="2" fillId="0" borderId="8" xfId="0" applyNumberFormat="1" applyFont="1" applyBorder="1"/>
    <xf numFmtId="164" fontId="13" fillId="0" borderId="0" xfId="0" applyNumberFormat="1" applyFont="1"/>
    <xf numFmtId="165" fontId="2" fillId="0" borderId="6" xfId="0" applyNumberFormat="1" applyFont="1" applyBorder="1"/>
    <xf numFmtId="164" fontId="13" fillId="0" borderId="8" xfId="0" applyNumberFormat="1" applyFont="1" applyBorder="1"/>
    <xf numFmtId="164" fontId="2" fillId="0" borderId="12" xfId="0" applyNumberFormat="1" applyFont="1" applyBorder="1" applyAlignment="1">
      <alignment horizontal="center"/>
    </xf>
    <xf numFmtId="164" fontId="5" fillId="0" borderId="10" xfId="0" applyNumberFormat="1" applyFont="1" applyBorder="1"/>
    <xf numFmtId="165" fontId="2" fillId="0" borderId="10" xfId="0" applyNumberFormat="1" applyFont="1" applyBorder="1"/>
    <xf numFmtId="165" fontId="2" fillId="0" borderId="0" xfId="0" applyNumberFormat="1" applyFont="1" applyBorder="1"/>
    <xf numFmtId="164" fontId="5" fillId="0" borderId="5" xfId="0" applyNumberFormat="1" applyFont="1" applyBorder="1" applyAlignment="1">
      <alignment horizontal="center"/>
    </xf>
    <xf numFmtId="165" fontId="5" fillId="0" borderId="0" xfId="0" applyNumberFormat="1" applyFont="1"/>
    <xf numFmtId="164" fontId="5" fillId="0" borderId="0" xfId="0" applyNumberFormat="1" applyFont="1" applyAlignment="1"/>
    <xf numFmtId="164" fontId="2" fillId="0" borderId="0" xfId="0" applyNumberFormat="1" applyFont="1" applyAlignment="1"/>
    <xf numFmtId="164" fontId="5" fillId="0" borderId="12" xfId="0" applyNumberFormat="1" applyFont="1" applyBorder="1" applyAlignment="1">
      <alignment horizontal="center"/>
    </xf>
    <xf numFmtId="164" fontId="2" fillId="0" borderId="7" xfId="0" applyNumberFormat="1" applyFont="1" applyBorder="1" applyAlignment="1"/>
    <xf numFmtId="164" fontId="5" fillId="0" borderId="9" xfId="0" applyNumberFormat="1" applyFont="1" applyBorder="1" applyAlignment="1"/>
    <xf numFmtId="164" fontId="5" fillId="0" borderId="10" xfId="0" applyNumberFormat="1" applyFont="1" applyBorder="1" applyAlignment="1"/>
    <xf numFmtId="164" fontId="5" fillId="0" borderId="8" xfId="0" applyNumberFormat="1" applyFont="1" applyBorder="1"/>
    <xf numFmtId="164" fontId="5" fillId="0" borderId="11" xfId="0" applyNumberFormat="1" applyFont="1" applyBorder="1"/>
    <xf numFmtId="164" fontId="2" fillId="0" borderId="0" xfId="0" applyNumberFormat="1" applyFont="1" applyBorder="1" applyAlignment="1"/>
    <xf numFmtId="164" fontId="2" fillId="0" borderId="12" xfId="0" applyNumberFormat="1" applyFont="1" applyBorder="1"/>
    <xf numFmtId="164" fontId="2" fillId="0" borderId="14" xfId="0" applyNumberFormat="1" applyFont="1" applyBorder="1"/>
    <xf numFmtId="164" fontId="5" fillId="0" borderId="15" xfId="0" applyNumberFormat="1" applyFont="1" applyBorder="1"/>
    <xf numFmtId="165" fontId="2" fillId="0" borderId="12" xfId="0" applyNumberFormat="1" applyFont="1" applyBorder="1" applyAlignment="1">
      <alignment horizontal="center"/>
    </xf>
    <xf numFmtId="165" fontId="5" fillId="0" borderId="12" xfId="0" applyNumberFormat="1" applyFont="1" applyBorder="1" applyAlignment="1">
      <alignment horizontal="center"/>
    </xf>
    <xf numFmtId="164" fontId="5" fillId="0" borderId="0" xfId="0" applyNumberFormat="1" applyFont="1" applyAlignment="1">
      <alignment horizontal="center"/>
    </xf>
    <xf numFmtId="164" fontId="5" fillId="0" borderId="12" xfId="0" applyNumberFormat="1" applyFont="1" applyBorder="1" applyAlignment="1">
      <alignment horizontal="center"/>
    </xf>
    <xf numFmtId="164" fontId="2" fillId="0" borderId="0" xfId="0" applyNumberFormat="1" applyFont="1" applyAlignment="1">
      <alignment horizontal="center" vertical="center"/>
    </xf>
    <xf numFmtId="164" fontId="5" fillId="0" borderId="14" xfId="0" applyNumberFormat="1" applyFont="1" applyBorder="1"/>
    <xf numFmtId="164" fontId="2" fillId="0" borderId="0" xfId="0" applyNumberFormat="1" applyFont="1" applyAlignment="1">
      <alignment horizontal="right"/>
    </xf>
    <xf numFmtId="165" fontId="2" fillId="0" borderId="0" xfId="0" applyNumberFormat="1" applyFont="1" applyAlignment="1">
      <alignment horizontal="right"/>
    </xf>
    <xf numFmtId="164" fontId="13" fillId="0" borderId="0" xfId="0" applyNumberFormat="1" applyFont="1" applyAlignment="1">
      <alignment horizontal="center"/>
    </xf>
    <xf numFmtId="164" fontId="2" fillId="0" borderId="10" xfId="0" applyNumberFormat="1" applyFont="1" applyBorder="1" applyAlignment="1">
      <alignment horizontal="center"/>
    </xf>
    <xf numFmtId="165" fontId="2" fillId="0" borderId="0" xfId="0" applyNumberFormat="1" applyFont="1" applyAlignment="1">
      <alignment horizontal="left"/>
    </xf>
    <xf numFmtId="164" fontId="13" fillId="0" borderId="10" xfId="0" applyNumberFormat="1" applyFont="1" applyBorder="1" applyAlignment="1">
      <alignment horizontal="center"/>
    </xf>
    <xf numFmtId="165" fontId="13" fillId="0" borderId="0" xfId="0" applyNumberFormat="1" applyFont="1"/>
    <xf numFmtId="164" fontId="17" fillId="0" borderId="0" xfId="0" applyNumberFormat="1" applyFont="1"/>
    <xf numFmtId="164" fontId="17" fillId="0" borderId="0" xfId="0" applyNumberFormat="1" applyFont="1" applyAlignment="1">
      <alignment horizontal="center"/>
    </xf>
    <xf numFmtId="164" fontId="5" fillId="0" borderId="13" xfId="0" applyNumberFormat="1" applyFont="1" applyBorder="1" applyAlignment="1">
      <alignment horizontal="center"/>
    </xf>
    <xf numFmtId="164" fontId="2" fillId="2" borderId="10" xfId="0" applyNumberFormat="1" applyFont="1" applyFill="1" applyBorder="1" applyAlignment="1">
      <alignment horizontal="center"/>
    </xf>
    <xf numFmtId="164" fontId="5" fillId="0" borderId="0" xfId="0" applyNumberFormat="1" applyFont="1" applyAlignment="1">
      <alignment horizontal="center" vertical="center"/>
    </xf>
    <xf numFmtId="164" fontId="2" fillId="0" borderId="15" xfId="0" applyNumberFormat="1" applyFont="1" applyBorder="1" applyAlignment="1">
      <alignment horizontal="center"/>
    </xf>
    <xf numFmtId="165" fontId="5" fillId="2" borderId="0" xfId="0" applyNumberFormat="1" applyFont="1" applyFill="1" applyAlignment="1">
      <alignment horizontal="left"/>
    </xf>
    <xf numFmtId="164" fontId="5" fillId="2" borderId="0" xfId="0" applyNumberFormat="1" applyFont="1" applyFill="1"/>
    <xf numFmtId="164" fontId="5" fillId="0" borderId="0" xfId="0" applyNumberFormat="1" applyFont="1" applyAlignment="1">
      <alignment horizontal="center"/>
    </xf>
    <xf numFmtId="164" fontId="2" fillId="0" borderId="1" xfId="0" applyNumberFormat="1" applyFont="1" applyBorder="1" applyAlignment="1">
      <alignment horizontal="center" vertical="center"/>
    </xf>
    <xf numFmtId="164" fontId="2" fillId="0" borderId="2" xfId="0" applyNumberFormat="1" applyFont="1" applyBorder="1" applyAlignment="1">
      <alignment horizontal="center" vertical="center"/>
    </xf>
    <xf numFmtId="164" fontId="2" fillId="0" borderId="3" xfId="0" applyNumberFormat="1" applyFont="1" applyBorder="1" applyAlignment="1">
      <alignment horizontal="center" vertical="center"/>
    </xf>
    <xf numFmtId="0" fontId="10" fillId="0" borderId="0" xfId="0" applyFont="1" applyAlignment="1">
      <alignment horizontal="left"/>
    </xf>
    <xf numFmtId="0" fontId="11" fillId="0" borderId="0" xfId="0" applyFont="1" applyAlignment="1">
      <alignment horizontal="left"/>
    </xf>
    <xf numFmtId="0" fontId="12" fillId="0" borderId="0" xfId="0" applyFont="1" applyAlignment="1">
      <alignment horizontal="center"/>
    </xf>
    <xf numFmtId="0" fontId="12" fillId="0" borderId="0" xfId="0" applyFont="1" applyAlignment="1">
      <alignment horizontal="left"/>
    </xf>
    <xf numFmtId="0" fontId="9" fillId="0" borderId="0" xfId="0" applyFont="1" applyAlignment="1">
      <alignment horizontal="left" vertical="center" wrapText="1"/>
    </xf>
    <xf numFmtId="164" fontId="5" fillId="0" borderId="14" xfId="0" applyNumberFormat="1" applyFont="1" applyBorder="1" applyAlignment="1">
      <alignment horizontal="center"/>
    </xf>
    <xf numFmtId="164" fontId="5" fillId="0" borderId="15" xfId="0" applyNumberFormat="1" applyFont="1" applyBorder="1" applyAlignment="1">
      <alignment horizontal="center"/>
    </xf>
    <xf numFmtId="164" fontId="5" fillId="0" borderId="12" xfId="0" applyNumberFormat="1" applyFont="1" applyBorder="1" applyAlignment="1">
      <alignment horizontal="center"/>
    </xf>
    <xf numFmtId="164" fontId="2" fillId="0" borderId="0" xfId="0" applyNumberFormat="1" applyFont="1" applyAlignment="1">
      <alignment horizontal="left" vertical="center" wrapText="1"/>
    </xf>
    <xf numFmtId="164" fontId="2" fillId="0" borderId="0" xfId="0" applyNumberFormat="1" applyFont="1" applyAlignment="1">
      <alignment horizontal="left" vertical="center"/>
    </xf>
    <xf numFmtId="164" fontId="2" fillId="0" borderId="0" xfId="0" applyNumberFormat="1" applyFont="1" applyAlignment="1">
      <alignment horizontal="center" vertical="center"/>
    </xf>
    <xf numFmtId="164" fontId="2" fillId="0" borderId="5" xfId="0" applyNumberFormat="1" applyFont="1" applyBorder="1" applyAlignment="1">
      <alignment horizontal="left" vertical="center"/>
    </xf>
    <xf numFmtId="164" fontId="2" fillId="0" borderId="10" xfId="0" applyNumberFormat="1" applyFont="1" applyBorder="1" applyAlignment="1">
      <alignment horizontal="left" vertical="center"/>
    </xf>
    <xf numFmtId="164" fontId="2" fillId="0" borderId="0" xfId="0" applyNumberFormat="1" applyFont="1" applyBorder="1" applyAlignment="1">
      <alignment horizontal="left" vertical="center"/>
    </xf>
    <xf numFmtId="164" fontId="2" fillId="0" borderId="0" xfId="0" applyNumberFormat="1" applyFont="1" applyAlignment="1">
      <alignment horizontal="left"/>
    </xf>
    <xf numFmtId="164" fontId="2" fillId="0" borderId="10" xfId="0" applyNumberFormat="1" applyFont="1" applyBorder="1" applyAlignment="1">
      <alignment horizontal="center"/>
    </xf>
  </cellXfs>
  <cellStyles count="668">
    <cellStyle name="Hiperlink" xfId="2" builtinId="8" hidden="1"/>
    <cellStyle name="Hiperlink" xfId="4" builtinId="8" hidden="1"/>
    <cellStyle name="Hiperlink" xfId="6" builtinId="8" hidden="1"/>
    <cellStyle name="Hiperlink" xfId="8" builtinId="8" hidden="1"/>
    <cellStyle name="Hiperlink" xfId="10" builtinId="8" hidden="1"/>
    <cellStyle name="Hiperlink" xfId="12" builtinId="8" hidden="1"/>
    <cellStyle name="Hiperlink" xfId="14" builtinId="8" hidden="1"/>
    <cellStyle name="Hiperlink" xfId="16" builtinId="8" hidden="1"/>
    <cellStyle name="Hiperlink" xfId="18" builtinId="8" hidden="1"/>
    <cellStyle name="Hiperlink" xfId="20" builtinId="8" hidden="1"/>
    <cellStyle name="Hiperlink" xfId="22" builtinId="8" hidden="1"/>
    <cellStyle name="Hiperlink" xfId="24" builtinId="8" hidden="1"/>
    <cellStyle name="Hiperlink" xfId="26" builtinId="8" hidden="1"/>
    <cellStyle name="Hiperlink" xfId="28" builtinId="8" hidden="1"/>
    <cellStyle name="Hiperlink" xfId="30" builtinId="8" hidden="1"/>
    <cellStyle name="Hiperlink" xfId="32" builtinId="8" hidden="1"/>
    <cellStyle name="Hiperlink" xfId="34" builtinId="8" hidden="1"/>
    <cellStyle name="Hiperlink" xfId="36" builtinId="8" hidden="1"/>
    <cellStyle name="Hiperlink" xfId="38" builtinId="8" hidden="1"/>
    <cellStyle name="Hiperlink" xfId="40" builtinId="8" hidden="1"/>
    <cellStyle name="Hiperlink" xfId="42" builtinId="8" hidden="1"/>
    <cellStyle name="Hiperlink" xfId="44" builtinId="8" hidden="1"/>
    <cellStyle name="Hiperlink" xfId="46" builtinId="8" hidden="1"/>
    <cellStyle name="Hiperlink" xfId="48" builtinId="8" hidden="1"/>
    <cellStyle name="Hiperlink" xfId="50" builtinId="8" hidden="1"/>
    <cellStyle name="Hiperlink" xfId="52" builtinId="8" hidden="1"/>
    <cellStyle name="Hiperlink" xfId="54" builtinId="8" hidden="1"/>
    <cellStyle name="Hiperlink" xfId="56" builtinId="8" hidden="1"/>
    <cellStyle name="Hiperlink" xfId="58" builtinId="8" hidden="1"/>
    <cellStyle name="Hiperlink" xfId="60" builtinId="8" hidden="1"/>
    <cellStyle name="Hiperlink" xfId="62" builtinId="8" hidden="1"/>
    <cellStyle name="Hiperlink" xfId="64" builtinId="8" hidden="1"/>
    <cellStyle name="Hiperlink" xfId="66" builtinId="8" hidden="1"/>
    <cellStyle name="Hiperlink" xfId="68" builtinId="8" hidden="1"/>
    <cellStyle name="Hiperlink" xfId="70" builtinId="8" hidden="1"/>
    <cellStyle name="Hiperlink" xfId="72" builtinId="8" hidden="1"/>
    <cellStyle name="Hiperlink" xfId="74" builtinId="8" hidden="1"/>
    <cellStyle name="Hiperlink" xfId="76" builtinId="8" hidden="1"/>
    <cellStyle name="Hiperlink" xfId="78" builtinId="8" hidden="1"/>
    <cellStyle name="Hiperlink" xfId="80" builtinId="8" hidden="1"/>
    <cellStyle name="Hiperlink" xfId="82" builtinId="8" hidden="1"/>
    <cellStyle name="Hiperlink" xfId="84" builtinId="8" hidden="1"/>
    <cellStyle name="Hiperlink" xfId="86" builtinId="8" hidden="1"/>
    <cellStyle name="Hiperlink" xfId="88" builtinId="8" hidden="1"/>
    <cellStyle name="Hiperlink" xfId="90" builtinId="8" hidden="1"/>
    <cellStyle name="Hiperlink" xfId="92" builtinId="8" hidden="1"/>
    <cellStyle name="Hiperlink" xfId="94" builtinId="8" hidden="1"/>
    <cellStyle name="Hiperlink" xfId="96" builtinId="8" hidden="1"/>
    <cellStyle name="Hiperlink" xfId="98" builtinId="8" hidden="1"/>
    <cellStyle name="Hiperlink" xfId="100" builtinId="8" hidden="1"/>
    <cellStyle name="Hiperlink" xfId="102" builtinId="8" hidden="1"/>
    <cellStyle name="Hiperlink" xfId="104" builtinId="8" hidden="1"/>
    <cellStyle name="Hiperlink" xfId="106" builtinId="8" hidden="1"/>
    <cellStyle name="Hiperlink" xfId="108" builtinId="8" hidden="1"/>
    <cellStyle name="Hiperlink" xfId="110" builtinId="8" hidden="1"/>
    <cellStyle name="Hiperlink" xfId="112" builtinId="8" hidden="1"/>
    <cellStyle name="Hiperlink" xfId="114" builtinId="8" hidden="1"/>
    <cellStyle name="Hiperlink" xfId="116" builtinId="8" hidden="1"/>
    <cellStyle name="Hiperlink" xfId="118" builtinId="8" hidden="1"/>
    <cellStyle name="Hiperlink" xfId="120" builtinId="8" hidden="1"/>
    <cellStyle name="Hiperlink" xfId="122" builtinId="8" hidden="1"/>
    <cellStyle name="Hiperlink" xfId="124" builtinId="8" hidden="1"/>
    <cellStyle name="Hiperlink" xfId="126" builtinId="8" hidden="1"/>
    <cellStyle name="Hiperlink" xfId="128" builtinId="8" hidden="1"/>
    <cellStyle name="Hiperlink" xfId="130" builtinId="8" hidden="1"/>
    <cellStyle name="Hiperlink" xfId="132" builtinId="8" hidden="1"/>
    <cellStyle name="Hiperlink" xfId="134" builtinId="8" hidden="1"/>
    <cellStyle name="Hiperlink" xfId="136" builtinId="8" hidden="1"/>
    <cellStyle name="Hiperlink" xfId="138" builtinId="8" hidden="1"/>
    <cellStyle name="Hiperlink" xfId="140" builtinId="8" hidden="1"/>
    <cellStyle name="Hiperlink" xfId="142" builtinId="8" hidden="1"/>
    <cellStyle name="Hiperlink" xfId="144" builtinId="8" hidden="1"/>
    <cellStyle name="Hiperlink" xfId="146" builtinId="8" hidden="1"/>
    <cellStyle name="Hiperlink" xfId="148" builtinId="8" hidden="1"/>
    <cellStyle name="Hiperlink" xfId="150" builtinId="8" hidden="1"/>
    <cellStyle name="Hiperlink" xfId="152" builtinId="8" hidden="1"/>
    <cellStyle name="Hiperlink" xfId="154" builtinId="8" hidden="1"/>
    <cellStyle name="Hiperlink" xfId="156" builtinId="8" hidden="1"/>
    <cellStyle name="Hiperlink" xfId="158" builtinId="8" hidden="1"/>
    <cellStyle name="Hiperlink" xfId="160" builtinId="8" hidden="1"/>
    <cellStyle name="Hiperlink" xfId="162" builtinId="8" hidden="1"/>
    <cellStyle name="Hiperlink" xfId="164" builtinId="8" hidden="1"/>
    <cellStyle name="Hiperlink" xfId="166" builtinId="8" hidden="1"/>
    <cellStyle name="Hiperlink" xfId="168" builtinId="8" hidden="1"/>
    <cellStyle name="Hiperlink" xfId="170" builtinId="8" hidden="1"/>
    <cellStyle name="Hiperlink" xfId="172" builtinId="8" hidden="1"/>
    <cellStyle name="Hiperlink" xfId="174" builtinId="8" hidden="1"/>
    <cellStyle name="Hiperlink" xfId="176" builtinId="8" hidden="1"/>
    <cellStyle name="Hiperlink" xfId="178" builtinId="8" hidden="1"/>
    <cellStyle name="Hiperlink" xfId="180" builtinId="8" hidden="1"/>
    <cellStyle name="Hiperlink" xfId="182" builtinId="8" hidden="1"/>
    <cellStyle name="Hiperlink" xfId="184" builtinId="8" hidden="1"/>
    <cellStyle name="Hiperlink" xfId="186" builtinId="8" hidden="1"/>
    <cellStyle name="Hiperlink" xfId="188" builtinId="8" hidden="1"/>
    <cellStyle name="Hiperlink" xfId="190" builtinId="8" hidden="1"/>
    <cellStyle name="Hiperlink" xfId="192" builtinId="8" hidden="1"/>
    <cellStyle name="Hiperlink" xfId="194" builtinId="8" hidden="1"/>
    <cellStyle name="Hiperlink" xfId="196" builtinId="8" hidden="1"/>
    <cellStyle name="Hiperlink" xfId="198" builtinId="8" hidden="1"/>
    <cellStyle name="Hiperlink" xfId="200" builtinId="8" hidden="1"/>
    <cellStyle name="Hiperlink" xfId="202" builtinId="8" hidden="1"/>
    <cellStyle name="Hiperlink" xfId="204" builtinId="8" hidden="1"/>
    <cellStyle name="Hiperlink" xfId="206" builtinId="8" hidden="1"/>
    <cellStyle name="Hiperlink" xfId="208" builtinId="8" hidden="1"/>
    <cellStyle name="Hiperlink" xfId="210" builtinId="8" hidden="1"/>
    <cellStyle name="Hiperlink" xfId="212" builtinId="8" hidden="1"/>
    <cellStyle name="Hiperlink" xfId="214" builtinId="8" hidden="1"/>
    <cellStyle name="Hiperlink" xfId="216" builtinId="8" hidden="1"/>
    <cellStyle name="Hiperlink" xfId="218" builtinId="8" hidden="1"/>
    <cellStyle name="Hiperlink" xfId="220" builtinId="8" hidden="1"/>
    <cellStyle name="Hiperlink" xfId="222" builtinId="8" hidden="1"/>
    <cellStyle name="Hiperlink" xfId="224" builtinId="8" hidden="1"/>
    <cellStyle name="Hiperlink" xfId="226" builtinId="8" hidden="1"/>
    <cellStyle name="Hiperlink" xfId="228" builtinId="8" hidden="1"/>
    <cellStyle name="Hiperlink" xfId="230" builtinId="8" hidden="1"/>
    <cellStyle name="Hiperlink" xfId="232" builtinId="8" hidden="1"/>
    <cellStyle name="Hiperlink" xfId="234" builtinId="8" hidden="1"/>
    <cellStyle name="Hiperlink" xfId="236" builtinId="8" hidden="1"/>
    <cellStyle name="Hiperlink" xfId="238" builtinId="8" hidden="1"/>
    <cellStyle name="Hiperlink" xfId="240" builtinId="8" hidden="1"/>
    <cellStyle name="Hiperlink" xfId="242" builtinId="8" hidden="1"/>
    <cellStyle name="Hiperlink" xfId="244" builtinId="8" hidden="1"/>
    <cellStyle name="Hiperlink" xfId="246" builtinId="8" hidden="1"/>
    <cellStyle name="Hiperlink" xfId="248" builtinId="8" hidden="1"/>
    <cellStyle name="Hiperlink" xfId="250" builtinId="8" hidden="1"/>
    <cellStyle name="Hiperlink" xfId="252" builtinId="8" hidden="1"/>
    <cellStyle name="Hiperlink" xfId="254" builtinId="8" hidden="1"/>
    <cellStyle name="Hiperlink" xfId="256" builtinId="8" hidden="1"/>
    <cellStyle name="Hiperlink" xfId="258" builtinId="8" hidden="1"/>
    <cellStyle name="Hiperlink" xfId="260" builtinId="8" hidden="1"/>
    <cellStyle name="Hiperlink" xfId="262" builtinId="8" hidden="1"/>
    <cellStyle name="Hiperlink" xfId="264" builtinId="8" hidden="1"/>
    <cellStyle name="Hiperlink" xfId="266" builtinId="8" hidden="1"/>
    <cellStyle name="Hiperlink" xfId="268" builtinId="8" hidden="1"/>
    <cellStyle name="Hiperlink" xfId="270" builtinId="8" hidden="1"/>
    <cellStyle name="Hiperlink" xfId="272" builtinId="8" hidden="1"/>
    <cellStyle name="Hiperlink" xfId="274" builtinId="8" hidden="1"/>
    <cellStyle name="Hiperlink" xfId="276" builtinId="8" hidden="1"/>
    <cellStyle name="Hiperlink" xfId="278" builtinId="8" hidden="1"/>
    <cellStyle name="Hiperlink" xfId="280" builtinId="8" hidden="1"/>
    <cellStyle name="Hiperlink" xfId="282" builtinId="8" hidden="1"/>
    <cellStyle name="Hiperlink" xfId="284" builtinId="8" hidden="1"/>
    <cellStyle name="Hiperlink" xfId="286" builtinId="8" hidden="1"/>
    <cellStyle name="Hiperlink" xfId="288" builtinId="8" hidden="1"/>
    <cellStyle name="Hiperlink" xfId="290" builtinId="8" hidden="1"/>
    <cellStyle name="Hiperlink" xfId="292" builtinId="8" hidden="1"/>
    <cellStyle name="Hiperlink" xfId="294" builtinId="8" hidden="1"/>
    <cellStyle name="Hiperlink" xfId="296" builtinId="8" hidden="1"/>
    <cellStyle name="Hiperlink" xfId="298" builtinId="8" hidden="1"/>
    <cellStyle name="Hiperlink" xfId="300" builtinId="8" hidden="1"/>
    <cellStyle name="Hiperlink" xfId="302" builtinId="8" hidden="1"/>
    <cellStyle name="Hiperlink" xfId="304" builtinId="8" hidden="1"/>
    <cellStyle name="Hiperlink" xfId="306" builtinId="8" hidden="1"/>
    <cellStyle name="Hiperlink" xfId="308" builtinId="8" hidden="1"/>
    <cellStyle name="Hiperlink" xfId="310" builtinId="8" hidden="1"/>
    <cellStyle name="Hiperlink" xfId="312" builtinId="8" hidden="1"/>
    <cellStyle name="Hiperlink" xfId="314" builtinId="8" hidden="1"/>
    <cellStyle name="Hiperlink" xfId="316" builtinId="8" hidden="1"/>
    <cellStyle name="Hiperlink" xfId="318" builtinId="8" hidden="1"/>
    <cellStyle name="Hiperlink" xfId="320" builtinId="8" hidden="1"/>
    <cellStyle name="Hiperlink" xfId="322" builtinId="8" hidden="1"/>
    <cellStyle name="Hiperlink" xfId="324" builtinId="8" hidden="1"/>
    <cellStyle name="Hiperlink" xfId="326" builtinId="8" hidden="1"/>
    <cellStyle name="Hiperlink" xfId="328" builtinId="8" hidden="1"/>
    <cellStyle name="Hiperlink" xfId="330" builtinId="8" hidden="1"/>
    <cellStyle name="Hiperlink" xfId="332" builtinId="8" hidden="1"/>
    <cellStyle name="Hiperlink" xfId="334" builtinId="8" hidden="1"/>
    <cellStyle name="Hiperlink" xfId="336" builtinId="8" hidden="1"/>
    <cellStyle name="Hiperlink" xfId="338" builtinId="8" hidden="1"/>
    <cellStyle name="Hiperlink" xfId="340" builtinId="8" hidden="1"/>
    <cellStyle name="Hiperlink" xfId="342" builtinId="8" hidden="1"/>
    <cellStyle name="Hiperlink" xfId="344" builtinId="8" hidden="1"/>
    <cellStyle name="Hiperlink" xfId="346" builtinId="8" hidden="1"/>
    <cellStyle name="Hiperlink" xfId="348" builtinId="8" hidden="1"/>
    <cellStyle name="Hiperlink" xfId="350" builtinId="8" hidden="1"/>
    <cellStyle name="Hiperlink" xfId="352" builtinId="8" hidden="1"/>
    <cellStyle name="Hiperlink" xfId="354" builtinId="8" hidden="1"/>
    <cellStyle name="Hiperlink" xfId="356" builtinId="8" hidden="1"/>
    <cellStyle name="Hiperlink" xfId="358" builtinId="8" hidden="1"/>
    <cellStyle name="Hiperlink" xfId="360" builtinId="8" hidden="1"/>
    <cellStyle name="Hiperlink" xfId="362" builtinId="8" hidden="1"/>
    <cellStyle name="Hiperlink" xfId="364" builtinId="8" hidden="1"/>
    <cellStyle name="Hiperlink" xfId="366" builtinId="8" hidden="1"/>
    <cellStyle name="Hiperlink" xfId="368" builtinId="8" hidden="1"/>
    <cellStyle name="Hiperlink" xfId="370" builtinId="8" hidden="1"/>
    <cellStyle name="Hiperlink" xfId="372" builtinId="8" hidden="1"/>
    <cellStyle name="Hiperlink" xfId="374" builtinId="8" hidden="1"/>
    <cellStyle name="Hiperlink" xfId="376" builtinId="8" hidden="1"/>
    <cellStyle name="Hiperlink" xfId="378" builtinId="8" hidden="1"/>
    <cellStyle name="Hiperlink" xfId="380" builtinId="8" hidden="1"/>
    <cellStyle name="Hiperlink" xfId="382" builtinId="8" hidden="1"/>
    <cellStyle name="Hiperlink" xfId="384" builtinId="8" hidden="1"/>
    <cellStyle name="Hiperlink" xfId="386" builtinId="8" hidden="1"/>
    <cellStyle name="Hiperlink" xfId="388" builtinId="8" hidden="1"/>
    <cellStyle name="Hiperlink" xfId="390" builtinId="8" hidden="1"/>
    <cellStyle name="Hiperlink" xfId="392" builtinId="8" hidden="1"/>
    <cellStyle name="Hiperlink" xfId="394" builtinId="8" hidden="1"/>
    <cellStyle name="Hiperlink" xfId="396" builtinId="8" hidden="1"/>
    <cellStyle name="Hiperlink" xfId="398" builtinId="8" hidden="1"/>
    <cellStyle name="Hiperlink" xfId="400" builtinId="8" hidden="1"/>
    <cellStyle name="Hiperlink" xfId="402" builtinId="8" hidden="1"/>
    <cellStyle name="Hiperlink" xfId="404" builtinId="8" hidden="1"/>
    <cellStyle name="Hiperlink" xfId="406" builtinId="8" hidden="1"/>
    <cellStyle name="Hiperlink" xfId="408" builtinId="8" hidden="1"/>
    <cellStyle name="Hiperlink" xfId="410" builtinId="8" hidden="1"/>
    <cellStyle name="Hiperlink" xfId="412" builtinId="8" hidden="1"/>
    <cellStyle name="Hiperlink" xfId="414" builtinId="8" hidden="1"/>
    <cellStyle name="Hiperlink" xfId="416" builtinId="8" hidden="1"/>
    <cellStyle name="Hiperlink" xfId="418" builtinId="8" hidden="1"/>
    <cellStyle name="Hiperlink" xfId="420" builtinId="8" hidden="1"/>
    <cellStyle name="Hiperlink" xfId="422" builtinId="8" hidden="1"/>
    <cellStyle name="Hiperlink" xfId="424" builtinId="8" hidden="1"/>
    <cellStyle name="Hiperlink" xfId="426" builtinId="8" hidden="1"/>
    <cellStyle name="Hiperlink" xfId="428" builtinId="8" hidden="1"/>
    <cellStyle name="Hiperlink" xfId="430" builtinId="8" hidden="1"/>
    <cellStyle name="Hiperlink" xfId="432" builtinId="8" hidden="1"/>
    <cellStyle name="Hiperlink" xfId="434" builtinId="8" hidden="1"/>
    <cellStyle name="Hiperlink" xfId="436" builtinId="8" hidden="1"/>
    <cellStyle name="Hiperlink" xfId="438" builtinId="8" hidden="1"/>
    <cellStyle name="Hiperlink" xfId="440" builtinId="8" hidden="1"/>
    <cellStyle name="Hiperlink" xfId="442" builtinId="8" hidden="1"/>
    <cellStyle name="Hiperlink" xfId="444" builtinId="8" hidden="1"/>
    <cellStyle name="Hiperlink" xfId="446" builtinId="8" hidden="1"/>
    <cellStyle name="Hiperlink" xfId="448" builtinId="8" hidden="1"/>
    <cellStyle name="Hiperlink" xfId="450" builtinId="8" hidden="1"/>
    <cellStyle name="Hiperlink" xfId="452" builtinId="8" hidden="1"/>
    <cellStyle name="Hiperlink" xfId="454" builtinId="8" hidden="1"/>
    <cellStyle name="Hiperlink" xfId="456" builtinId="8" hidden="1"/>
    <cellStyle name="Hiperlink" xfId="458" builtinId="8" hidden="1"/>
    <cellStyle name="Hiperlink" xfId="460" builtinId="8" hidden="1"/>
    <cellStyle name="Hiperlink" xfId="462" builtinId="8" hidden="1"/>
    <cellStyle name="Hiperlink" xfId="464" builtinId="8" hidden="1"/>
    <cellStyle name="Hiperlink" xfId="466" builtinId="8" hidden="1"/>
    <cellStyle name="Hiperlink" xfId="468" builtinId="8" hidden="1"/>
    <cellStyle name="Hiperlink" xfId="470" builtinId="8" hidden="1"/>
    <cellStyle name="Hiperlink" xfId="472" builtinId="8" hidden="1"/>
    <cellStyle name="Hiperlink" xfId="474" builtinId="8" hidden="1"/>
    <cellStyle name="Hiperlink" xfId="476" builtinId="8" hidden="1"/>
    <cellStyle name="Hiperlink" xfId="478" builtinId="8" hidden="1"/>
    <cellStyle name="Hiperlink" xfId="480" builtinId="8" hidden="1"/>
    <cellStyle name="Hiperlink" xfId="482" builtinId="8" hidden="1"/>
    <cellStyle name="Hiperlink" xfId="484" builtinId="8" hidden="1"/>
    <cellStyle name="Hiperlink" xfId="486" builtinId="8" hidden="1"/>
    <cellStyle name="Hiperlink" xfId="488" builtinId="8" hidden="1"/>
    <cellStyle name="Hiperlink" xfId="490" builtinId="8" hidden="1"/>
    <cellStyle name="Hiperlink" xfId="492" builtinId="8" hidden="1"/>
    <cellStyle name="Hiperlink" xfId="494" builtinId="8" hidden="1"/>
    <cellStyle name="Hiperlink" xfId="496" builtinId="8" hidden="1"/>
    <cellStyle name="Hiperlink" xfId="498" builtinId="8" hidden="1"/>
    <cellStyle name="Hiperlink" xfId="500" builtinId="8" hidden="1"/>
    <cellStyle name="Hiperlink" xfId="502" builtinId="8" hidden="1"/>
    <cellStyle name="Hiperlink" xfId="504" builtinId="8" hidden="1"/>
    <cellStyle name="Hiperlink" xfId="506" builtinId="8" hidden="1"/>
    <cellStyle name="Hiperlink" xfId="508" builtinId="8" hidden="1"/>
    <cellStyle name="Hiperlink" xfId="510" builtinId="8" hidden="1"/>
    <cellStyle name="Hiperlink" xfId="512" builtinId="8" hidden="1"/>
    <cellStyle name="Hiperlink" xfId="514" builtinId="8" hidden="1"/>
    <cellStyle name="Hiperlink" xfId="516" builtinId="8" hidden="1"/>
    <cellStyle name="Hiperlink" xfId="518" builtinId="8" hidden="1"/>
    <cellStyle name="Hiperlink" xfId="520" builtinId="8" hidden="1"/>
    <cellStyle name="Hiperlink" xfId="522" builtinId="8" hidden="1"/>
    <cellStyle name="Hiperlink" xfId="524" builtinId="8" hidden="1"/>
    <cellStyle name="Hiperlink" xfId="526" builtinId="8" hidden="1"/>
    <cellStyle name="Hiperlink" xfId="528" builtinId="8" hidden="1"/>
    <cellStyle name="Hiperlink" xfId="530" builtinId="8" hidden="1"/>
    <cellStyle name="Hiperlink" xfId="532" builtinId="8" hidden="1"/>
    <cellStyle name="Hiperlink" xfId="534" builtinId="8" hidden="1"/>
    <cellStyle name="Hiperlink" xfId="536" builtinId="8" hidden="1"/>
    <cellStyle name="Hiperlink" xfId="538" builtinId="8" hidden="1"/>
    <cellStyle name="Hiperlink" xfId="540" builtinId="8" hidden="1"/>
    <cellStyle name="Hiperlink" xfId="542" builtinId="8" hidden="1"/>
    <cellStyle name="Hiperlink" xfId="544" builtinId="8" hidden="1"/>
    <cellStyle name="Hiperlink" xfId="546" builtinId="8" hidden="1"/>
    <cellStyle name="Hiperlink" xfId="548" builtinId="8" hidden="1"/>
    <cellStyle name="Hiperlink" xfId="550" builtinId="8" hidden="1"/>
    <cellStyle name="Hiperlink" xfId="552" builtinId="8" hidden="1"/>
    <cellStyle name="Hiperlink" xfId="554" builtinId="8" hidden="1"/>
    <cellStyle name="Hiperlink" xfId="556" builtinId="8" hidden="1"/>
    <cellStyle name="Hiperlink" xfId="558" builtinId="8" hidden="1"/>
    <cellStyle name="Hiperlink" xfId="560" builtinId="8" hidden="1"/>
    <cellStyle name="Hiperlink" xfId="562" builtinId="8" hidden="1"/>
    <cellStyle name="Hiperlink" xfId="564" builtinId="8" hidden="1"/>
    <cellStyle name="Hiperlink" xfId="566" builtinId="8" hidden="1"/>
    <cellStyle name="Hiperlink" xfId="568" builtinId="8" hidden="1"/>
    <cellStyle name="Hiperlink" xfId="570" builtinId="8" hidden="1"/>
    <cellStyle name="Hiperlink" xfId="572" builtinId="8" hidden="1"/>
    <cellStyle name="Hiperlink" xfId="574" builtinId="8" hidden="1"/>
    <cellStyle name="Hiperlink" xfId="576" builtinId="8" hidden="1"/>
    <cellStyle name="Hiperlink" xfId="578" builtinId="8" hidden="1"/>
    <cellStyle name="Hiperlink" xfId="580" builtinId="8" hidden="1"/>
    <cellStyle name="Hiperlink" xfId="582" builtinId="8" hidden="1"/>
    <cellStyle name="Hiperlink" xfId="584" builtinId="8" hidden="1"/>
    <cellStyle name="Hiperlink" xfId="586" builtinId="8" hidden="1"/>
    <cellStyle name="Hiperlink" xfId="588" builtinId="8" hidden="1"/>
    <cellStyle name="Hiperlink" xfId="590" builtinId="8" hidden="1"/>
    <cellStyle name="Hiperlink" xfId="592" builtinId="8" hidden="1"/>
    <cellStyle name="Hiperlink" xfId="594" builtinId="8" hidden="1"/>
    <cellStyle name="Hiperlink" xfId="596" builtinId="8" hidden="1"/>
    <cellStyle name="Hiperlink" xfId="598" builtinId="8" hidden="1"/>
    <cellStyle name="Hiperlink" xfId="600" builtinId="8" hidden="1"/>
    <cellStyle name="Hiperlink" xfId="602" builtinId="8" hidden="1"/>
    <cellStyle name="Hiperlink" xfId="604" builtinId="8" hidden="1"/>
    <cellStyle name="Hiperlink" xfId="606" builtinId="8" hidden="1"/>
    <cellStyle name="Hiperlink" xfId="608" builtinId="8" hidden="1"/>
    <cellStyle name="Hiperlink" xfId="610" builtinId="8" hidden="1"/>
    <cellStyle name="Hiperlink" xfId="612" builtinId="8" hidden="1"/>
    <cellStyle name="Hiperlink" xfId="614" builtinId="8" hidden="1"/>
    <cellStyle name="Hiperlink" xfId="616" builtinId="8" hidden="1"/>
    <cellStyle name="Hiperlink" xfId="618" builtinId="8" hidden="1"/>
    <cellStyle name="Hiperlink" xfId="620" builtinId="8" hidden="1"/>
    <cellStyle name="Hiperlink" xfId="622" builtinId="8" hidden="1"/>
    <cellStyle name="Hiperlink" xfId="624" builtinId="8" hidden="1"/>
    <cellStyle name="Hiperlink" xfId="626" builtinId="8" hidden="1"/>
    <cellStyle name="Hiperlink" xfId="628" builtinId="8" hidden="1"/>
    <cellStyle name="Hiperlink" xfId="630" builtinId="8" hidden="1"/>
    <cellStyle name="Hiperlink" xfId="632" builtinId="8" hidden="1"/>
    <cellStyle name="Hiperlink" xfId="634" builtinId="8" hidden="1"/>
    <cellStyle name="Hiperlink" xfId="636" builtinId="8" hidden="1"/>
    <cellStyle name="Hiperlink" xfId="638" builtinId="8" hidden="1"/>
    <cellStyle name="Hiperlink" xfId="640" builtinId="8" hidden="1"/>
    <cellStyle name="Hiperlink" xfId="642" builtinId="8" hidden="1"/>
    <cellStyle name="Hiperlink" xfId="644" builtinId="8" hidden="1"/>
    <cellStyle name="Hiperlink" xfId="646" builtinId="8" hidden="1"/>
    <cellStyle name="Hiperlink" xfId="648" builtinId="8" hidden="1"/>
    <cellStyle name="Hiperlink" xfId="650" builtinId="8" hidden="1"/>
    <cellStyle name="Hiperlink" xfId="652" builtinId="8" hidden="1"/>
    <cellStyle name="Hiperlink" xfId="654" builtinId="8" hidden="1"/>
    <cellStyle name="Hiperlink" xfId="656" builtinId="8" hidden="1"/>
    <cellStyle name="Hiperlink" xfId="658" builtinId="8" hidden="1"/>
    <cellStyle name="Hiperlink" xfId="660" builtinId="8" hidden="1"/>
    <cellStyle name="Hiperlink" xfId="662" builtinId="8" hidden="1"/>
    <cellStyle name="Hiperlink" xfId="664" builtinId="8" hidden="1"/>
    <cellStyle name="Hiperlink" xfId="666" builtinId="8" hidden="1"/>
    <cellStyle name="Hiperlink Visitado" xfId="3" builtinId="9" hidden="1"/>
    <cellStyle name="Hiperlink Visitado" xfId="5" builtinId="9" hidden="1"/>
    <cellStyle name="Hiperlink Visitado" xfId="7" builtinId="9" hidden="1"/>
    <cellStyle name="Hiperlink Visitado" xfId="9" builtinId="9" hidden="1"/>
    <cellStyle name="Hiperlink Visitado" xfId="11" builtinId="9" hidden="1"/>
    <cellStyle name="Hiperlink Visitado" xfId="13" builtinId="9" hidden="1"/>
    <cellStyle name="Hiperlink Visitado" xfId="15" builtinId="9" hidden="1"/>
    <cellStyle name="Hiperlink Visitado" xfId="17" builtinId="9" hidden="1"/>
    <cellStyle name="Hiperlink Visitado" xfId="19" builtinId="9" hidden="1"/>
    <cellStyle name="Hiperlink Visitado" xfId="21" builtinId="9" hidden="1"/>
    <cellStyle name="Hiperlink Visitado" xfId="23" builtinId="9" hidden="1"/>
    <cellStyle name="Hiperlink Visitado" xfId="25" builtinId="9" hidden="1"/>
    <cellStyle name="Hiperlink Visitado" xfId="27" builtinId="9" hidden="1"/>
    <cellStyle name="Hiperlink Visitado" xfId="29" builtinId="9" hidden="1"/>
    <cellStyle name="Hiperlink Visitado" xfId="31" builtinId="9" hidden="1"/>
    <cellStyle name="Hiperlink Visitado" xfId="33" builtinId="9" hidden="1"/>
    <cellStyle name="Hiperlink Visitado" xfId="35" builtinId="9" hidden="1"/>
    <cellStyle name="Hiperlink Visitado" xfId="37" builtinId="9" hidden="1"/>
    <cellStyle name="Hiperlink Visitado" xfId="39" builtinId="9" hidden="1"/>
    <cellStyle name="Hiperlink Visitado" xfId="41" builtinId="9" hidden="1"/>
    <cellStyle name="Hiperlink Visitado" xfId="43" builtinId="9" hidden="1"/>
    <cellStyle name="Hiperlink Visitado" xfId="45" builtinId="9" hidden="1"/>
    <cellStyle name="Hiperlink Visitado" xfId="47" builtinId="9" hidden="1"/>
    <cellStyle name="Hiperlink Visitado" xfId="49" builtinId="9" hidden="1"/>
    <cellStyle name="Hiperlink Visitado" xfId="51" builtinId="9" hidden="1"/>
    <cellStyle name="Hiperlink Visitado" xfId="53" builtinId="9" hidden="1"/>
    <cellStyle name="Hiperlink Visitado" xfId="55" builtinId="9" hidden="1"/>
    <cellStyle name="Hiperlink Visitado" xfId="57" builtinId="9" hidden="1"/>
    <cellStyle name="Hiperlink Visitado" xfId="59" builtinId="9" hidden="1"/>
    <cellStyle name="Hiperlink Visitado" xfId="61" builtinId="9" hidden="1"/>
    <cellStyle name="Hiperlink Visitado" xfId="63" builtinId="9" hidden="1"/>
    <cellStyle name="Hiperlink Visitado" xfId="65" builtinId="9" hidden="1"/>
    <cellStyle name="Hiperlink Visitado" xfId="67" builtinId="9" hidden="1"/>
    <cellStyle name="Hiperlink Visitado" xfId="69" builtinId="9" hidden="1"/>
    <cellStyle name="Hiperlink Visitado" xfId="71" builtinId="9" hidden="1"/>
    <cellStyle name="Hiperlink Visitado" xfId="73" builtinId="9" hidden="1"/>
    <cellStyle name="Hiperlink Visitado" xfId="75" builtinId="9" hidden="1"/>
    <cellStyle name="Hiperlink Visitado" xfId="77" builtinId="9" hidden="1"/>
    <cellStyle name="Hiperlink Visitado" xfId="79" builtinId="9" hidden="1"/>
    <cellStyle name="Hiperlink Visitado" xfId="81" builtinId="9" hidden="1"/>
    <cellStyle name="Hiperlink Visitado" xfId="83" builtinId="9" hidden="1"/>
    <cellStyle name="Hiperlink Visitado" xfId="85" builtinId="9" hidden="1"/>
    <cellStyle name="Hiperlink Visitado" xfId="87" builtinId="9" hidden="1"/>
    <cellStyle name="Hiperlink Visitado" xfId="89" builtinId="9" hidden="1"/>
    <cellStyle name="Hiperlink Visitado" xfId="91" builtinId="9" hidden="1"/>
    <cellStyle name="Hiperlink Visitado" xfId="93" builtinId="9" hidden="1"/>
    <cellStyle name="Hiperlink Visitado" xfId="95" builtinId="9" hidden="1"/>
    <cellStyle name="Hiperlink Visitado" xfId="97" builtinId="9" hidden="1"/>
    <cellStyle name="Hiperlink Visitado" xfId="99" builtinId="9" hidden="1"/>
    <cellStyle name="Hiperlink Visitado" xfId="101" builtinId="9" hidden="1"/>
    <cellStyle name="Hiperlink Visitado" xfId="103" builtinId="9" hidden="1"/>
    <cellStyle name="Hiperlink Visitado" xfId="105" builtinId="9" hidden="1"/>
    <cellStyle name="Hiperlink Visitado" xfId="107" builtinId="9" hidden="1"/>
    <cellStyle name="Hiperlink Visitado" xfId="109" builtinId="9" hidden="1"/>
    <cellStyle name="Hiperlink Visitado" xfId="111" builtinId="9" hidden="1"/>
    <cellStyle name="Hiperlink Visitado" xfId="113" builtinId="9" hidden="1"/>
    <cellStyle name="Hiperlink Visitado" xfId="115" builtinId="9" hidden="1"/>
    <cellStyle name="Hiperlink Visitado" xfId="117" builtinId="9" hidden="1"/>
    <cellStyle name="Hiperlink Visitado" xfId="119" builtinId="9" hidden="1"/>
    <cellStyle name="Hiperlink Visitado" xfId="121" builtinId="9" hidden="1"/>
    <cellStyle name="Hiperlink Visitado" xfId="123" builtinId="9" hidden="1"/>
    <cellStyle name="Hiperlink Visitado" xfId="125" builtinId="9" hidden="1"/>
    <cellStyle name="Hiperlink Visitado" xfId="127" builtinId="9" hidden="1"/>
    <cellStyle name="Hiperlink Visitado" xfId="129" builtinId="9" hidden="1"/>
    <cellStyle name="Hiperlink Visitado" xfId="131" builtinId="9" hidden="1"/>
    <cellStyle name="Hiperlink Visitado" xfId="133" builtinId="9" hidden="1"/>
    <cellStyle name="Hiperlink Visitado" xfId="135" builtinId="9" hidden="1"/>
    <cellStyle name="Hiperlink Visitado" xfId="137" builtinId="9" hidden="1"/>
    <cellStyle name="Hiperlink Visitado" xfId="139" builtinId="9" hidden="1"/>
    <cellStyle name="Hiperlink Visitado" xfId="141" builtinId="9" hidden="1"/>
    <cellStyle name="Hiperlink Visitado" xfId="143" builtinId="9" hidden="1"/>
    <cellStyle name="Hiperlink Visitado" xfId="145" builtinId="9" hidden="1"/>
    <cellStyle name="Hiperlink Visitado" xfId="147" builtinId="9" hidden="1"/>
    <cellStyle name="Hiperlink Visitado" xfId="149" builtinId="9" hidden="1"/>
    <cellStyle name="Hiperlink Visitado" xfId="151" builtinId="9" hidden="1"/>
    <cellStyle name="Hiperlink Visitado" xfId="153" builtinId="9" hidden="1"/>
    <cellStyle name="Hiperlink Visitado" xfId="155" builtinId="9" hidden="1"/>
    <cellStyle name="Hiperlink Visitado" xfId="157" builtinId="9" hidden="1"/>
    <cellStyle name="Hiperlink Visitado" xfId="159" builtinId="9" hidden="1"/>
    <cellStyle name="Hiperlink Visitado" xfId="161" builtinId="9" hidden="1"/>
    <cellStyle name="Hiperlink Visitado" xfId="163" builtinId="9" hidden="1"/>
    <cellStyle name="Hiperlink Visitado" xfId="165" builtinId="9" hidden="1"/>
    <cellStyle name="Hiperlink Visitado" xfId="167" builtinId="9" hidden="1"/>
    <cellStyle name="Hiperlink Visitado" xfId="169" builtinId="9" hidden="1"/>
    <cellStyle name="Hiperlink Visitado" xfId="171" builtinId="9" hidden="1"/>
    <cellStyle name="Hiperlink Visitado" xfId="173" builtinId="9" hidden="1"/>
    <cellStyle name="Hiperlink Visitado" xfId="175" builtinId="9" hidden="1"/>
    <cellStyle name="Hiperlink Visitado" xfId="177" builtinId="9" hidden="1"/>
    <cellStyle name="Hiperlink Visitado" xfId="179" builtinId="9" hidden="1"/>
    <cellStyle name="Hiperlink Visitado" xfId="181" builtinId="9" hidden="1"/>
    <cellStyle name="Hiperlink Visitado" xfId="183" builtinId="9" hidden="1"/>
    <cellStyle name="Hiperlink Visitado" xfId="185" builtinId="9" hidden="1"/>
    <cellStyle name="Hiperlink Visitado" xfId="187" builtinId="9" hidden="1"/>
    <cellStyle name="Hiperlink Visitado" xfId="189" builtinId="9" hidden="1"/>
    <cellStyle name="Hiperlink Visitado" xfId="191" builtinId="9" hidden="1"/>
    <cellStyle name="Hiperlink Visitado" xfId="193" builtinId="9" hidden="1"/>
    <cellStyle name="Hiperlink Visitado" xfId="195" builtinId="9" hidden="1"/>
    <cellStyle name="Hiperlink Visitado" xfId="197" builtinId="9" hidden="1"/>
    <cellStyle name="Hiperlink Visitado" xfId="199" builtinId="9" hidden="1"/>
    <cellStyle name="Hiperlink Visitado" xfId="201" builtinId="9" hidden="1"/>
    <cellStyle name="Hiperlink Visitado" xfId="203" builtinId="9" hidden="1"/>
    <cellStyle name="Hiperlink Visitado" xfId="205" builtinId="9" hidden="1"/>
    <cellStyle name="Hiperlink Visitado" xfId="207" builtinId="9" hidden="1"/>
    <cellStyle name="Hiperlink Visitado" xfId="209" builtinId="9" hidden="1"/>
    <cellStyle name="Hiperlink Visitado" xfId="211" builtinId="9" hidden="1"/>
    <cellStyle name="Hiperlink Visitado" xfId="213" builtinId="9" hidden="1"/>
    <cellStyle name="Hiperlink Visitado" xfId="215" builtinId="9" hidden="1"/>
    <cellStyle name="Hiperlink Visitado" xfId="217" builtinId="9" hidden="1"/>
    <cellStyle name="Hiperlink Visitado" xfId="219" builtinId="9" hidden="1"/>
    <cellStyle name="Hiperlink Visitado" xfId="221" builtinId="9" hidden="1"/>
    <cellStyle name="Hiperlink Visitado" xfId="223" builtinId="9" hidden="1"/>
    <cellStyle name="Hiperlink Visitado" xfId="225" builtinId="9" hidden="1"/>
    <cellStyle name="Hiperlink Visitado" xfId="227" builtinId="9" hidden="1"/>
    <cellStyle name="Hiperlink Visitado" xfId="229" builtinId="9" hidden="1"/>
    <cellStyle name="Hiperlink Visitado" xfId="231" builtinId="9" hidden="1"/>
    <cellStyle name="Hiperlink Visitado" xfId="233" builtinId="9" hidden="1"/>
    <cellStyle name="Hiperlink Visitado" xfId="235" builtinId="9" hidden="1"/>
    <cellStyle name="Hiperlink Visitado" xfId="237" builtinId="9" hidden="1"/>
    <cellStyle name="Hiperlink Visitado" xfId="239" builtinId="9" hidden="1"/>
    <cellStyle name="Hiperlink Visitado" xfId="241" builtinId="9" hidden="1"/>
    <cellStyle name="Hiperlink Visitado" xfId="243" builtinId="9" hidden="1"/>
    <cellStyle name="Hiperlink Visitado" xfId="245" builtinId="9" hidden="1"/>
    <cellStyle name="Hiperlink Visitado" xfId="247" builtinId="9" hidden="1"/>
    <cellStyle name="Hiperlink Visitado" xfId="249" builtinId="9" hidden="1"/>
    <cellStyle name="Hiperlink Visitado" xfId="251" builtinId="9" hidden="1"/>
    <cellStyle name="Hiperlink Visitado" xfId="253" builtinId="9" hidden="1"/>
    <cellStyle name="Hiperlink Visitado" xfId="255" builtinId="9" hidden="1"/>
    <cellStyle name="Hiperlink Visitado" xfId="257" builtinId="9" hidden="1"/>
    <cellStyle name="Hiperlink Visitado" xfId="259" builtinId="9" hidden="1"/>
    <cellStyle name="Hiperlink Visitado" xfId="261" builtinId="9" hidden="1"/>
    <cellStyle name="Hiperlink Visitado" xfId="263" builtinId="9" hidden="1"/>
    <cellStyle name="Hiperlink Visitado" xfId="265" builtinId="9" hidden="1"/>
    <cellStyle name="Hiperlink Visitado" xfId="267" builtinId="9" hidden="1"/>
    <cellStyle name="Hiperlink Visitado" xfId="269" builtinId="9" hidden="1"/>
    <cellStyle name="Hiperlink Visitado" xfId="271" builtinId="9" hidden="1"/>
    <cellStyle name="Hiperlink Visitado" xfId="273" builtinId="9" hidden="1"/>
    <cellStyle name="Hiperlink Visitado" xfId="275" builtinId="9" hidden="1"/>
    <cellStyle name="Hiperlink Visitado" xfId="277" builtinId="9" hidden="1"/>
    <cellStyle name="Hiperlink Visitado" xfId="279" builtinId="9" hidden="1"/>
    <cellStyle name="Hiperlink Visitado" xfId="281" builtinId="9" hidden="1"/>
    <cellStyle name="Hiperlink Visitado" xfId="283" builtinId="9" hidden="1"/>
    <cellStyle name="Hiperlink Visitado" xfId="285" builtinId="9" hidden="1"/>
    <cellStyle name="Hiperlink Visitado" xfId="287" builtinId="9" hidden="1"/>
    <cellStyle name="Hiperlink Visitado" xfId="289" builtinId="9" hidden="1"/>
    <cellStyle name="Hiperlink Visitado" xfId="291" builtinId="9" hidden="1"/>
    <cellStyle name="Hiperlink Visitado" xfId="293" builtinId="9" hidden="1"/>
    <cellStyle name="Hiperlink Visitado" xfId="295" builtinId="9" hidden="1"/>
    <cellStyle name="Hiperlink Visitado" xfId="297" builtinId="9" hidden="1"/>
    <cellStyle name="Hiperlink Visitado" xfId="299" builtinId="9" hidden="1"/>
    <cellStyle name="Hiperlink Visitado" xfId="301" builtinId="9" hidden="1"/>
    <cellStyle name="Hiperlink Visitado" xfId="303" builtinId="9" hidden="1"/>
    <cellStyle name="Hiperlink Visitado" xfId="305" builtinId="9" hidden="1"/>
    <cellStyle name="Hiperlink Visitado" xfId="307" builtinId="9" hidden="1"/>
    <cellStyle name="Hiperlink Visitado" xfId="309" builtinId="9" hidden="1"/>
    <cellStyle name="Hiperlink Visitado" xfId="311" builtinId="9" hidden="1"/>
    <cellStyle name="Hiperlink Visitado" xfId="313" builtinId="9" hidden="1"/>
    <cellStyle name="Hiperlink Visitado" xfId="315" builtinId="9" hidden="1"/>
    <cellStyle name="Hiperlink Visitado" xfId="317" builtinId="9" hidden="1"/>
    <cellStyle name="Hiperlink Visitado" xfId="319" builtinId="9" hidden="1"/>
    <cellStyle name="Hiperlink Visitado" xfId="321" builtinId="9" hidden="1"/>
    <cellStyle name="Hiperlink Visitado" xfId="323" builtinId="9" hidden="1"/>
    <cellStyle name="Hiperlink Visitado" xfId="325" builtinId="9" hidden="1"/>
    <cellStyle name="Hiperlink Visitado" xfId="327" builtinId="9" hidden="1"/>
    <cellStyle name="Hiperlink Visitado" xfId="329" builtinId="9" hidden="1"/>
    <cellStyle name="Hiperlink Visitado" xfId="331" builtinId="9" hidden="1"/>
    <cellStyle name="Hiperlink Visitado" xfId="333" builtinId="9" hidden="1"/>
    <cellStyle name="Hiperlink Visitado" xfId="335" builtinId="9" hidden="1"/>
    <cellStyle name="Hiperlink Visitado" xfId="337" builtinId="9" hidden="1"/>
    <cellStyle name="Hiperlink Visitado" xfId="339" builtinId="9" hidden="1"/>
    <cellStyle name="Hiperlink Visitado" xfId="341" builtinId="9" hidden="1"/>
    <cellStyle name="Hiperlink Visitado" xfId="343" builtinId="9" hidden="1"/>
    <cellStyle name="Hiperlink Visitado" xfId="345" builtinId="9" hidden="1"/>
    <cellStyle name="Hiperlink Visitado" xfId="347" builtinId="9" hidden="1"/>
    <cellStyle name="Hiperlink Visitado" xfId="349" builtinId="9" hidden="1"/>
    <cellStyle name="Hiperlink Visitado" xfId="351" builtinId="9" hidden="1"/>
    <cellStyle name="Hiperlink Visitado" xfId="353" builtinId="9" hidden="1"/>
    <cellStyle name="Hiperlink Visitado" xfId="355" builtinId="9" hidden="1"/>
    <cellStyle name="Hiperlink Visitado" xfId="357" builtinId="9" hidden="1"/>
    <cellStyle name="Hiperlink Visitado" xfId="359" builtinId="9" hidden="1"/>
    <cellStyle name="Hiperlink Visitado" xfId="361" builtinId="9" hidden="1"/>
    <cellStyle name="Hiperlink Visitado" xfId="363" builtinId="9" hidden="1"/>
    <cellStyle name="Hiperlink Visitado" xfId="365" builtinId="9" hidden="1"/>
    <cellStyle name="Hiperlink Visitado" xfId="367" builtinId="9" hidden="1"/>
    <cellStyle name="Hiperlink Visitado" xfId="369" builtinId="9" hidden="1"/>
    <cellStyle name="Hiperlink Visitado" xfId="371" builtinId="9" hidden="1"/>
    <cellStyle name="Hiperlink Visitado" xfId="373" builtinId="9" hidden="1"/>
    <cellStyle name="Hiperlink Visitado" xfId="375" builtinId="9" hidden="1"/>
    <cellStyle name="Hiperlink Visitado" xfId="377" builtinId="9" hidden="1"/>
    <cellStyle name="Hiperlink Visitado" xfId="379" builtinId="9" hidden="1"/>
    <cellStyle name="Hiperlink Visitado" xfId="381" builtinId="9" hidden="1"/>
    <cellStyle name="Hiperlink Visitado" xfId="383" builtinId="9" hidden="1"/>
    <cellStyle name="Hiperlink Visitado" xfId="385" builtinId="9" hidden="1"/>
    <cellStyle name="Hiperlink Visitado" xfId="387" builtinId="9" hidden="1"/>
    <cellStyle name="Hiperlink Visitado" xfId="389" builtinId="9" hidden="1"/>
    <cellStyle name="Hiperlink Visitado" xfId="391" builtinId="9" hidden="1"/>
    <cellStyle name="Hiperlink Visitado" xfId="393" builtinId="9" hidden="1"/>
    <cellStyle name="Hiperlink Visitado" xfId="395" builtinId="9" hidden="1"/>
    <cellStyle name="Hiperlink Visitado" xfId="397" builtinId="9" hidden="1"/>
    <cellStyle name="Hiperlink Visitado" xfId="399" builtinId="9" hidden="1"/>
    <cellStyle name="Hiperlink Visitado" xfId="401" builtinId="9" hidden="1"/>
    <cellStyle name="Hiperlink Visitado" xfId="403" builtinId="9" hidden="1"/>
    <cellStyle name="Hiperlink Visitado" xfId="405" builtinId="9" hidden="1"/>
    <cellStyle name="Hiperlink Visitado" xfId="407" builtinId="9" hidden="1"/>
    <cellStyle name="Hiperlink Visitado" xfId="409" builtinId="9" hidden="1"/>
    <cellStyle name="Hiperlink Visitado" xfId="411" builtinId="9" hidden="1"/>
    <cellStyle name="Hiperlink Visitado" xfId="413" builtinId="9" hidden="1"/>
    <cellStyle name="Hiperlink Visitado" xfId="415" builtinId="9" hidden="1"/>
    <cellStyle name="Hiperlink Visitado" xfId="417" builtinId="9" hidden="1"/>
    <cellStyle name="Hiperlink Visitado" xfId="419" builtinId="9" hidden="1"/>
    <cellStyle name="Hiperlink Visitado" xfId="421" builtinId="9" hidden="1"/>
    <cellStyle name="Hiperlink Visitado" xfId="423" builtinId="9" hidden="1"/>
    <cellStyle name="Hiperlink Visitado" xfId="425" builtinId="9" hidden="1"/>
    <cellStyle name="Hiperlink Visitado" xfId="427" builtinId="9" hidden="1"/>
    <cellStyle name="Hiperlink Visitado" xfId="429" builtinId="9" hidden="1"/>
    <cellStyle name="Hiperlink Visitado" xfId="431" builtinId="9" hidden="1"/>
    <cellStyle name="Hiperlink Visitado" xfId="433" builtinId="9" hidden="1"/>
    <cellStyle name="Hiperlink Visitado" xfId="435" builtinId="9" hidden="1"/>
    <cellStyle name="Hiperlink Visitado" xfId="437" builtinId="9" hidden="1"/>
    <cellStyle name="Hiperlink Visitado" xfId="439" builtinId="9" hidden="1"/>
    <cellStyle name="Hiperlink Visitado" xfId="441" builtinId="9" hidden="1"/>
    <cellStyle name="Hiperlink Visitado" xfId="443" builtinId="9" hidden="1"/>
    <cellStyle name="Hiperlink Visitado" xfId="445" builtinId="9" hidden="1"/>
    <cellStyle name="Hiperlink Visitado" xfId="447" builtinId="9" hidden="1"/>
    <cellStyle name="Hiperlink Visitado" xfId="449" builtinId="9" hidden="1"/>
    <cellStyle name="Hiperlink Visitado" xfId="451" builtinId="9" hidden="1"/>
    <cellStyle name="Hiperlink Visitado" xfId="453" builtinId="9" hidden="1"/>
    <cellStyle name="Hiperlink Visitado" xfId="455" builtinId="9" hidden="1"/>
    <cellStyle name="Hiperlink Visitado" xfId="457" builtinId="9" hidden="1"/>
    <cellStyle name="Hiperlink Visitado" xfId="459" builtinId="9" hidden="1"/>
    <cellStyle name="Hiperlink Visitado" xfId="461" builtinId="9" hidden="1"/>
    <cellStyle name="Hiperlink Visitado" xfId="463" builtinId="9" hidden="1"/>
    <cellStyle name="Hiperlink Visitado" xfId="465" builtinId="9" hidden="1"/>
    <cellStyle name="Hiperlink Visitado" xfId="467" builtinId="9" hidden="1"/>
    <cellStyle name="Hiperlink Visitado" xfId="469" builtinId="9" hidden="1"/>
    <cellStyle name="Hiperlink Visitado" xfId="471" builtinId="9" hidden="1"/>
    <cellStyle name="Hiperlink Visitado" xfId="473" builtinId="9" hidden="1"/>
    <cellStyle name="Hiperlink Visitado" xfId="475" builtinId="9" hidden="1"/>
    <cellStyle name="Hiperlink Visitado" xfId="477" builtinId="9" hidden="1"/>
    <cellStyle name="Hiperlink Visitado" xfId="479" builtinId="9" hidden="1"/>
    <cellStyle name="Hiperlink Visitado" xfId="481" builtinId="9" hidden="1"/>
    <cellStyle name="Hiperlink Visitado" xfId="483" builtinId="9" hidden="1"/>
    <cellStyle name="Hiperlink Visitado" xfId="485" builtinId="9" hidden="1"/>
    <cellStyle name="Hiperlink Visitado" xfId="487" builtinId="9" hidden="1"/>
    <cellStyle name="Hiperlink Visitado" xfId="489" builtinId="9" hidden="1"/>
    <cellStyle name="Hiperlink Visitado" xfId="491" builtinId="9" hidden="1"/>
    <cellStyle name="Hiperlink Visitado" xfId="493" builtinId="9" hidden="1"/>
    <cellStyle name="Hiperlink Visitado" xfId="495" builtinId="9" hidden="1"/>
    <cellStyle name="Hiperlink Visitado" xfId="497" builtinId="9" hidden="1"/>
    <cellStyle name="Hiperlink Visitado" xfId="499" builtinId="9" hidden="1"/>
    <cellStyle name="Hiperlink Visitado" xfId="501" builtinId="9" hidden="1"/>
    <cellStyle name="Hiperlink Visitado" xfId="503" builtinId="9" hidden="1"/>
    <cellStyle name="Hiperlink Visitado" xfId="505" builtinId="9" hidden="1"/>
    <cellStyle name="Hiperlink Visitado" xfId="507" builtinId="9" hidden="1"/>
    <cellStyle name="Hiperlink Visitado" xfId="509" builtinId="9" hidden="1"/>
    <cellStyle name="Hiperlink Visitado" xfId="511" builtinId="9" hidden="1"/>
    <cellStyle name="Hiperlink Visitado" xfId="513" builtinId="9" hidden="1"/>
    <cellStyle name="Hiperlink Visitado" xfId="515" builtinId="9" hidden="1"/>
    <cellStyle name="Hiperlink Visitado" xfId="517" builtinId="9" hidden="1"/>
    <cellStyle name="Hiperlink Visitado" xfId="519" builtinId="9" hidden="1"/>
    <cellStyle name="Hiperlink Visitado" xfId="521" builtinId="9" hidden="1"/>
    <cellStyle name="Hiperlink Visitado" xfId="523" builtinId="9" hidden="1"/>
    <cellStyle name="Hiperlink Visitado" xfId="525" builtinId="9" hidden="1"/>
    <cellStyle name="Hiperlink Visitado" xfId="527" builtinId="9" hidden="1"/>
    <cellStyle name="Hiperlink Visitado" xfId="529" builtinId="9" hidden="1"/>
    <cellStyle name="Hiperlink Visitado" xfId="531" builtinId="9" hidden="1"/>
    <cellStyle name="Hiperlink Visitado" xfId="533" builtinId="9" hidden="1"/>
    <cellStyle name="Hiperlink Visitado" xfId="535" builtinId="9" hidden="1"/>
    <cellStyle name="Hiperlink Visitado" xfId="537" builtinId="9" hidden="1"/>
    <cellStyle name="Hiperlink Visitado" xfId="539" builtinId="9" hidden="1"/>
    <cellStyle name="Hiperlink Visitado" xfId="541" builtinId="9" hidden="1"/>
    <cellStyle name="Hiperlink Visitado" xfId="543" builtinId="9" hidden="1"/>
    <cellStyle name="Hiperlink Visitado" xfId="545" builtinId="9" hidden="1"/>
    <cellStyle name="Hiperlink Visitado" xfId="547" builtinId="9" hidden="1"/>
    <cellStyle name="Hiperlink Visitado" xfId="549" builtinId="9" hidden="1"/>
    <cellStyle name="Hiperlink Visitado" xfId="551" builtinId="9" hidden="1"/>
    <cellStyle name="Hiperlink Visitado" xfId="553" builtinId="9" hidden="1"/>
    <cellStyle name="Hiperlink Visitado" xfId="555" builtinId="9" hidden="1"/>
    <cellStyle name="Hiperlink Visitado" xfId="557" builtinId="9" hidden="1"/>
    <cellStyle name="Hiperlink Visitado" xfId="559" builtinId="9" hidden="1"/>
    <cellStyle name="Hiperlink Visitado" xfId="561" builtinId="9" hidden="1"/>
    <cellStyle name="Hiperlink Visitado" xfId="563" builtinId="9" hidden="1"/>
    <cellStyle name="Hiperlink Visitado" xfId="565" builtinId="9" hidden="1"/>
    <cellStyle name="Hiperlink Visitado" xfId="567" builtinId="9" hidden="1"/>
    <cellStyle name="Hiperlink Visitado" xfId="569" builtinId="9" hidden="1"/>
    <cellStyle name="Hiperlink Visitado" xfId="571" builtinId="9" hidden="1"/>
    <cellStyle name="Hiperlink Visitado" xfId="573" builtinId="9" hidden="1"/>
    <cellStyle name="Hiperlink Visitado" xfId="575" builtinId="9" hidden="1"/>
    <cellStyle name="Hiperlink Visitado" xfId="577" builtinId="9" hidden="1"/>
    <cellStyle name="Hiperlink Visitado" xfId="579" builtinId="9" hidden="1"/>
    <cellStyle name="Hiperlink Visitado" xfId="581" builtinId="9" hidden="1"/>
    <cellStyle name="Hiperlink Visitado" xfId="583" builtinId="9" hidden="1"/>
    <cellStyle name="Hiperlink Visitado" xfId="585" builtinId="9" hidden="1"/>
    <cellStyle name="Hiperlink Visitado" xfId="587" builtinId="9" hidden="1"/>
    <cellStyle name="Hiperlink Visitado" xfId="589" builtinId="9" hidden="1"/>
    <cellStyle name="Hiperlink Visitado" xfId="591" builtinId="9" hidden="1"/>
    <cellStyle name="Hiperlink Visitado" xfId="593" builtinId="9" hidden="1"/>
    <cellStyle name="Hiperlink Visitado" xfId="595" builtinId="9" hidden="1"/>
    <cellStyle name="Hiperlink Visitado" xfId="597" builtinId="9" hidden="1"/>
    <cellStyle name="Hiperlink Visitado" xfId="599" builtinId="9" hidden="1"/>
    <cellStyle name="Hiperlink Visitado" xfId="601" builtinId="9" hidden="1"/>
    <cellStyle name="Hiperlink Visitado" xfId="603" builtinId="9" hidden="1"/>
    <cellStyle name="Hiperlink Visitado" xfId="605" builtinId="9" hidden="1"/>
    <cellStyle name="Hiperlink Visitado" xfId="607" builtinId="9" hidden="1"/>
    <cellStyle name="Hiperlink Visitado" xfId="609" builtinId="9" hidden="1"/>
    <cellStyle name="Hiperlink Visitado" xfId="611" builtinId="9" hidden="1"/>
    <cellStyle name="Hiperlink Visitado" xfId="613" builtinId="9" hidden="1"/>
    <cellStyle name="Hiperlink Visitado" xfId="615" builtinId="9" hidden="1"/>
    <cellStyle name="Hiperlink Visitado" xfId="617" builtinId="9" hidden="1"/>
    <cellStyle name="Hiperlink Visitado" xfId="619" builtinId="9" hidden="1"/>
    <cellStyle name="Hiperlink Visitado" xfId="621" builtinId="9" hidden="1"/>
    <cellStyle name="Hiperlink Visitado" xfId="623" builtinId="9" hidden="1"/>
    <cellStyle name="Hiperlink Visitado" xfId="625" builtinId="9" hidden="1"/>
    <cellStyle name="Hiperlink Visitado" xfId="627" builtinId="9" hidden="1"/>
    <cellStyle name="Hiperlink Visitado" xfId="629" builtinId="9" hidden="1"/>
    <cellStyle name="Hiperlink Visitado" xfId="631" builtinId="9" hidden="1"/>
    <cellStyle name="Hiperlink Visitado" xfId="633" builtinId="9" hidden="1"/>
    <cellStyle name="Hiperlink Visitado" xfId="635" builtinId="9" hidden="1"/>
    <cellStyle name="Hiperlink Visitado" xfId="637" builtinId="9" hidden="1"/>
    <cellStyle name="Hiperlink Visitado" xfId="639" builtinId="9" hidden="1"/>
    <cellStyle name="Hiperlink Visitado" xfId="641" builtinId="9" hidden="1"/>
    <cellStyle name="Hiperlink Visitado" xfId="643" builtinId="9" hidden="1"/>
    <cellStyle name="Hiperlink Visitado" xfId="645" builtinId="9" hidden="1"/>
    <cellStyle name="Hiperlink Visitado" xfId="647" builtinId="9" hidden="1"/>
    <cellStyle name="Hiperlink Visitado" xfId="649" builtinId="9" hidden="1"/>
    <cellStyle name="Hiperlink Visitado" xfId="651" builtinId="9" hidden="1"/>
    <cellStyle name="Hiperlink Visitado" xfId="653" builtinId="9" hidden="1"/>
    <cellStyle name="Hiperlink Visitado" xfId="655" builtinId="9" hidden="1"/>
    <cellStyle name="Hiperlink Visitado" xfId="657" builtinId="9" hidden="1"/>
    <cellStyle name="Hiperlink Visitado" xfId="659" builtinId="9" hidden="1"/>
    <cellStyle name="Hiperlink Visitado" xfId="661" builtinId="9" hidden="1"/>
    <cellStyle name="Hiperlink Visitado" xfId="663" builtinId="9" hidden="1"/>
    <cellStyle name="Hiperlink Visitado" xfId="665" builtinId="9" hidden="1"/>
    <cellStyle name="Hiperlink Visitado" xfId="667" builtinId="9" hidden="1"/>
    <cellStyle name="Normal" xfId="0" builtinId="0"/>
    <cellStyle name="Vírgula" xfId="1" builtinId="3"/>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7.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0.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7</xdr:col>
      <xdr:colOff>31204</xdr:colOff>
      <xdr:row>16</xdr:row>
      <xdr:rowOff>101603</xdr:rowOff>
    </xdr:from>
    <xdr:to>
      <xdr:col>10</xdr:col>
      <xdr:colOff>718456</xdr:colOff>
      <xdr:row>18</xdr:row>
      <xdr:rowOff>94342</xdr:rowOff>
    </xdr:to>
    <xdr:sp macro="" textlink="">
      <xdr:nvSpPr>
        <xdr:cNvPr id="2" name="Right Brace 1">
          <a:extLst>
            <a:ext uri="{FF2B5EF4-FFF2-40B4-BE49-F238E27FC236}">
              <a16:creationId xmlns:a16="http://schemas.microsoft.com/office/drawing/2014/main" id="{00000000-0008-0000-0000-000002000000}"/>
            </a:ext>
          </a:extLst>
        </xdr:cNvPr>
        <xdr:cNvSpPr/>
      </xdr:nvSpPr>
      <xdr:spPr>
        <a:xfrm rot="5400000">
          <a:off x="8107318" y="1140461"/>
          <a:ext cx="297539" cy="3169195"/>
        </a:xfrm>
        <a:prstGeom prst="rightBrace">
          <a:avLst>
            <a:gd name="adj1" fmla="val 59276"/>
            <a:gd name="adj2" fmla="val 50000"/>
          </a:avLst>
        </a:prstGeom>
        <a:ln/>
      </xdr:spPr>
      <xdr:style>
        <a:lnRef idx="2">
          <a:schemeClr val="accent1"/>
        </a:lnRef>
        <a:fillRef idx="0">
          <a:schemeClr val="accent1"/>
        </a:fillRef>
        <a:effectRef idx="1">
          <a:schemeClr val="accent1"/>
        </a:effectRef>
        <a:fontRef idx="minor">
          <a:schemeClr val="tx1"/>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810847</xdr:colOff>
      <xdr:row>8</xdr:row>
      <xdr:rowOff>7297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 y="1"/>
          <a:ext cx="5793154" cy="1257758"/>
        </a:xfrm>
        <a:prstGeom prst="rect">
          <a:avLst/>
        </a:prstGeom>
      </xdr:spPr>
    </xdr:pic>
    <xdr:clientData/>
  </xdr:twoCellAnchor>
  <xdr:twoCellAnchor>
    <xdr:from>
      <xdr:col>4</xdr:col>
      <xdr:colOff>674075</xdr:colOff>
      <xdr:row>1</xdr:row>
      <xdr:rowOff>0</xdr:rowOff>
    </xdr:from>
    <xdr:to>
      <xdr:col>5</xdr:col>
      <xdr:colOff>498229</xdr:colOff>
      <xdr:row>4</xdr:row>
      <xdr:rowOff>97692</xdr:rowOff>
    </xdr:to>
    <xdr:sp macro="" textlink="">
      <xdr:nvSpPr>
        <xdr:cNvPr id="3" name="Oval 2">
          <a:extLst>
            <a:ext uri="{FF2B5EF4-FFF2-40B4-BE49-F238E27FC236}">
              <a16:creationId xmlns:a16="http://schemas.microsoft.com/office/drawing/2014/main" id="{00000000-0008-0000-0A00-000003000000}"/>
            </a:ext>
          </a:extLst>
        </xdr:cNvPr>
        <xdr:cNvSpPr/>
      </xdr:nvSpPr>
      <xdr:spPr>
        <a:xfrm>
          <a:off x="3995613" y="156308"/>
          <a:ext cx="654539" cy="566615"/>
        </a:xfrm>
        <a:prstGeom prst="ellipse">
          <a:avLst/>
        </a:prstGeom>
        <a:solidFill>
          <a:srgbClr val="FFFF00">
            <a:alpha val="6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691930</xdr:colOff>
      <xdr:row>20</xdr:row>
      <xdr:rowOff>85472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4808482" cy="30634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190500</xdr:colOff>
      <xdr:row>95</xdr:row>
      <xdr:rowOff>38100</xdr:rowOff>
    </xdr:to>
    <xdr:grpSp>
      <xdr:nvGrpSpPr>
        <xdr:cNvPr id="4" name="Group 3">
          <a:extLst>
            <a:ext uri="{FF2B5EF4-FFF2-40B4-BE49-F238E27FC236}">
              <a16:creationId xmlns:a16="http://schemas.microsoft.com/office/drawing/2014/main" id="{00000000-0008-0000-0C00-000004000000}"/>
            </a:ext>
          </a:extLst>
        </xdr:cNvPr>
        <xdr:cNvGrpSpPr/>
      </xdr:nvGrpSpPr>
      <xdr:grpSpPr>
        <a:xfrm>
          <a:off x="0" y="0"/>
          <a:ext cx="7693959" cy="16237324"/>
          <a:chOff x="0" y="0"/>
          <a:chExt cx="10033000" cy="18415000"/>
        </a:xfrm>
      </xdr:grpSpPr>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0033000" cy="3784600"/>
          </a:xfrm>
          <a:prstGeom prst="rect">
            <a:avLst/>
          </a:prstGeom>
        </xdr:spPr>
      </xdr:pic>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14300" y="3810000"/>
            <a:ext cx="9537700" cy="14605000"/>
          </a:xfrm>
          <a:prstGeom prst="rect">
            <a:avLst/>
          </a:prstGeom>
        </xdr:spPr>
      </xdr:pic>
    </xdr:grpSp>
    <xdr:clientData/>
  </xdr:twoCellAnchor>
  <xdr:twoCellAnchor>
    <xdr:from>
      <xdr:col>4</xdr:col>
      <xdr:colOff>244231</xdr:colOff>
      <xdr:row>52</xdr:row>
      <xdr:rowOff>58616</xdr:rowOff>
    </xdr:from>
    <xdr:to>
      <xdr:col>5</xdr:col>
      <xdr:colOff>68385</xdr:colOff>
      <xdr:row>56</xdr:row>
      <xdr:rowOff>0</xdr:rowOff>
    </xdr:to>
    <xdr:sp macro="" textlink="">
      <xdr:nvSpPr>
        <xdr:cNvPr id="5" name="Oval 4">
          <a:extLst>
            <a:ext uri="{FF2B5EF4-FFF2-40B4-BE49-F238E27FC236}">
              <a16:creationId xmlns:a16="http://schemas.microsoft.com/office/drawing/2014/main" id="{00000000-0008-0000-0C00-000005000000}"/>
            </a:ext>
          </a:extLst>
        </xdr:cNvPr>
        <xdr:cNvSpPr/>
      </xdr:nvSpPr>
      <xdr:spPr>
        <a:xfrm>
          <a:off x="3565769" y="8206154"/>
          <a:ext cx="654539" cy="566615"/>
        </a:xfrm>
        <a:prstGeom prst="ellipse">
          <a:avLst/>
        </a:prstGeom>
        <a:solidFill>
          <a:srgbClr val="FFFF00">
            <a:alpha val="6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439615</xdr:colOff>
      <xdr:row>66</xdr:row>
      <xdr:rowOff>29308</xdr:rowOff>
    </xdr:from>
    <xdr:to>
      <xdr:col>2</xdr:col>
      <xdr:colOff>722924</xdr:colOff>
      <xdr:row>71</xdr:row>
      <xdr:rowOff>136768</xdr:rowOff>
    </xdr:to>
    <xdr:sp macro="" textlink="">
      <xdr:nvSpPr>
        <xdr:cNvPr id="6" name="Oval 5">
          <a:extLst>
            <a:ext uri="{FF2B5EF4-FFF2-40B4-BE49-F238E27FC236}">
              <a16:creationId xmlns:a16="http://schemas.microsoft.com/office/drawing/2014/main" id="{00000000-0008-0000-0C00-000006000000}"/>
            </a:ext>
          </a:extLst>
        </xdr:cNvPr>
        <xdr:cNvSpPr/>
      </xdr:nvSpPr>
      <xdr:spPr>
        <a:xfrm>
          <a:off x="1270000" y="11009923"/>
          <a:ext cx="1113693" cy="937845"/>
        </a:xfrm>
        <a:prstGeom prst="ellipse">
          <a:avLst/>
        </a:prstGeom>
        <a:solidFill>
          <a:srgbClr val="FFFF00">
            <a:alpha val="6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660400</xdr:colOff>
      <xdr:row>51</xdr:row>
      <xdr:rowOff>63500</xdr:rowOff>
    </xdr:to>
    <xdr:grpSp>
      <xdr:nvGrpSpPr>
        <xdr:cNvPr id="4" name="Group 3">
          <a:extLst>
            <a:ext uri="{FF2B5EF4-FFF2-40B4-BE49-F238E27FC236}">
              <a16:creationId xmlns:a16="http://schemas.microsoft.com/office/drawing/2014/main" id="{00000000-0008-0000-0D00-000004000000}"/>
            </a:ext>
          </a:extLst>
        </xdr:cNvPr>
        <xdr:cNvGrpSpPr/>
      </xdr:nvGrpSpPr>
      <xdr:grpSpPr>
        <a:xfrm>
          <a:off x="0" y="0"/>
          <a:ext cx="6486769" cy="8732715"/>
          <a:chOff x="0" y="0"/>
          <a:chExt cx="9817100" cy="12115800"/>
        </a:xfrm>
      </xdr:grpSpPr>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9563100" cy="3238500"/>
          </a:xfrm>
          <a:prstGeom prst="rect">
            <a:avLst/>
          </a:prstGeom>
        </xdr:spPr>
      </xdr:pic>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0" y="3124200"/>
            <a:ext cx="9817100" cy="8991600"/>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472967</xdr:colOff>
      <xdr:row>36</xdr:row>
      <xdr:rowOff>87587</xdr:rowOff>
    </xdr:to>
    <xdr:grpSp>
      <xdr:nvGrpSpPr>
        <xdr:cNvPr id="4" name="Group 3">
          <a:extLst>
            <a:ext uri="{FF2B5EF4-FFF2-40B4-BE49-F238E27FC236}">
              <a16:creationId xmlns:a16="http://schemas.microsoft.com/office/drawing/2014/main" id="{00000000-0008-0000-0E00-000004000000}"/>
            </a:ext>
          </a:extLst>
        </xdr:cNvPr>
        <xdr:cNvGrpSpPr/>
      </xdr:nvGrpSpPr>
      <xdr:grpSpPr>
        <a:xfrm>
          <a:off x="1" y="0"/>
          <a:ext cx="6285187" cy="6152056"/>
          <a:chOff x="0" y="0"/>
          <a:chExt cx="10071100" cy="11315700"/>
        </a:xfrm>
      </xdr:grpSpPr>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9867900" cy="9055100"/>
          </a:xfrm>
          <a:prstGeom prst="rect">
            <a:avLst/>
          </a:prstGeom>
        </xdr:spPr>
      </xdr:pic>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0" y="8978900"/>
            <a:ext cx="10071100" cy="2336800"/>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800100</xdr:colOff>
      <xdr:row>45</xdr:row>
      <xdr:rowOff>59261</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5753100" cy="69522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546100</xdr:colOff>
      <xdr:row>36</xdr:row>
      <xdr:rowOff>101600</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0" y="0"/>
          <a:ext cx="6372469" cy="6221046"/>
          <a:chOff x="0" y="0"/>
          <a:chExt cx="9893300" cy="8978900"/>
        </a:xfrm>
      </xdr:grpSpPr>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9639300" cy="4445000"/>
          </a:xfrm>
          <a:prstGeom prst="rect">
            <a:avLst/>
          </a:prstGeom>
        </xdr:spPr>
      </xdr:pic>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0" y="4267200"/>
            <a:ext cx="9893300" cy="4711700"/>
          </a:xfrm>
          <a:prstGeom prst="rect">
            <a:avLst/>
          </a:prstGeom>
        </xdr:spPr>
      </xdr:pic>
    </xdr:grpSp>
    <xdr:clientData/>
  </xdr:twoCellAnchor>
  <xdr:twoCellAnchor>
    <xdr:from>
      <xdr:col>2</xdr:col>
      <xdr:colOff>644770</xdr:colOff>
      <xdr:row>11</xdr:row>
      <xdr:rowOff>136768</xdr:rowOff>
    </xdr:from>
    <xdr:to>
      <xdr:col>3</xdr:col>
      <xdr:colOff>468923</xdr:colOff>
      <xdr:row>15</xdr:row>
      <xdr:rowOff>68385</xdr:rowOff>
    </xdr:to>
    <xdr:sp macro="" textlink="">
      <xdr:nvSpPr>
        <xdr:cNvPr id="3" name="Oval 2">
          <a:extLst>
            <a:ext uri="{FF2B5EF4-FFF2-40B4-BE49-F238E27FC236}">
              <a16:creationId xmlns:a16="http://schemas.microsoft.com/office/drawing/2014/main" id="{00000000-0008-0000-1000-000003000000}"/>
            </a:ext>
          </a:extLst>
        </xdr:cNvPr>
        <xdr:cNvSpPr/>
      </xdr:nvSpPr>
      <xdr:spPr>
        <a:xfrm>
          <a:off x="2305539" y="1856153"/>
          <a:ext cx="654538" cy="556847"/>
        </a:xfrm>
        <a:prstGeom prst="ellipse">
          <a:avLst/>
        </a:prstGeom>
        <a:gradFill flip="none" rotWithShape="1">
          <a:gsLst>
            <a:gs pos="0">
              <a:schemeClr val="accent6">
                <a:tint val="100000"/>
                <a:shade val="100000"/>
                <a:satMod val="130000"/>
                <a:alpha val="15000"/>
              </a:schemeClr>
            </a:gs>
            <a:gs pos="100000">
              <a:schemeClr val="accent6">
                <a:tint val="50000"/>
                <a:shade val="100000"/>
                <a:satMod val="350000"/>
                <a:alpha val="15000"/>
              </a:schemeClr>
            </a:gs>
          </a:gsLst>
          <a:lin ang="16200000" scaled="0"/>
          <a:tileRect/>
        </a:gradFill>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482600</xdr:colOff>
      <xdr:row>73</xdr:row>
      <xdr:rowOff>139700</xdr:rowOff>
    </xdr:to>
    <xdr:grpSp>
      <xdr:nvGrpSpPr>
        <xdr:cNvPr id="4" name="Group 3">
          <a:extLst>
            <a:ext uri="{FF2B5EF4-FFF2-40B4-BE49-F238E27FC236}">
              <a16:creationId xmlns:a16="http://schemas.microsoft.com/office/drawing/2014/main" id="{00000000-0008-0000-1100-000004000000}"/>
            </a:ext>
          </a:extLst>
        </xdr:cNvPr>
        <xdr:cNvGrpSpPr/>
      </xdr:nvGrpSpPr>
      <xdr:grpSpPr>
        <a:xfrm>
          <a:off x="0" y="0"/>
          <a:ext cx="6318624" cy="12573747"/>
          <a:chOff x="0" y="0"/>
          <a:chExt cx="9969500" cy="15062200"/>
        </a:xfrm>
      </xdr:grpSpPr>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9969500" cy="13576300"/>
          </a:xfrm>
          <a:prstGeom prst="rect">
            <a:avLst/>
          </a:prstGeom>
        </xdr:spPr>
      </xdr:pic>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0" y="13322300"/>
            <a:ext cx="9550400" cy="1739900"/>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114300</xdr:colOff>
      <xdr:row>46</xdr:row>
      <xdr:rowOff>54021</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6718300" cy="7064421"/>
        </a:xfrm>
        <a:prstGeom prst="rect">
          <a:avLst/>
        </a:prstGeom>
      </xdr:spPr>
    </xdr:pic>
    <xdr:clientData/>
  </xdr:twoCellAnchor>
  <xdr:twoCellAnchor>
    <xdr:from>
      <xdr:col>2</xdr:col>
      <xdr:colOff>713153</xdr:colOff>
      <xdr:row>34</xdr:row>
      <xdr:rowOff>78153</xdr:rowOff>
    </xdr:from>
    <xdr:to>
      <xdr:col>3</xdr:col>
      <xdr:colOff>537306</xdr:colOff>
      <xdr:row>38</xdr:row>
      <xdr:rowOff>9770</xdr:rowOff>
    </xdr:to>
    <xdr:sp macro="" textlink="">
      <xdr:nvSpPr>
        <xdr:cNvPr id="4" name="Oval 3">
          <a:extLst>
            <a:ext uri="{FF2B5EF4-FFF2-40B4-BE49-F238E27FC236}">
              <a16:creationId xmlns:a16="http://schemas.microsoft.com/office/drawing/2014/main" id="{00000000-0008-0000-1200-000004000000}"/>
            </a:ext>
          </a:extLst>
        </xdr:cNvPr>
        <xdr:cNvSpPr/>
      </xdr:nvSpPr>
      <xdr:spPr>
        <a:xfrm>
          <a:off x="2373922" y="5392615"/>
          <a:ext cx="654538" cy="556847"/>
        </a:xfrm>
        <a:prstGeom prst="ellipse">
          <a:avLst/>
        </a:prstGeom>
        <a:gradFill flip="none" rotWithShape="1">
          <a:gsLst>
            <a:gs pos="0">
              <a:schemeClr val="accent6">
                <a:tint val="100000"/>
                <a:shade val="100000"/>
                <a:satMod val="130000"/>
                <a:alpha val="15000"/>
              </a:schemeClr>
            </a:gs>
            <a:gs pos="100000">
              <a:schemeClr val="accent6">
                <a:tint val="50000"/>
                <a:shade val="100000"/>
                <a:satMod val="350000"/>
                <a:alpha val="15000"/>
              </a:schemeClr>
            </a:gs>
          </a:gsLst>
          <a:lin ang="16200000" scaled="0"/>
          <a:tileRect/>
        </a:gradFill>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87587</xdr:colOff>
      <xdr:row>47</xdr:row>
      <xdr:rowOff>43793</xdr:rowOff>
    </xdr:to>
    <xdr:grpSp>
      <xdr:nvGrpSpPr>
        <xdr:cNvPr id="4" name="Group 3">
          <a:extLst>
            <a:ext uri="{FF2B5EF4-FFF2-40B4-BE49-F238E27FC236}">
              <a16:creationId xmlns:a16="http://schemas.microsoft.com/office/drawing/2014/main" id="{00000000-0008-0000-1300-000004000000}"/>
            </a:ext>
          </a:extLst>
        </xdr:cNvPr>
        <xdr:cNvGrpSpPr/>
      </xdr:nvGrpSpPr>
      <xdr:grpSpPr>
        <a:xfrm>
          <a:off x="0" y="1"/>
          <a:ext cx="5901647" cy="7953352"/>
          <a:chOff x="0" y="0"/>
          <a:chExt cx="9994024" cy="10498959"/>
        </a:xfrm>
      </xdr:grpSpPr>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9627914" cy="6155559"/>
          </a:xfrm>
          <a:prstGeom prst="rect">
            <a:avLst/>
          </a:prstGeom>
        </xdr:spPr>
      </xdr:pic>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0" y="6104759"/>
            <a:ext cx="9994024" cy="43942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639379</xdr:colOff>
      <xdr:row>22</xdr:row>
      <xdr:rowOff>9726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4755931" cy="33204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695739</xdr:colOff>
      <xdr:row>61</xdr:row>
      <xdr:rowOff>66907</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7321826" cy="95175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25</xdr:row>
      <xdr:rowOff>29310</xdr:rowOff>
    </xdr:from>
    <xdr:to>
      <xdr:col>2</xdr:col>
      <xdr:colOff>703384</xdr:colOff>
      <xdr:row>47</xdr:row>
      <xdr:rowOff>15358</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3937002"/>
          <a:ext cx="3917461" cy="342481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711200</xdr:colOff>
      <xdr:row>23</xdr:row>
      <xdr:rowOff>127000</xdr:rowOff>
    </xdr:to>
    <xdr:grpSp>
      <xdr:nvGrpSpPr>
        <xdr:cNvPr id="4" name="Group 3">
          <a:extLst>
            <a:ext uri="{FF2B5EF4-FFF2-40B4-BE49-F238E27FC236}">
              <a16:creationId xmlns:a16="http://schemas.microsoft.com/office/drawing/2014/main" id="{00000000-0008-0000-1600-000004000000}"/>
            </a:ext>
          </a:extLst>
        </xdr:cNvPr>
        <xdr:cNvGrpSpPr/>
      </xdr:nvGrpSpPr>
      <xdr:grpSpPr>
        <a:xfrm>
          <a:off x="0" y="0"/>
          <a:ext cx="9034585" cy="4036646"/>
          <a:chOff x="0" y="0"/>
          <a:chExt cx="12077700" cy="5727700"/>
        </a:xfrm>
      </xdr:grpSpPr>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12077700" cy="1816100"/>
          </a:xfrm>
          <a:prstGeom prst="rect">
            <a:avLst/>
          </a:prstGeom>
        </xdr:spPr>
      </xdr:pic>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1612900"/>
            <a:ext cx="11785600" cy="4114800"/>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584200</xdr:colOff>
      <xdr:row>28</xdr:row>
      <xdr:rowOff>124069</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8839200" cy="43912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630921</xdr:colOff>
      <xdr:row>19</xdr:row>
      <xdr:rowOff>127001</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1"/>
          <a:ext cx="5583921" cy="299243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1</xdr:rowOff>
    </xdr:from>
    <xdr:to>
      <xdr:col>6</xdr:col>
      <xdr:colOff>584200</xdr:colOff>
      <xdr:row>19</xdr:row>
      <xdr:rowOff>76201</xdr:rowOff>
    </xdr:to>
    <xdr:grpSp>
      <xdr:nvGrpSpPr>
        <xdr:cNvPr id="4" name="Group 3">
          <a:extLst>
            <a:ext uri="{FF2B5EF4-FFF2-40B4-BE49-F238E27FC236}">
              <a16:creationId xmlns:a16="http://schemas.microsoft.com/office/drawing/2014/main" id="{00000000-0008-0000-1900-000004000000}"/>
            </a:ext>
          </a:extLst>
        </xdr:cNvPr>
        <xdr:cNvGrpSpPr/>
      </xdr:nvGrpSpPr>
      <xdr:grpSpPr>
        <a:xfrm>
          <a:off x="0" y="1"/>
          <a:ext cx="5574211" cy="3302726"/>
          <a:chOff x="0" y="0"/>
          <a:chExt cx="9118600" cy="5702723"/>
        </a:xfrm>
      </xdr:grpSpPr>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9118600" cy="4332751"/>
          </a:xfrm>
          <a:prstGeom prst="rect">
            <a:avLst/>
          </a:prstGeom>
        </xdr:spPr>
      </xdr:pic>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4343400"/>
            <a:ext cx="8585200" cy="1359323"/>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142570</xdr:colOff>
      <xdr:row>22</xdr:row>
      <xdr:rowOff>142876</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1"/>
          <a:ext cx="5921070" cy="3460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498230</xdr:colOff>
      <xdr:row>25</xdr:row>
      <xdr:rowOff>47527</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5480538" cy="395521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586154</xdr:colOff>
      <xdr:row>28</xdr:row>
      <xdr:rowOff>58616</xdr:rowOff>
    </xdr:to>
    <xdr:grpSp>
      <xdr:nvGrpSpPr>
        <xdr:cNvPr id="4" name="Group 3">
          <a:extLst>
            <a:ext uri="{FF2B5EF4-FFF2-40B4-BE49-F238E27FC236}">
              <a16:creationId xmlns:a16="http://schemas.microsoft.com/office/drawing/2014/main" id="{00000000-0008-0000-1C00-000004000000}"/>
            </a:ext>
          </a:extLst>
        </xdr:cNvPr>
        <xdr:cNvGrpSpPr/>
      </xdr:nvGrpSpPr>
      <xdr:grpSpPr>
        <a:xfrm>
          <a:off x="0" y="0"/>
          <a:ext cx="5576165" cy="4822205"/>
          <a:chOff x="0" y="0"/>
          <a:chExt cx="8153400" cy="7734300"/>
        </a:xfrm>
      </xdr:grpSpPr>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8153400" cy="3158067"/>
          </a:xfrm>
          <a:prstGeom prst="rect">
            <a:avLst/>
          </a:prstGeom>
        </xdr:spPr>
      </xdr:pic>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0" y="3035300"/>
            <a:ext cx="7700455" cy="4699000"/>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1</xdr:rowOff>
    </xdr:from>
    <xdr:to>
      <xdr:col>6</xdr:col>
      <xdr:colOff>797034</xdr:colOff>
      <xdr:row>54</xdr:row>
      <xdr:rowOff>78827</xdr:rowOff>
    </xdr:to>
    <xdr:grpSp>
      <xdr:nvGrpSpPr>
        <xdr:cNvPr id="4" name="Group 3">
          <a:extLst>
            <a:ext uri="{FF2B5EF4-FFF2-40B4-BE49-F238E27FC236}">
              <a16:creationId xmlns:a16="http://schemas.microsoft.com/office/drawing/2014/main" id="{00000000-0008-0000-1D00-000004000000}"/>
            </a:ext>
          </a:extLst>
        </xdr:cNvPr>
        <xdr:cNvGrpSpPr/>
      </xdr:nvGrpSpPr>
      <xdr:grpSpPr>
        <a:xfrm>
          <a:off x="0" y="1"/>
          <a:ext cx="5778937" cy="9170274"/>
          <a:chOff x="0" y="0"/>
          <a:chExt cx="6622457" cy="9664700"/>
        </a:xfrm>
      </xdr:grpSpPr>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6622457" cy="8382000"/>
          </a:xfrm>
          <a:prstGeom prst="rect">
            <a:avLst/>
          </a:prstGeom>
        </xdr:spPr>
      </xdr:pic>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0" y="8369300"/>
            <a:ext cx="6524276" cy="1295400"/>
          </a:xfrm>
          <a:prstGeom prst="rect">
            <a:avLst/>
          </a:prstGeom>
        </xdr:spPr>
      </xdr:pic>
    </xdr:grpSp>
    <xdr:clientData/>
  </xdr:twoCellAnchor>
  <xdr:twoCellAnchor>
    <xdr:from>
      <xdr:col>2</xdr:col>
      <xdr:colOff>35034</xdr:colOff>
      <xdr:row>25</xdr:row>
      <xdr:rowOff>96346</xdr:rowOff>
    </xdr:from>
    <xdr:to>
      <xdr:col>2</xdr:col>
      <xdr:colOff>797033</xdr:colOff>
      <xdr:row>28</xdr:row>
      <xdr:rowOff>78829</xdr:rowOff>
    </xdr:to>
    <xdr:sp macro="" textlink="">
      <xdr:nvSpPr>
        <xdr:cNvPr id="5" name="Oval 4">
          <a:extLst>
            <a:ext uri="{FF2B5EF4-FFF2-40B4-BE49-F238E27FC236}">
              <a16:creationId xmlns:a16="http://schemas.microsoft.com/office/drawing/2014/main" id="{00000000-0008-0000-1D00-000005000000}"/>
            </a:ext>
          </a:extLst>
        </xdr:cNvPr>
        <xdr:cNvSpPr/>
      </xdr:nvSpPr>
      <xdr:spPr>
        <a:xfrm>
          <a:off x="1681655" y="3853794"/>
          <a:ext cx="761999" cy="429173"/>
        </a:xfrm>
        <a:prstGeom prst="ellipse">
          <a:avLst/>
        </a:prstGeom>
        <a:gradFill flip="none" rotWithShape="1">
          <a:gsLst>
            <a:gs pos="0">
              <a:schemeClr val="accent6">
                <a:tint val="100000"/>
                <a:shade val="100000"/>
                <a:satMod val="130000"/>
                <a:alpha val="15000"/>
              </a:schemeClr>
            </a:gs>
            <a:gs pos="100000">
              <a:schemeClr val="accent6">
                <a:tint val="50000"/>
                <a:shade val="100000"/>
                <a:satMod val="350000"/>
                <a:alpha val="15000"/>
              </a:schemeClr>
            </a:gs>
          </a:gsLst>
          <a:lin ang="16200000" scaled="0"/>
          <a:tileRect/>
        </a:gradFill>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195384</xdr:colOff>
      <xdr:row>0</xdr:row>
      <xdr:rowOff>0</xdr:rowOff>
    </xdr:from>
    <xdr:to>
      <xdr:col>13</xdr:col>
      <xdr:colOff>504337</xdr:colOff>
      <xdr:row>95</xdr:row>
      <xdr:rowOff>130098</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8811846" y="0"/>
          <a:ext cx="6135322" cy="16278636"/>
          <a:chOff x="0" y="0"/>
          <a:chExt cx="6121645" cy="14979329"/>
        </a:xfrm>
      </xdr:grpSpPr>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6121645" cy="11088077"/>
          </a:xfrm>
          <a:prstGeom prst="rect">
            <a:avLst/>
          </a:prstGeom>
        </xdr:spPr>
      </xdr:pic>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10990385"/>
            <a:ext cx="6056923" cy="3988944"/>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624115</xdr:colOff>
      <xdr:row>79</xdr:row>
      <xdr:rowOff>79829</xdr:rowOff>
    </xdr:to>
    <xdr:grpSp>
      <xdr:nvGrpSpPr>
        <xdr:cNvPr id="4" name="Group 3">
          <a:extLst>
            <a:ext uri="{FF2B5EF4-FFF2-40B4-BE49-F238E27FC236}">
              <a16:creationId xmlns:a16="http://schemas.microsoft.com/office/drawing/2014/main" id="{00000000-0008-0000-1E00-000004000000}"/>
            </a:ext>
          </a:extLst>
        </xdr:cNvPr>
        <xdr:cNvGrpSpPr/>
      </xdr:nvGrpSpPr>
      <xdr:grpSpPr>
        <a:xfrm>
          <a:off x="0" y="0"/>
          <a:ext cx="4775701" cy="13396436"/>
          <a:chOff x="0" y="0"/>
          <a:chExt cx="9144000" cy="16408400"/>
        </a:xfrm>
      </xdr:grpSpPr>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9144000" cy="14643100"/>
          </a:xfrm>
          <a:prstGeom prst="rect">
            <a:avLst/>
          </a:prstGeom>
        </xdr:spPr>
      </xdr:pic>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14325600"/>
            <a:ext cx="8915400" cy="2082800"/>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449384</xdr:colOff>
      <xdr:row>40</xdr:row>
      <xdr:rowOff>49246</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5402384" cy="608174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236483</xdr:colOff>
      <xdr:row>40</xdr:row>
      <xdr:rowOff>87586</xdr:rowOff>
    </xdr:to>
    <xdr:grpSp>
      <xdr:nvGrpSpPr>
        <xdr:cNvPr id="4" name="Group 3">
          <a:extLst>
            <a:ext uri="{FF2B5EF4-FFF2-40B4-BE49-F238E27FC236}">
              <a16:creationId xmlns:a16="http://schemas.microsoft.com/office/drawing/2014/main" id="{00000000-0008-0000-2000-000004000000}"/>
            </a:ext>
          </a:extLst>
        </xdr:cNvPr>
        <xdr:cNvGrpSpPr/>
      </xdr:nvGrpSpPr>
      <xdr:grpSpPr>
        <a:xfrm>
          <a:off x="0" y="0"/>
          <a:ext cx="5218386" cy="6824717"/>
          <a:chOff x="0" y="0"/>
          <a:chExt cx="8826500" cy="10121900"/>
        </a:xfrm>
      </xdr:grpSpPr>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8826500" cy="4419600"/>
          </a:xfrm>
          <a:prstGeom prst="rect">
            <a:avLst/>
          </a:prstGeom>
        </xdr:spPr>
      </xdr:pic>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4292600"/>
            <a:ext cx="8813800" cy="5829300"/>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641867</xdr:colOff>
      <xdr:row>48</xdr:row>
      <xdr:rowOff>107461</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6420367" cy="7442200"/>
        </a:xfrm>
        <a:prstGeom prst="rect">
          <a:avLst/>
        </a:prstGeom>
      </xdr:spPr>
    </xdr:pic>
    <xdr:clientData/>
  </xdr:twoCellAnchor>
  <xdr:twoCellAnchor>
    <xdr:from>
      <xdr:col>1</xdr:col>
      <xdr:colOff>429846</xdr:colOff>
      <xdr:row>26</xdr:row>
      <xdr:rowOff>48846</xdr:rowOff>
    </xdr:from>
    <xdr:to>
      <xdr:col>2</xdr:col>
      <xdr:colOff>361461</xdr:colOff>
      <xdr:row>29</xdr:row>
      <xdr:rowOff>9095</xdr:rowOff>
    </xdr:to>
    <xdr:sp macro="" textlink="">
      <xdr:nvSpPr>
        <xdr:cNvPr id="3" name="Oval 2">
          <a:extLst>
            <a:ext uri="{FF2B5EF4-FFF2-40B4-BE49-F238E27FC236}">
              <a16:creationId xmlns:a16="http://schemas.microsoft.com/office/drawing/2014/main" id="{00000000-0008-0000-2100-000003000000}"/>
            </a:ext>
          </a:extLst>
        </xdr:cNvPr>
        <xdr:cNvSpPr/>
      </xdr:nvSpPr>
      <xdr:spPr>
        <a:xfrm>
          <a:off x="1260231" y="4132384"/>
          <a:ext cx="761999" cy="429173"/>
        </a:xfrm>
        <a:prstGeom prst="ellipse">
          <a:avLst/>
        </a:prstGeom>
        <a:gradFill flip="none" rotWithShape="1">
          <a:gsLst>
            <a:gs pos="0">
              <a:schemeClr val="accent6">
                <a:tint val="100000"/>
                <a:shade val="100000"/>
                <a:satMod val="130000"/>
                <a:alpha val="15000"/>
              </a:schemeClr>
            </a:gs>
            <a:gs pos="100000">
              <a:schemeClr val="accent6">
                <a:tint val="50000"/>
                <a:shade val="100000"/>
                <a:satMod val="350000"/>
                <a:alpha val="15000"/>
              </a:schemeClr>
            </a:gs>
          </a:gsLst>
          <a:lin ang="16200000" scaled="0"/>
          <a:tileRect/>
        </a:gradFill>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45</xdr:row>
      <xdr:rowOff>127000</xdr:rowOff>
    </xdr:to>
    <xdr:grpSp>
      <xdr:nvGrpSpPr>
        <xdr:cNvPr id="4" name="Group 3">
          <a:extLst>
            <a:ext uri="{FF2B5EF4-FFF2-40B4-BE49-F238E27FC236}">
              <a16:creationId xmlns:a16="http://schemas.microsoft.com/office/drawing/2014/main" id="{00000000-0008-0000-2200-000004000000}"/>
            </a:ext>
          </a:extLst>
        </xdr:cNvPr>
        <xdr:cNvGrpSpPr/>
      </xdr:nvGrpSpPr>
      <xdr:grpSpPr>
        <a:xfrm>
          <a:off x="0" y="0"/>
          <a:ext cx="7355840" cy="7670800"/>
          <a:chOff x="0" y="0"/>
          <a:chExt cx="7315200" cy="6985000"/>
        </a:xfrm>
      </xdr:grpSpPr>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7315200" cy="4292600"/>
          </a:xfrm>
          <a:prstGeom prst="rect">
            <a:avLst/>
          </a:prstGeom>
        </xdr:spPr>
      </xdr:pic>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0" y="4305300"/>
            <a:ext cx="7109916" cy="2679700"/>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406400</xdr:colOff>
      <xdr:row>84</xdr:row>
      <xdr:rowOff>12700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8661400" cy="128143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533400</xdr:colOff>
      <xdr:row>65</xdr:row>
      <xdr:rowOff>38100</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8788400" cy="99441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558800</xdr:colOff>
      <xdr:row>69</xdr:row>
      <xdr:rowOff>76200</xdr:rowOff>
    </xdr:to>
    <xdr:grpSp>
      <xdr:nvGrpSpPr>
        <xdr:cNvPr id="4" name="Group 3">
          <a:extLst>
            <a:ext uri="{FF2B5EF4-FFF2-40B4-BE49-F238E27FC236}">
              <a16:creationId xmlns:a16="http://schemas.microsoft.com/office/drawing/2014/main" id="{00000000-0008-0000-2500-000004000000}"/>
            </a:ext>
          </a:extLst>
        </xdr:cNvPr>
        <xdr:cNvGrpSpPr/>
      </xdr:nvGrpSpPr>
      <xdr:grpSpPr>
        <a:xfrm>
          <a:off x="0" y="0"/>
          <a:ext cx="7203440" cy="11643360"/>
          <a:chOff x="0" y="0"/>
          <a:chExt cx="8851900" cy="12077700"/>
        </a:xfrm>
      </xdr:grpSpPr>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8851900" cy="6413500"/>
          </a:xfrm>
          <a:prstGeom prst="rect">
            <a:avLst/>
          </a:prstGeom>
        </xdr:spPr>
      </xdr:pic>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6248400"/>
            <a:ext cx="8750300" cy="5829300"/>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292100</xdr:colOff>
      <xdr:row>53</xdr:row>
      <xdr:rowOff>21246</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6896100" cy="80984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381000</xdr:colOff>
      <xdr:row>14</xdr:row>
      <xdr:rowOff>90656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
          <a:ext cx="5334000" cy="2202030"/>
        </a:xfrm>
        <a:prstGeom prst="rect">
          <a:avLst/>
        </a:prstGeom>
      </xdr:spPr>
    </xdr:pic>
    <xdr:clientData/>
  </xdr:twoCellAnchor>
  <xdr:twoCellAnchor>
    <xdr:from>
      <xdr:col>2</xdr:col>
      <xdr:colOff>647517</xdr:colOff>
      <xdr:row>3</xdr:row>
      <xdr:rowOff>68079</xdr:rowOff>
    </xdr:from>
    <xdr:to>
      <xdr:col>4</xdr:col>
      <xdr:colOff>489377</xdr:colOff>
      <xdr:row>6</xdr:row>
      <xdr:rowOff>162719</xdr:rowOff>
    </xdr:to>
    <xdr:sp macro="" textlink="">
      <xdr:nvSpPr>
        <xdr:cNvPr id="3" name="Oval 2">
          <a:extLst>
            <a:ext uri="{FF2B5EF4-FFF2-40B4-BE49-F238E27FC236}">
              <a16:creationId xmlns:a16="http://schemas.microsoft.com/office/drawing/2014/main" id="{00000000-0008-0000-0400-000003000000}"/>
            </a:ext>
          </a:extLst>
        </xdr:cNvPr>
        <xdr:cNvSpPr/>
      </xdr:nvSpPr>
      <xdr:spPr>
        <a:xfrm>
          <a:off x="2298517" y="568142"/>
          <a:ext cx="1492860" cy="594702"/>
        </a:xfrm>
        <a:prstGeom prst="ellipse">
          <a:avLst/>
        </a:prstGeom>
        <a:solidFill>
          <a:srgbClr val="FFFF00">
            <a:alpha val="17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774440</xdr:colOff>
      <xdr:row>16</xdr:row>
      <xdr:rowOff>96344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5714302" cy="24786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136770</xdr:colOff>
      <xdr:row>20</xdr:row>
      <xdr:rowOff>97692</xdr:rowOff>
    </xdr:to>
    <xdr:grpSp>
      <xdr:nvGrpSpPr>
        <xdr:cNvPr id="4" name="Group 3">
          <a:extLst>
            <a:ext uri="{FF2B5EF4-FFF2-40B4-BE49-F238E27FC236}">
              <a16:creationId xmlns:a16="http://schemas.microsoft.com/office/drawing/2014/main" id="{00000000-0008-0000-0600-000004000000}"/>
            </a:ext>
          </a:extLst>
        </xdr:cNvPr>
        <xdr:cNvGrpSpPr/>
      </xdr:nvGrpSpPr>
      <xdr:grpSpPr>
        <a:xfrm>
          <a:off x="1" y="0"/>
          <a:ext cx="6762856" cy="3410735"/>
          <a:chOff x="0" y="0"/>
          <a:chExt cx="9781931" cy="5196254"/>
        </a:xfrm>
      </xdr:grpSpPr>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9781931" cy="2577123"/>
          </a:xfrm>
          <a:prstGeom prst="rect">
            <a:avLst/>
          </a:prstGeom>
        </xdr:spPr>
      </xdr:pic>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2471615"/>
            <a:ext cx="9743831" cy="272463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190204</xdr:colOff>
      <xdr:row>25</xdr:row>
      <xdr:rowOff>136770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5990387" cy="4202319"/>
        </a:xfrm>
        <a:prstGeom prst="rect">
          <a:avLst/>
        </a:prstGeom>
      </xdr:spPr>
    </xdr:pic>
    <xdr:clientData/>
  </xdr:twoCellAnchor>
  <xdr:twoCellAnchor>
    <xdr:from>
      <xdr:col>2</xdr:col>
      <xdr:colOff>782848</xdr:colOff>
      <xdr:row>9</xdr:row>
      <xdr:rowOff>111512</xdr:rowOff>
    </xdr:from>
    <xdr:to>
      <xdr:col>3</xdr:col>
      <xdr:colOff>734001</xdr:colOff>
      <xdr:row>11</xdr:row>
      <xdr:rowOff>101742</xdr:rowOff>
    </xdr:to>
    <xdr:sp macro="" textlink="">
      <xdr:nvSpPr>
        <xdr:cNvPr id="3" name="Oval 2">
          <a:extLst>
            <a:ext uri="{FF2B5EF4-FFF2-40B4-BE49-F238E27FC236}">
              <a16:creationId xmlns:a16="http://schemas.microsoft.com/office/drawing/2014/main" id="{00000000-0008-0000-0700-000003000000}"/>
            </a:ext>
          </a:extLst>
        </xdr:cNvPr>
        <xdr:cNvSpPr/>
      </xdr:nvSpPr>
      <xdr:spPr>
        <a:xfrm>
          <a:off x="2440043" y="1575110"/>
          <a:ext cx="779751" cy="315473"/>
        </a:xfrm>
        <a:prstGeom prst="ellipse">
          <a:avLst/>
        </a:prstGeom>
        <a:solidFill>
          <a:srgbClr val="FFFF00">
            <a:alpha val="17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629478</xdr:colOff>
      <xdr:row>38</xdr:row>
      <xdr:rowOff>138561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7255565" cy="60136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546100</xdr:colOff>
      <xdr:row>27</xdr:row>
      <xdr:rowOff>88900</xdr:rowOff>
    </xdr:to>
    <xdr:grpSp>
      <xdr:nvGrpSpPr>
        <xdr:cNvPr id="4" name="Group 3">
          <a:extLst>
            <a:ext uri="{FF2B5EF4-FFF2-40B4-BE49-F238E27FC236}">
              <a16:creationId xmlns:a16="http://schemas.microsoft.com/office/drawing/2014/main" id="{00000000-0008-0000-0900-000004000000}"/>
            </a:ext>
          </a:extLst>
        </xdr:cNvPr>
        <xdr:cNvGrpSpPr/>
      </xdr:nvGrpSpPr>
      <xdr:grpSpPr>
        <a:xfrm>
          <a:off x="0" y="0"/>
          <a:ext cx="8883276" cy="4687794"/>
          <a:chOff x="0" y="0"/>
          <a:chExt cx="10248900" cy="5435600"/>
        </a:xfrm>
      </xdr:grpSpPr>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9550400" cy="1028700"/>
          </a:xfrm>
          <a:prstGeom prst="rect">
            <a:avLst/>
          </a:prstGeom>
        </xdr:spPr>
      </xdr:pic>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0" y="939800"/>
            <a:ext cx="10248900" cy="4495800"/>
          </a:xfrm>
          <a:prstGeom prst="rect">
            <a:avLst/>
          </a:prstGeom>
        </xdr:spPr>
      </xdr:pic>
    </xdr:grpSp>
    <xdr:clientData/>
  </xdr:twoCellAnchor>
  <xdr:twoCellAnchor>
    <xdr:from>
      <xdr:col>2</xdr:col>
      <xdr:colOff>234463</xdr:colOff>
      <xdr:row>14</xdr:row>
      <xdr:rowOff>126999</xdr:rowOff>
    </xdr:from>
    <xdr:to>
      <xdr:col>4</xdr:col>
      <xdr:colOff>234462</xdr:colOff>
      <xdr:row>18</xdr:row>
      <xdr:rowOff>48846</xdr:rowOff>
    </xdr:to>
    <xdr:sp macro="" textlink="">
      <xdr:nvSpPr>
        <xdr:cNvPr id="5" name="Oval 4">
          <a:extLst>
            <a:ext uri="{FF2B5EF4-FFF2-40B4-BE49-F238E27FC236}">
              <a16:creationId xmlns:a16="http://schemas.microsoft.com/office/drawing/2014/main" id="{00000000-0008-0000-0900-000005000000}"/>
            </a:ext>
          </a:extLst>
        </xdr:cNvPr>
        <xdr:cNvSpPr/>
      </xdr:nvSpPr>
      <xdr:spPr>
        <a:xfrm>
          <a:off x="1895232" y="2315307"/>
          <a:ext cx="1660768" cy="547077"/>
        </a:xfrm>
        <a:prstGeom prst="ellipse">
          <a:avLst/>
        </a:prstGeom>
        <a:solidFill>
          <a:srgbClr val="FFFF00">
            <a:alpha val="17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48"/>
  <sheetViews>
    <sheetView showGridLines="0" zoomScale="175" zoomScaleNormal="175" zoomScalePageLayoutView="175" workbookViewId="0">
      <selection activeCell="C47" sqref="C47"/>
    </sheetView>
  </sheetViews>
  <sheetFormatPr defaultColWidth="10.8984375" defaultRowHeight="13.2" x14ac:dyDescent="0.25"/>
  <cols>
    <col min="1" max="1" width="18.3984375" style="1" bestFit="1" customWidth="1"/>
    <col min="2" max="3" width="10.8984375" style="1"/>
    <col min="4" max="4" width="22" style="1" bestFit="1" customWidth="1"/>
    <col min="5" max="8" width="10.8984375" style="1"/>
    <col min="9" max="9" width="15.09765625" style="1" bestFit="1" customWidth="1"/>
    <col min="10" max="10" width="11.8984375" style="1" bestFit="1" customWidth="1"/>
    <col min="11" max="16384" width="10.8984375" style="1"/>
  </cols>
  <sheetData>
    <row r="2" spans="1:11" ht="15" customHeight="1" x14ac:dyDescent="0.25">
      <c r="D2" s="97" t="s">
        <v>5</v>
      </c>
      <c r="E2" s="97"/>
    </row>
    <row r="3" spans="1:11" x14ac:dyDescent="0.25">
      <c r="A3" s="1" t="s">
        <v>20</v>
      </c>
      <c r="B3" s="2">
        <v>3</v>
      </c>
      <c r="D3" s="1" t="s">
        <v>6</v>
      </c>
      <c r="E3" s="2">
        <v>2100</v>
      </c>
    </row>
    <row r="4" spans="1:11" x14ac:dyDescent="0.25">
      <c r="A4" s="1" t="s">
        <v>21</v>
      </c>
      <c r="B4" s="1">
        <v>4</v>
      </c>
      <c r="D4" s="1" t="s">
        <v>7</v>
      </c>
      <c r="E4" s="2">
        <v>2000</v>
      </c>
    </row>
    <row r="5" spans="1:11" x14ac:dyDescent="0.25">
      <c r="A5" s="1" t="s">
        <v>1</v>
      </c>
      <c r="B5" s="1">
        <f>+B4*B3</f>
        <v>12</v>
      </c>
      <c r="D5" s="1" t="s">
        <v>8</v>
      </c>
      <c r="E5" s="1">
        <v>24700</v>
      </c>
    </row>
    <row r="6" spans="1:11" x14ac:dyDescent="0.25">
      <c r="D6" s="1" t="s">
        <v>9</v>
      </c>
      <c r="E6" s="1">
        <v>22680</v>
      </c>
    </row>
    <row r="7" spans="1:11" x14ac:dyDescent="0.25">
      <c r="A7" s="1" t="s">
        <v>22</v>
      </c>
      <c r="B7" s="1">
        <v>0.5</v>
      </c>
      <c r="D7" s="1" t="s">
        <v>10</v>
      </c>
      <c r="E7" s="1">
        <v>7140</v>
      </c>
    </row>
    <row r="8" spans="1:11" x14ac:dyDescent="0.25">
      <c r="A8" s="1" t="s">
        <v>23</v>
      </c>
      <c r="B8" s="1">
        <v>22</v>
      </c>
    </row>
    <row r="9" spans="1:11" x14ac:dyDescent="0.25">
      <c r="A9" s="1" t="s">
        <v>3</v>
      </c>
      <c r="B9" s="1">
        <f>+B8*B7</f>
        <v>11</v>
      </c>
    </row>
    <row r="11" spans="1:11" x14ac:dyDescent="0.25">
      <c r="A11" s="1" t="s">
        <v>24</v>
      </c>
      <c r="B11" s="1">
        <v>0.5</v>
      </c>
      <c r="E11" s="4" t="s">
        <v>11</v>
      </c>
      <c r="F11" s="4"/>
      <c r="G11" s="4"/>
      <c r="H11" s="4" t="s">
        <v>12</v>
      </c>
      <c r="I11" s="4"/>
      <c r="J11" s="4"/>
      <c r="K11" s="4" t="s">
        <v>13</v>
      </c>
    </row>
    <row r="12" spans="1:11" x14ac:dyDescent="0.25">
      <c r="A12" s="1" t="s">
        <v>25</v>
      </c>
      <c r="B12" s="1">
        <v>6</v>
      </c>
      <c r="D12" s="1" t="s">
        <v>14</v>
      </c>
      <c r="E12" s="3"/>
      <c r="F12" s="5"/>
      <c r="G12" s="5"/>
      <c r="H12" s="3"/>
      <c r="I12" s="5"/>
      <c r="J12" s="5"/>
      <c r="K12" s="3"/>
    </row>
    <row r="13" spans="1:11" x14ac:dyDescent="0.25">
      <c r="A13" s="1" t="s">
        <v>4</v>
      </c>
      <c r="B13" s="1">
        <f>+B12*B11</f>
        <v>3</v>
      </c>
      <c r="D13" s="6" t="s">
        <v>0</v>
      </c>
      <c r="E13" s="3">
        <f>B5*E3</f>
        <v>25200</v>
      </c>
      <c r="F13" s="5">
        <f t="shared" ref="F13:F16" si="0">H13-E13</f>
        <v>-1200</v>
      </c>
      <c r="G13" s="3" t="str">
        <f>IF(F13&gt;0,"D",IF(F13=0,"-","F"))</f>
        <v>F</v>
      </c>
      <c r="H13" s="3">
        <f>B5*E4</f>
        <v>24000</v>
      </c>
      <c r="I13" s="5">
        <f t="shared" ref="I13:I16" si="1">K13-H13</f>
        <v>700</v>
      </c>
      <c r="J13" s="3" t="str">
        <f>IF(I13&gt;0,"D",IF(I13=0,"-","F"))</f>
        <v>D</v>
      </c>
      <c r="K13" s="3">
        <f>E5</f>
        <v>24700</v>
      </c>
    </row>
    <row r="14" spans="1:11" x14ac:dyDescent="0.25">
      <c r="D14" s="6" t="s">
        <v>2</v>
      </c>
      <c r="E14" s="3">
        <f>B9*E3</f>
        <v>23100</v>
      </c>
      <c r="F14" s="5">
        <f t="shared" si="0"/>
        <v>-1100</v>
      </c>
      <c r="G14" s="3" t="str">
        <f>IF(F14&gt;0,"D",IF(F14=0,"-","F"))</f>
        <v>F</v>
      </c>
      <c r="H14" s="3">
        <f>B9*E4</f>
        <v>22000</v>
      </c>
      <c r="I14" s="5">
        <f t="shared" si="1"/>
        <v>680</v>
      </c>
      <c r="J14" s="3" t="str">
        <f>IF(I14&gt;0,"D",IF(I14=0,"-","F"))</f>
        <v>D</v>
      </c>
      <c r="K14" s="3">
        <f t="shared" ref="K14:K15" si="2">E6</f>
        <v>22680</v>
      </c>
    </row>
    <row r="15" spans="1:11" x14ac:dyDescent="0.25">
      <c r="D15" s="6" t="s">
        <v>15</v>
      </c>
      <c r="E15" s="3">
        <f>B13*E3</f>
        <v>6300</v>
      </c>
      <c r="F15" s="5">
        <f t="shared" si="0"/>
        <v>-300</v>
      </c>
      <c r="G15" s="3" t="str">
        <f t="shared" ref="G15:G16" si="3">IF(F15&gt;0,"D",IF(F15=0,"-","F"))</f>
        <v>F</v>
      </c>
      <c r="H15" s="3">
        <f>B13*E4</f>
        <v>6000</v>
      </c>
      <c r="I15" s="5">
        <f>K15-H15</f>
        <v>1140</v>
      </c>
      <c r="J15" s="3" t="str">
        <f t="shared" ref="J15:J16" si="4">IF(I15&gt;0,"D",IF(I15=0,"-","F"))</f>
        <v>D</v>
      </c>
      <c r="K15" s="3">
        <f t="shared" si="2"/>
        <v>7140</v>
      </c>
    </row>
    <row r="16" spans="1:11" x14ac:dyDescent="0.25">
      <c r="D16" s="7" t="s">
        <v>16</v>
      </c>
      <c r="E16" s="4">
        <f>SUM(E13:E15)</f>
        <v>54600</v>
      </c>
      <c r="F16" s="4">
        <f t="shared" si="0"/>
        <v>-2600</v>
      </c>
      <c r="G16" s="4" t="str">
        <f t="shared" si="3"/>
        <v>F</v>
      </c>
      <c r="H16" s="4">
        <f>SUM(H13:H15)</f>
        <v>52000</v>
      </c>
      <c r="I16" s="4">
        <f t="shared" si="1"/>
        <v>2520</v>
      </c>
      <c r="J16" s="4" t="str">
        <f t="shared" si="4"/>
        <v>D</v>
      </c>
      <c r="K16" s="4">
        <f>SUM(K13:K15)</f>
        <v>54520</v>
      </c>
    </row>
    <row r="21" spans="7:12" x14ac:dyDescent="0.25">
      <c r="G21" s="98" t="s">
        <v>0</v>
      </c>
      <c r="H21" s="9"/>
      <c r="I21" s="10" t="s">
        <v>27</v>
      </c>
      <c r="J21" s="11">
        <v>6500</v>
      </c>
      <c r="K21" s="10"/>
      <c r="L21" s="12"/>
    </row>
    <row r="22" spans="7:12" x14ac:dyDescent="0.25">
      <c r="G22" s="99"/>
      <c r="H22" s="13"/>
      <c r="I22" s="14" t="s">
        <v>30</v>
      </c>
      <c r="J22" s="14">
        <v>3.8</v>
      </c>
      <c r="K22" s="14"/>
      <c r="L22" s="15"/>
    </row>
    <row r="23" spans="7:12" x14ac:dyDescent="0.25">
      <c r="G23" s="99"/>
      <c r="H23" s="13"/>
      <c r="I23" s="14"/>
      <c r="J23" s="14"/>
      <c r="K23" s="14"/>
      <c r="L23" s="15"/>
    </row>
    <row r="24" spans="7:12" x14ac:dyDescent="0.25">
      <c r="G24" s="99"/>
      <c r="H24" s="16" t="s">
        <v>17</v>
      </c>
      <c r="I24" s="17"/>
      <c r="J24" s="17" t="s">
        <v>18</v>
      </c>
      <c r="K24" s="17"/>
      <c r="L24" s="18" t="s">
        <v>19</v>
      </c>
    </row>
    <row r="25" spans="7:12" x14ac:dyDescent="0.25">
      <c r="G25" s="99"/>
      <c r="H25" s="19">
        <f>B3*E4*B4</f>
        <v>24000</v>
      </c>
      <c r="I25" s="20">
        <f>+J25-H25</f>
        <v>2000</v>
      </c>
      <c r="J25" s="21">
        <f>J21*B4</f>
        <v>26000</v>
      </c>
      <c r="K25" s="21">
        <f>+L25-J25</f>
        <v>-1300</v>
      </c>
      <c r="L25" s="22">
        <f>+J21*J22</f>
        <v>24700</v>
      </c>
    </row>
    <row r="26" spans="7:12" x14ac:dyDescent="0.25">
      <c r="G26" s="99"/>
      <c r="H26" s="19"/>
      <c r="I26" s="21" t="s">
        <v>28</v>
      </c>
      <c r="J26" s="21"/>
      <c r="K26" s="21" t="s">
        <v>29</v>
      </c>
      <c r="L26" s="22"/>
    </row>
    <row r="27" spans="7:12" x14ac:dyDescent="0.25">
      <c r="G27" s="99"/>
      <c r="H27" s="13"/>
      <c r="I27" s="14"/>
      <c r="J27" s="14"/>
      <c r="K27" s="14"/>
      <c r="L27" s="15"/>
    </row>
    <row r="28" spans="7:12" x14ac:dyDescent="0.25">
      <c r="G28" s="100"/>
      <c r="H28" s="23"/>
      <c r="I28" s="24" t="s">
        <v>26</v>
      </c>
      <c r="J28" s="24">
        <f>+I25+K25</f>
        <v>700</v>
      </c>
      <c r="K28" s="24" t="s">
        <v>28</v>
      </c>
      <c r="L28" s="25"/>
    </row>
    <row r="31" spans="7:12" x14ac:dyDescent="0.25">
      <c r="G31" s="98" t="s">
        <v>2</v>
      </c>
      <c r="H31" s="9"/>
      <c r="I31" s="10" t="s">
        <v>32</v>
      </c>
      <c r="J31" s="11">
        <v>1050</v>
      </c>
      <c r="K31" s="10"/>
      <c r="L31" s="12"/>
    </row>
    <row r="32" spans="7:12" x14ac:dyDescent="0.25">
      <c r="G32" s="99"/>
      <c r="H32" s="13"/>
      <c r="I32" s="14" t="s">
        <v>31</v>
      </c>
      <c r="J32" s="14">
        <v>22680</v>
      </c>
      <c r="K32" s="14"/>
      <c r="L32" s="15"/>
    </row>
    <row r="33" spans="7:12" x14ac:dyDescent="0.25">
      <c r="G33" s="99"/>
      <c r="H33" s="13"/>
      <c r="I33" s="14"/>
      <c r="J33" s="14"/>
      <c r="K33" s="14"/>
      <c r="L33" s="15"/>
    </row>
    <row r="34" spans="7:12" x14ac:dyDescent="0.25">
      <c r="G34" s="99"/>
      <c r="H34" s="16" t="s">
        <v>17</v>
      </c>
      <c r="I34" s="17"/>
      <c r="J34" s="17" t="s">
        <v>18</v>
      </c>
      <c r="K34" s="17"/>
      <c r="L34" s="18" t="s">
        <v>19</v>
      </c>
    </row>
    <row r="35" spans="7:12" x14ac:dyDescent="0.25">
      <c r="G35" s="99"/>
      <c r="H35" s="19">
        <f>+B7*B8*E4</f>
        <v>22000</v>
      </c>
      <c r="I35" s="20">
        <f>+J35-H35</f>
        <v>1100</v>
      </c>
      <c r="J35" s="21">
        <f>+J31*B8</f>
        <v>23100</v>
      </c>
      <c r="K35" s="21">
        <f>+L35-J35</f>
        <v>-420</v>
      </c>
      <c r="L35" s="22">
        <f>+J32</f>
        <v>22680</v>
      </c>
    </row>
    <row r="36" spans="7:12" x14ac:dyDescent="0.25">
      <c r="G36" s="99"/>
      <c r="H36" s="19"/>
      <c r="I36" s="21" t="s">
        <v>28</v>
      </c>
      <c r="J36" s="21"/>
      <c r="K36" s="21" t="s">
        <v>29</v>
      </c>
      <c r="L36" s="22"/>
    </row>
    <row r="37" spans="7:12" x14ac:dyDescent="0.25">
      <c r="G37" s="99"/>
      <c r="H37" s="13"/>
      <c r="I37" s="14"/>
      <c r="J37" s="14"/>
      <c r="K37" s="14"/>
      <c r="L37" s="15"/>
    </row>
    <row r="38" spans="7:12" x14ac:dyDescent="0.25">
      <c r="G38" s="100"/>
      <c r="H38" s="23"/>
      <c r="I38" s="24" t="s">
        <v>26</v>
      </c>
      <c r="J38" s="24">
        <f>+I35+K35</f>
        <v>680</v>
      </c>
      <c r="K38" s="24" t="s">
        <v>28</v>
      </c>
      <c r="L38" s="25"/>
    </row>
    <row r="41" spans="7:12" x14ac:dyDescent="0.25">
      <c r="G41" s="98" t="s">
        <v>15</v>
      </c>
      <c r="H41" s="9"/>
      <c r="I41" s="10" t="s">
        <v>32</v>
      </c>
      <c r="J41" s="11">
        <v>1050</v>
      </c>
      <c r="K41" s="10"/>
      <c r="L41" s="12"/>
    </row>
    <row r="42" spans="7:12" x14ac:dyDescent="0.25">
      <c r="G42" s="99"/>
      <c r="H42" s="13"/>
      <c r="I42" s="14" t="s">
        <v>33</v>
      </c>
      <c r="J42" s="14">
        <v>7140</v>
      </c>
      <c r="K42" s="14"/>
      <c r="L42" s="15"/>
    </row>
    <row r="43" spans="7:12" x14ac:dyDescent="0.25">
      <c r="G43" s="99"/>
      <c r="H43" s="13"/>
      <c r="I43" s="14"/>
      <c r="J43" s="14"/>
      <c r="K43" s="14"/>
      <c r="L43" s="15"/>
    </row>
    <row r="44" spans="7:12" x14ac:dyDescent="0.25">
      <c r="G44" s="99"/>
      <c r="H44" s="16" t="s">
        <v>17</v>
      </c>
      <c r="I44" s="17"/>
      <c r="J44" s="17" t="s">
        <v>18</v>
      </c>
      <c r="K44" s="17"/>
      <c r="L44" s="18" t="s">
        <v>19</v>
      </c>
    </row>
    <row r="45" spans="7:12" x14ac:dyDescent="0.25">
      <c r="G45" s="99"/>
      <c r="H45" s="19">
        <f>+B11*B12*E4</f>
        <v>6000</v>
      </c>
      <c r="I45" s="20">
        <f>+J45-H45</f>
        <v>300</v>
      </c>
      <c r="J45" s="21">
        <f>J41*B12</f>
        <v>6300</v>
      </c>
      <c r="K45" s="21">
        <f>+L45-J45</f>
        <v>840</v>
      </c>
      <c r="L45" s="22">
        <f>+J42</f>
        <v>7140</v>
      </c>
    </row>
    <row r="46" spans="7:12" x14ac:dyDescent="0.25">
      <c r="G46" s="99"/>
      <c r="H46" s="19"/>
      <c r="I46" s="21" t="s">
        <v>28</v>
      </c>
      <c r="J46" s="21"/>
      <c r="K46" s="21" t="s">
        <v>28</v>
      </c>
      <c r="L46" s="22"/>
    </row>
    <row r="47" spans="7:12" x14ac:dyDescent="0.25">
      <c r="G47" s="99"/>
      <c r="H47" s="13"/>
      <c r="I47" s="14"/>
      <c r="J47" s="14"/>
      <c r="K47" s="14"/>
      <c r="L47" s="15"/>
    </row>
    <row r="48" spans="7:12" x14ac:dyDescent="0.25">
      <c r="G48" s="100"/>
      <c r="H48" s="23"/>
      <c r="I48" s="24" t="s">
        <v>26</v>
      </c>
      <c r="J48" s="24">
        <f>+I45+K45</f>
        <v>1140</v>
      </c>
      <c r="K48" s="24" t="s">
        <v>28</v>
      </c>
      <c r="L48" s="25"/>
    </row>
  </sheetData>
  <mergeCells count="4">
    <mergeCell ref="D2:E2"/>
    <mergeCell ref="G21:G28"/>
    <mergeCell ref="G31:G38"/>
    <mergeCell ref="G41:G48"/>
  </mergeCells>
  <pageMargins left="0.75" right="0.75" top="1" bottom="1" header="0.5" footer="0.5"/>
  <pageSetup paperSize="9"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M2:P53"/>
  <sheetViews>
    <sheetView showGridLines="0" zoomScale="85" zoomScaleNormal="85" zoomScalePageLayoutView="130" workbookViewId="0">
      <selection activeCell="J37" sqref="J37"/>
    </sheetView>
  </sheetViews>
  <sheetFormatPr defaultColWidth="10.8984375" defaultRowHeight="13.2" x14ac:dyDescent="0.25"/>
  <cols>
    <col min="1" max="12" width="10.8984375" style="1"/>
    <col min="13" max="13" width="26" style="1" bestFit="1" customWidth="1"/>
    <col min="14" max="16384" width="10.8984375" style="1"/>
  </cols>
  <sheetData>
    <row r="2" spans="13:16" x14ac:dyDescent="0.25">
      <c r="N2" s="7"/>
      <c r="O2" s="7"/>
      <c r="P2" s="7"/>
    </row>
    <row r="3" spans="13:16" x14ac:dyDescent="0.25">
      <c r="N3" s="31" t="s">
        <v>35</v>
      </c>
      <c r="O3" s="31" t="s">
        <v>36</v>
      </c>
      <c r="P3" s="31" t="s">
        <v>37</v>
      </c>
    </row>
    <row r="4" spans="13:16" x14ac:dyDescent="0.25">
      <c r="M4" s="7" t="s">
        <v>34</v>
      </c>
      <c r="N4" s="1">
        <v>7.2</v>
      </c>
      <c r="O4" s="1">
        <v>2.5</v>
      </c>
      <c r="P4" s="1">
        <f>+O4*N4</f>
        <v>18</v>
      </c>
    </row>
    <row r="5" spans="13:16" x14ac:dyDescent="0.25">
      <c r="M5" s="59" t="s">
        <v>2</v>
      </c>
      <c r="N5" s="24">
        <v>0.4</v>
      </c>
      <c r="O5" s="24">
        <v>10</v>
      </c>
      <c r="P5" s="24">
        <f>+O5*N5</f>
        <v>4</v>
      </c>
    </row>
    <row r="9" spans="13:16" x14ac:dyDescent="0.25">
      <c r="N9" s="31" t="s">
        <v>183</v>
      </c>
      <c r="O9" s="31" t="s">
        <v>184</v>
      </c>
      <c r="P9" s="31" t="s">
        <v>137</v>
      </c>
    </row>
    <row r="10" spans="13:16" x14ac:dyDescent="0.25">
      <c r="M10" s="24" t="s">
        <v>182</v>
      </c>
      <c r="N10" s="60">
        <v>20000</v>
      </c>
      <c r="O10" s="24">
        <v>2.4</v>
      </c>
      <c r="P10" s="24">
        <f>+N10*O10</f>
        <v>48000</v>
      </c>
    </row>
    <row r="11" spans="13:16" x14ac:dyDescent="0.25">
      <c r="M11" s="1" t="s">
        <v>185</v>
      </c>
    </row>
    <row r="13" spans="13:16" x14ac:dyDescent="0.25">
      <c r="M13" s="1" t="s">
        <v>146</v>
      </c>
      <c r="N13" s="2">
        <v>2500</v>
      </c>
    </row>
    <row r="16" spans="13:16" x14ac:dyDescent="0.25">
      <c r="N16" s="31" t="s">
        <v>137</v>
      </c>
      <c r="O16" s="31" t="s">
        <v>43</v>
      </c>
      <c r="P16" s="31" t="s">
        <v>186</v>
      </c>
    </row>
    <row r="17" spans="13:16" x14ac:dyDescent="0.25">
      <c r="M17" s="24" t="s">
        <v>2</v>
      </c>
      <c r="N17" s="24">
        <v>10800</v>
      </c>
      <c r="O17" s="60">
        <v>900</v>
      </c>
      <c r="P17" s="24">
        <f>+N17/O17</f>
        <v>12</v>
      </c>
    </row>
    <row r="22" spans="13:16" x14ac:dyDescent="0.25">
      <c r="M22" s="97" t="s">
        <v>187</v>
      </c>
      <c r="N22" s="97"/>
    </row>
    <row r="23" spans="13:16" x14ac:dyDescent="0.25">
      <c r="M23" s="1" t="str">
        <f>M13</f>
        <v>Produção</v>
      </c>
      <c r="N23" s="2">
        <f>N13</f>
        <v>2500</v>
      </c>
    </row>
    <row r="24" spans="13:16" x14ac:dyDescent="0.25">
      <c r="M24" s="1" t="s">
        <v>153</v>
      </c>
      <c r="N24" s="1">
        <f>N4</f>
        <v>7.2</v>
      </c>
    </row>
    <row r="25" spans="13:16" x14ac:dyDescent="0.25">
      <c r="M25" s="1" t="s">
        <v>188</v>
      </c>
      <c r="N25" s="2">
        <f>+N24*N23</f>
        <v>18000</v>
      </c>
    </row>
    <row r="26" spans="13:16" x14ac:dyDescent="0.25">
      <c r="M26" s="1" t="s">
        <v>154</v>
      </c>
      <c r="N26" s="1">
        <f>O4</f>
        <v>2.5</v>
      </c>
    </row>
    <row r="27" spans="13:16" x14ac:dyDescent="0.25">
      <c r="M27" s="1" t="s">
        <v>189</v>
      </c>
      <c r="N27" s="1">
        <f>+N26*N25</f>
        <v>45000</v>
      </c>
    </row>
    <row r="29" spans="13:16" x14ac:dyDescent="0.25">
      <c r="M29" s="1" t="s">
        <v>137</v>
      </c>
      <c r="N29" s="1">
        <f>P10</f>
        <v>48000</v>
      </c>
    </row>
    <row r="30" spans="13:16" x14ac:dyDescent="0.25">
      <c r="M30" s="1" t="s">
        <v>55</v>
      </c>
      <c r="N30" s="1">
        <f>+N29-N27</f>
        <v>3000</v>
      </c>
      <c r="O30" s="1" t="str">
        <f t="shared" ref="O30" si="0">IF(N30&gt;0,"D",IF(N30&lt;0,"F","-"))</f>
        <v>D</v>
      </c>
    </row>
    <row r="33" spans="13:15" x14ac:dyDescent="0.25">
      <c r="M33" s="97" t="s">
        <v>158</v>
      </c>
      <c r="N33" s="97"/>
    </row>
    <row r="34" spans="13:15" x14ac:dyDescent="0.25">
      <c r="M34" s="1" t="s">
        <v>152</v>
      </c>
      <c r="N34" s="1">
        <f>O4*(N10-N25)</f>
        <v>5000</v>
      </c>
      <c r="O34" s="1" t="str">
        <f>IF(N34&gt;0,"D",IF(N34&lt;0,"F","-"))</f>
        <v>D</v>
      </c>
    </row>
    <row r="35" spans="13:15" x14ac:dyDescent="0.25">
      <c r="M35" s="1" t="s">
        <v>151</v>
      </c>
      <c r="N35" s="1">
        <f>N10*(O10-O4)</f>
        <v>-2000.0000000000018</v>
      </c>
      <c r="O35" s="1" t="str">
        <f t="shared" ref="O35:O36" si="1">IF(N35&gt;0,"D",IF(N35&lt;0,"F","-"))</f>
        <v>F</v>
      </c>
    </row>
    <row r="36" spans="13:15" x14ac:dyDescent="0.25">
      <c r="M36" s="1" t="s">
        <v>55</v>
      </c>
      <c r="N36" s="1">
        <f>SUM(N34:N35)</f>
        <v>2999.9999999999982</v>
      </c>
      <c r="O36" s="1" t="str">
        <f t="shared" si="1"/>
        <v>D</v>
      </c>
    </row>
    <row r="39" spans="13:15" x14ac:dyDescent="0.25">
      <c r="M39" s="97" t="s">
        <v>190</v>
      </c>
      <c r="N39" s="97"/>
    </row>
    <row r="40" spans="13:15" x14ac:dyDescent="0.25">
      <c r="M40" s="1" t="str">
        <f>M13</f>
        <v>Produção</v>
      </c>
      <c r="N40" s="1">
        <f>N13</f>
        <v>2500</v>
      </c>
    </row>
    <row r="41" spans="13:15" x14ac:dyDescent="0.25">
      <c r="M41" s="1" t="s">
        <v>153</v>
      </c>
      <c r="N41" s="1">
        <f>N5</f>
        <v>0.4</v>
      </c>
    </row>
    <row r="42" spans="13:15" x14ac:dyDescent="0.25">
      <c r="M42" s="1" t="s">
        <v>192</v>
      </c>
      <c r="N42" s="2">
        <f>+N41*N40</f>
        <v>1000</v>
      </c>
    </row>
    <row r="43" spans="13:15" x14ac:dyDescent="0.25">
      <c r="M43" s="1" t="s">
        <v>154</v>
      </c>
      <c r="N43" s="1">
        <f>O5</f>
        <v>10</v>
      </c>
    </row>
    <row r="44" spans="13:15" x14ac:dyDescent="0.25">
      <c r="M44" s="1" t="s">
        <v>193</v>
      </c>
      <c r="N44" s="1">
        <f>+N43*N42</f>
        <v>10000</v>
      </c>
    </row>
    <row r="46" spans="13:15" x14ac:dyDescent="0.25">
      <c r="M46" s="1" t="s">
        <v>137</v>
      </c>
      <c r="N46" s="1">
        <f>N17</f>
        <v>10800</v>
      </c>
    </row>
    <row r="47" spans="13:15" x14ac:dyDescent="0.25">
      <c r="M47" s="1" t="s">
        <v>55</v>
      </c>
      <c r="N47" s="1">
        <f>+N46-N44</f>
        <v>800</v>
      </c>
      <c r="O47" s="1" t="str">
        <f t="shared" ref="O47" si="2">IF(N47&gt;0,"D",IF(N47&lt;0,"F","-"))</f>
        <v>D</v>
      </c>
    </row>
    <row r="50" spans="13:15" x14ac:dyDescent="0.25">
      <c r="M50" s="97" t="s">
        <v>158</v>
      </c>
      <c r="N50" s="97"/>
    </row>
    <row r="51" spans="13:15" x14ac:dyDescent="0.25">
      <c r="M51" s="1" t="s">
        <v>191</v>
      </c>
      <c r="N51" s="1">
        <f>O5*(O17-N42)</f>
        <v>-1000</v>
      </c>
      <c r="O51" s="1" t="str">
        <f>IF(N51&gt;0,"D",IF(N51&lt;0,"F","-"))</f>
        <v>F</v>
      </c>
    </row>
    <row r="52" spans="13:15" x14ac:dyDescent="0.25">
      <c r="M52" s="1" t="s">
        <v>176</v>
      </c>
      <c r="N52" s="1">
        <f>O17*(P17-O5)</f>
        <v>1800</v>
      </c>
      <c r="O52" s="1" t="str">
        <f t="shared" ref="O52:O53" si="3">IF(N52&gt;0,"D",IF(N52&lt;0,"F","-"))</f>
        <v>D</v>
      </c>
    </row>
    <row r="53" spans="13:15" x14ac:dyDescent="0.25">
      <c r="M53" s="1" t="s">
        <v>55</v>
      </c>
      <c r="N53" s="1">
        <f>SUM(N51:N52)</f>
        <v>800</v>
      </c>
      <c r="O53" s="1" t="str">
        <f t="shared" si="3"/>
        <v>D</v>
      </c>
    </row>
  </sheetData>
  <mergeCells count="4">
    <mergeCell ref="M22:N22"/>
    <mergeCell ref="M33:N33"/>
    <mergeCell ref="M39:N39"/>
    <mergeCell ref="M50:N50"/>
  </mergeCells>
  <pageMargins left="0.75" right="0.75" top="1" bottom="1" header="0.5" footer="0.5"/>
  <pageSetup paperSize="9" orientation="portrait" horizontalDpi="4294967292" verticalDpi="4294967292"/>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I4:L38"/>
  <sheetViews>
    <sheetView showGridLines="0" tabSelected="1" zoomScaleNormal="100" zoomScalePageLayoutView="130" workbookViewId="0">
      <selection activeCell="B12" sqref="B12:F21"/>
    </sheetView>
  </sheetViews>
  <sheetFormatPr defaultColWidth="10.8984375" defaultRowHeight="13.2" x14ac:dyDescent="0.25"/>
  <cols>
    <col min="1" max="8" width="10.8984375" style="1"/>
    <col min="9" max="9" width="22.3984375" style="1" bestFit="1" customWidth="1"/>
    <col min="10" max="16384" width="10.8984375" style="1"/>
  </cols>
  <sheetData>
    <row r="4" spans="9:12" x14ac:dyDescent="0.25">
      <c r="J4" s="7"/>
      <c r="K4" s="7"/>
      <c r="L4" s="7"/>
    </row>
    <row r="5" spans="9:12" x14ac:dyDescent="0.25">
      <c r="J5" s="31" t="s">
        <v>35</v>
      </c>
      <c r="K5" s="31" t="s">
        <v>36</v>
      </c>
      <c r="L5" s="31" t="s">
        <v>37</v>
      </c>
    </row>
    <row r="6" spans="9:12" x14ac:dyDescent="0.25">
      <c r="I6" s="7" t="s">
        <v>34</v>
      </c>
      <c r="J6" s="1">
        <v>7.2</v>
      </c>
      <c r="K6" s="1">
        <v>2.5</v>
      </c>
      <c r="L6" s="1">
        <f>+K6*J6</f>
        <v>18</v>
      </c>
    </row>
    <row r="7" spans="9:12" x14ac:dyDescent="0.25">
      <c r="I7" s="59" t="s">
        <v>2</v>
      </c>
      <c r="J7" s="24">
        <v>0.4</v>
      </c>
      <c r="K7" s="24">
        <v>10</v>
      </c>
      <c r="L7" s="24">
        <f>+K7*J7</f>
        <v>4</v>
      </c>
    </row>
    <row r="11" spans="9:12" x14ac:dyDescent="0.25">
      <c r="J11" s="31" t="s">
        <v>183</v>
      </c>
      <c r="K11" s="31" t="s">
        <v>184</v>
      </c>
      <c r="L11" s="31" t="s">
        <v>137</v>
      </c>
    </row>
    <row r="12" spans="9:12" x14ac:dyDescent="0.25">
      <c r="I12" s="24" t="s">
        <v>182</v>
      </c>
      <c r="J12" s="60">
        <v>20000</v>
      </c>
      <c r="K12" s="24">
        <v>2.4</v>
      </c>
      <c r="L12" s="24">
        <f>+J12*K12</f>
        <v>48000</v>
      </c>
    </row>
    <row r="13" spans="9:12" x14ac:dyDescent="0.25">
      <c r="I13" s="24" t="s">
        <v>194</v>
      </c>
      <c r="J13" s="60">
        <v>16000</v>
      </c>
      <c r="K13" s="24">
        <f>+K12</f>
        <v>2.4</v>
      </c>
      <c r="L13" s="24">
        <f>+J13*K13</f>
        <v>38400</v>
      </c>
    </row>
    <row r="14" spans="9:12" x14ac:dyDescent="0.25">
      <c r="I14" s="14"/>
      <c r="J14" s="61"/>
      <c r="K14" s="14"/>
      <c r="L14" s="14"/>
    </row>
    <row r="15" spans="9:12" x14ac:dyDescent="0.25">
      <c r="I15" s="14"/>
      <c r="J15" s="61"/>
      <c r="K15" s="14"/>
      <c r="L15" s="14"/>
    </row>
    <row r="17" spans="9:12" x14ac:dyDescent="0.25">
      <c r="I17" s="1" t="s">
        <v>146</v>
      </c>
      <c r="J17" s="2">
        <v>2000</v>
      </c>
    </row>
    <row r="20" spans="9:12" x14ac:dyDescent="0.25">
      <c r="J20" s="31" t="s">
        <v>137</v>
      </c>
      <c r="K20" s="31" t="s">
        <v>43</v>
      </c>
      <c r="L20" s="31" t="s">
        <v>186</v>
      </c>
    </row>
    <row r="21" spans="9:12" x14ac:dyDescent="0.25">
      <c r="I21" s="24" t="s">
        <v>2</v>
      </c>
      <c r="J21" s="24">
        <v>10800</v>
      </c>
      <c r="K21" s="60">
        <v>900</v>
      </c>
      <c r="L21" s="24">
        <f>+J21/K21</f>
        <v>12</v>
      </c>
    </row>
    <row r="25" spans="9:12" x14ac:dyDescent="0.25">
      <c r="I25" s="1" t="s">
        <v>200</v>
      </c>
    </row>
    <row r="26" spans="9:12" x14ac:dyDescent="0.25">
      <c r="I26" s="65" t="s">
        <v>36</v>
      </c>
      <c r="J26" s="64">
        <f>K6</f>
        <v>2.5</v>
      </c>
    </row>
    <row r="27" spans="9:12" x14ac:dyDescent="0.25">
      <c r="I27" s="1" t="s">
        <v>139</v>
      </c>
      <c r="J27" s="2">
        <f>J13</f>
        <v>16000</v>
      </c>
    </row>
    <row r="28" spans="9:12" x14ac:dyDescent="0.25">
      <c r="I28" s="1" t="s">
        <v>35</v>
      </c>
      <c r="J28" s="1">
        <f>J6*J17</f>
        <v>14400</v>
      </c>
    </row>
    <row r="29" spans="9:12" x14ac:dyDescent="0.25">
      <c r="I29" s="1" t="s">
        <v>199</v>
      </c>
      <c r="J29" s="2">
        <f>J26*(J27-J28)</f>
        <v>4000</v>
      </c>
      <c r="K29" s="1" t="str">
        <f>IF(J29&gt;0,"D",IF(J29&lt;0,"F","-"))</f>
        <v>D</v>
      </c>
    </row>
    <row r="31" spans="9:12" x14ac:dyDescent="0.25">
      <c r="I31" s="1" t="s">
        <v>201</v>
      </c>
    </row>
    <row r="32" spans="9:12" x14ac:dyDescent="0.25">
      <c r="I32" s="1" t="s">
        <v>139</v>
      </c>
      <c r="J32" s="1">
        <f>+J12</f>
        <v>20000</v>
      </c>
    </row>
    <row r="33" spans="9:11" x14ac:dyDescent="0.25">
      <c r="I33" s="1" t="s">
        <v>140</v>
      </c>
      <c r="J33" s="1">
        <f>+K13</f>
        <v>2.4</v>
      </c>
    </row>
    <row r="34" spans="9:11" x14ac:dyDescent="0.25">
      <c r="I34" s="1" t="s">
        <v>36</v>
      </c>
      <c r="J34" s="1">
        <f>+K6</f>
        <v>2.5</v>
      </c>
    </row>
    <row r="35" spans="9:11" x14ac:dyDescent="0.25">
      <c r="I35" s="1" t="s">
        <v>202</v>
      </c>
      <c r="J35" s="1">
        <f>+J32*(J33-J34)</f>
        <v>-2000.0000000000018</v>
      </c>
      <c r="K35" s="1" t="str">
        <f>IF(J35&gt;0,"D",IF(J35&lt;0,"F","-"))</f>
        <v>F</v>
      </c>
    </row>
    <row r="38" spans="9:11" x14ac:dyDescent="0.25">
      <c r="I38" s="64"/>
      <c r="J38" s="64"/>
    </row>
  </sheetData>
  <pageMargins left="0.75" right="0.75" top="1" bottom="1" header="0.5" footer="0.5"/>
  <pageSetup paperSize="9" orientation="portrait" horizontalDpi="4294967292" verticalDpi="4294967292"/>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G4:Q56"/>
  <sheetViews>
    <sheetView showGridLines="0" topLeftCell="A31" zoomScale="145" zoomScaleNormal="145" zoomScalePageLayoutView="145" workbookViewId="0">
      <selection activeCell="J52" sqref="J52"/>
    </sheetView>
  </sheetViews>
  <sheetFormatPr defaultColWidth="10.8984375" defaultRowHeight="13.2" x14ac:dyDescent="0.25"/>
  <cols>
    <col min="1" max="6" width="10.8984375" style="1"/>
    <col min="7" max="7" width="22.3984375" style="1" bestFit="1" customWidth="1"/>
    <col min="8" max="8" width="9.8984375" style="1" bestFit="1" customWidth="1"/>
    <col min="9" max="9" width="12.5" style="1" bestFit="1" customWidth="1"/>
    <col min="10" max="10" width="14.09765625" style="1" bestFit="1" customWidth="1"/>
    <col min="11" max="16384" width="10.8984375" style="1"/>
  </cols>
  <sheetData>
    <row r="4" spans="7:10" x14ac:dyDescent="0.25">
      <c r="H4" s="31" t="s">
        <v>195</v>
      </c>
      <c r="I4" s="31" t="s">
        <v>196</v>
      </c>
      <c r="J4" s="31" t="s">
        <v>37</v>
      </c>
    </row>
    <row r="5" spans="7:10" x14ac:dyDescent="0.25">
      <c r="G5" s="59" t="s">
        <v>34</v>
      </c>
      <c r="H5" s="60">
        <v>8</v>
      </c>
      <c r="I5" s="24">
        <v>0.3</v>
      </c>
      <c r="J5" s="24">
        <f>+I5*H5</f>
        <v>2.4</v>
      </c>
    </row>
    <row r="6" spans="7:10" x14ac:dyDescent="0.25">
      <c r="G6" s="34"/>
      <c r="H6" s="61"/>
      <c r="I6" s="14"/>
      <c r="J6" s="14"/>
    </row>
    <row r="7" spans="7:10" x14ac:dyDescent="0.25">
      <c r="G7" s="7"/>
    </row>
    <row r="8" spans="7:10" x14ac:dyDescent="0.25">
      <c r="G8" s="7"/>
      <c r="H8" s="31" t="s">
        <v>43</v>
      </c>
      <c r="I8" s="31" t="s">
        <v>186</v>
      </c>
      <c r="J8" s="31" t="s">
        <v>49</v>
      </c>
    </row>
    <row r="9" spans="7:10" x14ac:dyDescent="0.25">
      <c r="G9" s="59" t="s">
        <v>2</v>
      </c>
      <c r="H9" s="24">
        <v>0.6</v>
      </c>
      <c r="I9" s="24">
        <v>14</v>
      </c>
      <c r="J9" s="24">
        <f>+I9*H9</f>
        <v>8.4</v>
      </c>
    </row>
    <row r="10" spans="7:10" x14ac:dyDescent="0.25">
      <c r="G10" s="7"/>
    </row>
    <row r="11" spans="7:10" x14ac:dyDescent="0.25">
      <c r="G11" s="7"/>
    </row>
    <row r="12" spans="7:10" x14ac:dyDescent="0.25">
      <c r="G12" s="7" t="s">
        <v>146</v>
      </c>
      <c r="H12" s="63">
        <v>5000</v>
      </c>
      <c r="I12" s="7"/>
    </row>
    <row r="13" spans="7:10" x14ac:dyDescent="0.25">
      <c r="G13" s="7"/>
    </row>
    <row r="14" spans="7:10" x14ac:dyDescent="0.25">
      <c r="G14" s="7"/>
    </row>
    <row r="15" spans="7:10" x14ac:dyDescent="0.25">
      <c r="G15" s="7"/>
      <c r="H15" s="31" t="s">
        <v>195</v>
      </c>
      <c r="I15" s="31" t="s">
        <v>46</v>
      </c>
      <c r="J15" s="31" t="s">
        <v>137</v>
      </c>
    </row>
    <row r="16" spans="7:10" x14ac:dyDescent="0.25">
      <c r="G16" s="7" t="s">
        <v>182</v>
      </c>
      <c r="H16" s="2">
        <v>70000</v>
      </c>
      <c r="I16" s="1">
        <v>0.28000000000000003</v>
      </c>
      <c r="J16" s="1">
        <f>+I16*H16</f>
        <v>19600.000000000004</v>
      </c>
    </row>
    <row r="17" spans="7:17" x14ac:dyDescent="0.25">
      <c r="G17" s="59" t="s">
        <v>194</v>
      </c>
      <c r="H17" s="60">
        <f>+H16-20000</f>
        <v>50000</v>
      </c>
      <c r="I17" s="24">
        <v>0.28000000000000003</v>
      </c>
      <c r="J17" s="24">
        <f>+I17*H17</f>
        <v>14000.000000000002</v>
      </c>
    </row>
    <row r="18" spans="7:17" x14ac:dyDescent="0.25">
      <c r="G18" s="7"/>
    </row>
    <row r="19" spans="7:17" x14ac:dyDescent="0.25">
      <c r="G19" s="7"/>
    </row>
    <row r="20" spans="7:17" x14ac:dyDescent="0.25">
      <c r="G20" s="7"/>
      <c r="H20" s="62" t="s">
        <v>166</v>
      </c>
      <c r="I20" s="62" t="s">
        <v>197</v>
      </c>
      <c r="J20" s="62" t="s">
        <v>198</v>
      </c>
    </row>
    <row r="21" spans="7:17" x14ac:dyDescent="0.25">
      <c r="G21" s="59" t="s">
        <v>2</v>
      </c>
      <c r="H21" s="60">
        <v>3200</v>
      </c>
      <c r="I21" s="24">
        <v>48000</v>
      </c>
      <c r="J21" s="24">
        <f>+I21/H21</f>
        <v>15</v>
      </c>
    </row>
    <row r="24" spans="7:17" x14ac:dyDescent="0.25">
      <c r="G24" s="106" t="s">
        <v>203</v>
      </c>
      <c r="H24" s="108"/>
      <c r="I24" s="107"/>
      <c r="L24" s="109" t="s">
        <v>206</v>
      </c>
      <c r="M24" s="110"/>
      <c r="N24" s="110"/>
      <c r="O24" s="110"/>
      <c r="P24" s="110"/>
      <c r="Q24" s="110"/>
    </row>
    <row r="25" spans="7:17" x14ac:dyDescent="0.25">
      <c r="G25" s="9" t="s">
        <v>200</v>
      </c>
      <c r="H25" s="10"/>
      <c r="I25" s="12"/>
      <c r="L25" s="110"/>
      <c r="M25" s="110"/>
      <c r="N25" s="110"/>
      <c r="O25" s="110"/>
      <c r="P25" s="110"/>
      <c r="Q25" s="110"/>
    </row>
    <row r="26" spans="7:17" x14ac:dyDescent="0.25">
      <c r="G26" s="67" t="s">
        <v>36</v>
      </c>
      <c r="H26" s="72">
        <f>I5</f>
        <v>0.3</v>
      </c>
      <c r="I26" s="15"/>
      <c r="L26" s="110"/>
      <c r="M26" s="110"/>
      <c r="N26" s="110"/>
      <c r="O26" s="110"/>
      <c r="P26" s="110"/>
      <c r="Q26" s="110"/>
    </row>
    <row r="27" spans="7:17" x14ac:dyDescent="0.25">
      <c r="G27" s="13" t="s">
        <v>139</v>
      </c>
      <c r="H27" s="61">
        <f>H17</f>
        <v>50000</v>
      </c>
      <c r="I27" s="15"/>
      <c r="L27" s="110"/>
      <c r="M27" s="110"/>
      <c r="N27" s="110"/>
      <c r="O27" s="110"/>
      <c r="P27" s="110"/>
      <c r="Q27" s="110"/>
    </row>
    <row r="28" spans="7:17" x14ac:dyDescent="0.25">
      <c r="G28" s="13" t="s">
        <v>35</v>
      </c>
      <c r="H28" s="61">
        <f>H5*H12</f>
        <v>40000</v>
      </c>
      <c r="I28" s="70"/>
      <c r="L28" s="110"/>
      <c r="M28" s="110"/>
      <c r="N28" s="110"/>
      <c r="O28" s="110"/>
      <c r="P28" s="110"/>
      <c r="Q28" s="110"/>
    </row>
    <row r="29" spans="7:17" x14ac:dyDescent="0.25">
      <c r="G29" s="13" t="s">
        <v>199</v>
      </c>
      <c r="H29" s="14">
        <f>H26*(H27-H28)</f>
        <v>3000</v>
      </c>
      <c r="I29" s="70" t="str">
        <f>IF(H29&gt;0,"D",IF(H29&lt;0,"F","-"))</f>
        <v>D</v>
      </c>
      <c r="L29" s="110"/>
      <c r="M29" s="110"/>
      <c r="N29" s="110"/>
      <c r="O29" s="110"/>
      <c r="P29" s="110"/>
      <c r="Q29" s="110"/>
    </row>
    <row r="30" spans="7:17" x14ac:dyDescent="0.25">
      <c r="G30" s="13"/>
      <c r="H30" s="14"/>
      <c r="I30" s="70"/>
      <c r="L30" s="110"/>
      <c r="M30" s="110"/>
      <c r="N30" s="110"/>
      <c r="O30" s="110"/>
      <c r="P30" s="110"/>
      <c r="Q30" s="110"/>
    </row>
    <row r="31" spans="7:17" x14ac:dyDescent="0.25">
      <c r="G31" s="13" t="s">
        <v>201</v>
      </c>
      <c r="H31" s="14"/>
      <c r="I31" s="70"/>
      <c r="L31" s="110"/>
      <c r="M31" s="110"/>
      <c r="N31" s="110"/>
      <c r="O31" s="110"/>
      <c r="P31" s="110"/>
      <c r="Q31" s="110"/>
    </row>
    <row r="32" spans="7:17" x14ac:dyDescent="0.25">
      <c r="G32" s="13" t="s">
        <v>139</v>
      </c>
      <c r="H32" s="61">
        <f>+H16</f>
        <v>70000</v>
      </c>
      <c r="I32" s="70"/>
      <c r="L32" s="110"/>
      <c r="M32" s="110"/>
      <c r="N32" s="110"/>
      <c r="O32" s="110"/>
      <c r="P32" s="110"/>
      <c r="Q32" s="110"/>
    </row>
    <row r="33" spans="7:17" x14ac:dyDescent="0.25">
      <c r="G33" s="13" t="s">
        <v>140</v>
      </c>
      <c r="H33" s="14">
        <f>I16</f>
        <v>0.28000000000000003</v>
      </c>
      <c r="I33" s="70"/>
      <c r="L33" s="110"/>
      <c r="M33" s="110"/>
      <c r="N33" s="110"/>
      <c r="O33" s="110"/>
      <c r="P33" s="110"/>
      <c r="Q33" s="110"/>
    </row>
    <row r="34" spans="7:17" x14ac:dyDescent="0.25">
      <c r="G34" s="13" t="s">
        <v>36</v>
      </c>
      <c r="H34" s="14">
        <f>I5</f>
        <v>0.3</v>
      </c>
      <c r="I34" s="70"/>
      <c r="L34" s="110"/>
      <c r="M34" s="110"/>
      <c r="N34" s="110"/>
      <c r="O34" s="110"/>
      <c r="P34" s="110"/>
      <c r="Q34" s="110"/>
    </row>
    <row r="35" spans="7:17" x14ac:dyDescent="0.25">
      <c r="G35" s="13" t="s">
        <v>202</v>
      </c>
      <c r="H35" s="14">
        <f>+H32*(H33-H34)</f>
        <v>-1399.9999999999973</v>
      </c>
      <c r="I35" s="70" t="str">
        <f>IF(H35&gt;0,"D",IF(H35&lt;0,"F","-"))</f>
        <v>F</v>
      </c>
      <c r="L35" s="110"/>
      <c r="M35" s="110"/>
      <c r="N35" s="110"/>
      <c r="O35" s="110"/>
      <c r="P35" s="110"/>
      <c r="Q35" s="110"/>
    </row>
    <row r="36" spans="7:17" x14ac:dyDescent="0.25">
      <c r="G36" s="13"/>
      <c r="H36" s="14"/>
      <c r="I36" s="70"/>
      <c r="L36" s="110"/>
      <c r="M36" s="110"/>
      <c r="N36" s="110"/>
      <c r="O36" s="110"/>
      <c r="P36" s="110"/>
      <c r="Q36" s="110"/>
    </row>
    <row r="37" spans="7:17" x14ac:dyDescent="0.25">
      <c r="G37" s="13"/>
      <c r="H37" s="14"/>
      <c r="I37" s="70"/>
      <c r="L37" s="110"/>
      <c r="M37" s="110"/>
      <c r="N37" s="110"/>
      <c r="O37" s="110"/>
      <c r="P37" s="110"/>
      <c r="Q37" s="110"/>
    </row>
    <row r="38" spans="7:17" x14ac:dyDescent="0.25">
      <c r="G38" s="68"/>
      <c r="H38" s="69"/>
      <c r="I38" s="71"/>
      <c r="L38" s="110"/>
      <c r="M38" s="110"/>
      <c r="N38" s="110"/>
      <c r="O38" s="110"/>
      <c r="P38" s="110"/>
      <c r="Q38" s="110"/>
    </row>
    <row r="39" spans="7:17" x14ac:dyDescent="0.25">
      <c r="G39" s="64"/>
      <c r="H39" s="64"/>
      <c r="L39" s="110"/>
      <c r="M39" s="110"/>
      <c r="N39" s="110"/>
      <c r="O39" s="110"/>
      <c r="P39" s="110"/>
      <c r="Q39" s="110"/>
    </row>
    <row r="40" spans="7:17" x14ac:dyDescent="0.25">
      <c r="L40" s="110"/>
      <c r="M40" s="110"/>
      <c r="N40" s="110"/>
      <c r="O40" s="110"/>
      <c r="P40" s="110"/>
      <c r="Q40" s="110"/>
    </row>
    <row r="41" spans="7:17" x14ac:dyDescent="0.25">
      <c r="L41" s="110"/>
      <c r="M41" s="110"/>
      <c r="N41" s="110"/>
      <c r="O41" s="110"/>
      <c r="P41" s="110"/>
      <c r="Q41" s="110"/>
    </row>
    <row r="42" spans="7:17" x14ac:dyDescent="0.25">
      <c r="G42" s="106" t="s">
        <v>204</v>
      </c>
      <c r="H42" s="108"/>
      <c r="I42" s="107"/>
      <c r="L42" s="110"/>
      <c r="M42" s="110"/>
      <c r="N42" s="110"/>
      <c r="O42" s="110"/>
      <c r="P42" s="110"/>
      <c r="Q42" s="110"/>
    </row>
    <row r="43" spans="7:17" x14ac:dyDescent="0.25">
      <c r="G43" s="9" t="s">
        <v>205</v>
      </c>
      <c r="H43" s="10"/>
      <c r="I43" s="12"/>
      <c r="L43" s="110"/>
      <c r="M43" s="110"/>
      <c r="N43" s="110"/>
      <c r="O43" s="110"/>
      <c r="P43" s="110"/>
      <c r="Q43" s="110"/>
    </row>
    <row r="44" spans="7:17" x14ac:dyDescent="0.25">
      <c r="G44" s="67" t="s">
        <v>36</v>
      </c>
      <c r="H44" s="72">
        <f>I9</f>
        <v>14</v>
      </c>
      <c r="I44" s="15"/>
      <c r="L44" s="110"/>
      <c r="M44" s="110"/>
      <c r="N44" s="110"/>
      <c r="O44" s="110"/>
      <c r="P44" s="110"/>
      <c r="Q44" s="110"/>
    </row>
    <row r="45" spans="7:17" x14ac:dyDescent="0.25">
      <c r="G45" s="13" t="s">
        <v>139</v>
      </c>
      <c r="H45" s="61">
        <f>H21</f>
        <v>3200</v>
      </c>
      <c r="I45" s="15"/>
      <c r="L45" s="110"/>
      <c r="M45" s="110"/>
      <c r="N45" s="110"/>
      <c r="O45" s="110"/>
      <c r="P45" s="110"/>
      <c r="Q45" s="110"/>
    </row>
    <row r="46" spans="7:17" x14ac:dyDescent="0.25">
      <c r="G46" s="13" t="s">
        <v>35</v>
      </c>
      <c r="H46" s="61">
        <f>H9*H12</f>
        <v>3000</v>
      </c>
      <c r="I46" s="70"/>
      <c r="L46" s="110"/>
      <c r="M46" s="110"/>
      <c r="N46" s="110"/>
      <c r="O46" s="110"/>
      <c r="P46" s="110"/>
      <c r="Q46" s="110"/>
    </row>
    <row r="47" spans="7:17" x14ac:dyDescent="0.25">
      <c r="G47" s="13" t="s">
        <v>199</v>
      </c>
      <c r="H47" s="14">
        <f>H44*(H45-H46)</f>
        <v>2800</v>
      </c>
      <c r="I47" s="70" t="str">
        <f>IF(H47&gt;0,"D",IF(H47&lt;0,"F","-"))</f>
        <v>D</v>
      </c>
      <c r="L47" s="110"/>
      <c r="M47" s="110"/>
      <c r="N47" s="110"/>
      <c r="O47" s="110"/>
      <c r="P47" s="110"/>
      <c r="Q47" s="110"/>
    </row>
    <row r="48" spans="7:17" x14ac:dyDescent="0.25">
      <c r="G48" s="13"/>
      <c r="H48" s="14"/>
      <c r="I48" s="70"/>
      <c r="L48" s="110"/>
      <c r="M48" s="110"/>
      <c r="N48" s="110"/>
      <c r="O48" s="110"/>
      <c r="P48" s="110"/>
      <c r="Q48" s="110"/>
    </row>
    <row r="49" spans="7:17" x14ac:dyDescent="0.25">
      <c r="G49" s="13" t="s">
        <v>223</v>
      </c>
      <c r="H49" s="14"/>
      <c r="I49" s="70"/>
      <c r="L49" s="110"/>
      <c r="M49" s="110"/>
      <c r="N49" s="110"/>
      <c r="O49" s="110"/>
      <c r="P49" s="110"/>
      <c r="Q49" s="110"/>
    </row>
    <row r="50" spans="7:17" x14ac:dyDescent="0.25">
      <c r="G50" s="13" t="s">
        <v>139</v>
      </c>
      <c r="H50" s="61">
        <f>H21</f>
        <v>3200</v>
      </c>
      <c r="I50" s="70"/>
      <c r="L50" s="110"/>
      <c r="M50" s="110"/>
      <c r="N50" s="110"/>
      <c r="O50" s="110"/>
      <c r="P50" s="110"/>
      <c r="Q50" s="110"/>
    </row>
    <row r="51" spans="7:17" x14ac:dyDescent="0.25">
      <c r="G51" s="13" t="s">
        <v>140</v>
      </c>
      <c r="H51" s="14">
        <f>J21</f>
        <v>15</v>
      </c>
      <c r="I51" s="70"/>
      <c r="L51" s="110"/>
      <c r="M51" s="110"/>
      <c r="N51" s="110"/>
      <c r="O51" s="110"/>
      <c r="P51" s="110"/>
      <c r="Q51" s="110"/>
    </row>
    <row r="52" spans="7:17" x14ac:dyDescent="0.25">
      <c r="G52" s="13" t="s">
        <v>36</v>
      </c>
      <c r="H52" s="14">
        <f>I9</f>
        <v>14</v>
      </c>
      <c r="I52" s="70"/>
      <c r="L52" s="110"/>
      <c r="M52" s="110"/>
      <c r="N52" s="110"/>
      <c r="O52" s="110"/>
      <c r="P52" s="110"/>
      <c r="Q52" s="110"/>
    </row>
    <row r="53" spans="7:17" x14ac:dyDescent="0.25">
      <c r="G53" s="13" t="s">
        <v>144</v>
      </c>
      <c r="H53" s="14">
        <f>+H50*(H51-H52)</f>
        <v>3200</v>
      </c>
      <c r="I53" s="70" t="str">
        <f>IF(H53&gt;0,"D",IF(H53&lt;0,"F","-"))</f>
        <v>D</v>
      </c>
      <c r="L53" s="110"/>
      <c r="M53" s="110"/>
      <c r="N53" s="110"/>
      <c r="O53" s="110"/>
      <c r="P53" s="110"/>
      <c r="Q53" s="110"/>
    </row>
    <row r="54" spans="7:17" x14ac:dyDescent="0.25">
      <c r="G54" s="13"/>
      <c r="H54" s="14"/>
      <c r="I54" s="70"/>
      <c r="L54" s="110"/>
      <c r="M54" s="110"/>
      <c r="N54" s="110"/>
      <c r="O54" s="110"/>
      <c r="P54" s="110"/>
      <c r="Q54" s="110"/>
    </row>
    <row r="55" spans="7:17" x14ac:dyDescent="0.25">
      <c r="G55" s="13"/>
      <c r="H55" s="14"/>
      <c r="I55" s="70"/>
      <c r="L55" s="110"/>
      <c r="M55" s="110"/>
      <c r="N55" s="110"/>
      <c r="O55" s="110"/>
      <c r="P55" s="110"/>
      <c r="Q55" s="110"/>
    </row>
    <row r="56" spans="7:17" x14ac:dyDescent="0.25">
      <c r="G56" s="68" t="s">
        <v>55</v>
      </c>
      <c r="H56" s="69">
        <f>+H47+H53</f>
        <v>6000</v>
      </c>
      <c r="I56" s="71" t="str">
        <f>IF(H56&gt;0,"D",IF(H56&lt;0,"F","-"))</f>
        <v>D</v>
      </c>
      <c r="L56" s="110"/>
      <c r="M56" s="110"/>
      <c r="N56" s="110"/>
      <c r="O56" s="110"/>
      <c r="P56" s="110"/>
      <c r="Q56" s="110"/>
    </row>
  </sheetData>
  <mergeCells count="3">
    <mergeCell ref="G24:I24"/>
    <mergeCell ref="G42:I42"/>
    <mergeCell ref="L24:Q56"/>
  </mergeCells>
  <pageMargins left="0.75" right="0.75" top="1" bottom="1" header="0.5" footer="0.5"/>
  <pageSetup paperSize="9" orientation="portrait" horizontalDpi="4294967292" verticalDpi="429496729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K3:S93"/>
  <sheetViews>
    <sheetView showGridLines="0" topLeftCell="A43" zoomScale="85" zoomScaleNormal="85" zoomScalePageLayoutView="130" workbookViewId="0">
      <selection activeCell="L91" activeCellId="1" sqref="L75 L91"/>
    </sheetView>
  </sheetViews>
  <sheetFormatPr defaultColWidth="10.8984375" defaultRowHeight="13.2" x14ac:dyDescent="0.25"/>
  <cols>
    <col min="1" max="10" width="10.8984375" style="1"/>
    <col min="11" max="11" width="22.8984375" style="1" bestFit="1" customWidth="1"/>
    <col min="12" max="16384" width="10.8984375" style="1"/>
  </cols>
  <sheetData>
    <row r="3" spans="11:13" x14ac:dyDescent="0.25">
      <c r="L3" s="31" t="s">
        <v>215</v>
      </c>
      <c r="M3" s="31" t="s">
        <v>145</v>
      </c>
    </row>
    <row r="4" spans="11:13" x14ac:dyDescent="0.25">
      <c r="K4" s="1" t="s">
        <v>207</v>
      </c>
      <c r="L4" s="1">
        <v>250000</v>
      </c>
      <c r="M4" s="1">
        <v>250000</v>
      </c>
    </row>
    <row r="6" spans="11:13" x14ac:dyDescent="0.25">
      <c r="K6" s="1" t="s">
        <v>216</v>
      </c>
    </row>
    <row r="7" spans="11:13" x14ac:dyDescent="0.25">
      <c r="K7" s="1" t="s">
        <v>208</v>
      </c>
      <c r="L7" s="1">
        <v>80000</v>
      </c>
      <c r="M7" s="1">
        <v>96390</v>
      </c>
    </row>
    <row r="8" spans="11:13" x14ac:dyDescent="0.25">
      <c r="K8" s="1" t="s">
        <v>209</v>
      </c>
      <c r="L8" s="55">
        <v>20000</v>
      </c>
      <c r="M8" s="55">
        <v>20000</v>
      </c>
    </row>
    <row r="9" spans="11:13" x14ac:dyDescent="0.25">
      <c r="K9" s="1" t="s">
        <v>210</v>
      </c>
      <c r="L9" s="1">
        <f>SUM(L7:L8)</f>
        <v>100000</v>
      </c>
      <c r="M9" s="1">
        <f>SUM(M7:M8)</f>
        <v>116390</v>
      </c>
    </row>
    <row r="11" spans="11:13" x14ac:dyDescent="0.25">
      <c r="K11" s="1" t="s">
        <v>211</v>
      </c>
      <c r="L11" s="1">
        <f>+L4-L9</f>
        <v>150000</v>
      </c>
      <c r="M11" s="1">
        <f>+M4-M9</f>
        <v>133610</v>
      </c>
    </row>
    <row r="13" spans="11:13" x14ac:dyDescent="0.25">
      <c r="K13" s="1" t="s">
        <v>212</v>
      </c>
    </row>
    <row r="14" spans="11:13" x14ac:dyDescent="0.25">
      <c r="K14" s="1" t="s">
        <v>141</v>
      </c>
      <c r="L14" s="1">
        <v>60000</v>
      </c>
      <c r="M14" s="1">
        <v>60000</v>
      </c>
    </row>
    <row r="15" spans="11:13" x14ac:dyDescent="0.25">
      <c r="K15" s="1" t="s">
        <v>213</v>
      </c>
      <c r="L15" s="55">
        <v>75000</v>
      </c>
      <c r="M15" s="55">
        <v>75000</v>
      </c>
    </row>
    <row r="16" spans="11:13" x14ac:dyDescent="0.25">
      <c r="K16" s="1" t="s">
        <v>210</v>
      </c>
      <c r="L16" s="1">
        <f>SUM(L14:L15)</f>
        <v>135000</v>
      </c>
      <c r="M16" s="1">
        <f>SUM(M14:M15)</f>
        <v>135000</v>
      </c>
    </row>
    <row r="18" spans="11:16" ht="13.8" thickBot="1" x14ac:dyDescent="0.3">
      <c r="K18" s="27" t="s">
        <v>214</v>
      </c>
      <c r="L18" s="27">
        <f>+L11-L16</f>
        <v>15000</v>
      </c>
      <c r="M18" s="27">
        <f>+M11-M16</f>
        <v>-1390</v>
      </c>
    </row>
    <row r="19" spans="11:16" ht="13.8" thickTop="1" x14ac:dyDescent="0.25"/>
    <row r="21" spans="11:16" x14ac:dyDescent="0.25">
      <c r="L21" s="108" t="s">
        <v>45</v>
      </c>
      <c r="M21" s="108"/>
      <c r="N21" s="108" t="s">
        <v>46</v>
      </c>
      <c r="O21" s="108"/>
      <c r="P21" s="31" t="s">
        <v>49</v>
      </c>
    </row>
    <row r="22" spans="11:16" x14ac:dyDescent="0.25">
      <c r="K22" s="1" t="s">
        <v>34</v>
      </c>
      <c r="L22" s="2">
        <v>4</v>
      </c>
      <c r="M22" s="1" t="s">
        <v>218</v>
      </c>
      <c r="N22" s="1">
        <v>2.5</v>
      </c>
      <c r="O22" s="1" t="s">
        <v>184</v>
      </c>
      <c r="P22" s="1">
        <f>+N22*L22</f>
        <v>10</v>
      </c>
    </row>
    <row r="23" spans="11:16" x14ac:dyDescent="0.25">
      <c r="K23" s="1" t="s">
        <v>2</v>
      </c>
      <c r="L23" s="1">
        <v>0.6</v>
      </c>
      <c r="M23" s="1" t="s">
        <v>138</v>
      </c>
      <c r="N23" s="1">
        <v>9</v>
      </c>
      <c r="O23" s="1" t="s">
        <v>219</v>
      </c>
      <c r="P23" s="1">
        <f>+N23*L23</f>
        <v>5.3999999999999995</v>
      </c>
    </row>
    <row r="24" spans="11:16" x14ac:dyDescent="0.25">
      <c r="K24" s="24" t="s">
        <v>217</v>
      </c>
      <c r="L24" s="24">
        <v>0.3</v>
      </c>
      <c r="M24" s="24" t="s">
        <v>138</v>
      </c>
      <c r="N24" s="24">
        <v>2</v>
      </c>
      <c r="O24" s="24" t="s">
        <v>219</v>
      </c>
      <c r="P24" s="24">
        <f>+N24*L24</f>
        <v>0.6</v>
      </c>
    </row>
    <row r="25" spans="11:16" x14ac:dyDescent="0.25">
      <c r="K25" s="73" t="s">
        <v>210</v>
      </c>
      <c r="L25" s="73"/>
      <c r="M25" s="73"/>
      <c r="N25" s="73"/>
      <c r="O25" s="73"/>
      <c r="P25" s="73">
        <f>SUM(P22:P24)</f>
        <v>15.999999999999998</v>
      </c>
    </row>
    <row r="28" spans="11:16" x14ac:dyDescent="0.25">
      <c r="K28" s="1" t="s">
        <v>146</v>
      </c>
      <c r="L28" s="2">
        <v>5000</v>
      </c>
    </row>
    <row r="30" spans="11:16" x14ac:dyDescent="0.25">
      <c r="L30" s="31" t="s">
        <v>183</v>
      </c>
      <c r="M30" s="31" t="s">
        <v>184</v>
      </c>
      <c r="N30" s="31" t="s">
        <v>137</v>
      </c>
    </row>
    <row r="31" spans="11:16" x14ac:dyDescent="0.25">
      <c r="K31" s="14" t="s">
        <v>220</v>
      </c>
      <c r="L31" s="61">
        <v>25000</v>
      </c>
      <c r="M31" s="14">
        <v>2.95</v>
      </c>
      <c r="N31" s="14">
        <f>+L31*M31</f>
        <v>73750</v>
      </c>
    </row>
    <row r="32" spans="11:16" x14ac:dyDescent="0.25">
      <c r="K32" s="24" t="s">
        <v>221</v>
      </c>
      <c r="L32" s="60">
        <v>19800</v>
      </c>
      <c r="M32" s="24"/>
      <c r="N32" s="24"/>
    </row>
    <row r="33" spans="11:14" x14ac:dyDescent="0.25">
      <c r="K33" s="14"/>
      <c r="L33" s="61"/>
      <c r="M33" s="14"/>
      <c r="N33" s="14"/>
    </row>
    <row r="35" spans="11:14" x14ac:dyDescent="0.25">
      <c r="L35" s="31" t="s">
        <v>43</v>
      </c>
      <c r="M35" s="31" t="s">
        <v>186</v>
      </c>
      <c r="N35" s="31" t="s">
        <v>210</v>
      </c>
    </row>
    <row r="36" spans="11:14" x14ac:dyDescent="0.25">
      <c r="K36" s="24" t="s">
        <v>2</v>
      </c>
      <c r="L36" s="60">
        <v>3600</v>
      </c>
      <c r="M36" s="24">
        <v>8.6999999999999993</v>
      </c>
      <c r="N36" s="24">
        <f>+M36*L36</f>
        <v>31319.999999999996</v>
      </c>
    </row>
    <row r="37" spans="11:14" x14ac:dyDescent="0.25">
      <c r="K37" s="14"/>
      <c r="L37" s="61"/>
      <c r="M37" s="14"/>
      <c r="N37" s="14"/>
    </row>
    <row r="39" spans="11:14" x14ac:dyDescent="0.25">
      <c r="L39" s="31" t="s">
        <v>137</v>
      </c>
      <c r="M39" s="31" t="s">
        <v>222</v>
      </c>
      <c r="N39" s="31" t="s">
        <v>224</v>
      </c>
    </row>
    <row r="40" spans="11:14" x14ac:dyDescent="0.25">
      <c r="K40" s="24" t="s">
        <v>15</v>
      </c>
      <c r="L40" s="24">
        <v>4320</v>
      </c>
      <c r="M40" s="60">
        <v>1800</v>
      </c>
      <c r="N40" s="24">
        <f>+L40/M40</f>
        <v>2.4</v>
      </c>
    </row>
    <row r="45" spans="11:14" x14ac:dyDescent="0.25">
      <c r="K45" s="106" t="s">
        <v>203</v>
      </c>
      <c r="L45" s="108"/>
      <c r="M45" s="107"/>
    </row>
    <row r="46" spans="11:14" x14ac:dyDescent="0.25">
      <c r="K46" s="9" t="s">
        <v>200</v>
      </c>
      <c r="L46" s="10"/>
      <c r="M46" s="12"/>
    </row>
    <row r="47" spans="11:14" x14ac:dyDescent="0.25">
      <c r="K47" s="67" t="s">
        <v>36</v>
      </c>
      <c r="L47" s="72">
        <f>N22</f>
        <v>2.5</v>
      </c>
      <c r="M47" s="15"/>
    </row>
    <row r="48" spans="11:14" x14ac:dyDescent="0.25">
      <c r="K48" s="13" t="s">
        <v>139</v>
      </c>
      <c r="L48" s="61">
        <f>L32</f>
        <v>19800</v>
      </c>
      <c r="M48" s="15"/>
    </row>
    <row r="49" spans="11:19" x14ac:dyDescent="0.25">
      <c r="K49" s="13" t="s">
        <v>35</v>
      </c>
      <c r="L49" s="61">
        <f>L22*L28</f>
        <v>20000</v>
      </c>
      <c r="M49" s="70"/>
    </row>
    <row r="50" spans="11:19" x14ac:dyDescent="0.25">
      <c r="K50" s="13" t="s">
        <v>199</v>
      </c>
      <c r="L50" s="14">
        <f>L47*(L48-L49)</f>
        <v>-500</v>
      </c>
      <c r="M50" s="70" t="str">
        <f>IF(L50&gt;0,"D",IF(L50&lt;0,"F","-"))</f>
        <v>F</v>
      </c>
    </row>
    <row r="51" spans="11:19" x14ac:dyDescent="0.25">
      <c r="K51" s="13"/>
      <c r="L51" s="14"/>
      <c r="M51" s="70"/>
    </row>
    <row r="52" spans="11:19" x14ac:dyDescent="0.25">
      <c r="K52" s="13" t="s">
        <v>201</v>
      </c>
      <c r="L52" s="14"/>
      <c r="M52" s="70"/>
    </row>
    <row r="53" spans="11:19" x14ac:dyDescent="0.25">
      <c r="K53" s="13" t="s">
        <v>139</v>
      </c>
      <c r="L53" s="61">
        <f>L31</f>
        <v>25000</v>
      </c>
      <c r="M53" s="70"/>
    </row>
    <row r="54" spans="11:19" x14ac:dyDescent="0.25">
      <c r="K54" s="13" t="s">
        <v>140</v>
      </c>
      <c r="L54" s="14">
        <f>M31</f>
        <v>2.95</v>
      </c>
      <c r="M54" s="70"/>
    </row>
    <row r="55" spans="11:19" x14ac:dyDescent="0.25">
      <c r="K55" s="13" t="s">
        <v>36</v>
      </c>
      <c r="L55" s="14">
        <f>N22</f>
        <v>2.5</v>
      </c>
      <c r="M55" s="70"/>
      <c r="O55" s="109" t="s">
        <v>229</v>
      </c>
      <c r="P55" s="110"/>
      <c r="Q55" s="110"/>
      <c r="R55" s="110"/>
      <c r="S55" s="110"/>
    </row>
    <row r="56" spans="11:19" x14ac:dyDescent="0.25">
      <c r="K56" s="13" t="s">
        <v>202</v>
      </c>
      <c r="L56" s="14">
        <f>+L53*(L54-L55)</f>
        <v>11250.000000000004</v>
      </c>
      <c r="M56" s="70" t="str">
        <f>IF(L56&gt;0,"D",IF(L56&lt;0,"F","-"))</f>
        <v>D</v>
      </c>
      <c r="O56" s="110"/>
      <c r="P56" s="110"/>
      <c r="Q56" s="110"/>
      <c r="R56" s="110"/>
      <c r="S56" s="110"/>
    </row>
    <row r="57" spans="11:19" x14ac:dyDescent="0.25">
      <c r="K57" s="13"/>
      <c r="L57" s="14"/>
      <c r="M57" s="70"/>
      <c r="O57" s="110"/>
      <c r="P57" s="110"/>
      <c r="Q57" s="110"/>
      <c r="R57" s="110"/>
      <c r="S57" s="110"/>
    </row>
    <row r="58" spans="11:19" x14ac:dyDescent="0.25">
      <c r="K58" s="13"/>
      <c r="L58" s="14"/>
      <c r="M58" s="70"/>
      <c r="O58" s="110"/>
      <c r="P58" s="110"/>
      <c r="Q58" s="110"/>
      <c r="R58" s="110"/>
      <c r="S58" s="110"/>
    </row>
    <row r="59" spans="11:19" x14ac:dyDescent="0.25">
      <c r="K59" s="68"/>
      <c r="L59" s="69"/>
      <c r="M59" s="71"/>
      <c r="O59" s="110"/>
      <c r="P59" s="110"/>
      <c r="Q59" s="110"/>
      <c r="R59" s="110"/>
      <c r="S59" s="110"/>
    </row>
    <row r="60" spans="11:19" x14ac:dyDescent="0.25">
      <c r="O60" s="110"/>
      <c r="P60" s="110"/>
      <c r="Q60" s="110"/>
      <c r="R60" s="110"/>
      <c r="S60" s="110"/>
    </row>
    <row r="61" spans="11:19" x14ac:dyDescent="0.25">
      <c r="K61" s="106" t="s">
        <v>204</v>
      </c>
      <c r="L61" s="108"/>
      <c r="M61" s="107"/>
      <c r="O61" s="110"/>
      <c r="P61" s="110"/>
      <c r="Q61" s="110"/>
      <c r="R61" s="110"/>
      <c r="S61" s="110"/>
    </row>
    <row r="62" spans="11:19" x14ac:dyDescent="0.25">
      <c r="K62" s="9" t="s">
        <v>205</v>
      </c>
      <c r="L62" s="10"/>
      <c r="M62" s="12"/>
      <c r="O62" s="110"/>
      <c r="P62" s="110"/>
      <c r="Q62" s="110"/>
      <c r="R62" s="110"/>
      <c r="S62" s="110"/>
    </row>
    <row r="63" spans="11:19" x14ac:dyDescent="0.25">
      <c r="K63" s="67" t="s">
        <v>36</v>
      </c>
      <c r="L63" s="72">
        <f>N23</f>
        <v>9</v>
      </c>
      <c r="M63" s="15"/>
      <c r="O63" s="110"/>
      <c r="P63" s="110"/>
      <c r="Q63" s="110"/>
      <c r="R63" s="110"/>
      <c r="S63" s="110"/>
    </row>
    <row r="64" spans="11:19" x14ac:dyDescent="0.25">
      <c r="K64" s="13" t="s">
        <v>139</v>
      </c>
      <c r="L64" s="61">
        <f>L36</f>
        <v>3600</v>
      </c>
      <c r="M64" s="15"/>
      <c r="O64" s="110"/>
      <c r="P64" s="110"/>
      <c r="Q64" s="110"/>
      <c r="R64" s="110"/>
      <c r="S64" s="110"/>
    </row>
    <row r="65" spans="11:19" x14ac:dyDescent="0.25">
      <c r="K65" s="13" t="s">
        <v>35</v>
      </c>
      <c r="L65" s="61">
        <f>L23*L28</f>
        <v>3000</v>
      </c>
      <c r="M65" s="70"/>
      <c r="O65" s="110"/>
      <c r="P65" s="110"/>
      <c r="Q65" s="110"/>
      <c r="R65" s="110"/>
      <c r="S65" s="110"/>
    </row>
    <row r="66" spans="11:19" x14ac:dyDescent="0.25">
      <c r="K66" s="13" t="s">
        <v>199</v>
      </c>
      <c r="L66" s="14">
        <f>L63*(L64-L65)</f>
        <v>5400</v>
      </c>
      <c r="M66" s="70" t="str">
        <f>IF(L66&gt;0,"D",IF(L66&lt;0,"F","-"))</f>
        <v>D</v>
      </c>
      <c r="O66" s="110"/>
      <c r="P66" s="110"/>
      <c r="Q66" s="110"/>
      <c r="R66" s="110"/>
      <c r="S66" s="110"/>
    </row>
    <row r="67" spans="11:19" x14ac:dyDescent="0.25">
      <c r="K67" s="13"/>
      <c r="L67" s="14"/>
      <c r="M67" s="70"/>
      <c r="O67" s="110"/>
      <c r="P67" s="110"/>
      <c r="Q67" s="110"/>
      <c r="R67" s="110"/>
      <c r="S67" s="110"/>
    </row>
    <row r="68" spans="11:19" x14ac:dyDescent="0.25">
      <c r="K68" s="13" t="s">
        <v>223</v>
      </c>
      <c r="L68" s="14"/>
      <c r="M68" s="70"/>
      <c r="O68" s="110"/>
      <c r="P68" s="110"/>
      <c r="Q68" s="110"/>
      <c r="R68" s="110"/>
      <c r="S68" s="110"/>
    </row>
    <row r="69" spans="11:19" x14ac:dyDescent="0.25">
      <c r="K69" s="13" t="s">
        <v>139</v>
      </c>
      <c r="L69" s="61">
        <f>L36</f>
        <v>3600</v>
      </c>
      <c r="M69" s="70"/>
      <c r="O69" s="110"/>
      <c r="P69" s="110"/>
      <c r="Q69" s="110"/>
      <c r="R69" s="110"/>
      <c r="S69" s="110"/>
    </row>
    <row r="70" spans="11:19" x14ac:dyDescent="0.25">
      <c r="K70" s="13" t="s">
        <v>140</v>
      </c>
      <c r="L70" s="14">
        <f>M36</f>
        <v>8.6999999999999993</v>
      </c>
      <c r="M70" s="70"/>
      <c r="O70" s="110"/>
      <c r="P70" s="110"/>
      <c r="Q70" s="110"/>
      <c r="R70" s="110"/>
      <c r="S70" s="110"/>
    </row>
    <row r="71" spans="11:19" x14ac:dyDescent="0.25">
      <c r="K71" s="13" t="s">
        <v>36</v>
      </c>
      <c r="L71" s="14">
        <f>N23</f>
        <v>9</v>
      </c>
      <c r="M71" s="70"/>
      <c r="O71" s="110"/>
      <c r="P71" s="110"/>
      <c r="Q71" s="110"/>
      <c r="R71" s="110"/>
      <c r="S71" s="110"/>
    </row>
    <row r="72" spans="11:19" x14ac:dyDescent="0.25">
      <c r="K72" s="13" t="s">
        <v>144</v>
      </c>
      <c r="L72" s="14">
        <f>+L69*(L70-L71)</f>
        <v>-1080.0000000000025</v>
      </c>
      <c r="M72" s="70" t="str">
        <f>IF(L72&gt;0,"D",IF(L72&lt;0,"F","-"))</f>
        <v>F</v>
      </c>
      <c r="O72" s="110"/>
      <c r="P72" s="110"/>
      <c r="Q72" s="110"/>
      <c r="R72" s="110"/>
      <c r="S72" s="110"/>
    </row>
    <row r="73" spans="11:19" x14ac:dyDescent="0.25">
      <c r="K73" s="13"/>
      <c r="L73" s="14"/>
      <c r="M73" s="70"/>
      <c r="O73" s="110"/>
      <c r="P73" s="110"/>
      <c r="Q73" s="110"/>
      <c r="R73" s="110"/>
      <c r="S73" s="110"/>
    </row>
    <row r="74" spans="11:19" x14ac:dyDescent="0.25">
      <c r="K74" s="13"/>
      <c r="L74" s="14"/>
      <c r="M74" s="70"/>
      <c r="O74" s="110"/>
      <c r="P74" s="110"/>
      <c r="Q74" s="110"/>
      <c r="R74" s="110"/>
      <c r="S74" s="110"/>
    </row>
    <row r="75" spans="11:19" x14ac:dyDescent="0.25">
      <c r="K75" s="68" t="s">
        <v>226</v>
      </c>
      <c r="L75" s="69">
        <f>+L66+L72</f>
        <v>4319.9999999999973</v>
      </c>
      <c r="M75" s="71" t="str">
        <f>IF(L75&gt;0,"D",IF(L75&lt;0,"F","-"))</f>
        <v>D</v>
      </c>
      <c r="O75" s="110"/>
      <c r="P75" s="110"/>
      <c r="Q75" s="110"/>
      <c r="R75" s="110"/>
      <c r="S75" s="110"/>
    </row>
    <row r="76" spans="11:19" x14ac:dyDescent="0.25">
      <c r="O76" s="110"/>
      <c r="P76" s="110"/>
      <c r="Q76" s="110"/>
      <c r="R76" s="110"/>
      <c r="S76" s="110"/>
    </row>
    <row r="77" spans="11:19" x14ac:dyDescent="0.25">
      <c r="K77" s="106" t="s">
        <v>204</v>
      </c>
      <c r="L77" s="108"/>
      <c r="M77" s="107"/>
      <c r="O77" s="110"/>
      <c r="P77" s="110"/>
      <c r="Q77" s="110"/>
      <c r="R77" s="110"/>
      <c r="S77" s="110"/>
    </row>
    <row r="78" spans="11:19" x14ac:dyDescent="0.25">
      <c r="K78" s="9" t="s">
        <v>205</v>
      </c>
      <c r="L78" s="10"/>
      <c r="M78" s="12"/>
      <c r="O78" s="110"/>
      <c r="P78" s="110"/>
      <c r="Q78" s="110"/>
      <c r="R78" s="110"/>
      <c r="S78" s="110"/>
    </row>
    <row r="79" spans="11:19" x14ac:dyDescent="0.25">
      <c r="K79" s="67" t="s">
        <v>36</v>
      </c>
      <c r="L79" s="72">
        <f>N24</f>
        <v>2</v>
      </c>
      <c r="M79" s="15"/>
      <c r="O79" s="110"/>
      <c r="P79" s="110"/>
      <c r="Q79" s="110"/>
      <c r="R79" s="110"/>
      <c r="S79" s="110"/>
    </row>
    <row r="80" spans="11:19" x14ac:dyDescent="0.25">
      <c r="K80" s="13" t="s">
        <v>139</v>
      </c>
      <c r="L80" s="61">
        <f>M40</f>
        <v>1800</v>
      </c>
      <c r="M80" s="15"/>
      <c r="O80" s="110"/>
      <c r="P80" s="110"/>
      <c r="Q80" s="110"/>
      <c r="R80" s="110"/>
      <c r="S80" s="110"/>
    </row>
    <row r="81" spans="11:19" x14ac:dyDescent="0.25">
      <c r="K81" s="13" t="s">
        <v>35</v>
      </c>
      <c r="L81" s="61">
        <f>L24*L28</f>
        <v>1500</v>
      </c>
      <c r="M81" s="70"/>
      <c r="O81" s="110"/>
      <c r="P81" s="110"/>
      <c r="Q81" s="110"/>
      <c r="R81" s="110"/>
      <c r="S81" s="110"/>
    </row>
    <row r="82" spans="11:19" x14ac:dyDescent="0.25">
      <c r="K82" s="13" t="s">
        <v>199</v>
      </c>
      <c r="L82" s="14">
        <f>L79*(L80-L81)</f>
        <v>600</v>
      </c>
      <c r="M82" s="70" t="str">
        <f>IF(L82&gt;0,"D",IF(L82&lt;0,"F","-"))</f>
        <v>D</v>
      </c>
    </row>
    <row r="83" spans="11:19" x14ac:dyDescent="0.25">
      <c r="K83" s="13"/>
      <c r="L83" s="14"/>
      <c r="M83" s="70"/>
    </row>
    <row r="84" spans="11:19" x14ac:dyDescent="0.25">
      <c r="K84" s="13" t="s">
        <v>201</v>
      </c>
      <c r="L84" s="14"/>
      <c r="M84" s="70"/>
    </row>
    <row r="85" spans="11:19" x14ac:dyDescent="0.25">
      <c r="K85" s="13" t="s">
        <v>139</v>
      </c>
      <c r="L85" s="61">
        <f>M40</f>
        <v>1800</v>
      </c>
      <c r="M85" s="70"/>
    </row>
    <row r="86" spans="11:19" x14ac:dyDescent="0.25">
      <c r="K86" s="13" t="s">
        <v>140</v>
      </c>
      <c r="L86" s="14">
        <f>N40</f>
        <v>2.4</v>
      </c>
      <c r="M86" s="70"/>
    </row>
    <row r="87" spans="11:19" x14ac:dyDescent="0.25">
      <c r="K87" s="13" t="s">
        <v>36</v>
      </c>
      <c r="L87" s="14">
        <f>N24</f>
        <v>2</v>
      </c>
      <c r="M87" s="70"/>
    </row>
    <row r="88" spans="11:19" x14ac:dyDescent="0.25">
      <c r="K88" s="13" t="s">
        <v>202</v>
      </c>
      <c r="L88" s="14">
        <f>+L85*(L86-L87)</f>
        <v>719.99999999999989</v>
      </c>
      <c r="M88" s="70" t="str">
        <f>IF(L88&gt;0,"D",IF(L88&lt;0,"F","-"))</f>
        <v>D</v>
      </c>
    </row>
    <row r="89" spans="11:19" x14ac:dyDescent="0.25">
      <c r="K89" s="13"/>
      <c r="L89" s="14"/>
      <c r="M89" s="70"/>
    </row>
    <row r="90" spans="11:19" x14ac:dyDescent="0.25">
      <c r="K90" s="13"/>
      <c r="L90" s="14"/>
      <c r="M90" s="70"/>
    </row>
    <row r="91" spans="11:19" x14ac:dyDescent="0.25">
      <c r="K91" s="68" t="s">
        <v>227</v>
      </c>
      <c r="L91" s="69">
        <f>+L82+L88</f>
        <v>1320</v>
      </c>
      <c r="M91" s="71" t="str">
        <f>IF(L91&gt;0,"D",IF(L91&lt;0,"F","-"))</f>
        <v>D</v>
      </c>
    </row>
    <row r="93" spans="11:19" x14ac:dyDescent="0.25">
      <c r="K93" s="74" t="s">
        <v>228</v>
      </c>
      <c r="L93" s="73">
        <f>+L59+L75+L91</f>
        <v>5639.9999999999973</v>
      </c>
      <c r="M93" s="75" t="str">
        <f>IF(L93&gt;0,"D",IF(L93&lt;0,"F","-"))</f>
        <v>D</v>
      </c>
    </row>
  </sheetData>
  <mergeCells count="6">
    <mergeCell ref="L21:M21"/>
    <mergeCell ref="N21:O21"/>
    <mergeCell ref="K45:M45"/>
    <mergeCell ref="K61:M61"/>
    <mergeCell ref="K77:M77"/>
    <mergeCell ref="O55:S81"/>
  </mergeCells>
  <pageMargins left="0.75" right="0.75" top="1" bottom="1" header="0.5" footer="0.5"/>
  <pageSetup paperSize="9" orientation="portrait" horizontalDpi="4294967292" verticalDpi="4294967292"/>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J5:S76"/>
  <sheetViews>
    <sheetView showGridLines="0" topLeftCell="E46" zoomScale="130" zoomScaleNormal="130" zoomScalePageLayoutView="130" workbookViewId="0">
      <selection activeCell="A56" sqref="A56"/>
    </sheetView>
  </sheetViews>
  <sheetFormatPr defaultColWidth="10.8984375" defaultRowHeight="13.2" x14ac:dyDescent="0.25"/>
  <cols>
    <col min="1" max="9" width="10.8984375" style="1"/>
    <col min="10" max="10" width="22.8984375" style="1" bestFit="1" customWidth="1"/>
    <col min="11" max="16384" width="10.8984375" style="1"/>
  </cols>
  <sheetData>
    <row r="5" spans="10:13" x14ac:dyDescent="0.25">
      <c r="K5" s="7" t="s">
        <v>146</v>
      </c>
    </row>
    <row r="6" spans="10:13" x14ac:dyDescent="0.25">
      <c r="J6" s="1" t="s">
        <v>230</v>
      </c>
      <c r="K6" s="2">
        <v>2700</v>
      </c>
    </row>
    <row r="7" spans="10:13" x14ac:dyDescent="0.25">
      <c r="J7" s="1" t="s">
        <v>231</v>
      </c>
      <c r="K7" s="2">
        <v>900</v>
      </c>
    </row>
    <row r="9" spans="10:13" x14ac:dyDescent="0.25">
      <c r="J9" s="31" t="s">
        <v>232</v>
      </c>
      <c r="K9" s="31" t="s">
        <v>45</v>
      </c>
      <c r="L9" s="31" t="s">
        <v>237</v>
      </c>
      <c r="M9" s="31" t="s">
        <v>238</v>
      </c>
    </row>
    <row r="10" spans="10:13" x14ac:dyDescent="0.25">
      <c r="J10" s="1" t="s">
        <v>236</v>
      </c>
      <c r="K10" s="2">
        <v>16000</v>
      </c>
      <c r="L10" s="1">
        <v>38400</v>
      </c>
      <c r="M10" s="1">
        <f>+L10/K10</f>
        <v>2.4</v>
      </c>
    </row>
    <row r="11" spans="10:13" x14ac:dyDescent="0.25">
      <c r="J11" s="24" t="s">
        <v>194</v>
      </c>
      <c r="K11" s="60">
        <v>14000</v>
      </c>
      <c r="L11" s="24"/>
      <c r="M11" s="24"/>
    </row>
    <row r="13" spans="10:13" x14ac:dyDescent="0.25">
      <c r="K13" s="31" t="s">
        <v>43</v>
      </c>
      <c r="L13" s="31" t="s">
        <v>237</v>
      </c>
      <c r="M13" s="31" t="s">
        <v>49</v>
      </c>
    </row>
    <row r="14" spans="10:13" x14ac:dyDescent="0.25">
      <c r="J14" s="24" t="s">
        <v>2</v>
      </c>
      <c r="K14" s="60">
        <v>1800</v>
      </c>
      <c r="L14" s="24">
        <v>18450</v>
      </c>
      <c r="M14" s="24">
        <f>+L14/K14</f>
        <v>10.25</v>
      </c>
    </row>
    <row r="16" spans="10:13" x14ac:dyDescent="0.25">
      <c r="K16" s="31" t="s">
        <v>237</v>
      </c>
      <c r="L16" s="31" t="s">
        <v>49</v>
      </c>
    </row>
    <row r="17" spans="10:13" x14ac:dyDescent="0.25">
      <c r="J17" s="24" t="s">
        <v>15</v>
      </c>
      <c r="K17" s="24">
        <v>11700</v>
      </c>
      <c r="L17" s="24">
        <f>+K17/K14</f>
        <v>6.5</v>
      </c>
    </row>
    <row r="19" spans="10:13" x14ac:dyDescent="0.25">
      <c r="J19" s="31" t="s">
        <v>239</v>
      </c>
      <c r="K19" s="31" t="s">
        <v>45</v>
      </c>
      <c r="L19" s="31" t="s">
        <v>237</v>
      </c>
      <c r="M19" s="31" t="s">
        <v>49</v>
      </c>
    </row>
    <row r="20" spans="10:13" x14ac:dyDescent="0.25">
      <c r="J20" s="73" t="s">
        <v>232</v>
      </c>
      <c r="K20" s="76">
        <v>3</v>
      </c>
      <c r="L20" s="58">
        <v>2.5</v>
      </c>
      <c r="M20" s="58">
        <f>+L20*K20</f>
        <v>7.5</v>
      </c>
    </row>
    <row r="21" spans="10:13" x14ac:dyDescent="0.25">
      <c r="J21" s="1" t="s">
        <v>233</v>
      </c>
      <c r="K21" s="3">
        <v>0.3</v>
      </c>
      <c r="L21" s="111">
        <v>12</v>
      </c>
      <c r="M21" s="3">
        <f>+K21*L21</f>
        <v>3.5999999999999996</v>
      </c>
    </row>
    <row r="22" spans="10:13" x14ac:dyDescent="0.25">
      <c r="J22" s="1" t="s">
        <v>234</v>
      </c>
      <c r="K22" s="3">
        <v>0.6</v>
      </c>
      <c r="L22" s="111"/>
      <c r="M22" s="3">
        <f>+K22*L21</f>
        <v>7.1999999999999993</v>
      </c>
    </row>
    <row r="23" spans="10:13" x14ac:dyDescent="0.25">
      <c r="J23" s="73" t="s">
        <v>235</v>
      </c>
      <c r="K23" s="58"/>
      <c r="L23" s="58"/>
      <c r="M23" s="58">
        <v>6</v>
      </c>
    </row>
    <row r="28" spans="10:13" x14ac:dyDescent="0.25">
      <c r="J28" s="106" t="s">
        <v>240</v>
      </c>
      <c r="K28" s="108"/>
      <c r="L28" s="107"/>
    </row>
    <row r="29" spans="10:13" x14ac:dyDescent="0.25">
      <c r="J29" s="9" t="s">
        <v>200</v>
      </c>
      <c r="K29" s="10"/>
      <c r="L29" s="12"/>
    </row>
    <row r="30" spans="10:13" x14ac:dyDescent="0.25">
      <c r="J30" s="67" t="s">
        <v>36</v>
      </c>
      <c r="K30" s="72">
        <f>L20</f>
        <v>2.5</v>
      </c>
      <c r="L30" s="15"/>
    </row>
    <row r="31" spans="10:13" x14ac:dyDescent="0.25">
      <c r="J31" s="13" t="s">
        <v>139</v>
      </c>
      <c r="K31" s="61">
        <f>K11</f>
        <v>14000</v>
      </c>
      <c r="L31" s="15"/>
    </row>
    <row r="32" spans="10:13" x14ac:dyDescent="0.25">
      <c r="J32" s="13" t="s">
        <v>35</v>
      </c>
      <c r="K32" s="61">
        <f>K20*K6+K20*K7</f>
        <v>10800</v>
      </c>
      <c r="L32" s="70"/>
    </row>
    <row r="33" spans="10:12" x14ac:dyDescent="0.25">
      <c r="J33" s="13" t="s">
        <v>199</v>
      </c>
      <c r="K33" s="14">
        <f>K30*(K31-K32)</f>
        <v>8000</v>
      </c>
      <c r="L33" s="70" t="str">
        <f>IF(K33&gt;0,"D",IF(K33&lt;0,"F","-"))</f>
        <v>D</v>
      </c>
    </row>
    <row r="34" spans="10:12" x14ac:dyDescent="0.25">
      <c r="J34" s="13"/>
      <c r="K34" s="14"/>
      <c r="L34" s="70"/>
    </row>
    <row r="35" spans="10:12" x14ac:dyDescent="0.25">
      <c r="J35" s="13" t="s">
        <v>201</v>
      </c>
      <c r="K35" s="14"/>
      <c r="L35" s="70"/>
    </row>
    <row r="36" spans="10:12" x14ac:dyDescent="0.25">
      <c r="J36" s="13" t="s">
        <v>139</v>
      </c>
      <c r="K36" s="61">
        <f>K10</f>
        <v>16000</v>
      </c>
      <c r="L36" s="70"/>
    </row>
    <row r="37" spans="10:12" x14ac:dyDescent="0.25">
      <c r="J37" s="13" t="s">
        <v>140</v>
      </c>
      <c r="K37" s="14">
        <f>M10</f>
        <v>2.4</v>
      </c>
      <c r="L37" s="70"/>
    </row>
    <row r="38" spans="10:12" x14ac:dyDescent="0.25">
      <c r="J38" s="13" t="s">
        <v>36</v>
      </c>
      <c r="K38" s="14">
        <f>L20</f>
        <v>2.5</v>
      </c>
      <c r="L38" s="70"/>
    </row>
    <row r="39" spans="10:12" x14ac:dyDescent="0.25">
      <c r="J39" s="13" t="s">
        <v>202</v>
      </c>
      <c r="K39" s="14">
        <f>+K36*(K37-K38)</f>
        <v>-1600.0000000000014</v>
      </c>
      <c r="L39" s="70" t="str">
        <f>IF(K39&gt;0,"D",IF(K39&lt;0,"F","-"))</f>
        <v>F</v>
      </c>
    </row>
    <row r="40" spans="10:12" x14ac:dyDescent="0.25">
      <c r="J40" s="13"/>
      <c r="K40" s="14"/>
      <c r="L40" s="70"/>
    </row>
    <row r="41" spans="10:12" x14ac:dyDescent="0.25">
      <c r="J41" s="13"/>
      <c r="K41" s="14"/>
      <c r="L41" s="70"/>
    </row>
    <row r="42" spans="10:12" x14ac:dyDescent="0.25">
      <c r="J42" s="68" t="s">
        <v>225</v>
      </c>
      <c r="K42" s="69">
        <f>+K33+K39</f>
        <v>6399.9999999999982</v>
      </c>
      <c r="L42" s="71" t="str">
        <f>IF(K42&gt;0,"D",IF(K42&lt;0,"F","-"))</f>
        <v>D</v>
      </c>
    </row>
    <row r="44" spans="10:12" x14ac:dyDescent="0.25">
      <c r="J44" s="106" t="s">
        <v>204</v>
      </c>
      <c r="K44" s="108"/>
      <c r="L44" s="107"/>
    </row>
    <row r="45" spans="10:12" x14ac:dyDescent="0.25">
      <c r="J45" s="9" t="s">
        <v>205</v>
      </c>
      <c r="K45" s="10"/>
      <c r="L45" s="12"/>
    </row>
    <row r="46" spans="10:12" x14ac:dyDescent="0.25">
      <c r="J46" s="67" t="s">
        <v>36</v>
      </c>
      <c r="K46" s="72">
        <f>L21</f>
        <v>12</v>
      </c>
      <c r="L46" s="15"/>
    </row>
    <row r="47" spans="10:12" x14ac:dyDescent="0.25">
      <c r="J47" s="13" t="s">
        <v>139</v>
      </c>
      <c r="K47" s="61">
        <f>K14</f>
        <v>1800</v>
      </c>
      <c r="L47" s="15"/>
    </row>
    <row r="48" spans="10:12" x14ac:dyDescent="0.25">
      <c r="J48" s="13" t="s">
        <v>35</v>
      </c>
      <c r="K48" s="61">
        <f>K21*K6+K22*K7</f>
        <v>1350</v>
      </c>
      <c r="L48" s="70"/>
    </row>
    <row r="49" spans="10:19" x14ac:dyDescent="0.25">
      <c r="J49" s="13" t="s">
        <v>199</v>
      </c>
      <c r="K49" s="14">
        <f>K46*(K47-K48)</f>
        <v>5400</v>
      </c>
      <c r="L49" s="70" t="str">
        <f>IF(K49&gt;0,"D",IF(K49&lt;0,"F","-"))</f>
        <v>D</v>
      </c>
    </row>
    <row r="50" spans="10:19" x14ac:dyDescent="0.25">
      <c r="J50" s="13"/>
      <c r="K50" s="14"/>
      <c r="L50" s="70"/>
    </row>
    <row r="51" spans="10:19" x14ac:dyDescent="0.25">
      <c r="J51" s="13" t="s">
        <v>223</v>
      </c>
      <c r="K51" s="14"/>
      <c r="L51" s="70"/>
    </row>
    <row r="52" spans="10:19" x14ac:dyDescent="0.25">
      <c r="J52" s="13" t="s">
        <v>139</v>
      </c>
      <c r="K52" s="61">
        <f>K14</f>
        <v>1800</v>
      </c>
      <c r="L52" s="70"/>
    </row>
    <row r="53" spans="10:19" x14ac:dyDescent="0.25">
      <c r="J53" s="13" t="s">
        <v>140</v>
      </c>
      <c r="K53" s="14">
        <f>M14</f>
        <v>10.25</v>
      </c>
      <c r="L53" s="70"/>
    </row>
    <row r="54" spans="10:19" x14ac:dyDescent="0.25">
      <c r="J54" s="13" t="s">
        <v>36</v>
      </c>
      <c r="K54" s="14">
        <f>L21</f>
        <v>12</v>
      </c>
      <c r="L54" s="70"/>
    </row>
    <row r="55" spans="10:19" x14ac:dyDescent="0.25">
      <c r="J55" s="13" t="s">
        <v>144</v>
      </c>
      <c r="K55" s="14">
        <f>+K52*(K53-K54)</f>
        <v>-3150</v>
      </c>
      <c r="L55" s="70" t="str">
        <f>IF(K55&gt;0,"D",IF(K55&lt;0,"F","-"))</f>
        <v>F</v>
      </c>
    </row>
    <row r="56" spans="10:19" x14ac:dyDescent="0.25">
      <c r="J56" s="13"/>
      <c r="K56" s="14"/>
      <c r="L56" s="70"/>
    </row>
    <row r="57" spans="10:19" x14ac:dyDescent="0.25">
      <c r="J57" s="13"/>
      <c r="K57" s="14"/>
      <c r="L57" s="70"/>
    </row>
    <row r="58" spans="10:19" x14ac:dyDescent="0.25">
      <c r="J58" s="68" t="s">
        <v>226</v>
      </c>
      <c r="K58" s="69">
        <f>+K49+K55</f>
        <v>2250</v>
      </c>
      <c r="L58" s="71" t="str">
        <f>IF(K58&gt;0,"D",IF(K58&lt;0,"F","-"))</f>
        <v>D</v>
      </c>
    </row>
    <row r="59" spans="10:19" x14ac:dyDescent="0.25">
      <c r="N59" s="109" t="s">
        <v>241</v>
      </c>
      <c r="O59" s="109"/>
      <c r="P59" s="109"/>
      <c r="Q59" s="109"/>
      <c r="R59" s="109"/>
      <c r="S59" s="109"/>
    </row>
    <row r="60" spans="10:19" x14ac:dyDescent="0.25">
      <c r="J60" s="106" t="s">
        <v>204</v>
      </c>
      <c r="K60" s="108"/>
      <c r="L60" s="107"/>
      <c r="N60" s="109"/>
      <c r="O60" s="109"/>
      <c r="P60" s="109"/>
      <c r="Q60" s="109"/>
      <c r="R60" s="109"/>
      <c r="S60" s="109"/>
    </row>
    <row r="61" spans="10:19" x14ac:dyDescent="0.25">
      <c r="J61" s="9" t="s">
        <v>205</v>
      </c>
      <c r="K61" s="10"/>
      <c r="L61" s="12"/>
      <c r="N61" s="109"/>
      <c r="O61" s="109"/>
      <c r="P61" s="109"/>
      <c r="Q61" s="109"/>
      <c r="R61" s="109"/>
      <c r="S61" s="109"/>
    </row>
    <row r="62" spans="10:19" x14ac:dyDescent="0.25">
      <c r="J62" s="67" t="s">
        <v>36</v>
      </c>
      <c r="K62" s="72">
        <f>M23</f>
        <v>6</v>
      </c>
      <c r="L62" s="15"/>
      <c r="N62" s="109"/>
      <c r="O62" s="109"/>
      <c r="P62" s="109"/>
      <c r="Q62" s="109"/>
      <c r="R62" s="109"/>
      <c r="S62" s="109"/>
    </row>
    <row r="63" spans="10:19" x14ac:dyDescent="0.25">
      <c r="J63" s="13" t="s">
        <v>139</v>
      </c>
      <c r="K63" s="61">
        <f>K14</f>
        <v>1800</v>
      </c>
      <c r="L63" s="15"/>
      <c r="N63" s="109"/>
      <c r="O63" s="109"/>
      <c r="P63" s="109"/>
      <c r="Q63" s="109"/>
      <c r="R63" s="109"/>
      <c r="S63" s="109"/>
    </row>
    <row r="64" spans="10:19" x14ac:dyDescent="0.25">
      <c r="J64" s="13" t="s">
        <v>35</v>
      </c>
      <c r="K64" s="61">
        <f>K21*K6+K22*K7</f>
        <v>1350</v>
      </c>
      <c r="L64" s="70"/>
      <c r="N64" s="109"/>
      <c r="O64" s="109"/>
      <c r="P64" s="109"/>
      <c r="Q64" s="109"/>
      <c r="R64" s="109"/>
      <c r="S64" s="109"/>
    </row>
    <row r="65" spans="10:19" x14ac:dyDescent="0.25">
      <c r="J65" s="13" t="s">
        <v>199</v>
      </c>
      <c r="K65" s="14">
        <f>K62*(K63-K64)</f>
        <v>2700</v>
      </c>
      <c r="L65" s="70" t="str">
        <f>IF(K65&gt;0,"D",IF(K65&lt;0,"F","-"))</f>
        <v>D</v>
      </c>
      <c r="N65" s="109"/>
      <c r="O65" s="109"/>
      <c r="P65" s="109"/>
      <c r="Q65" s="109"/>
      <c r="R65" s="109"/>
      <c r="S65" s="109"/>
    </row>
    <row r="66" spans="10:19" x14ac:dyDescent="0.25">
      <c r="J66" s="13"/>
      <c r="K66" s="14"/>
      <c r="L66" s="70"/>
      <c r="N66" s="109"/>
      <c r="O66" s="109"/>
      <c r="P66" s="109"/>
      <c r="Q66" s="109"/>
      <c r="R66" s="109"/>
      <c r="S66" s="109"/>
    </row>
    <row r="67" spans="10:19" x14ac:dyDescent="0.25">
      <c r="J67" s="13" t="s">
        <v>201</v>
      </c>
      <c r="K67" s="14"/>
      <c r="L67" s="70"/>
      <c r="N67" s="109"/>
      <c r="O67" s="109"/>
      <c r="P67" s="109"/>
      <c r="Q67" s="109"/>
      <c r="R67" s="109"/>
      <c r="S67" s="109"/>
    </row>
    <row r="68" spans="10:19" x14ac:dyDescent="0.25">
      <c r="J68" s="13" t="s">
        <v>139</v>
      </c>
      <c r="K68" s="61">
        <f>K14</f>
        <v>1800</v>
      </c>
      <c r="L68" s="70"/>
      <c r="N68" s="109"/>
      <c r="O68" s="109"/>
      <c r="P68" s="109"/>
      <c r="Q68" s="109"/>
      <c r="R68" s="109"/>
      <c r="S68" s="109"/>
    </row>
    <row r="69" spans="10:19" x14ac:dyDescent="0.25">
      <c r="J69" s="13" t="s">
        <v>140</v>
      </c>
      <c r="K69" s="14">
        <f>L17</f>
        <v>6.5</v>
      </c>
      <c r="L69" s="70"/>
      <c r="N69" s="109"/>
      <c r="O69" s="109"/>
      <c r="P69" s="109"/>
      <c r="Q69" s="109"/>
      <c r="R69" s="109"/>
      <c r="S69" s="109"/>
    </row>
    <row r="70" spans="10:19" x14ac:dyDescent="0.25">
      <c r="J70" s="13" t="s">
        <v>36</v>
      </c>
      <c r="K70" s="14">
        <f>M23</f>
        <v>6</v>
      </c>
      <c r="L70" s="70"/>
      <c r="N70" s="109"/>
      <c r="O70" s="109"/>
      <c r="P70" s="109"/>
      <c r="Q70" s="109"/>
      <c r="R70" s="109"/>
      <c r="S70" s="109"/>
    </row>
    <row r="71" spans="10:19" x14ac:dyDescent="0.25">
      <c r="J71" s="13" t="s">
        <v>202</v>
      </c>
      <c r="K71" s="14">
        <f>+K68*(K69-K70)</f>
        <v>900</v>
      </c>
      <c r="L71" s="70" t="str">
        <f>IF(K71&gt;0,"D",IF(K71&lt;0,"F","-"))</f>
        <v>D</v>
      </c>
    </row>
    <row r="72" spans="10:19" x14ac:dyDescent="0.25">
      <c r="J72" s="13"/>
      <c r="K72" s="14"/>
      <c r="L72" s="70"/>
    </row>
    <row r="73" spans="10:19" x14ac:dyDescent="0.25">
      <c r="J73" s="13"/>
      <c r="K73" s="14"/>
      <c r="L73" s="70"/>
    </row>
    <row r="74" spans="10:19" x14ac:dyDescent="0.25">
      <c r="J74" s="68" t="s">
        <v>227</v>
      </c>
      <c r="K74" s="69">
        <f>+K65+K71</f>
        <v>3600</v>
      </c>
      <c r="L74" s="71" t="str">
        <f>IF(K74&gt;0,"D",IF(K74&lt;0,"F","-"))</f>
        <v>D</v>
      </c>
    </row>
    <row r="76" spans="10:19" x14ac:dyDescent="0.25">
      <c r="J76" s="74" t="s">
        <v>228</v>
      </c>
      <c r="K76" s="73">
        <f>+K42+K58+K74</f>
        <v>12249.999999999998</v>
      </c>
      <c r="L76" s="75" t="str">
        <f>IF(K76&gt;0,"D",IF(K76&lt;0,"F","-"))</f>
        <v>D</v>
      </c>
    </row>
  </sheetData>
  <mergeCells count="5">
    <mergeCell ref="L21:L22"/>
    <mergeCell ref="J28:L28"/>
    <mergeCell ref="J44:L44"/>
    <mergeCell ref="J60:L60"/>
    <mergeCell ref="N59:S70"/>
  </mergeCells>
  <pageMargins left="0.75" right="0.75" top="1" bottom="1" header="0.5" footer="0.5"/>
  <pageSetup paperSize="9" orientation="portrait" horizontalDpi="4294967292" verticalDpi="429496729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J4:Q72"/>
  <sheetViews>
    <sheetView showGridLines="0" zoomScale="145" zoomScaleNormal="145" zoomScalePageLayoutView="145" workbookViewId="0">
      <selection activeCell="J1" sqref="J1"/>
    </sheetView>
  </sheetViews>
  <sheetFormatPr defaultColWidth="10.8984375" defaultRowHeight="13.2" x14ac:dyDescent="0.25"/>
  <cols>
    <col min="1" max="9" width="10.8984375" style="1"/>
    <col min="10" max="10" width="22.8984375" style="1" bestFit="1" customWidth="1"/>
    <col min="11" max="16384" width="10.8984375" style="1"/>
  </cols>
  <sheetData>
    <row r="4" spans="10:15" x14ac:dyDescent="0.25">
      <c r="K4" s="108" t="s">
        <v>242</v>
      </c>
      <c r="L4" s="108"/>
      <c r="M4" s="108" t="s">
        <v>46</v>
      </c>
      <c r="N4" s="108"/>
      <c r="O4" s="31" t="s">
        <v>49</v>
      </c>
    </row>
    <row r="5" spans="10:15" x14ac:dyDescent="0.25">
      <c r="J5" s="1" t="s">
        <v>34</v>
      </c>
      <c r="K5" s="1">
        <v>1.5</v>
      </c>
      <c r="L5" s="1" t="s">
        <v>183</v>
      </c>
      <c r="M5" s="1">
        <v>6</v>
      </c>
      <c r="N5" s="1" t="s">
        <v>243</v>
      </c>
      <c r="O5" s="1">
        <f>+M5*K5</f>
        <v>9</v>
      </c>
    </row>
    <row r="6" spans="10:15" x14ac:dyDescent="0.25">
      <c r="J6" s="1" t="s">
        <v>2</v>
      </c>
      <c r="K6" s="1">
        <v>0.6</v>
      </c>
      <c r="L6" s="1" t="s">
        <v>95</v>
      </c>
      <c r="M6" s="1">
        <v>12</v>
      </c>
      <c r="N6" s="1" t="s">
        <v>244</v>
      </c>
      <c r="O6" s="1">
        <f t="shared" ref="O6:O7" si="0">+M6*K6</f>
        <v>7.1999999999999993</v>
      </c>
    </row>
    <row r="7" spans="10:15" x14ac:dyDescent="0.25">
      <c r="J7" s="24" t="s">
        <v>15</v>
      </c>
      <c r="K7" s="24">
        <v>0.6</v>
      </c>
      <c r="L7" s="24" t="s">
        <v>95</v>
      </c>
      <c r="M7" s="24">
        <v>2.5</v>
      </c>
      <c r="N7" s="24" t="s">
        <v>244</v>
      </c>
      <c r="O7" s="24">
        <f t="shared" si="0"/>
        <v>1.5</v>
      </c>
    </row>
    <row r="8" spans="10:15" ht="13.8" thickBot="1" x14ac:dyDescent="0.3">
      <c r="O8" s="27">
        <f>SUM(O5:O7)</f>
        <v>17.7</v>
      </c>
    </row>
    <row r="9" spans="10:15" ht="13.8" thickTop="1" x14ac:dyDescent="0.25"/>
    <row r="11" spans="10:15" x14ac:dyDescent="0.25">
      <c r="J11" s="1" t="s">
        <v>146</v>
      </c>
      <c r="K11" s="2">
        <v>3000</v>
      </c>
    </row>
    <row r="13" spans="10:15" x14ac:dyDescent="0.25">
      <c r="J13" s="31" t="s">
        <v>34</v>
      </c>
      <c r="K13" s="31" t="s">
        <v>45</v>
      </c>
      <c r="L13" s="31" t="s">
        <v>46</v>
      </c>
      <c r="M13" s="31" t="s">
        <v>137</v>
      </c>
    </row>
    <row r="14" spans="10:15" x14ac:dyDescent="0.25">
      <c r="J14" s="1" t="s">
        <v>245</v>
      </c>
      <c r="K14" s="2">
        <v>8000</v>
      </c>
      <c r="L14" s="1">
        <v>46000</v>
      </c>
      <c r="M14" s="1">
        <f>+L14/K14</f>
        <v>5.75</v>
      </c>
    </row>
    <row r="15" spans="10:15" x14ac:dyDescent="0.25">
      <c r="J15" s="1" t="s">
        <v>194</v>
      </c>
      <c r="K15" s="2">
        <v>6000</v>
      </c>
    </row>
    <row r="16" spans="10:15" x14ac:dyDescent="0.25">
      <c r="K16" s="2"/>
    </row>
    <row r="17" spans="10:17" x14ac:dyDescent="0.25">
      <c r="J17" s="31"/>
      <c r="K17" s="77" t="s">
        <v>43</v>
      </c>
      <c r="L17" s="31" t="s">
        <v>186</v>
      </c>
    </row>
    <row r="18" spans="10:17" x14ac:dyDescent="0.25">
      <c r="J18" s="1" t="s">
        <v>2</v>
      </c>
      <c r="K18" s="2">
        <f>160*10</f>
        <v>1600</v>
      </c>
      <c r="L18" s="1">
        <v>12.5</v>
      </c>
    </row>
    <row r="20" spans="10:17" x14ac:dyDescent="0.25">
      <c r="J20" s="31"/>
      <c r="K20" s="31" t="s">
        <v>49</v>
      </c>
      <c r="L20" s="31"/>
    </row>
    <row r="21" spans="10:17" x14ac:dyDescent="0.25">
      <c r="J21" s="1" t="s">
        <v>15</v>
      </c>
      <c r="K21" s="1">
        <v>3600</v>
      </c>
    </row>
    <row r="24" spans="10:17" x14ac:dyDescent="0.25">
      <c r="J24" s="106" t="s">
        <v>203</v>
      </c>
      <c r="K24" s="108"/>
      <c r="L24" s="107"/>
      <c r="N24" s="109" t="s">
        <v>246</v>
      </c>
      <c r="O24" s="109"/>
      <c r="P24" s="109"/>
      <c r="Q24" s="109"/>
    </row>
    <row r="25" spans="10:17" x14ac:dyDescent="0.25">
      <c r="J25" s="9" t="s">
        <v>200</v>
      </c>
      <c r="K25" s="10"/>
      <c r="L25" s="12"/>
      <c r="N25" s="109"/>
      <c r="O25" s="109"/>
      <c r="P25" s="109"/>
      <c r="Q25" s="109"/>
    </row>
    <row r="26" spans="10:17" x14ac:dyDescent="0.25">
      <c r="J26" s="67" t="s">
        <v>36</v>
      </c>
      <c r="K26" s="72">
        <f>M5</f>
        <v>6</v>
      </c>
      <c r="L26" s="15"/>
      <c r="N26" s="109"/>
      <c r="O26" s="109"/>
      <c r="P26" s="109"/>
      <c r="Q26" s="109"/>
    </row>
    <row r="27" spans="10:17" x14ac:dyDescent="0.25">
      <c r="J27" s="13" t="s">
        <v>139</v>
      </c>
      <c r="K27" s="61">
        <f>K15</f>
        <v>6000</v>
      </c>
      <c r="L27" s="15"/>
      <c r="N27" s="109"/>
      <c r="O27" s="109"/>
      <c r="P27" s="109"/>
      <c r="Q27" s="109"/>
    </row>
    <row r="28" spans="10:17" x14ac:dyDescent="0.25">
      <c r="J28" s="13" t="s">
        <v>35</v>
      </c>
      <c r="K28" s="61">
        <f>K5*K11</f>
        <v>4500</v>
      </c>
      <c r="L28" s="70"/>
      <c r="N28" s="109"/>
      <c r="O28" s="109"/>
      <c r="P28" s="109"/>
      <c r="Q28" s="109"/>
    </row>
    <row r="29" spans="10:17" x14ac:dyDescent="0.25">
      <c r="J29" s="13" t="s">
        <v>199</v>
      </c>
      <c r="K29" s="14">
        <f>K26*(K27-K28)</f>
        <v>9000</v>
      </c>
      <c r="L29" s="70" t="str">
        <f>IF(K29&gt;0,"D",IF(K29&lt;0,"F","-"))</f>
        <v>D</v>
      </c>
      <c r="N29" s="109"/>
      <c r="O29" s="109"/>
      <c r="P29" s="109"/>
      <c r="Q29" s="109"/>
    </row>
    <row r="30" spans="10:17" x14ac:dyDescent="0.25">
      <c r="J30" s="13"/>
      <c r="K30" s="14"/>
      <c r="L30" s="70"/>
      <c r="N30" s="109"/>
      <c r="O30" s="109"/>
      <c r="P30" s="109"/>
      <c r="Q30" s="109"/>
    </row>
    <row r="31" spans="10:17" x14ac:dyDescent="0.25">
      <c r="J31" s="13" t="s">
        <v>201</v>
      </c>
      <c r="K31" s="14"/>
      <c r="L31" s="70"/>
      <c r="N31" s="109"/>
      <c r="O31" s="109"/>
      <c r="P31" s="109"/>
      <c r="Q31" s="109"/>
    </row>
    <row r="32" spans="10:17" x14ac:dyDescent="0.25">
      <c r="J32" s="13" t="s">
        <v>139</v>
      </c>
      <c r="K32" s="61">
        <f>K14</f>
        <v>8000</v>
      </c>
      <c r="L32" s="70"/>
      <c r="N32" s="109"/>
      <c r="O32" s="109"/>
      <c r="P32" s="109"/>
      <c r="Q32" s="109"/>
    </row>
    <row r="33" spans="10:17" x14ac:dyDescent="0.25">
      <c r="J33" s="13" t="s">
        <v>140</v>
      </c>
      <c r="K33" s="14">
        <f>M14</f>
        <v>5.75</v>
      </c>
      <c r="L33" s="70"/>
      <c r="N33" s="109"/>
      <c r="O33" s="109"/>
      <c r="P33" s="109"/>
      <c r="Q33" s="109"/>
    </row>
    <row r="34" spans="10:17" x14ac:dyDescent="0.25">
      <c r="J34" s="13" t="s">
        <v>36</v>
      </c>
      <c r="K34" s="14">
        <f>M5</f>
        <v>6</v>
      </c>
      <c r="L34" s="70"/>
      <c r="N34" s="109"/>
      <c r="O34" s="109"/>
      <c r="P34" s="109"/>
      <c r="Q34" s="109"/>
    </row>
    <row r="35" spans="10:17" x14ac:dyDescent="0.25">
      <c r="J35" s="13" t="s">
        <v>202</v>
      </c>
      <c r="K35" s="14">
        <f>+K32*(K33-K34)</f>
        <v>-2000</v>
      </c>
      <c r="L35" s="70" t="str">
        <f>IF(K35&gt;0,"D",IF(K35&lt;0,"F","-"))</f>
        <v>F</v>
      </c>
      <c r="N35" s="109"/>
      <c r="O35" s="109"/>
      <c r="P35" s="109"/>
      <c r="Q35" s="109"/>
    </row>
    <row r="36" spans="10:17" x14ac:dyDescent="0.25">
      <c r="J36" s="13"/>
      <c r="K36" s="14"/>
      <c r="L36" s="70"/>
      <c r="N36" s="109"/>
      <c r="O36" s="109"/>
      <c r="P36" s="109"/>
      <c r="Q36" s="109"/>
    </row>
    <row r="37" spans="10:17" x14ac:dyDescent="0.25">
      <c r="J37" s="13"/>
      <c r="K37" s="14"/>
      <c r="L37" s="70"/>
      <c r="N37" s="109"/>
      <c r="O37" s="109"/>
      <c r="P37" s="109"/>
      <c r="Q37" s="109"/>
    </row>
    <row r="38" spans="10:17" x14ac:dyDescent="0.25">
      <c r="J38" s="68" t="s">
        <v>225</v>
      </c>
      <c r="K38" s="69">
        <f>+K29+K35</f>
        <v>7000</v>
      </c>
      <c r="L38" s="71" t="str">
        <f>IF(K38&gt;0,"D",IF(K38&lt;0,"F","-"))</f>
        <v>D</v>
      </c>
      <c r="N38" s="109"/>
      <c r="O38" s="109"/>
      <c r="P38" s="109"/>
      <c r="Q38" s="109"/>
    </row>
    <row r="40" spans="10:17" x14ac:dyDescent="0.25">
      <c r="J40" s="106" t="s">
        <v>204</v>
      </c>
      <c r="K40" s="108"/>
      <c r="L40" s="107"/>
      <c r="N40" s="109" t="s">
        <v>247</v>
      </c>
      <c r="O40" s="109"/>
      <c r="P40" s="109"/>
      <c r="Q40" s="109"/>
    </row>
    <row r="41" spans="10:17" x14ac:dyDescent="0.25">
      <c r="J41" s="9" t="s">
        <v>205</v>
      </c>
      <c r="K41" s="10"/>
      <c r="L41" s="12"/>
      <c r="N41" s="109"/>
      <c r="O41" s="109"/>
      <c r="P41" s="109"/>
      <c r="Q41" s="109"/>
    </row>
    <row r="42" spans="10:17" x14ac:dyDescent="0.25">
      <c r="J42" s="67" t="s">
        <v>36</v>
      </c>
      <c r="K42" s="72">
        <f>M6</f>
        <v>12</v>
      </c>
      <c r="L42" s="15"/>
      <c r="N42" s="109"/>
      <c r="O42" s="109"/>
      <c r="P42" s="109"/>
      <c r="Q42" s="109"/>
    </row>
    <row r="43" spans="10:17" x14ac:dyDescent="0.25">
      <c r="J43" s="13" t="s">
        <v>139</v>
      </c>
      <c r="K43" s="61">
        <f>K18</f>
        <v>1600</v>
      </c>
      <c r="L43" s="15"/>
      <c r="N43" s="109"/>
      <c r="O43" s="109"/>
      <c r="P43" s="109"/>
      <c r="Q43" s="109"/>
    </row>
    <row r="44" spans="10:17" x14ac:dyDescent="0.25">
      <c r="J44" s="13" t="s">
        <v>35</v>
      </c>
      <c r="K44" s="61">
        <f>K6*K11</f>
        <v>1800</v>
      </c>
      <c r="L44" s="70"/>
      <c r="N44" s="109"/>
      <c r="O44" s="109"/>
      <c r="P44" s="109"/>
      <c r="Q44" s="109"/>
    </row>
    <row r="45" spans="10:17" x14ac:dyDescent="0.25">
      <c r="J45" s="13" t="s">
        <v>199</v>
      </c>
      <c r="K45" s="14">
        <f>K42*(K43-K44)</f>
        <v>-2400</v>
      </c>
      <c r="L45" s="70" t="str">
        <f>IF(K45&gt;0,"D",IF(K45&lt;0,"F","-"))</f>
        <v>F</v>
      </c>
      <c r="N45" s="109"/>
      <c r="O45" s="109"/>
      <c r="P45" s="109"/>
      <c r="Q45" s="109"/>
    </row>
    <row r="46" spans="10:17" x14ac:dyDescent="0.25">
      <c r="J46" s="13"/>
      <c r="K46" s="14"/>
      <c r="L46" s="70"/>
      <c r="N46" s="109"/>
      <c r="O46" s="109"/>
      <c r="P46" s="109"/>
      <c r="Q46" s="109"/>
    </row>
    <row r="47" spans="10:17" x14ac:dyDescent="0.25">
      <c r="J47" s="13" t="s">
        <v>223</v>
      </c>
      <c r="K47" s="14"/>
      <c r="L47" s="70"/>
      <c r="N47" s="109"/>
      <c r="O47" s="109"/>
      <c r="P47" s="109"/>
      <c r="Q47" s="109"/>
    </row>
    <row r="48" spans="10:17" x14ac:dyDescent="0.25">
      <c r="J48" s="13" t="s">
        <v>139</v>
      </c>
      <c r="K48" s="61">
        <f>K18</f>
        <v>1600</v>
      </c>
      <c r="L48" s="70"/>
      <c r="N48" s="109"/>
      <c r="O48" s="109"/>
      <c r="P48" s="109"/>
      <c r="Q48" s="109"/>
    </row>
    <row r="49" spans="10:17" x14ac:dyDescent="0.25">
      <c r="J49" s="13" t="s">
        <v>140</v>
      </c>
      <c r="K49" s="14">
        <f>L18</f>
        <v>12.5</v>
      </c>
      <c r="L49" s="70"/>
      <c r="N49" s="109"/>
      <c r="O49" s="109"/>
      <c r="P49" s="109"/>
      <c r="Q49" s="109"/>
    </row>
    <row r="50" spans="10:17" x14ac:dyDescent="0.25">
      <c r="J50" s="13" t="s">
        <v>36</v>
      </c>
      <c r="K50" s="14">
        <f>M6</f>
        <v>12</v>
      </c>
      <c r="L50" s="70"/>
      <c r="N50" s="109"/>
      <c r="O50" s="109"/>
      <c r="P50" s="109"/>
      <c r="Q50" s="109"/>
    </row>
    <row r="51" spans="10:17" x14ac:dyDescent="0.25">
      <c r="J51" s="13" t="s">
        <v>144</v>
      </c>
      <c r="K51" s="14">
        <f>+K48*(K49-K50)</f>
        <v>800</v>
      </c>
      <c r="L51" s="70" t="str">
        <f>IF(K51&gt;0,"D",IF(K51&lt;0,"F","-"))</f>
        <v>D</v>
      </c>
      <c r="N51" s="109"/>
      <c r="O51" s="109"/>
      <c r="P51" s="109"/>
      <c r="Q51" s="109"/>
    </row>
    <row r="52" spans="10:17" x14ac:dyDescent="0.25">
      <c r="J52" s="13"/>
      <c r="K52" s="14"/>
      <c r="L52" s="70"/>
      <c r="N52" s="109"/>
      <c r="O52" s="109"/>
      <c r="P52" s="109"/>
      <c r="Q52" s="109"/>
    </row>
    <row r="53" spans="10:17" x14ac:dyDescent="0.25">
      <c r="J53" s="13"/>
      <c r="K53" s="14"/>
      <c r="L53" s="70"/>
      <c r="N53" s="109"/>
      <c r="O53" s="109"/>
      <c r="P53" s="109"/>
      <c r="Q53" s="109"/>
    </row>
    <row r="54" spans="10:17" x14ac:dyDescent="0.25">
      <c r="J54" s="68" t="s">
        <v>226</v>
      </c>
      <c r="K54" s="69">
        <f>+K45+K51</f>
        <v>-1600</v>
      </c>
      <c r="L54" s="71" t="str">
        <f>IF(K54&gt;0,"D",IF(K54&lt;0,"F","-"))</f>
        <v>F</v>
      </c>
      <c r="N54" s="109"/>
      <c r="O54" s="109"/>
      <c r="P54" s="109"/>
      <c r="Q54" s="109"/>
    </row>
    <row r="56" spans="10:17" x14ac:dyDescent="0.25">
      <c r="J56" s="106" t="s">
        <v>204</v>
      </c>
      <c r="K56" s="108"/>
      <c r="L56" s="107"/>
    </row>
    <row r="57" spans="10:17" x14ac:dyDescent="0.25">
      <c r="J57" s="9" t="s">
        <v>205</v>
      </c>
      <c r="K57" s="10"/>
      <c r="L57" s="12"/>
      <c r="N57" s="109" t="s">
        <v>248</v>
      </c>
      <c r="O57" s="109"/>
      <c r="P57" s="109"/>
      <c r="Q57" s="109"/>
    </row>
    <row r="58" spans="10:17" x14ac:dyDescent="0.25">
      <c r="J58" s="67" t="s">
        <v>36</v>
      </c>
      <c r="K58" s="72">
        <f>M7</f>
        <v>2.5</v>
      </c>
      <c r="L58" s="15"/>
      <c r="N58" s="109"/>
      <c r="O58" s="109"/>
      <c r="P58" s="109"/>
      <c r="Q58" s="109"/>
    </row>
    <row r="59" spans="10:17" x14ac:dyDescent="0.25">
      <c r="J59" s="13" t="s">
        <v>139</v>
      </c>
      <c r="K59" s="61">
        <f>K18</f>
        <v>1600</v>
      </c>
      <c r="L59" s="15"/>
      <c r="N59" s="109"/>
      <c r="O59" s="109"/>
      <c r="P59" s="109"/>
      <c r="Q59" s="109"/>
    </row>
    <row r="60" spans="10:17" x14ac:dyDescent="0.25">
      <c r="J60" s="13" t="s">
        <v>35</v>
      </c>
      <c r="K60" s="61">
        <f>K7*K11</f>
        <v>1800</v>
      </c>
      <c r="L60" s="70"/>
      <c r="N60" s="109"/>
      <c r="O60" s="109"/>
      <c r="P60" s="109"/>
      <c r="Q60" s="109"/>
    </row>
    <row r="61" spans="10:17" x14ac:dyDescent="0.25">
      <c r="J61" s="13" t="s">
        <v>199</v>
      </c>
      <c r="K61" s="14">
        <f>K58*(K59-K60)</f>
        <v>-500</v>
      </c>
      <c r="L61" s="70" t="str">
        <f>IF(K61&gt;0,"D",IF(K61&lt;0,"F","-"))</f>
        <v>F</v>
      </c>
      <c r="N61" s="109"/>
      <c r="O61" s="109"/>
      <c r="P61" s="109"/>
      <c r="Q61" s="109"/>
    </row>
    <row r="62" spans="10:17" x14ac:dyDescent="0.25">
      <c r="J62" s="13"/>
      <c r="K62" s="14"/>
      <c r="L62" s="70"/>
      <c r="N62" s="109"/>
      <c r="O62" s="109"/>
      <c r="P62" s="109"/>
      <c r="Q62" s="109"/>
    </row>
    <row r="63" spans="10:17" x14ac:dyDescent="0.25">
      <c r="J63" s="13" t="s">
        <v>201</v>
      </c>
      <c r="K63" s="14"/>
      <c r="L63" s="70"/>
      <c r="N63" s="109"/>
      <c r="O63" s="109"/>
      <c r="P63" s="109"/>
      <c r="Q63" s="109"/>
    </row>
    <row r="64" spans="10:17" x14ac:dyDescent="0.25">
      <c r="J64" s="13" t="s">
        <v>139</v>
      </c>
      <c r="K64" s="61">
        <f>K18</f>
        <v>1600</v>
      </c>
      <c r="L64" s="70"/>
      <c r="N64" s="109"/>
      <c r="O64" s="109"/>
      <c r="P64" s="109"/>
      <c r="Q64" s="109"/>
    </row>
    <row r="65" spans="10:17" x14ac:dyDescent="0.25">
      <c r="J65" s="13" t="s">
        <v>140</v>
      </c>
      <c r="K65" s="14">
        <f>K21/K18</f>
        <v>2.25</v>
      </c>
      <c r="L65" s="70"/>
      <c r="N65" s="109"/>
      <c r="O65" s="109"/>
      <c r="P65" s="109"/>
      <c r="Q65" s="109"/>
    </row>
    <row r="66" spans="10:17" x14ac:dyDescent="0.25">
      <c r="J66" s="13" t="s">
        <v>36</v>
      </c>
      <c r="K66" s="14">
        <f>M7</f>
        <v>2.5</v>
      </c>
      <c r="L66" s="70"/>
      <c r="N66" s="109"/>
      <c r="O66" s="109"/>
      <c r="P66" s="109"/>
      <c r="Q66" s="109"/>
    </row>
    <row r="67" spans="10:17" x14ac:dyDescent="0.25">
      <c r="J67" s="13" t="s">
        <v>202</v>
      </c>
      <c r="K67" s="14">
        <f>+K64*(K65-K66)</f>
        <v>-400</v>
      </c>
      <c r="L67" s="70" t="str">
        <f>IF(K67&gt;0,"D",IF(K67&lt;0,"F","-"))</f>
        <v>F</v>
      </c>
      <c r="N67" s="109"/>
      <c r="O67" s="109"/>
      <c r="P67" s="109"/>
      <c r="Q67" s="109"/>
    </row>
    <row r="68" spans="10:17" x14ac:dyDescent="0.25">
      <c r="J68" s="13"/>
      <c r="K68" s="14"/>
      <c r="L68" s="70"/>
      <c r="N68" s="109"/>
      <c r="O68" s="109"/>
      <c r="P68" s="109"/>
      <c r="Q68" s="109"/>
    </row>
    <row r="69" spans="10:17" x14ac:dyDescent="0.25">
      <c r="J69" s="13"/>
      <c r="K69" s="14"/>
      <c r="L69" s="70"/>
      <c r="N69" s="109"/>
      <c r="O69" s="109"/>
      <c r="P69" s="109"/>
      <c r="Q69" s="109"/>
    </row>
    <row r="70" spans="10:17" x14ac:dyDescent="0.25">
      <c r="J70" s="68" t="s">
        <v>227</v>
      </c>
      <c r="K70" s="69">
        <f>+K61+K67</f>
        <v>-900</v>
      </c>
      <c r="L70" s="71" t="str">
        <f>IF(K70&gt;0,"D",IF(K70&lt;0,"F","-"))</f>
        <v>F</v>
      </c>
      <c r="N70" s="109"/>
      <c r="O70" s="109"/>
      <c r="P70" s="109"/>
      <c r="Q70" s="109"/>
    </row>
    <row r="71" spans="10:17" x14ac:dyDescent="0.25">
      <c r="N71" s="109"/>
      <c r="O71" s="109"/>
      <c r="P71" s="109"/>
      <c r="Q71" s="109"/>
    </row>
    <row r="72" spans="10:17" x14ac:dyDescent="0.25">
      <c r="J72" s="74" t="s">
        <v>228</v>
      </c>
      <c r="K72" s="73">
        <f>+K38+K54+K70</f>
        <v>4500</v>
      </c>
      <c r="L72" s="75" t="str">
        <f>IF(K72&gt;0,"D",IF(K72&lt;0,"F","-"))</f>
        <v>D</v>
      </c>
    </row>
  </sheetData>
  <mergeCells count="8">
    <mergeCell ref="N57:Q71"/>
    <mergeCell ref="K4:L4"/>
    <mergeCell ref="M4:N4"/>
    <mergeCell ref="J24:L24"/>
    <mergeCell ref="J40:L40"/>
    <mergeCell ref="J56:L56"/>
    <mergeCell ref="N24:Q38"/>
    <mergeCell ref="N40:Q54"/>
  </mergeCells>
  <pageMargins left="0.75" right="0.75" top="1" bottom="1" header="0.5" footer="0.5"/>
  <pageSetup paperSize="9" orientation="portrait" horizontalDpi="4294967292" verticalDpi="4294967292"/>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I2:P81"/>
  <sheetViews>
    <sheetView showGridLines="0" topLeftCell="A10" zoomScale="145" zoomScaleNormal="145" zoomScalePageLayoutView="145" workbookViewId="0">
      <selection activeCell="I45" activeCellId="1" sqref="I51 I45"/>
    </sheetView>
  </sheetViews>
  <sheetFormatPr defaultColWidth="10.8984375" defaultRowHeight="13.2" x14ac:dyDescent="0.25"/>
  <cols>
    <col min="1" max="8" width="10.8984375" style="1"/>
    <col min="9" max="9" width="22.8984375" style="1" bestFit="1" customWidth="1"/>
    <col min="10" max="10" width="9.8984375" style="1" bestFit="1" customWidth="1"/>
    <col min="11" max="11" width="8.3984375" style="1" bestFit="1" customWidth="1"/>
    <col min="12" max="12" width="10.8984375" style="1"/>
    <col min="13" max="13" width="17.3984375" style="1" bestFit="1" customWidth="1"/>
    <col min="14" max="15" width="5.3984375" style="1" bestFit="1" customWidth="1"/>
    <col min="16" max="16384" width="10.8984375" style="1"/>
  </cols>
  <sheetData>
    <row r="2" spans="9:15" x14ac:dyDescent="0.25">
      <c r="J2" s="108" t="s">
        <v>249</v>
      </c>
      <c r="K2" s="108"/>
      <c r="L2" s="108"/>
      <c r="M2" s="108" t="s">
        <v>145</v>
      </c>
      <c r="N2" s="108"/>
      <c r="O2" s="108"/>
    </row>
    <row r="3" spans="9:15" x14ac:dyDescent="0.25">
      <c r="J3" s="66" t="s">
        <v>45</v>
      </c>
      <c r="K3" s="66" t="s">
        <v>237</v>
      </c>
      <c r="L3" s="66" t="s">
        <v>49</v>
      </c>
      <c r="M3" s="66" t="s">
        <v>45</v>
      </c>
      <c r="N3" s="66" t="s">
        <v>237</v>
      </c>
      <c r="O3" s="66" t="s">
        <v>49</v>
      </c>
    </row>
    <row r="4" spans="9:15" x14ac:dyDescent="0.25">
      <c r="I4" s="1" t="s">
        <v>34</v>
      </c>
      <c r="J4" s="1">
        <v>1.8</v>
      </c>
      <c r="K4" s="1">
        <v>3</v>
      </c>
      <c r="L4" s="1">
        <f>+K4*J4</f>
        <v>5.4</v>
      </c>
      <c r="M4" s="1">
        <v>1.75</v>
      </c>
      <c r="N4" s="1">
        <v>3.2</v>
      </c>
      <c r="O4" s="1">
        <f>+N4*M4</f>
        <v>5.6000000000000005</v>
      </c>
    </row>
    <row r="5" spans="9:15" x14ac:dyDescent="0.25">
      <c r="I5" s="1" t="s">
        <v>2</v>
      </c>
      <c r="J5" s="1">
        <v>0.9</v>
      </c>
      <c r="K5" s="1">
        <v>18</v>
      </c>
      <c r="L5" s="1">
        <f>+K5*J5</f>
        <v>16.2</v>
      </c>
      <c r="M5" s="1">
        <v>0.95</v>
      </c>
      <c r="N5" s="1">
        <v>17.399999999999999</v>
      </c>
      <c r="O5" s="1">
        <f>+N5*M5</f>
        <v>16.529999999999998</v>
      </c>
    </row>
    <row r="6" spans="9:15" x14ac:dyDescent="0.25">
      <c r="I6" s="1" t="s">
        <v>15</v>
      </c>
      <c r="J6" s="1">
        <v>0.9</v>
      </c>
      <c r="K6" s="1">
        <v>5</v>
      </c>
      <c r="L6" s="1">
        <f>+K6*J6</f>
        <v>4.5</v>
      </c>
      <c r="M6" s="1">
        <v>0.95</v>
      </c>
      <c r="N6" s="1">
        <v>4.5999999999999996</v>
      </c>
      <c r="O6" s="1">
        <f>+N6*M6</f>
        <v>4.3699999999999992</v>
      </c>
    </row>
    <row r="7" spans="9:15" ht="13.8" thickBot="1" x14ac:dyDescent="0.3">
      <c r="I7" s="27" t="s">
        <v>210</v>
      </c>
      <c r="J7" s="27"/>
      <c r="K7" s="27"/>
      <c r="L7" s="27">
        <f>SUM(L4:L6)</f>
        <v>26.1</v>
      </c>
      <c r="M7" s="27"/>
      <c r="N7" s="27"/>
      <c r="O7" s="27">
        <f>SUM(O4:O6)</f>
        <v>26.5</v>
      </c>
    </row>
    <row r="8" spans="9:15" ht="13.8" thickTop="1" x14ac:dyDescent="0.25">
      <c r="I8" s="1" t="s">
        <v>250</v>
      </c>
      <c r="O8" s="1">
        <f>+O7-L7</f>
        <v>0.39999999999999858</v>
      </c>
    </row>
    <row r="10" spans="9:15" x14ac:dyDescent="0.25">
      <c r="I10" s="1" t="s">
        <v>39</v>
      </c>
      <c r="J10" s="2">
        <v>12000</v>
      </c>
    </row>
    <row r="12" spans="9:15" x14ac:dyDescent="0.25">
      <c r="I12" s="106" t="s">
        <v>203</v>
      </c>
      <c r="J12" s="108"/>
      <c r="K12" s="107"/>
    </row>
    <row r="13" spans="9:15" x14ac:dyDescent="0.25">
      <c r="I13" s="9" t="s">
        <v>200</v>
      </c>
      <c r="J13" s="10"/>
      <c r="K13" s="12"/>
    </row>
    <row r="14" spans="9:15" x14ac:dyDescent="0.25">
      <c r="I14" s="67" t="s">
        <v>36</v>
      </c>
      <c r="J14" s="72">
        <f>K4</f>
        <v>3</v>
      </c>
      <c r="K14" s="15"/>
    </row>
    <row r="15" spans="9:15" x14ac:dyDescent="0.25">
      <c r="I15" s="13" t="s">
        <v>139</v>
      </c>
      <c r="J15" s="61">
        <f>M4*J10</f>
        <v>21000</v>
      </c>
      <c r="K15" s="15"/>
    </row>
    <row r="16" spans="9:15" x14ac:dyDescent="0.25">
      <c r="I16" s="13" t="s">
        <v>35</v>
      </c>
      <c r="J16" s="61">
        <f>J4*J10</f>
        <v>21600</v>
      </c>
      <c r="K16" s="70"/>
    </row>
    <row r="17" spans="9:16" x14ac:dyDescent="0.25">
      <c r="I17" s="13" t="s">
        <v>199</v>
      </c>
      <c r="J17" s="14">
        <f>J14*(J15-J16)</f>
        <v>-1800</v>
      </c>
      <c r="K17" s="70" t="str">
        <f>IF(J17&gt;0,"D",IF(J17&lt;0,"F","-"))</f>
        <v>F</v>
      </c>
    </row>
    <row r="18" spans="9:16" x14ac:dyDescent="0.25">
      <c r="I18" s="13"/>
      <c r="J18" s="14"/>
      <c r="K18" s="70"/>
    </row>
    <row r="19" spans="9:16" x14ac:dyDescent="0.25">
      <c r="I19" s="13" t="s">
        <v>201</v>
      </c>
      <c r="J19" s="14"/>
      <c r="K19" s="70"/>
    </row>
    <row r="20" spans="9:16" x14ac:dyDescent="0.25">
      <c r="I20" s="13" t="s">
        <v>139</v>
      </c>
      <c r="J20" s="61">
        <f>M4*J10</f>
        <v>21000</v>
      </c>
      <c r="K20" s="70"/>
      <c r="P20" s="51"/>
    </row>
    <row r="21" spans="9:16" x14ac:dyDescent="0.25">
      <c r="I21" s="13" t="s">
        <v>140</v>
      </c>
      <c r="J21" s="14">
        <f>N4</f>
        <v>3.2</v>
      </c>
      <c r="K21" s="70"/>
    </row>
    <row r="22" spans="9:16" x14ac:dyDescent="0.25">
      <c r="I22" s="13" t="s">
        <v>36</v>
      </c>
      <c r="J22" s="14">
        <f>K4</f>
        <v>3</v>
      </c>
      <c r="K22" s="70"/>
    </row>
    <row r="23" spans="9:16" x14ac:dyDescent="0.25">
      <c r="I23" s="13" t="s">
        <v>202</v>
      </c>
      <c r="J23" s="14">
        <f>+J20*(J21-J22)</f>
        <v>4200.0000000000036</v>
      </c>
      <c r="K23" s="70" t="str">
        <f>IF(J23&gt;0,"D",IF(J23&lt;0,"F","-"))</f>
        <v>D</v>
      </c>
      <c r="M23" s="1" t="s">
        <v>34</v>
      </c>
    </row>
    <row r="24" spans="9:16" x14ac:dyDescent="0.25">
      <c r="I24" s="13"/>
      <c r="J24" s="14"/>
      <c r="K24" s="70"/>
      <c r="M24" s="1" t="s">
        <v>50</v>
      </c>
      <c r="N24" s="1">
        <f>J17/J10</f>
        <v>-0.15</v>
      </c>
      <c r="O24" s="51" t="str">
        <f>IF(N24&gt;0,"D",IF(N24&lt;0,"F","-"))</f>
        <v>F</v>
      </c>
    </row>
    <row r="25" spans="9:16" x14ac:dyDescent="0.25">
      <c r="I25" s="13"/>
      <c r="J25" s="14"/>
      <c r="K25" s="70"/>
      <c r="M25" s="1" t="s">
        <v>51</v>
      </c>
      <c r="N25" s="55">
        <f>J23/J10</f>
        <v>0.35000000000000031</v>
      </c>
      <c r="O25" s="51" t="str">
        <f t="shared" ref="O25:O26" si="0">IF(N25&gt;0,"D",IF(N25&lt;0,"F","-"))</f>
        <v>D</v>
      </c>
    </row>
    <row r="26" spans="9:16" x14ac:dyDescent="0.25">
      <c r="I26" s="68" t="s">
        <v>225</v>
      </c>
      <c r="J26" s="69">
        <f>+J17+J23</f>
        <v>2400.0000000000036</v>
      </c>
      <c r="K26" s="71" t="str">
        <f>IF(J26&gt;0,"D",IF(J26&lt;0,"F","-"))</f>
        <v>D</v>
      </c>
      <c r="M26" s="1" t="s">
        <v>253</v>
      </c>
      <c r="N26" s="1">
        <f>+N25+N24</f>
        <v>0.20000000000000032</v>
      </c>
      <c r="O26" s="51" t="str">
        <f t="shared" si="0"/>
        <v>D</v>
      </c>
    </row>
    <row r="28" spans="9:16" x14ac:dyDescent="0.25">
      <c r="I28" s="106" t="s">
        <v>204</v>
      </c>
      <c r="J28" s="108"/>
      <c r="K28" s="107"/>
    </row>
    <row r="29" spans="9:16" x14ac:dyDescent="0.25">
      <c r="I29" s="9" t="s">
        <v>205</v>
      </c>
      <c r="J29" s="10"/>
      <c r="K29" s="12"/>
    </row>
    <row r="30" spans="9:16" x14ac:dyDescent="0.25">
      <c r="I30" s="67" t="s">
        <v>36</v>
      </c>
      <c r="J30" s="72">
        <f>K5</f>
        <v>18</v>
      </c>
      <c r="K30" s="15"/>
    </row>
    <row r="31" spans="9:16" x14ac:dyDescent="0.25">
      <c r="I31" s="13" t="s">
        <v>139</v>
      </c>
      <c r="J31" s="61">
        <f>M5*J10</f>
        <v>11400</v>
      </c>
      <c r="K31" s="15"/>
    </row>
    <row r="32" spans="9:16" x14ac:dyDescent="0.25">
      <c r="I32" s="13" t="s">
        <v>35</v>
      </c>
      <c r="J32" s="61">
        <f>J5*J10</f>
        <v>10800</v>
      </c>
      <c r="K32" s="70"/>
    </row>
    <row r="33" spans="9:15" x14ac:dyDescent="0.25">
      <c r="I33" s="13" t="s">
        <v>199</v>
      </c>
      <c r="J33" s="14">
        <f>J30*(J31-J32)</f>
        <v>10800</v>
      </c>
      <c r="K33" s="70" t="str">
        <f>IF(J33&gt;0,"D",IF(J33&lt;0,"F","-"))</f>
        <v>D</v>
      </c>
    </row>
    <row r="34" spans="9:15" x14ac:dyDescent="0.25">
      <c r="I34" s="13"/>
      <c r="J34" s="14"/>
      <c r="K34" s="70"/>
    </row>
    <row r="35" spans="9:15" x14ac:dyDescent="0.25">
      <c r="I35" s="13" t="s">
        <v>223</v>
      </c>
      <c r="J35" s="14"/>
      <c r="K35" s="70"/>
    </row>
    <row r="36" spans="9:15" x14ac:dyDescent="0.25">
      <c r="I36" s="13" t="s">
        <v>139</v>
      </c>
      <c r="J36" s="61">
        <f>M5*J10</f>
        <v>11400</v>
      </c>
      <c r="K36" s="70"/>
    </row>
    <row r="37" spans="9:15" x14ac:dyDescent="0.25">
      <c r="I37" s="13" t="s">
        <v>140</v>
      </c>
      <c r="J37" s="14">
        <f>N5</f>
        <v>17.399999999999999</v>
      </c>
      <c r="K37" s="70"/>
    </row>
    <row r="38" spans="9:15" x14ac:dyDescent="0.25">
      <c r="I38" s="13" t="s">
        <v>36</v>
      </c>
      <c r="J38" s="14">
        <f>K5</f>
        <v>18</v>
      </c>
      <c r="K38" s="70"/>
    </row>
    <row r="39" spans="9:15" x14ac:dyDescent="0.25">
      <c r="I39" s="13" t="s">
        <v>144</v>
      </c>
      <c r="J39" s="14">
        <f>+J36*(J37-J38)</f>
        <v>-6840.0000000000164</v>
      </c>
      <c r="K39" s="70" t="str">
        <f>IF(J39&gt;0,"D",IF(J39&lt;0,"F","-"))</f>
        <v>F</v>
      </c>
      <c r="M39" s="1" t="s">
        <v>2</v>
      </c>
    </row>
    <row r="40" spans="9:15" x14ac:dyDescent="0.25">
      <c r="I40" s="13"/>
      <c r="J40" s="14"/>
      <c r="K40" s="70"/>
      <c r="M40" s="1" t="s">
        <v>251</v>
      </c>
      <c r="N40" s="1">
        <f>J33/J10</f>
        <v>0.9</v>
      </c>
      <c r="O40" s="51" t="str">
        <f>IF(N40&gt;0,"D",IF(N40&lt;0,"F","-"))</f>
        <v>D</v>
      </c>
    </row>
    <row r="41" spans="9:15" x14ac:dyDescent="0.25">
      <c r="I41" s="13"/>
      <c r="J41" s="14"/>
      <c r="K41" s="70"/>
      <c r="M41" s="1" t="s">
        <v>252</v>
      </c>
      <c r="N41" s="55">
        <f>J39/J10</f>
        <v>-0.57000000000000139</v>
      </c>
      <c r="O41" s="51" t="str">
        <f t="shared" ref="O41:O42" si="1">IF(N41&gt;0,"D",IF(N41&lt;0,"F","-"))</f>
        <v>F</v>
      </c>
    </row>
    <row r="42" spans="9:15" x14ac:dyDescent="0.25">
      <c r="I42" s="68" t="s">
        <v>226</v>
      </c>
      <c r="J42" s="69">
        <f>+J33+J39</f>
        <v>3959.9999999999836</v>
      </c>
      <c r="K42" s="71" t="str">
        <f>IF(J42&gt;0,"D",IF(J42&lt;0,"F","-"))</f>
        <v>D</v>
      </c>
      <c r="M42" s="1" t="s">
        <v>254</v>
      </c>
      <c r="N42" s="1">
        <f>+N41+N40</f>
        <v>0.32999999999999863</v>
      </c>
      <c r="O42" s="51" t="str">
        <f t="shared" si="1"/>
        <v>D</v>
      </c>
    </row>
    <row r="44" spans="9:15" x14ac:dyDescent="0.25">
      <c r="I44" s="106" t="s">
        <v>428</v>
      </c>
      <c r="J44" s="108"/>
      <c r="K44" s="107"/>
    </row>
    <row r="45" spans="9:15" x14ac:dyDescent="0.25">
      <c r="I45" s="9" t="s">
        <v>205</v>
      </c>
      <c r="J45" s="10"/>
      <c r="K45" s="12"/>
    </row>
    <row r="46" spans="9:15" x14ac:dyDescent="0.25">
      <c r="I46" s="67" t="s">
        <v>36</v>
      </c>
      <c r="J46" s="72">
        <f>K6</f>
        <v>5</v>
      </c>
      <c r="K46" s="15"/>
    </row>
    <row r="47" spans="9:15" x14ac:dyDescent="0.25">
      <c r="I47" s="13" t="s">
        <v>139</v>
      </c>
      <c r="J47" s="61">
        <f>M6*J10</f>
        <v>11400</v>
      </c>
      <c r="K47" s="15"/>
    </row>
    <row r="48" spans="9:15" x14ac:dyDescent="0.25">
      <c r="I48" s="13" t="s">
        <v>35</v>
      </c>
      <c r="J48" s="61">
        <f>J6*J10</f>
        <v>10800</v>
      </c>
      <c r="K48" s="70"/>
    </row>
    <row r="49" spans="9:15" x14ac:dyDescent="0.25">
      <c r="I49" s="13" t="s">
        <v>199</v>
      </c>
      <c r="J49" s="14">
        <f>J46*(J47-J48)</f>
        <v>3000</v>
      </c>
      <c r="K49" s="70" t="str">
        <f>IF(J49&gt;0,"D",IF(J49&lt;0,"F","-"))</f>
        <v>D</v>
      </c>
    </row>
    <row r="50" spans="9:15" x14ac:dyDescent="0.25">
      <c r="I50" s="13"/>
      <c r="J50" s="14"/>
      <c r="K50" s="70"/>
    </row>
    <row r="51" spans="9:15" x14ac:dyDescent="0.25">
      <c r="I51" s="13" t="s">
        <v>201</v>
      </c>
      <c r="J51" s="14"/>
      <c r="K51" s="70"/>
    </row>
    <row r="52" spans="9:15" x14ac:dyDescent="0.25">
      <c r="I52" s="13" t="s">
        <v>139</v>
      </c>
      <c r="J52" s="61">
        <f>M6*J10</f>
        <v>11400</v>
      </c>
      <c r="K52" s="70"/>
    </row>
    <row r="53" spans="9:15" x14ac:dyDescent="0.25">
      <c r="I53" s="13" t="s">
        <v>140</v>
      </c>
      <c r="J53" s="14">
        <f>N6</f>
        <v>4.5999999999999996</v>
      </c>
      <c r="K53" s="70"/>
    </row>
    <row r="54" spans="9:15" x14ac:dyDescent="0.25">
      <c r="I54" s="13" t="s">
        <v>36</v>
      </c>
      <c r="J54" s="14">
        <f>K6</f>
        <v>5</v>
      </c>
      <c r="K54" s="70"/>
    </row>
    <row r="55" spans="9:15" x14ac:dyDescent="0.25">
      <c r="I55" s="13" t="s">
        <v>202</v>
      </c>
      <c r="J55" s="14">
        <f>+J52*(J53-J54)</f>
        <v>-4560.0000000000036</v>
      </c>
      <c r="K55" s="70" t="str">
        <f>IF(J55&gt;0,"D",IF(J55&lt;0,"F","-"))</f>
        <v>F</v>
      </c>
      <c r="M55" s="1" t="s">
        <v>15</v>
      </c>
    </row>
    <row r="56" spans="9:15" x14ac:dyDescent="0.25">
      <c r="I56" s="13"/>
      <c r="J56" s="14"/>
      <c r="K56" s="70"/>
      <c r="M56" s="1" t="s">
        <v>251</v>
      </c>
      <c r="N56" s="1">
        <f>J49/J10</f>
        <v>0.25</v>
      </c>
      <c r="O56" s="51" t="str">
        <f>IF(N56&gt;0,"D",IF(N56&lt;0,"F","-"))</f>
        <v>D</v>
      </c>
    </row>
    <row r="57" spans="9:15" x14ac:dyDescent="0.25">
      <c r="I57" s="13"/>
      <c r="J57" s="14"/>
      <c r="K57" s="70"/>
      <c r="M57" s="1" t="s">
        <v>252</v>
      </c>
      <c r="N57" s="55">
        <f>J55/J10</f>
        <v>-0.38000000000000028</v>
      </c>
      <c r="O57" s="51" t="str">
        <f>IF(N57&gt;0,"D",IF(N57&lt;0,"F","-"))</f>
        <v>F</v>
      </c>
    </row>
    <row r="58" spans="9:15" x14ac:dyDescent="0.25">
      <c r="I58" s="68" t="s">
        <v>227</v>
      </c>
      <c r="J58" s="69">
        <f>+J49+J55</f>
        <v>-1560.0000000000036</v>
      </c>
      <c r="K58" s="71" t="str">
        <f>IF(J58&gt;0,"D",IF(J58&lt;0,"F","-"))</f>
        <v>F</v>
      </c>
      <c r="M58" s="1" t="s">
        <v>255</v>
      </c>
      <c r="N58" s="1">
        <f>+N57+N56</f>
        <v>-0.13000000000000028</v>
      </c>
      <c r="O58" s="51" t="str">
        <f>IF(N58&gt;0,"D",IF(N58&lt;0,"F","-"))</f>
        <v>F</v>
      </c>
    </row>
    <row r="60" spans="9:15" x14ac:dyDescent="0.25">
      <c r="I60" s="81" t="s">
        <v>228</v>
      </c>
      <c r="J60" s="32">
        <f>+J26+J42+J58</f>
        <v>4799.9999999999836</v>
      </c>
      <c r="K60" s="75" t="str">
        <f>IF(J60&gt;0,"D",IF(J60&lt;0,"F","-"))</f>
        <v>D</v>
      </c>
      <c r="M60" s="1" t="s">
        <v>55</v>
      </c>
      <c r="N60" s="1">
        <f>+N26+N42+N58</f>
        <v>0.39999999999999863</v>
      </c>
      <c r="O60" s="51" t="str">
        <f>IF(N60&gt;0,"D",IF(N60&lt;0,"F","-"))</f>
        <v>D</v>
      </c>
    </row>
    <row r="63" spans="9:15" ht="12" customHeight="1" x14ac:dyDescent="0.25">
      <c r="I63" s="109" t="s">
        <v>256</v>
      </c>
      <c r="J63" s="109"/>
      <c r="K63" s="109"/>
    </row>
    <row r="64" spans="9:15" x14ac:dyDescent="0.25">
      <c r="I64" s="109"/>
      <c r="J64" s="109"/>
      <c r="K64" s="109"/>
    </row>
    <row r="65" spans="9:13" x14ac:dyDescent="0.25">
      <c r="I65" s="109"/>
      <c r="J65" s="109"/>
      <c r="K65" s="109"/>
    </row>
    <row r="66" spans="9:13" x14ac:dyDescent="0.25">
      <c r="I66" s="109"/>
      <c r="J66" s="109"/>
      <c r="K66" s="109"/>
    </row>
    <row r="67" spans="9:13" x14ac:dyDescent="0.25">
      <c r="I67" s="109"/>
      <c r="J67" s="109"/>
      <c r="K67" s="109"/>
    </row>
    <row r="68" spans="9:13" x14ac:dyDescent="0.25">
      <c r="I68" s="109"/>
      <c r="J68" s="109"/>
      <c r="K68" s="109"/>
    </row>
    <row r="69" spans="9:13" x14ac:dyDescent="0.25">
      <c r="I69" s="109"/>
      <c r="J69" s="109"/>
      <c r="K69" s="109"/>
    </row>
    <row r="71" spans="9:13" ht="12" customHeight="1" x14ac:dyDescent="0.25">
      <c r="I71" s="109" t="s">
        <v>257</v>
      </c>
      <c r="J71" s="109"/>
      <c r="K71" s="109"/>
      <c r="L71" s="109"/>
      <c r="M71" s="109"/>
    </row>
    <row r="72" spans="9:13" x14ac:dyDescent="0.25">
      <c r="I72" s="109"/>
      <c r="J72" s="109"/>
      <c r="K72" s="109"/>
      <c r="L72" s="109"/>
      <c r="M72" s="109"/>
    </row>
    <row r="73" spans="9:13" x14ac:dyDescent="0.25">
      <c r="I73" s="109"/>
      <c r="J73" s="109"/>
      <c r="K73" s="109"/>
      <c r="L73" s="109"/>
      <c r="M73" s="109"/>
    </row>
    <row r="74" spans="9:13" x14ac:dyDescent="0.25">
      <c r="I74" s="109"/>
      <c r="J74" s="109"/>
      <c r="K74" s="109"/>
      <c r="L74" s="109"/>
      <c r="M74" s="109"/>
    </row>
    <row r="75" spans="9:13" x14ac:dyDescent="0.25">
      <c r="I75" s="109"/>
      <c r="J75" s="109"/>
      <c r="K75" s="109"/>
      <c r="L75" s="109"/>
      <c r="M75" s="109"/>
    </row>
    <row r="76" spans="9:13" x14ac:dyDescent="0.25">
      <c r="I76" s="109"/>
      <c r="J76" s="109"/>
      <c r="K76" s="109"/>
      <c r="L76" s="109"/>
      <c r="M76" s="109"/>
    </row>
    <row r="77" spans="9:13" x14ac:dyDescent="0.25">
      <c r="I77" s="109"/>
      <c r="J77" s="109"/>
      <c r="K77" s="109"/>
      <c r="L77" s="109"/>
      <c r="M77" s="109"/>
    </row>
    <row r="78" spans="9:13" x14ac:dyDescent="0.25">
      <c r="I78" s="109"/>
      <c r="J78" s="109"/>
      <c r="K78" s="109"/>
      <c r="L78" s="109"/>
      <c r="M78" s="109"/>
    </row>
    <row r="79" spans="9:13" x14ac:dyDescent="0.25">
      <c r="I79" s="109"/>
      <c r="J79" s="109"/>
      <c r="K79" s="109"/>
      <c r="L79" s="109"/>
      <c r="M79" s="109"/>
    </row>
    <row r="80" spans="9:13" x14ac:dyDescent="0.25">
      <c r="I80" s="109"/>
      <c r="J80" s="109"/>
      <c r="K80" s="109"/>
      <c r="L80" s="109"/>
      <c r="M80" s="109"/>
    </row>
    <row r="81" spans="9:13" x14ac:dyDescent="0.25">
      <c r="I81" s="109"/>
      <c r="J81" s="109"/>
      <c r="K81" s="109"/>
      <c r="L81" s="109"/>
      <c r="M81" s="109"/>
    </row>
  </sheetData>
  <mergeCells count="7">
    <mergeCell ref="I71:M81"/>
    <mergeCell ref="J2:L2"/>
    <mergeCell ref="M2:O2"/>
    <mergeCell ref="I12:K12"/>
    <mergeCell ref="I28:K28"/>
    <mergeCell ref="I44:K44"/>
    <mergeCell ref="I63:K69"/>
  </mergeCells>
  <pageMargins left="0.75" right="0.75" top="1" bottom="1" header="0.5" footer="0.5"/>
  <pageSetup paperSize="9" orientation="portrait" horizontalDpi="4294967292" verticalDpi="429496729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J5:S38"/>
  <sheetViews>
    <sheetView showGridLines="0" zoomScale="130" zoomScaleNormal="130" zoomScalePageLayoutView="130" workbookViewId="0">
      <selection activeCell="E40" sqref="E40"/>
    </sheetView>
  </sheetViews>
  <sheetFormatPr defaultColWidth="10.8984375" defaultRowHeight="13.2" x14ac:dyDescent="0.25"/>
  <cols>
    <col min="1" max="9" width="10.8984375" style="1"/>
    <col min="10" max="10" width="22.8984375" style="1" bestFit="1" customWidth="1"/>
    <col min="11" max="11" width="9.8984375" style="1" bestFit="1" customWidth="1"/>
    <col min="12" max="12" width="11.5" style="1" bestFit="1" customWidth="1"/>
    <col min="13" max="13" width="11.8984375" style="1" bestFit="1" customWidth="1"/>
    <col min="14" max="16384" width="10.8984375" style="1"/>
  </cols>
  <sheetData>
    <row r="5" spans="10:13" x14ac:dyDescent="0.25">
      <c r="K5" s="108" t="s">
        <v>249</v>
      </c>
      <c r="L5" s="108"/>
      <c r="M5" s="108"/>
    </row>
    <row r="6" spans="10:13" x14ac:dyDescent="0.25">
      <c r="K6" s="66" t="s">
        <v>45</v>
      </c>
      <c r="L6" s="66" t="s">
        <v>46</v>
      </c>
      <c r="M6" s="66" t="s">
        <v>49</v>
      </c>
    </row>
    <row r="7" spans="10:13" x14ac:dyDescent="0.25">
      <c r="J7" s="1" t="s">
        <v>34</v>
      </c>
      <c r="K7" s="3" t="s">
        <v>258</v>
      </c>
      <c r="L7" s="3" t="s">
        <v>258</v>
      </c>
      <c r="M7" s="3" t="s">
        <v>258</v>
      </c>
    </row>
    <row r="8" spans="10:13" x14ac:dyDescent="0.25">
      <c r="J8" s="1" t="s">
        <v>2</v>
      </c>
      <c r="K8" s="1">
        <v>2.5</v>
      </c>
      <c r="L8" s="1">
        <v>9</v>
      </c>
      <c r="M8" s="1">
        <f>+L8*K8</f>
        <v>22.5</v>
      </c>
    </row>
    <row r="10" spans="10:13" x14ac:dyDescent="0.25">
      <c r="K10" s="108" t="s">
        <v>145</v>
      </c>
      <c r="L10" s="108"/>
      <c r="M10" s="108"/>
    </row>
    <row r="11" spans="10:13" x14ac:dyDescent="0.25">
      <c r="K11" s="66" t="s">
        <v>45</v>
      </c>
      <c r="L11" s="66" t="s">
        <v>266</v>
      </c>
      <c r="M11" s="66" t="s">
        <v>267</v>
      </c>
    </row>
    <row r="12" spans="10:13" x14ac:dyDescent="0.25">
      <c r="J12" s="1" t="s">
        <v>34</v>
      </c>
      <c r="K12" s="2">
        <v>6000</v>
      </c>
      <c r="L12" s="1">
        <v>16500</v>
      </c>
      <c r="M12" s="1">
        <f>+L12/K12</f>
        <v>2.75</v>
      </c>
    </row>
    <row r="13" spans="10:13" x14ac:dyDescent="0.25">
      <c r="J13" s="1" t="s">
        <v>2</v>
      </c>
      <c r="L13" s="1">
        <v>28500</v>
      </c>
    </row>
    <row r="15" spans="10:13" x14ac:dyDescent="0.25">
      <c r="J15" s="1" t="s">
        <v>39</v>
      </c>
      <c r="K15" s="2">
        <v>1400</v>
      </c>
    </row>
    <row r="17" spans="10:19" x14ac:dyDescent="0.25">
      <c r="Q17" s="108" t="s">
        <v>249</v>
      </c>
      <c r="R17" s="108"/>
      <c r="S17" s="108"/>
    </row>
    <row r="18" spans="10:19" x14ac:dyDescent="0.25">
      <c r="J18" s="1" t="s">
        <v>259</v>
      </c>
      <c r="K18" s="1">
        <v>1200</v>
      </c>
      <c r="Q18" s="66" t="s">
        <v>45</v>
      </c>
      <c r="R18" s="66" t="s">
        <v>237</v>
      </c>
      <c r="S18" s="66" t="s">
        <v>262</v>
      </c>
    </row>
    <row r="19" spans="10:19" x14ac:dyDescent="0.25">
      <c r="J19" s="1" t="s">
        <v>260</v>
      </c>
      <c r="K19" s="1">
        <v>-300</v>
      </c>
      <c r="P19" s="1" t="s">
        <v>34</v>
      </c>
      <c r="Q19" s="83">
        <f>K26/K15</f>
        <v>4</v>
      </c>
      <c r="R19" s="82">
        <f>K24</f>
        <v>3</v>
      </c>
      <c r="S19" s="82">
        <f>+R19*Q19</f>
        <v>12</v>
      </c>
    </row>
    <row r="20" spans="10:19" x14ac:dyDescent="0.25">
      <c r="J20" s="1" t="s">
        <v>261</v>
      </c>
      <c r="K20" s="1">
        <v>-4500</v>
      </c>
      <c r="P20" s="1" t="s">
        <v>2</v>
      </c>
      <c r="Q20" s="1">
        <v>2.5</v>
      </c>
      <c r="R20" s="1">
        <v>9</v>
      </c>
      <c r="S20" s="1">
        <f>+R20*Q20</f>
        <v>22.5</v>
      </c>
    </row>
    <row r="23" spans="10:19" x14ac:dyDescent="0.25">
      <c r="J23" s="1" t="s">
        <v>264</v>
      </c>
    </row>
    <row r="24" spans="10:19" x14ac:dyDescent="0.25">
      <c r="J24" s="1" t="s">
        <v>36</v>
      </c>
      <c r="K24" s="1">
        <f>(-K19+K18+(K12*M12))/K12</f>
        <v>3</v>
      </c>
    </row>
    <row r="25" spans="10:19" x14ac:dyDescent="0.25">
      <c r="Q25" s="108" t="s">
        <v>145</v>
      </c>
      <c r="R25" s="108"/>
      <c r="S25" s="108"/>
    </row>
    <row r="26" spans="10:19" x14ac:dyDescent="0.25">
      <c r="J26" s="1" t="s">
        <v>35</v>
      </c>
      <c r="K26" s="2">
        <f>+((K24*K12)-K18)/K24</f>
        <v>5600</v>
      </c>
      <c r="Q26" s="66" t="s">
        <v>45</v>
      </c>
      <c r="R26" s="66" t="s">
        <v>266</v>
      </c>
      <c r="S26" s="66" t="s">
        <v>267</v>
      </c>
    </row>
    <row r="27" spans="10:19" x14ac:dyDescent="0.25">
      <c r="P27" s="1" t="s">
        <v>34</v>
      </c>
      <c r="Q27" s="2">
        <v>6000</v>
      </c>
      <c r="R27" s="1">
        <v>16500</v>
      </c>
      <c r="S27" s="1">
        <f>+R27/Q27</f>
        <v>2.75</v>
      </c>
    </row>
    <row r="28" spans="10:19" x14ac:dyDescent="0.25">
      <c r="J28" s="1" t="s">
        <v>263</v>
      </c>
      <c r="K28" s="2">
        <f>+K26/K15</f>
        <v>4</v>
      </c>
      <c r="P28" s="1" t="s">
        <v>2</v>
      </c>
      <c r="R28" s="1">
        <v>28500</v>
      </c>
      <c r="S28" s="1">
        <f>R28/K36</f>
        <v>9.5</v>
      </c>
    </row>
    <row r="35" spans="10:12" x14ac:dyDescent="0.25">
      <c r="J35" s="1" t="s">
        <v>265</v>
      </c>
    </row>
    <row r="36" spans="10:12" x14ac:dyDescent="0.25">
      <c r="J36" s="1" t="s">
        <v>139</v>
      </c>
      <c r="K36" s="2">
        <f>((L8*K8*K15)+K20)/L8</f>
        <v>3000</v>
      </c>
    </row>
    <row r="38" spans="10:12" x14ac:dyDescent="0.25">
      <c r="J38" s="1" t="s">
        <v>223</v>
      </c>
      <c r="K38" s="2">
        <f>K36*(S28-L8)</f>
        <v>1500</v>
      </c>
      <c r="L38" s="1" t="s">
        <v>28</v>
      </c>
    </row>
  </sheetData>
  <mergeCells count="4">
    <mergeCell ref="K5:M5"/>
    <mergeCell ref="K10:M10"/>
    <mergeCell ref="Q17:S17"/>
    <mergeCell ref="Q25:S25"/>
  </mergeCells>
  <pageMargins left="0.75" right="0.75" top="1" bottom="1" header="0.5" footer="0.5"/>
  <pageSetup paperSize="9" orientation="portrait" horizontalDpi="4294967292" verticalDpi="4294967292"/>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I3:O113"/>
  <sheetViews>
    <sheetView showGridLines="0" topLeftCell="A49" zoomScale="85" zoomScaleNormal="85" zoomScalePageLayoutView="130" workbookViewId="0">
      <selection activeCell="K111" sqref="K111"/>
    </sheetView>
  </sheetViews>
  <sheetFormatPr defaultColWidth="10.8984375" defaultRowHeight="13.2" x14ac:dyDescent="0.25"/>
  <cols>
    <col min="1" max="9" width="10.8984375" style="1"/>
    <col min="10" max="10" width="27.8984375" style="1" bestFit="1" customWidth="1"/>
    <col min="11" max="11" width="15.3984375" style="1" bestFit="1" customWidth="1"/>
    <col min="12" max="13" width="11" style="1" bestFit="1" customWidth="1"/>
    <col min="14" max="15" width="17.5" style="1" bestFit="1" customWidth="1"/>
    <col min="16" max="16" width="15.3984375" style="1" bestFit="1" customWidth="1"/>
    <col min="17" max="18" width="11" style="1" bestFit="1" customWidth="1"/>
    <col min="19" max="19" width="17.5" style="1" bestFit="1" customWidth="1"/>
    <col min="20" max="20" width="13.5" style="1" bestFit="1" customWidth="1"/>
    <col min="21" max="21" width="9" style="1" bestFit="1" customWidth="1"/>
    <col min="22" max="22" width="9.09765625" style="1" bestFit="1" customWidth="1"/>
    <col min="23" max="16384" width="10.8984375" style="1"/>
  </cols>
  <sheetData>
    <row r="3" spans="10:13" x14ac:dyDescent="0.25">
      <c r="J3" s="7"/>
      <c r="K3" s="66" t="s">
        <v>268</v>
      </c>
      <c r="L3" s="66" t="s">
        <v>269</v>
      </c>
      <c r="M3" s="66" t="s">
        <v>270</v>
      </c>
    </row>
    <row r="4" spans="10:13" x14ac:dyDescent="0.25">
      <c r="J4" s="7" t="s">
        <v>34</v>
      </c>
      <c r="K4" s="3" t="s">
        <v>258</v>
      </c>
      <c r="L4" s="3">
        <v>6</v>
      </c>
      <c r="M4" s="3" t="s">
        <v>258</v>
      </c>
    </row>
    <row r="5" spans="10:13" x14ac:dyDescent="0.25">
      <c r="J5" s="7" t="s">
        <v>2</v>
      </c>
      <c r="K5" s="3" t="s">
        <v>258</v>
      </c>
      <c r="L5" s="3" t="s">
        <v>258</v>
      </c>
      <c r="M5" s="3" t="s">
        <v>258</v>
      </c>
    </row>
    <row r="6" spans="10:13" x14ac:dyDescent="0.25">
      <c r="J6" s="7" t="s">
        <v>235</v>
      </c>
      <c r="K6" s="3" t="s">
        <v>258</v>
      </c>
      <c r="L6" s="3">
        <v>2</v>
      </c>
      <c r="M6" s="84" t="s">
        <v>258</v>
      </c>
    </row>
    <row r="7" spans="10:13" x14ac:dyDescent="0.25">
      <c r="J7" s="59" t="s">
        <v>271</v>
      </c>
      <c r="K7" s="24"/>
      <c r="L7" s="24"/>
      <c r="M7" s="85">
        <v>42</v>
      </c>
    </row>
    <row r="11" spans="10:13" x14ac:dyDescent="0.25">
      <c r="J11" s="7" t="s">
        <v>39</v>
      </c>
      <c r="K11" s="86">
        <v>500</v>
      </c>
    </row>
    <row r="14" spans="10:13" x14ac:dyDescent="0.25">
      <c r="J14" s="1" t="s">
        <v>86</v>
      </c>
    </row>
    <row r="15" spans="10:13" x14ac:dyDescent="0.25">
      <c r="J15" s="73"/>
      <c r="K15" s="66" t="s">
        <v>34</v>
      </c>
      <c r="L15" s="66" t="s">
        <v>2</v>
      </c>
      <c r="M15" s="66" t="s">
        <v>15</v>
      </c>
    </row>
    <row r="16" spans="10:13" x14ac:dyDescent="0.25">
      <c r="J16" s="7" t="s">
        <v>313</v>
      </c>
      <c r="K16" s="3" t="s">
        <v>258</v>
      </c>
      <c r="L16" s="3">
        <v>8000</v>
      </c>
      <c r="M16" s="3">
        <v>1600</v>
      </c>
    </row>
    <row r="17" spans="9:15" x14ac:dyDescent="0.25">
      <c r="J17" s="7" t="s">
        <v>273</v>
      </c>
      <c r="K17" s="3">
        <v>10000</v>
      </c>
      <c r="L17" s="3" t="s">
        <v>258</v>
      </c>
      <c r="M17" s="3">
        <v>1620</v>
      </c>
    </row>
    <row r="18" spans="9:15" x14ac:dyDescent="0.25">
      <c r="J18" s="7" t="s">
        <v>202</v>
      </c>
      <c r="K18" s="3" t="s">
        <v>258</v>
      </c>
      <c r="L18" s="3"/>
      <c r="M18" s="3"/>
    </row>
    <row r="19" spans="9:15" x14ac:dyDescent="0.25">
      <c r="J19" s="7" t="s">
        <v>274</v>
      </c>
      <c r="K19" s="3">
        <v>600</v>
      </c>
      <c r="L19" s="3"/>
      <c r="M19" s="3"/>
    </row>
    <row r="20" spans="9:15" x14ac:dyDescent="0.25">
      <c r="J20" s="7" t="s">
        <v>275</v>
      </c>
      <c r="K20" s="3"/>
      <c r="L20" s="3" t="s">
        <v>258</v>
      </c>
      <c r="M20" s="3"/>
    </row>
    <row r="21" spans="9:15" x14ac:dyDescent="0.25">
      <c r="J21" s="7" t="s">
        <v>261</v>
      </c>
      <c r="K21" s="3"/>
      <c r="L21" s="3" t="s">
        <v>258</v>
      </c>
      <c r="M21" s="3"/>
    </row>
    <row r="22" spans="9:15" x14ac:dyDescent="0.25">
      <c r="J22" s="7" t="s">
        <v>276</v>
      </c>
      <c r="K22" s="3"/>
      <c r="L22" s="3"/>
      <c r="M22" s="3" t="s">
        <v>258</v>
      </c>
    </row>
    <row r="23" spans="9:15" x14ac:dyDescent="0.25">
      <c r="J23" s="59" t="s">
        <v>277</v>
      </c>
      <c r="K23" s="85"/>
      <c r="L23" s="85"/>
      <c r="M23" s="85" t="s">
        <v>258</v>
      </c>
    </row>
    <row r="24" spans="9:15" x14ac:dyDescent="0.25">
      <c r="J24" s="1" t="s">
        <v>314</v>
      </c>
    </row>
    <row r="25" spans="9:15" x14ac:dyDescent="0.25">
      <c r="J25" s="7"/>
    </row>
    <row r="26" spans="9:15" x14ac:dyDescent="0.25">
      <c r="J26" s="1" t="s">
        <v>280</v>
      </c>
    </row>
    <row r="27" spans="9:15" x14ac:dyDescent="0.25">
      <c r="J27" s="7" t="s">
        <v>278</v>
      </c>
      <c r="K27" s="2">
        <v>900</v>
      </c>
    </row>
    <row r="28" spans="9:15" x14ac:dyDescent="0.25">
      <c r="J28" s="7" t="s">
        <v>279</v>
      </c>
      <c r="K28" s="1">
        <v>0.14000000000000001</v>
      </c>
      <c r="L28" s="3" t="s">
        <v>291</v>
      </c>
      <c r="M28" s="1" t="s">
        <v>292</v>
      </c>
      <c r="O28" s="1">
        <f>+M7+K28</f>
        <v>42.14</v>
      </c>
    </row>
    <row r="31" spans="9:15" x14ac:dyDescent="0.25">
      <c r="I31" s="82" t="s">
        <v>282</v>
      </c>
      <c r="J31" s="1" t="s">
        <v>272</v>
      </c>
      <c r="K31" s="1">
        <f>+M7*K11</f>
        <v>21000</v>
      </c>
    </row>
    <row r="32" spans="9:15" x14ac:dyDescent="0.25">
      <c r="J32" s="1" t="s">
        <v>283</v>
      </c>
      <c r="K32" s="1">
        <f>-L16</f>
        <v>-8000</v>
      </c>
    </row>
    <row r="33" spans="9:12" x14ac:dyDescent="0.25">
      <c r="J33" s="1" t="s">
        <v>284</v>
      </c>
      <c r="K33" s="55">
        <f>-M16</f>
        <v>-1600</v>
      </c>
    </row>
    <row r="34" spans="9:12" x14ac:dyDescent="0.25">
      <c r="J34" s="1" t="s">
        <v>285</v>
      </c>
      <c r="K34" s="1">
        <f>SUM(K31:K33)</f>
        <v>11400</v>
      </c>
    </row>
    <row r="36" spans="9:12" x14ac:dyDescent="0.25">
      <c r="I36" s="82" t="s">
        <v>286</v>
      </c>
      <c r="J36" s="1" t="s">
        <v>287</v>
      </c>
      <c r="K36" s="1">
        <f>K34/K11</f>
        <v>22.8</v>
      </c>
    </row>
    <row r="37" spans="9:12" x14ac:dyDescent="0.25">
      <c r="J37" s="1" t="s">
        <v>296</v>
      </c>
      <c r="K37" s="1">
        <f>+K36/L4</f>
        <v>3.8000000000000003</v>
      </c>
    </row>
    <row r="39" spans="9:12" x14ac:dyDescent="0.25">
      <c r="I39" s="82" t="s">
        <v>288</v>
      </c>
      <c r="J39" s="1" t="s">
        <v>289</v>
      </c>
      <c r="K39" s="1">
        <f>+K17</f>
        <v>10000</v>
      </c>
    </row>
    <row r="40" spans="9:12" x14ac:dyDescent="0.25">
      <c r="J40" s="1" t="s">
        <v>290</v>
      </c>
      <c r="K40" s="1">
        <f>K34</f>
        <v>11400</v>
      </c>
    </row>
    <row r="41" spans="9:12" x14ac:dyDescent="0.25">
      <c r="J41" s="1" t="s">
        <v>225</v>
      </c>
      <c r="K41" s="1">
        <f>+K39-K40</f>
        <v>-1400</v>
      </c>
      <c r="L41" s="1" t="s">
        <v>29</v>
      </c>
    </row>
    <row r="43" spans="9:12" x14ac:dyDescent="0.25">
      <c r="J43" s="1" t="s">
        <v>298</v>
      </c>
    </row>
    <row r="45" spans="9:12" x14ac:dyDescent="0.25">
      <c r="J45" s="1" t="s">
        <v>225</v>
      </c>
      <c r="K45" s="1">
        <f>K41</f>
        <v>-1400</v>
      </c>
    </row>
    <row r="46" spans="9:12" x14ac:dyDescent="0.25">
      <c r="J46" s="1" t="s">
        <v>199</v>
      </c>
      <c r="K46" s="55">
        <f>K19</f>
        <v>600</v>
      </c>
      <c r="L46" s="34"/>
    </row>
    <row r="47" spans="9:12" x14ac:dyDescent="0.25">
      <c r="J47" s="14" t="s">
        <v>202</v>
      </c>
      <c r="K47" s="14">
        <f>+K45-K46</f>
        <v>-2000</v>
      </c>
      <c r="L47" s="34"/>
    </row>
    <row r="48" spans="9:12" x14ac:dyDescent="0.25">
      <c r="J48" s="14"/>
      <c r="K48" s="14"/>
      <c r="L48" s="34"/>
    </row>
    <row r="49" spans="10:12" x14ac:dyDescent="0.25">
      <c r="J49" s="14" t="s">
        <v>300</v>
      </c>
      <c r="K49" s="14"/>
      <c r="L49" s="34"/>
    </row>
    <row r="50" spans="10:12" x14ac:dyDescent="0.25">
      <c r="J50" s="1" t="s">
        <v>200</v>
      </c>
      <c r="K50" s="1">
        <f>+K19</f>
        <v>600</v>
      </c>
    </row>
    <row r="51" spans="10:12" x14ac:dyDescent="0.25">
      <c r="J51" s="1" t="s">
        <v>36</v>
      </c>
      <c r="K51" s="1">
        <f>L4</f>
        <v>6</v>
      </c>
    </row>
    <row r="52" spans="10:12" x14ac:dyDescent="0.25">
      <c r="J52" s="1" t="s">
        <v>35</v>
      </c>
      <c r="K52" s="2">
        <f>+K110*K11</f>
        <v>1900.0000000000002</v>
      </c>
    </row>
    <row r="53" spans="10:12" x14ac:dyDescent="0.25">
      <c r="J53" s="1" t="s">
        <v>169</v>
      </c>
    </row>
    <row r="54" spans="10:12" x14ac:dyDescent="0.25">
      <c r="J54" s="1" t="s">
        <v>139</v>
      </c>
      <c r="K54" s="2">
        <f>(K50+(K51*K52))/K51</f>
        <v>2000.0000000000002</v>
      </c>
    </row>
    <row r="56" spans="10:12" x14ac:dyDescent="0.25">
      <c r="J56" s="1" t="s">
        <v>301</v>
      </c>
    </row>
    <row r="57" spans="10:12" x14ac:dyDescent="0.25">
      <c r="J57" s="1" t="s">
        <v>201</v>
      </c>
      <c r="K57" s="1">
        <f>K47</f>
        <v>-2000</v>
      </c>
    </row>
    <row r="58" spans="10:12" x14ac:dyDescent="0.25">
      <c r="J58" s="1" t="s">
        <v>139</v>
      </c>
      <c r="K58" s="1">
        <f>K54</f>
        <v>2000.0000000000002</v>
      </c>
    </row>
    <row r="59" spans="10:12" x14ac:dyDescent="0.25">
      <c r="J59" s="1" t="s">
        <v>36</v>
      </c>
      <c r="K59" s="1">
        <f>K51</f>
        <v>6</v>
      </c>
    </row>
    <row r="60" spans="10:12" x14ac:dyDescent="0.25">
      <c r="J60" s="1" t="s">
        <v>169</v>
      </c>
    </row>
    <row r="61" spans="10:12" x14ac:dyDescent="0.25">
      <c r="J61" s="1" t="s">
        <v>140</v>
      </c>
      <c r="K61" s="1">
        <f>((K58*K59)+K57)/K58</f>
        <v>5</v>
      </c>
    </row>
    <row r="64" spans="10:12" x14ac:dyDescent="0.25">
      <c r="J64" s="1" t="s">
        <v>294</v>
      </c>
      <c r="K64" s="1">
        <f>M110*K11</f>
        <v>11400</v>
      </c>
    </row>
    <row r="65" spans="9:11" x14ac:dyDescent="0.25">
      <c r="J65" s="1" t="s">
        <v>295</v>
      </c>
      <c r="K65" s="14">
        <f>K54*L4</f>
        <v>12000.000000000002</v>
      </c>
    </row>
    <row r="66" spans="9:11" x14ac:dyDescent="0.25">
      <c r="J66" s="1" t="s">
        <v>299</v>
      </c>
      <c r="K66" s="1">
        <f>K61*K54</f>
        <v>10000.000000000002</v>
      </c>
    </row>
    <row r="68" spans="9:11" x14ac:dyDescent="0.25">
      <c r="J68" s="1" t="s">
        <v>50</v>
      </c>
      <c r="K68" s="1">
        <f>+K65-K64</f>
        <v>600.00000000000182</v>
      </c>
    </row>
    <row r="69" spans="9:11" x14ac:dyDescent="0.25">
      <c r="J69" s="1" t="s">
        <v>51</v>
      </c>
      <c r="K69" s="1">
        <f>+K66-K65</f>
        <v>-2000</v>
      </c>
    </row>
    <row r="70" spans="9:11" x14ac:dyDescent="0.25">
      <c r="J70" s="1" t="s">
        <v>55</v>
      </c>
      <c r="K70" s="1">
        <f>+K69+K68</f>
        <v>-1399.9999999999982</v>
      </c>
    </row>
    <row r="73" spans="9:11" x14ac:dyDescent="0.25">
      <c r="I73" s="82" t="s">
        <v>302</v>
      </c>
      <c r="J73" s="1" t="s">
        <v>303</v>
      </c>
    </row>
    <row r="74" spans="9:11" x14ac:dyDescent="0.25">
      <c r="J74" s="1" t="s">
        <v>304</v>
      </c>
      <c r="K74" s="1">
        <f>+M16</f>
        <v>1600</v>
      </c>
    </row>
    <row r="75" spans="9:11" x14ac:dyDescent="0.25">
      <c r="J75" s="1" t="s">
        <v>305</v>
      </c>
      <c r="K75" s="1">
        <f>+L6</f>
        <v>2</v>
      </c>
    </row>
    <row r="76" spans="9:11" x14ac:dyDescent="0.25">
      <c r="J76" s="1" t="s">
        <v>43</v>
      </c>
      <c r="K76" s="2">
        <f>+K74/K75</f>
        <v>800</v>
      </c>
    </row>
    <row r="77" spans="9:11" x14ac:dyDescent="0.25">
      <c r="J77" s="1" t="s">
        <v>306</v>
      </c>
      <c r="K77" s="1">
        <f>L16</f>
        <v>8000</v>
      </c>
    </row>
    <row r="78" spans="9:11" x14ac:dyDescent="0.25">
      <c r="J78" s="1" t="s">
        <v>307</v>
      </c>
      <c r="K78" s="1">
        <f>+K77/K76</f>
        <v>10</v>
      </c>
    </row>
    <row r="81" spans="9:11" x14ac:dyDescent="0.25">
      <c r="I81" s="82" t="s">
        <v>308</v>
      </c>
      <c r="J81" s="1" t="s">
        <v>223</v>
      </c>
    </row>
    <row r="83" spans="9:11" x14ac:dyDescent="0.25">
      <c r="J83" s="1" t="s">
        <v>309</v>
      </c>
      <c r="K83" s="1">
        <f>O28</f>
        <v>42.14</v>
      </c>
    </row>
    <row r="84" spans="9:11" x14ac:dyDescent="0.25">
      <c r="J84" s="1" t="s">
        <v>39</v>
      </c>
      <c r="K84" s="1">
        <f>+K11</f>
        <v>500</v>
      </c>
    </row>
    <row r="85" spans="9:11" x14ac:dyDescent="0.25">
      <c r="J85" s="1" t="s">
        <v>197</v>
      </c>
      <c r="K85" s="1">
        <f>+K84*K83</f>
        <v>21070</v>
      </c>
    </row>
    <row r="86" spans="9:11" x14ac:dyDescent="0.25">
      <c r="J86" s="1" t="s">
        <v>310</v>
      </c>
      <c r="K86" s="1">
        <f>-K17</f>
        <v>-10000</v>
      </c>
    </row>
    <row r="87" spans="9:11" x14ac:dyDescent="0.25">
      <c r="J87" s="1" t="s">
        <v>311</v>
      </c>
      <c r="K87" s="55">
        <f>-M17</f>
        <v>-1620</v>
      </c>
    </row>
    <row r="88" spans="9:11" x14ac:dyDescent="0.25">
      <c r="J88" s="1" t="s">
        <v>312</v>
      </c>
      <c r="K88" s="1">
        <f>SUM(K85:K87)</f>
        <v>9450</v>
      </c>
    </row>
    <row r="90" spans="9:11" x14ac:dyDescent="0.25">
      <c r="J90" s="1" t="s">
        <v>294</v>
      </c>
      <c r="K90" s="1">
        <f>L16</f>
        <v>8000</v>
      </c>
    </row>
    <row r="91" spans="9:11" x14ac:dyDescent="0.25">
      <c r="J91" s="1" t="s">
        <v>295</v>
      </c>
      <c r="K91" s="1">
        <f>K27*K78</f>
        <v>9000</v>
      </c>
    </row>
    <row r="92" spans="9:11" x14ac:dyDescent="0.25">
      <c r="J92" s="1" t="s">
        <v>299</v>
      </c>
      <c r="K92" s="1">
        <f>K88</f>
        <v>9450</v>
      </c>
    </row>
    <row r="94" spans="9:11" x14ac:dyDescent="0.25">
      <c r="J94" s="1" t="s">
        <v>251</v>
      </c>
      <c r="K94" s="1">
        <f>+K91-K90</f>
        <v>1000</v>
      </c>
    </row>
    <row r="95" spans="9:11" x14ac:dyDescent="0.25">
      <c r="J95" s="1" t="s">
        <v>144</v>
      </c>
      <c r="K95" s="1">
        <f>+K92-K91</f>
        <v>450</v>
      </c>
    </row>
    <row r="96" spans="9:11" x14ac:dyDescent="0.25">
      <c r="J96" s="1" t="s">
        <v>226</v>
      </c>
      <c r="K96" s="1">
        <f>+K95+K94</f>
        <v>1450</v>
      </c>
    </row>
    <row r="99" spans="9:13" x14ac:dyDescent="0.25">
      <c r="I99" s="82" t="s">
        <v>315</v>
      </c>
      <c r="J99" s="1" t="s">
        <v>294</v>
      </c>
      <c r="K99" s="1">
        <f>M16</f>
        <v>1600</v>
      </c>
    </row>
    <row r="100" spans="9:13" x14ac:dyDescent="0.25">
      <c r="J100" s="1" t="s">
        <v>295</v>
      </c>
      <c r="K100" s="1">
        <f>+K27*L6</f>
        <v>1800</v>
      </c>
    </row>
    <row r="101" spans="9:13" x14ac:dyDescent="0.25">
      <c r="J101" s="1" t="s">
        <v>299</v>
      </c>
      <c r="K101" s="1">
        <f>+M17</f>
        <v>1620</v>
      </c>
    </row>
    <row r="103" spans="9:13" x14ac:dyDescent="0.25">
      <c r="J103" s="1" t="s">
        <v>251</v>
      </c>
      <c r="K103" s="1">
        <f>+K100-K99</f>
        <v>200</v>
      </c>
    </row>
    <row r="104" spans="9:13" x14ac:dyDescent="0.25">
      <c r="J104" s="1" t="s">
        <v>316</v>
      </c>
      <c r="K104" s="1">
        <f>+K101-K100</f>
        <v>-180</v>
      </c>
    </row>
    <row r="105" spans="9:13" x14ac:dyDescent="0.25">
      <c r="J105" s="1" t="s">
        <v>227</v>
      </c>
      <c r="K105" s="1">
        <f>+K104+K103</f>
        <v>20</v>
      </c>
    </row>
    <row r="107" spans="9:13" x14ac:dyDescent="0.25">
      <c r="I107" s="82" t="s">
        <v>317</v>
      </c>
    </row>
    <row r="109" spans="9:13" x14ac:dyDescent="0.25">
      <c r="J109" s="7"/>
      <c r="K109" s="66" t="s">
        <v>268</v>
      </c>
      <c r="L109" s="66" t="s">
        <v>269</v>
      </c>
      <c r="M109" s="66" t="s">
        <v>270</v>
      </c>
    </row>
    <row r="110" spans="9:13" x14ac:dyDescent="0.25">
      <c r="J110" s="7" t="s">
        <v>34</v>
      </c>
      <c r="K110" s="3">
        <f>K37</f>
        <v>3.8000000000000003</v>
      </c>
      <c r="L110" s="3">
        <v>6</v>
      </c>
      <c r="M110" s="3">
        <f>+L110*K110</f>
        <v>22.8</v>
      </c>
    </row>
    <row r="111" spans="9:13" x14ac:dyDescent="0.25">
      <c r="J111" s="7" t="s">
        <v>2</v>
      </c>
      <c r="K111" s="3">
        <f>K76/K11</f>
        <v>1.6</v>
      </c>
      <c r="L111" s="3">
        <f>K78</f>
        <v>10</v>
      </c>
      <c r="M111" s="3">
        <f>+L111*K111</f>
        <v>16</v>
      </c>
    </row>
    <row r="112" spans="9:13" x14ac:dyDescent="0.25">
      <c r="J112" s="7" t="s">
        <v>235</v>
      </c>
      <c r="K112" s="85">
        <f>+K111</f>
        <v>1.6</v>
      </c>
      <c r="L112" s="85">
        <v>2</v>
      </c>
      <c r="M112" s="87">
        <f>+L112*K112</f>
        <v>3.2</v>
      </c>
    </row>
    <row r="113" spans="10:13" x14ac:dyDescent="0.25">
      <c r="J113" s="59" t="s">
        <v>271</v>
      </c>
      <c r="K113" s="24"/>
      <c r="L113" s="24"/>
      <c r="M113" s="85">
        <f>SUM(M110:M112)</f>
        <v>42</v>
      </c>
    </row>
  </sheetData>
  <pageMargins left="0.75" right="0.75" top="1" bottom="1" header="0.5" footer="0.5"/>
  <pageSetup paperSize="9" orientation="portrait" horizontalDpi="4294967292" verticalDpi="429496729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4:N76"/>
  <sheetViews>
    <sheetView showGridLines="0" topLeftCell="A31" zoomScaleNormal="100" zoomScalePageLayoutView="130" workbookViewId="0">
      <selection activeCell="M21" sqref="M21"/>
    </sheetView>
  </sheetViews>
  <sheetFormatPr defaultColWidth="10.8984375" defaultRowHeight="13.2" x14ac:dyDescent="0.25"/>
  <cols>
    <col min="1" max="9" width="10.8984375" style="1"/>
    <col min="10" max="10" width="16.09765625" style="1" bestFit="1" customWidth="1"/>
    <col min="11" max="12" width="10.8984375" style="1"/>
    <col min="13" max="13" width="15.3984375" style="1" bestFit="1" customWidth="1"/>
    <col min="14" max="16384" width="10.8984375" style="1"/>
  </cols>
  <sheetData>
    <row r="4" spans="10:14" x14ac:dyDescent="0.25">
      <c r="J4" s="1" t="s">
        <v>281</v>
      </c>
      <c r="K4" s="2">
        <v>780</v>
      </c>
    </row>
    <row r="5" spans="10:14" x14ac:dyDescent="0.25">
      <c r="J5" s="1" t="s">
        <v>319</v>
      </c>
      <c r="K5" s="2">
        <v>1950</v>
      </c>
    </row>
    <row r="7" spans="10:14" x14ac:dyDescent="0.25">
      <c r="J7" s="66" t="s">
        <v>318</v>
      </c>
      <c r="K7" s="66" t="s">
        <v>210</v>
      </c>
      <c r="L7" s="66" t="s">
        <v>238</v>
      </c>
      <c r="M7" s="66" t="s">
        <v>268</v>
      </c>
      <c r="N7" s="66" t="s">
        <v>269</v>
      </c>
    </row>
    <row r="8" spans="10:14" x14ac:dyDescent="0.25">
      <c r="J8" s="1" t="s">
        <v>34</v>
      </c>
      <c r="K8" s="1">
        <v>35490</v>
      </c>
      <c r="L8" s="1">
        <f>+K8/K5</f>
        <v>18.2</v>
      </c>
      <c r="M8" s="1">
        <v>2.8</v>
      </c>
      <c r="N8" s="1">
        <f>+L8/M8</f>
        <v>6.5</v>
      </c>
    </row>
    <row r="9" spans="10:14" x14ac:dyDescent="0.25">
      <c r="J9" s="1" t="s">
        <v>2</v>
      </c>
      <c r="K9" s="1">
        <v>7020</v>
      </c>
      <c r="L9" s="1">
        <f>+K9/K5</f>
        <v>3.6</v>
      </c>
      <c r="M9" s="1">
        <f>+K4/K5</f>
        <v>0.4</v>
      </c>
      <c r="N9" s="1">
        <f>+L9/M9</f>
        <v>9</v>
      </c>
    </row>
    <row r="10" spans="10:14" x14ac:dyDescent="0.25">
      <c r="J10" s="24" t="s">
        <v>15</v>
      </c>
      <c r="K10" s="24">
        <v>2340</v>
      </c>
      <c r="L10" s="1">
        <f>+K10/K5</f>
        <v>1.2</v>
      </c>
      <c r="M10" s="1">
        <f>M9</f>
        <v>0.4</v>
      </c>
      <c r="N10" s="1">
        <f>+L10/M10</f>
        <v>2.9999999999999996</v>
      </c>
    </row>
    <row r="11" spans="10:14" x14ac:dyDescent="0.25">
      <c r="J11" s="1" t="s">
        <v>271</v>
      </c>
      <c r="L11" s="73">
        <f>SUM(L8:L10)</f>
        <v>23</v>
      </c>
    </row>
    <row r="15" spans="10:14" x14ac:dyDescent="0.25">
      <c r="J15" s="1" t="s">
        <v>320</v>
      </c>
      <c r="K15" s="2">
        <v>760</v>
      </c>
    </row>
    <row r="16" spans="10:14" x14ac:dyDescent="0.25">
      <c r="J16" s="1" t="s">
        <v>321</v>
      </c>
      <c r="K16" s="2">
        <v>2000</v>
      </c>
    </row>
    <row r="18" spans="10:14" x14ac:dyDescent="0.25">
      <c r="J18" s="66" t="s">
        <v>318</v>
      </c>
      <c r="K18" s="66" t="s">
        <v>210</v>
      </c>
      <c r="L18" s="66" t="s">
        <v>238</v>
      </c>
      <c r="M18" s="66" t="s">
        <v>297</v>
      </c>
      <c r="N18" s="66" t="s">
        <v>30</v>
      </c>
    </row>
    <row r="19" spans="10:14" x14ac:dyDescent="0.25">
      <c r="J19" s="1" t="s">
        <v>34</v>
      </c>
      <c r="K19" s="1">
        <v>36000</v>
      </c>
      <c r="L19" s="1">
        <f>+K19/K16</f>
        <v>18</v>
      </c>
      <c r="M19" s="2">
        <f>+L19/N19</f>
        <v>3</v>
      </c>
      <c r="N19" s="1">
        <f>K19/K25</f>
        <v>6</v>
      </c>
    </row>
    <row r="20" spans="10:14" x14ac:dyDescent="0.25">
      <c r="J20" s="1" t="s">
        <v>2</v>
      </c>
      <c r="K20" s="1">
        <v>7600</v>
      </c>
      <c r="L20" s="1">
        <f>+K20/K16</f>
        <v>3.8</v>
      </c>
      <c r="M20" s="1">
        <f>+K15/K16</f>
        <v>0.38</v>
      </c>
      <c r="N20" s="1">
        <f>+L20/M20</f>
        <v>10</v>
      </c>
    </row>
    <row r="21" spans="10:14" x14ac:dyDescent="0.25">
      <c r="J21" s="24" t="s">
        <v>15</v>
      </c>
      <c r="K21" s="24">
        <v>3800</v>
      </c>
      <c r="L21" s="1">
        <f>+K21/K16</f>
        <v>1.9</v>
      </c>
      <c r="M21" s="1">
        <f>M20</f>
        <v>0.38</v>
      </c>
      <c r="N21" s="1">
        <f>+L21/M21</f>
        <v>5</v>
      </c>
    </row>
    <row r="22" spans="10:14" x14ac:dyDescent="0.25">
      <c r="J22" s="1" t="s">
        <v>322</v>
      </c>
      <c r="L22" s="73">
        <f>SUM(L19:L21)</f>
        <v>23.7</v>
      </c>
    </row>
    <row r="25" spans="10:14" x14ac:dyDescent="0.25">
      <c r="J25" s="1" t="s">
        <v>139</v>
      </c>
      <c r="K25" s="2">
        <v>6000</v>
      </c>
    </row>
    <row r="28" spans="10:14" x14ac:dyDescent="0.25">
      <c r="J28" s="106" t="s">
        <v>203</v>
      </c>
      <c r="K28" s="108"/>
      <c r="L28" s="107"/>
    </row>
    <row r="29" spans="10:14" x14ac:dyDescent="0.25">
      <c r="J29" s="9" t="s">
        <v>200</v>
      </c>
      <c r="K29" s="10"/>
      <c r="L29" s="12"/>
    </row>
    <row r="30" spans="10:14" x14ac:dyDescent="0.25">
      <c r="J30" s="67" t="s">
        <v>36</v>
      </c>
      <c r="K30" s="72">
        <f>L8/M8</f>
        <v>6.5</v>
      </c>
      <c r="L30" s="15"/>
    </row>
    <row r="31" spans="10:14" x14ac:dyDescent="0.25">
      <c r="J31" s="13" t="s">
        <v>139</v>
      </c>
      <c r="K31" s="61">
        <f>K25</f>
        <v>6000</v>
      </c>
      <c r="L31" s="15"/>
    </row>
    <row r="32" spans="10:14" x14ac:dyDescent="0.25">
      <c r="J32" s="13" t="s">
        <v>35</v>
      </c>
      <c r="K32" s="61">
        <f>+M8*K16</f>
        <v>5600</v>
      </c>
      <c r="L32" s="70"/>
    </row>
    <row r="33" spans="10:12" x14ac:dyDescent="0.25">
      <c r="J33" s="13" t="s">
        <v>199</v>
      </c>
      <c r="K33" s="14">
        <f>K30*(K31-K32)</f>
        <v>2600</v>
      </c>
      <c r="L33" s="70" t="str">
        <f>IF(K33&gt;0,"D",IF(K33&lt;0,"F","-"))</f>
        <v>D</v>
      </c>
    </row>
    <row r="34" spans="10:12" x14ac:dyDescent="0.25">
      <c r="J34" s="13"/>
      <c r="K34" s="14"/>
      <c r="L34" s="70"/>
    </row>
    <row r="35" spans="10:12" x14ac:dyDescent="0.25">
      <c r="J35" s="13" t="s">
        <v>201</v>
      </c>
      <c r="K35" s="14"/>
      <c r="L35" s="70"/>
    </row>
    <row r="36" spans="10:12" x14ac:dyDescent="0.25">
      <c r="J36" s="13" t="s">
        <v>139</v>
      </c>
      <c r="K36" s="61">
        <f>K31</f>
        <v>6000</v>
      </c>
      <c r="L36" s="70"/>
    </row>
    <row r="37" spans="10:12" x14ac:dyDescent="0.25">
      <c r="J37" s="13" t="s">
        <v>140</v>
      </c>
      <c r="K37" s="14">
        <f>N19</f>
        <v>6</v>
      </c>
      <c r="L37" s="70"/>
    </row>
    <row r="38" spans="10:12" x14ac:dyDescent="0.25">
      <c r="J38" s="13" t="s">
        <v>36</v>
      </c>
      <c r="K38" s="14">
        <f>N8</f>
        <v>6.5</v>
      </c>
      <c r="L38" s="70"/>
    </row>
    <row r="39" spans="10:12" x14ac:dyDescent="0.25">
      <c r="J39" s="13" t="s">
        <v>202</v>
      </c>
      <c r="K39" s="14">
        <f>+K36*(K37-K38)</f>
        <v>-3000</v>
      </c>
      <c r="L39" s="70" t="str">
        <f>IF(K39&gt;0,"D",IF(K39&lt;0,"F","-"))</f>
        <v>F</v>
      </c>
    </row>
    <row r="40" spans="10:12" x14ac:dyDescent="0.25">
      <c r="J40" s="13"/>
      <c r="K40" s="14"/>
      <c r="L40" s="70"/>
    </row>
    <row r="41" spans="10:12" x14ac:dyDescent="0.25">
      <c r="J41" s="13"/>
      <c r="K41" s="14"/>
      <c r="L41" s="70"/>
    </row>
    <row r="42" spans="10:12" x14ac:dyDescent="0.25">
      <c r="J42" s="68" t="s">
        <v>225</v>
      </c>
      <c r="K42" s="69">
        <f>+K33+K39</f>
        <v>-400</v>
      </c>
      <c r="L42" s="71" t="str">
        <f>IF(K42&gt;0,"D",IF(K42&lt;0,"F","-"))</f>
        <v>F</v>
      </c>
    </row>
    <row r="44" spans="10:12" x14ac:dyDescent="0.25">
      <c r="J44" s="106" t="s">
        <v>204</v>
      </c>
      <c r="K44" s="108"/>
      <c r="L44" s="107"/>
    </row>
    <row r="45" spans="10:12" x14ac:dyDescent="0.25">
      <c r="J45" s="9" t="s">
        <v>205</v>
      </c>
      <c r="K45" s="10"/>
      <c r="L45" s="12"/>
    </row>
    <row r="46" spans="10:12" x14ac:dyDescent="0.25">
      <c r="J46" s="67" t="s">
        <v>36</v>
      </c>
      <c r="K46" s="72">
        <f>N9</f>
        <v>9</v>
      </c>
      <c r="L46" s="15"/>
    </row>
    <row r="47" spans="10:12" x14ac:dyDescent="0.25">
      <c r="J47" s="13" t="s">
        <v>139</v>
      </c>
      <c r="K47" s="61">
        <f>K16*M20</f>
        <v>760</v>
      </c>
      <c r="L47" s="15"/>
    </row>
    <row r="48" spans="10:12" x14ac:dyDescent="0.25">
      <c r="J48" s="13" t="s">
        <v>35</v>
      </c>
      <c r="K48" s="61">
        <f>M9*K16</f>
        <v>800</v>
      </c>
      <c r="L48" s="70"/>
    </row>
    <row r="49" spans="1:12" x14ac:dyDescent="0.25">
      <c r="J49" s="13" t="s">
        <v>199</v>
      </c>
      <c r="K49" s="14">
        <f>K46*(K47-K48)</f>
        <v>-360</v>
      </c>
      <c r="L49" s="70" t="str">
        <f>IF(K49&gt;0,"D",IF(K49&lt;0,"F","-"))</f>
        <v>F</v>
      </c>
    </row>
    <row r="50" spans="1:12" x14ac:dyDescent="0.25">
      <c r="J50" s="13"/>
      <c r="K50" s="14"/>
      <c r="L50" s="70"/>
    </row>
    <row r="51" spans="1:12" x14ac:dyDescent="0.25">
      <c r="A51" s="109" t="s">
        <v>323</v>
      </c>
      <c r="B51" s="109"/>
      <c r="C51" s="109"/>
      <c r="D51" s="109"/>
      <c r="E51" s="109"/>
      <c r="F51" s="109"/>
      <c r="G51" s="109"/>
      <c r="J51" s="13" t="s">
        <v>223</v>
      </c>
      <c r="K51" s="14"/>
      <c r="L51" s="70"/>
    </row>
    <row r="52" spans="1:12" x14ac:dyDescent="0.25">
      <c r="A52" s="109"/>
      <c r="B52" s="109"/>
      <c r="C52" s="109"/>
      <c r="D52" s="109"/>
      <c r="E52" s="109"/>
      <c r="F52" s="109"/>
      <c r="G52" s="109"/>
      <c r="J52" s="13" t="s">
        <v>139</v>
      </c>
      <c r="K52" s="61">
        <f>K47</f>
        <v>760</v>
      </c>
      <c r="L52" s="70"/>
    </row>
    <row r="53" spans="1:12" x14ac:dyDescent="0.25">
      <c r="A53" s="109"/>
      <c r="B53" s="109"/>
      <c r="C53" s="109"/>
      <c r="D53" s="109"/>
      <c r="E53" s="109"/>
      <c r="F53" s="109"/>
      <c r="G53" s="109"/>
      <c r="J53" s="13" t="s">
        <v>140</v>
      </c>
      <c r="K53" s="14">
        <f>N20</f>
        <v>10</v>
      </c>
      <c r="L53" s="70"/>
    </row>
    <row r="54" spans="1:12" x14ac:dyDescent="0.25">
      <c r="A54" s="109"/>
      <c r="B54" s="109"/>
      <c r="C54" s="109"/>
      <c r="D54" s="109"/>
      <c r="E54" s="109"/>
      <c r="F54" s="109"/>
      <c r="G54" s="109"/>
      <c r="J54" s="13" t="s">
        <v>36</v>
      </c>
      <c r="K54" s="14">
        <f>N9</f>
        <v>9</v>
      </c>
      <c r="L54" s="70"/>
    </row>
    <row r="55" spans="1:12" x14ac:dyDescent="0.25">
      <c r="A55" s="109"/>
      <c r="B55" s="109"/>
      <c r="C55" s="109"/>
      <c r="D55" s="109"/>
      <c r="E55" s="109"/>
      <c r="F55" s="109"/>
      <c r="G55" s="109"/>
      <c r="J55" s="13" t="s">
        <v>144</v>
      </c>
      <c r="K55" s="14">
        <f>+K52*(K53-K54)</f>
        <v>760</v>
      </c>
      <c r="L55" s="70" t="str">
        <f>IF(K55&gt;0,"D",IF(K55&lt;0,"F","-"))</f>
        <v>D</v>
      </c>
    </row>
    <row r="56" spans="1:12" x14ac:dyDescent="0.25">
      <c r="A56" s="109"/>
      <c r="B56" s="109"/>
      <c r="C56" s="109"/>
      <c r="D56" s="109"/>
      <c r="E56" s="109"/>
      <c r="F56" s="109"/>
      <c r="G56" s="109"/>
      <c r="J56" s="13"/>
      <c r="K56" s="14"/>
      <c r="L56" s="70"/>
    </row>
    <row r="57" spans="1:12" x14ac:dyDescent="0.25">
      <c r="J57" s="13"/>
      <c r="K57" s="14"/>
      <c r="L57" s="70"/>
    </row>
    <row r="58" spans="1:12" x14ac:dyDescent="0.25">
      <c r="J58" s="68" t="s">
        <v>226</v>
      </c>
      <c r="K58" s="69">
        <f>+K49+K55</f>
        <v>400</v>
      </c>
      <c r="L58" s="71" t="str">
        <f>IF(K58&gt;0,"D",IF(K58&lt;0,"F","-"))</f>
        <v>D</v>
      </c>
    </row>
    <row r="60" spans="1:12" x14ac:dyDescent="0.25">
      <c r="J60" s="106" t="s">
        <v>428</v>
      </c>
      <c r="K60" s="108"/>
      <c r="L60" s="107"/>
    </row>
    <row r="61" spans="1:12" x14ac:dyDescent="0.25">
      <c r="J61" s="9" t="s">
        <v>205</v>
      </c>
      <c r="K61" s="10"/>
      <c r="L61" s="12"/>
    </row>
    <row r="62" spans="1:12" x14ac:dyDescent="0.25">
      <c r="J62" s="67" t="s">
        <v>36</v>
      </c>
      <c r="K62" s="72">
        <f>N10</f>
        <v>2.9999999999999996</v>
      </c>
      <c r="L62" s="15"/>
    </row>
    <row r="63" spans="1:12" x14ac:dyDescent="0.25">
      <c r="J63" s="13" t="s">
        <v>139</v>
      </c>
      <c r="K63" s="61">
        <f>K47</f>
        <v>760</v>
      </c>
      <c r="L63" s="15"/>
    </row>
    <row r="64" spans="1:12" x14ac:dyDescent="0.25">
      <c r="J64" s="13" t="s">
        <v>35</v>
      </c>
      <c r="K64" s="61">
        <f>K48</f>
        <v>800</v>
      </c>
      <c r="L64" s="70"/>
    </row>
    <row r="65" spans="10:12" x14ac:dyDescent="0.25">
      <c r="J65" s="13" t="s">
        <v>199</v>
      </c>
      <c r="K65" s="14">
        <f>K62*(K63-K64)</f>
        <v>-119.99999999999999</v>
      </c>
      <c r="L65" s="70" t="str">
        <f>IF(K65&gt;0,"D",IF(K65&lt;0,"F","-"))</f>
        <v>F</v>
      </c>
    </row>
    <row r="66" spans="10:12" x14ac:dyDescent="0.25">
      <c r="J66" s="13"/>
      <c r="K66" s="14"/>
      <c r="L66" s="70"/>
    </row>
    <row r="67" spans="10:12" x14ac:dyDescent="0.25">
      <c r="J67" s="13" t="s">
        <v>201</v>
      </c>
      <c r="K67" s="14"/>
      <c r="L67" s="70"/>
    </row>
    <row r="68" spans="10:12" x14ac:dyDescent="0.25">
      <c r="J68" s="13" t="s">
        <v>139</v>
      </c>
      <c r="K68" s="61">
        <f>K63</f>
        <v>760</v>
      </c>
      <c r="L68" s="70"/>
    </row>
    <row r="69" spans="10:12" x14ac:dyDescent="0.25">
      <c r="J69" s="13" t="s">
        <v>140</v>
      </c>
      <c r="K69" s="14">
        <f>N21</f>
        <v>5</v>
      </c>
      <c r="L69" s="70"/>
    </row>
    <row r="70" spans="10:12" x14ac:dyDescent="0.25">
      <c r="J70" s="13" t="s">
        <v>36</v>
      </c>
      <c r="K70" s="14">
        <f>N10</f>
        <v>2.9999999999999996</v>
      </c>
      <c r="L70" s="70"/>
    </row>
    <row r="71" spans="10:12" x14ac:dyDescent="0.25">
      <c r="J71" s="13" t="s">
        <v>202</v>
      </c>
      <c r="K71" s="14">
        <f>+K68*(K69-K70)</f>
        <v>1520.0000000000002</v>
      </c>
      <c r="L71" s="70" t="str">
        <f>IF(K71&gt;0,"D",IF(K71&lt;0,"F","-"))</f>
        <v>D</v>
      </c>
    </row>
    <row r="72" spans="10:12" x14ac:dyDescent="0.25">
      <c r="J72" s="13"/>
      <c r="K72" s="14"/>
      <c r="L72" s="70"/>
    </row>
    <row r="73" spans="10:12" x14ac:dyDescent="0.25">
      <c r="J73" s="13"/>
      <c r="K73" s="14"/>
      <c r="L73" s="70"/>
    </row>
    <row r="74" spans="10:12" x14ac:dyDescent="0.25">
      <c r="J74" s="68" t="s">
        <v>227</v>
      </c>
      <c r="K74" s="69">
        <f>+K65+K71</f>
        <v>1400.0000000000002</v>
      </c>
      <c r="L74" s="71" t="str">
        <f>IF(K74&gt;0,"D",IF(K74&lt;0,"F","-"))</f>
        <v>D</v>
      </c>
    </row>
    <row r="76" spans="10:12" x14ac:dyDescent="0.25">
      <c r="J76" s="81" t="s">
        <v>228</v>
      </c>
      <c r="K76" s="32">
        <f>+K42+K58+K74</f>
        <v>1400.0000000000002</v>
      </c>
      <c r="L76" s="75" t="str">
        <f>IF(K76&gt;0,"D",IF(K76&lt;0,"F","-"))</f>
        <v>D</v>
      </c>
    </row>
  </sheetData>
  <mergeCells count="4">
    <mergeCell ref="J28:L28"/>
    <mergeCell ref="J44:L44"/>
    <mergeCell ref="A51:G56"/>
    <mergeCell ref="J60:L60"/>
  </mergeCells>
  <pageMargins left="0.75" right="0.75" top="1" bottom="1" header="0.5" footer="0.5"/>
  <pageSetup paperSize="9" orientation="portrait" horizontalDpi="4294967292" verticalDpi="4294967292"/>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H2:L52"/>
  <sheetViews>
    <sheetView showGridLines="0" zoomScale="145" zoomScaleNormal="145" zoomScalePageLayoutView="145" workbookViewId="0">
      <selection activeCell="I23" sqref="I23"/>
    </sheetView>
  </sheetViews>
  <sheetFormatPr defaultColWidth="10.8984375" defaultRowHeight="13.2" x14ac:dyDescent="0.25"/>
  <cols>
    <col min="1" max="7" width="10.8984375" style="1"/>
    <col min="8" max="8" width="16.5" style="1" bestFit="1" customWidth="1"/>
    <col min="9" max="16384" width="10.8984375" style="1"/>
  </cols>
  <sheetData>
    <row r="2" spans="8:11" x14ac:dyDescent="0.25">
      <c r="I2" s="26" t="s">
        <v>35</v>
      </c>
      <c r="J2" s="26" t="s">
        <v>36</v>
      </c>
      <c r="K2" s="26" t="s">
        <v>37</v>
      </c>
    </row>
    <row r="3" spans="8:11" x14ac:dyDescent="0.25">
      <c r="H3" s="1" t="s">
        <v>34</v>
      </c>
      <c r="I3" s="8">
        <v>6</v>
      </c>
      <c r="J3" s="3">
        <v>0.5</v>
      </c>
      <c r="K3" s="3">
        <f>+J3*I3</f>
        <v>3</v>
      </c>
    </row>
    <row r="4" spans="8:11" x14ac:dyDescent="0.25">
      <c r="H4" s="1" t="s">
        <v>2</v>
      </c>
      <c r="I4" s="28">
        <v>0.6</v>
      </c>
      <c r="J4" s="3">
        <v>30</v>
      </c>
      <c r="K4" s="3">
        <f t="shared" ref="K4:K5" si="0">+J4*I4</f>
        <v>18</v>
      </c>
    </row>
    <row r="5" spans="8:11" x14ac:dyDescent="0.25">
      <c r="H5" s="1" t="s">
        <v>15</v>
      </c>
      <c r="I5" s="28">
        <v>0.6</v>
      </c>
      <c r="J5" s="3">
        <v>10</v>
      </c>
      <c r="K5" s="3">
        <f t="shared" si="0"/>
        <v>6</v>
      </c>
    </row>
    <row r="6" spans="8:11" ht="13.8" thickBot="1" x14ac:dyDescent="0.3">
      <c r="H6" s="27" t="s">
        <v>38</v>
      </c>
      <c r="I6" s="29"/>
      <c r="J6" s="30"/>
      <c r="K6" s="30">
        <f>SUM(K3:K5)</f>
        <v>27</v>
      </c>
    </row>
    <row r="7" spans="8:11" ht="13.8" thickTop="1" x14ac:dyDescent="0.25">
      <c r="I7" s="2"/>
    </row>
    <row r="8" spans="8:11" x14ac:dyDescent="0.25">
      <c r="H8" s="1" t="s">
        <v>39</v>
      </c>
      <c r="I8" s="2">
        <v>2000</v>
      </c>
    </row>
    <row r="11" spans="8:11" x14ac:dyDescent="0.25">
      <c r="H11" s="1" t="s">
        <v>40</v>
      </c>
      <c r="I11" s="2">
        <v>18000</v>
      </c>
    </row>
    <row r="12" spans="8:11" x14ac:dyDescent="0.25">
      <c r="H12" s="1" t="s">
        <v>41</v>
      </c>
      <c r="I12" s="1">
        <v>0.6</v>
      </c>
    </row>
    <row r="13" spans="8:11" x14ac:dyDescent="0.25">
      <c r="H13" s="1" t="s">
        <v>42</v>
      </c>
      <c r="I13" s="2">
        <v>14000</v>
      </c>
    </row>
    <row r="14" spans="8:11" x14ac:dyDescent="0.25">
      <c r="H14" s="1" t="s">
        <v>43</v>
      </c>
      <c r="I14" s="2">
        <v>1100</v>
      </c>
    </row>
    <row r="15" spans="8:11" x14ac:dyDescent="0.25">
      <c r="H15" s="1" t="s">
        <v>44</v>
      </c>
      <c r="I15" s="1">
        <v>30.5</v>
      </c>
    </row>
    <row r="16" spans="8:11" x14ac:dyDescent="0.25">
      <c r="H16" s="1" t="s">
        <v>15</v>
      </c>
      <c r="I16" s="1">
        <v>12980</v>
      </c>
    </row>
    <row r="19" spans="8:12" x14ac:dyDescent="0.25">
      <c r="H19" s="31" t="s">
        <v>52</v>
      </c>
      <c r="I19" s="31" t="s">
        <v>36</v>
      </c>
      <c r="J19" s="31" t="s">
        <v>47</v>
      </c>
      <c r="K19" s="31" t="s">
        <v>48</v>
      </c>
    </row>
    <row r="20" spans="8:12" x14ac:dyDescent="0.25">
      <c r="H20" s="1" t="s">
        <v>45</v>
      </c>
      <c r="I20" s="2">
        <f>+I3*I8</f>
        <v>12000</v>
      </c>
      <c r="J20" s="2">
        <f>I13</f>
        <v>14000</v>
      </c>
    </row>
    <row r="21" spans="8:12" x14ac:dyDescent="0.25">
      <c r="H21" s="1" t="s">
        <v>46</v>
      </c>
      <c r="I21" s="1">
        <f>J3</f>
        <v>0.5</v>
      </c>
      <c r="J21" s="1">
        <f>+J3</f>
        <v>0.5</v>
      </c>
    </row>
    <row r="22" spans="8:12" x14ac:dyDescent="0.25">
      <c r="H22" s="1" t="s">
        <v>49</v>
      </c>
      <c r="I22" s="1">
        <f>+I21*I20</f>
        <v>6000</v>
      </c>
      <c r="J22" s="1">
        <f t="shared" ref="J22" si="1">+J21*J20</f>
        <v>7000</v>
      </c>
    </row>
    <row r="23" spans="8:12" ht="13.8" thickBot="1" x14ac:dyDescent="0.3">
      <c r="H23" s="33" t="s">
        <v>50</v>
      </c>
      <c r="I23" s="33">
        <f>+J22-I22</f>
        <v>1000</v>
      </c>
      <c r="J23" s="33" t="s">
        <v>28</v>
      </c>
      <c r="K23" s="27"/>
    </row>
    <row r="24" spans="8:12" ht="13.8" thickTop="1" x14ac:dyDescent="0.25"/>
    <row r="25" spans="8:12" x14ac:dyDescent="0.25">
      <c r="H25" s="32" t="s">
        <v>53</v>
      </c>
      <c r="I25" s="31" t="s">
        <v>36</v>
      </c>
      <c r="J25" s="31" t="s">
        <v>47</v>
      </c>
      <c r="K25" s="31" t="s">
        <v>48</v>
      </c>
    </row>
    <row r="26" spans="8:12" x14ac:dyDescent="0.25">
      <c r="H26" s="1" t="s">
        <v>45</v>
      </c>
      <c r="J26" s="1">
        <f>I11</f>
        <v>18000</v>
      </c>
      <c r="K26" s="1">
        <f>+I11</f>
        <v>18000</v>
      </c>
    </row>
    <row r="27" spans="8:12" x14ac:dyDescent="0.25">
      <c r="H27" s="1" t="s">
        <v>46</v>
      </c>
      <c r="J27" s="1">
        <f>+J3</f>
        <v>0.5</v>
      </c>
      <c r="K27" s="1">
        <f>+I12</f>
        <v>0.6</v>
      </c>
    </row>
    <row r="28" spans="8:12" x14ac:dyDescent="0.25">
      <c r="H28" s="1" t="s">
        <v>49</v>
      </c>
      <c r="J28" s="1">
        <f t="shared" ref="J28" si="2">+J27*J26</f>
        <v>9000</v>
      </c>
      <c r="K28" s="1">
        <f t="shared" ref="K28" si="3">+K27*K26</f>
        <v>10800</v>
      </c>
    </row>
    <row r="29" spans="8:12" ht="13.8" thickBot="1" x14ac:dyDescent="0.3">
      <c r="H29" s="33" t="s">
        <v>51</v>
      </c>
      <c r="I29" s="33"/>
      <c r="J29" s="33">
        <f>+K28-J28</f>
        <v>1800</v>
      </c>
      <c r="K29" s="33" t="s">
        <v>28</v>
      </c>
    </row>
    <row r="30" spans="8:12" ht="13.8" thickTop="1" x14ac:dyDescent="0.25">
      <c r="H30" s="34"/>
      <c r="I30" s="34"/>
      <c r="J30" s="34"/>
      <c r="K30" s="14"/>
    </row>
    <row r="31" spans="8:12" ht="13.8" thickBot="1" x14ac:dyDescent="0.3">
      <c r="H31" s="33" t="s">
        <v>55</v>
      </c>
      <c r="I31" s="33"/>
      <c r="J31" s="33"/>
      <c r="K31" s="33">
        <f>+J29+I23</f>
        <v>2800</v>
      </c>
      <c r="L31" s="33" t="s">
        <v>28</v>
      </c>
    </row>
    <row r="32" spans="8:12" ht="13.8" thickTop="1" x14ac:dyDescent="0.25">
      <c r="H32" s="34"/>
      <c r="I32" s="34"/>
      <c r="J32" s="34"/>
      <c r="K32" s="14"/>
    </row>
    <row r="35" spans="8:12" x14ac:dyDescent="0.25">
      <c r="H35" s="31" t="s">
        <v>54</v>
      </c>
      <c r="I35" s="31" t="s">
        <v>36</v>
      </c>
      <c r="J35" s="31" t="s">
        <v>47</v>
      </c>
      <c r="K35" s="31" t="s">
        <v>48</v>
      </c>
    </row>
    <row r="36" spans="8:12" x14ac:dyDescent="0.25">
      <c r="H36" s="1" t="s">
        <v>45</v>
      </c>
      <c r="I36" s="2">
        <f>I4*I8</f>
        <v>1200</v>
      </c>
      <c r="J36" s="2">
        <f>I14</f>
        <v>1100</v>
      </c>
      <c r="K36" s="1">
        <f>I14</f>
        <v>1100</v>
      </c>
    </row>
    <row r="37" spans="8:12" x14ac:dyDescent="0.25">
      <c r="H37" s="1" t="s">
        <v>46</v>
      </c>
      <c r="I37" s="1">
        <f>J4</f>
        <v>30</v>
      </c>
      <c r="J37" s="1">
        <f>J4</f>
        <v>30</v>
      </c>
      <c r="K37" s="1">
        <f>I15</f>
        <v>30.5</v>
      </c>
    </row>
    <row r="38" spans="8:12" x14ac:dyDescent="0.25">
      <c r="H38" s="24" t="s">
        <v>49</v>
      </c>
      <c r="I38" s="24">
        <f>+I37*I36</f>
        <v>36000</v>
      </c>
      <c r="J38" s="24">
        <f>+J37*J36</f>
        <v>33000</v>
      </c>
      <c r="K38" s="24">
        <f>+K37*K36</f>
        <v>33550</v>
      </c>
    </row>
    <row r="39" spans="8:12" x14ac:dyDescent="0.25">
      <c r="H39" s="34" t="s">
        <v>50</v>
      </c>
      <c r="I39" s="34">
        <f>+J38-I38</f>
        <v>-3000</v>
      </c>
      <c r="J39" s="34" t="s">
        <v>29</v>
      </c>
      <c r="K39" s="34"/>
      <c r="L39" s="7"/>
    </row>
    <row r="40" spans="8:12" x14ac:dyDescent="0.25">
      <c r="H40" s="34" t="s">
        <v>51</v>
      </c>
      <c r="I40" s="7"/>
      <c r="J40" s="7">
        <f>+K38-J38</f>
        <v>550</v>
      </c>
      <c r="K40" s="7" t="s">
        <v>28</v>
      </c>
      <c r="L40" s="7"/>
    </row>
    <row r="41" spans="8:12" ht="13.8" thickBot="1" x14ac:dyDescent="0.3">
      <c r="H41" s="33" t="s">
        <v>55</v>
      </c>
      <c r="I41" s="33"/>
      <c r="J41" s="33"/>
      <c r="K41" s="33">
        <f>+J40+I39</f>
        <v>-2450</v>
      </c>
      <c r="L41" s="33" t="s">
        <v>29</v>
      </c>
    </row>
    <row r="42" spans="8:12" ht="13.8" thickTop="1" x14ac:dyDescent="0.25"/>
    <row r="45" spans="8:12" x14ac:dyDescent="0.25">
      <c r="H45" s="31" t="s">
        <v>56</v>
      </c>
      <c r="I45" s="31" t="s">
        <v>36</v>
      </c>
      <c r="J45" s="31" t="s">
        <v>47</v>
      </c>
      <c r="K45" s="31" t="s">
        <v>48</v>
      </c>
    </row>
    <row r="46" spans="8:12" x14ac:dyDescent="0.25">
      <c r="H46" s="1" t="s">
        <v>45</v>
      </c>
      <c r="I46" s="2">
        <f>I5*I8</f>
        <v>1200</v>
      </c>
      <c r="J46" s="2">
        <f>I14</f>
        <v>1100</v>
      </c>
      <c r="K46" s="1">
        <f>I14</f>
        <v>1100</v>
      </c>
    </row>
    <row r="47" spans="8:12" x14ac:dyDescent="0.25">
      <c r="H47" s="1" t="s">
        <v>46</v>
      </c>
      <c r="I47" s="1">
        <f>+J5</f>
        <v>10</v>
      </c>
      <c r="J47" s="1">
        <f>J5</f>
        <v>10</v>
      </c>
      <c r="K47" s="1">
        <f>I16/I14</f>
        <v>11.8</v>
      </c>
    </row>
    <row r="48" spans="8:12" x14ac:dyDescent="0.25">
      <c r="H48" s="24" t="s">
        <v>49</v>
      </c>
      <c r="I48" s="24">
        <f>+I47*I46</f>
        <v>12000</v>
      </c>
      <c r="J48" s="24">
        <f>+J47*J46</f>
        <v>11000</v>
      </c>
      <c r="K48" s="24">
        <f>+K47*K46</f>
        <v>12980</v>
      </c>
    </row>
    <row r="49" spans="8:12" x14ac:dyDescent="0.25">
      <c r="H49" s="34" t="s">
        <v>50</v>
      </c>
      <c r="I49" s="34">
        <f>+J48-I48</f>
        <v>-1000</v>
      </c>
      <c r="J49" s="34" t="s">
        <v>29</v>
      </c>
      <c r="K49" s="34"/>
      <c r="L49" s="7"/>
    </row>
    <row r="50" spans="8:12" x14ac:dyDescent="0.25">
      <c r="H50" s="34" t="s">
        <v>51</v>
      </c>
      <c r="I50" s="7"/>
      <c r="J50" s="7">
        <f>+K48-J48</f>
        <v>1980</v>
      </c>
      <c r="K50" s="7" t="s">
        <v>28</v>
      </c>
      <c r="L50" s="7"/>
    </row>
    <row r="51" spans="8:12" ht="13.8" thickBot="1" x14ac:dyDescent="0.3">
      <c r="H51" s="33" t="s">
        <v>55</v>
      </c>
      <c r="I51" s="33"/>
      <c r="J51" s="33"/>
      <c r="K51" s="33">
        <f>+J50+I49</f>
        <v>980</v>
      </c>
      <c r="L51" s="33" t="s">
        <v>28</v>
      </c>
    </row>
    <row r="52" spans="8:12" ht="13.8" thickTop="1" x14ac:dyDescent="0.25"/>
  </sheetData>
  <pageMargins left="0.75" right="0.75" top="1" bottom="1" header="0.5" footer="0.5"/>
  <pageSetup paperSize="9" orientation="portrait" horizontalDpi="4294967292" verticalDpi="4294967292"/>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I2:R133"/>
  <sheetViews>
    <sheetView showGridLines="0" topLeftCell="A95" zoomScaleNormal="100" zoomScalePageLayoutView="145" workbookViewId="0">
      <selection activeCell="K49" sqref="K49"/>
    </sheetView>
  </sheetViews>
  <sheetFormatPr defaultColWidth="10.8984375" defaultRowHeight="13.2" x14ac:dyDescent="0.25"/>
  <cols>
    <col min="1" max="9" width="10.8984375" style="1"/>
    <col min="10" max="10" width="19.5" style="1" bestFit="1" customWidth="1"/>
    <col min="11" max="11" width="10.8984375" style="1"/>
    <col min="12" max="12" width="5" style="1" bestFit="1" customWidth="1"/>
    <col min="13" max="13" width="10.8984375" style="1"/>
    <col min="14" max="14" width="2.09765625" style="1" bestFit="1" customWidth="1"/>
    <col min="15" max="15" width="10.8984375" style="1"/>
    <col min="16" max="16" width="3.8984375" style="1" bestFit="1" customWidth="1"/>
    <col min="17" max="17" width="10.8984375" style="1"/>
    <col min="18" max="18" width="2.09765625" style="1" bestFit="1" customWidth="1"/>
    <col min="19" max="16384" width="10.8984375" style="1"/>
  </cols>
  <sheetData>
    <row r="2" spans="10:18" x14ac:dyDescent="0.25">
      <c r="J2" s="7" t="s">
        <v>342</v>
      </c>
      <c r="K2" s="108" t="s">
        <v>0</v>
      </c>
      <c r="L2" s="108"/>
      <c r="M2" s="108"/>
      <c r="N2" s="108"/>
      <c r="O2" s="108" t="s">
        <v>2</v>
      </c>
      <c r="P2" s="108"/>
      <c r="Q2" s="108"/>
      <c r="R2" s="108"/>
    </row>
    <row r="3" spans="10:18" x14ac:dyDescent="0.25">
      <c r="J3" s="32" t="s">
        <v>330</v>
      </c>
      <c r="K3" s="108" t="s">
        <v>326</v>
      </c>
      <c r="L3" s="108"/>
      <c r="M3" s="108" t="s">
        <v>327</v>
      </c>
      <c r="N3" s="108"/>
      <c r="O3" s="108" t="s">
        <v>328</v>
      </c>
      <c r="P3" s="108"/>
      <c r="Q3" s="108" t="s">
        <v>329</v>
      </c>
      <c r="R3" s="108"/>
    </row>
    <row r="4" spans="10:18" x14ac:dyDescent="0.25">
      <c r="J4" s="1" t="s">
        <v>324</v>
      </c>
      <c r="K4" s="3">
        <v>1.8</v>
      </c>
      <c r="L4" s="3" t="s">
        <v>183</v>
      </c>
      <c r="M4" s="3">
        <v>2</v>
      </c>
      <c r="N4" s="3" t="s">
        <v>332</v>
      </c>
      <c r="O4" s="1">
        <v>0.2</v>
      </c>
      <c r="P4" s="1" t="s">
        <v>138</v>
      </c>
      <c r="Q4" s="1">
        <v>0.8</v>
      </c>
      <c r="R4" s="1" t="s">
        <v>138</v>
      </c>
    </row>
    <row r="5" spans="10:18" x14ac:dyDescent="0.25">
      <c r="J5" s="1" t="s">
        <v>325</v>
      </c>
      <c r="K5" s="3">
        <v>3</v>
      </c>
      <c r="L5" s="3" t="s">
        <v>183</v>
      </c>
      <c r="M5" s="3">
        <v>4.5</v>
      </c>
      <c r="N5" s="3" t="s">
        <v>332</v>
      </c>
      <c r="O5" s="1">
        <v>0.35</v>
      </c>
      <c r="P5" s="1" t="s">
        <v>138</v>
      </c>
      <c r="Q5" s="1">
        <v>0.9</v>
      </c>
      <c r="R5" s="1" t="s">
        <v>138</v>
      </c>
    </row>
    <row r="10" spans="10:18" x14ac:dyDescent="0.25">
      <c r="J10" s="32" t="s">
        <v>331</v>
      </c>
      <c r="K10" s="108" t="s">
        <v>182</v>
      </c>
      <c r="L10" s="108"/>
      <c r="M10" s="108" t="s">
        <v>49</v>
      </c>
      <c r="N10" s="108"/>
      <c r="O10" s="108" t="s">
        <v>269</v>
      </c>
      <c r="P10" s="108"/>
      <c r="Q10" s="108" t="s">
        <v>194</v>
      </c>
      <c r="R10" s="108"/>
    </row>
    <row r="11" spans="10:18" x14ac:dyDescent="0.25">
      <c r="J11" s="1" t="s">
        <v>326</v>
      </c>
      <c r="K11" s="8">
        <v>14000</v>
      </c>
      <c r="L11" s="8" t="s">
        <v>183</v>
      </c>
      <c r="M11" s="3">
        <v>51800</v>
      </c>
      <c r="N11" s="8"/>
      <c r="O11" s="1">
        <v>3.5</v>
      </c>
      <c r="P11" s="1" t="s">
        <v>333</v>
      </c>
      <c r="Q11" s="2">
        <v>8500</v>
      </c>
      <c r="R11" s="1" t="s">
        <v>183</v>
      </c>
    </row>
    <row r="12" spans="10:18" x14ac:dyDescent="0.25">
      <c r="J12" s="1" t="s">
        <v>327</v>
      </c>
      <c r="K12" s="8">
        <v>15000</v>
      </c>
      <c r="L12" s="8" t="s">
        <v>332</v>
      </c>
      <c r="M12" s="3">
        <v>19500</v>
      </c>
      <c r="N12" s="8"/>
      <c r="O12" s="1">
        <v>1.4</v>
      </c>
      <c r="P12" s="1" t="s">
        <v>334</v>
      </c>
      <c r="Q12" s="2">
        <v>13000</v>
      </c>
      <c r="R12" s="1" t="s">
        <v>332</v>
      </c>
    </row>
    <row r="15" spans="10:18" x14ac:dyDescent="0.25">
      <c r="J15" s="1" t="s">
        <v>335</v>
      </c>
      <c r="K15" s="1">
        <v>20</v>
      </c>
    </row>
    <row r="16" spans="10:18" x14ac:dyDescent="0.25">
      <c r="J16" s="1" t="s">
        <v>336</v>
      </c>
      <c r="K16" s="1">
        <v>19</v>
      </c>
    </row>
    <row r="18" spans="9:13" x14ac:dyDescent="0.25">
      <c r="J18" s="110" t="s">
        <v>337</v>
      </c>
      <c r="K18" s="2">
        <v>1200</v>
      </c>
    </row>
    <row r="19" spans="9:13" x14ac:dyDescent="0.25">
      <c r="J19" s="110"/>
      <c r="K19" s="1">
        <v>27000</v>
      </c>
    </row>
    <row r="21" spans="9:13" x14ac:dyDescent="0.25">
      <c r="J21" s="110" t="s">
        <v>338</v>
      </c>
      <c r="K21" s="2">
        <v>2850</v>
      </c>
    </row>
    <row r="22" spans="9:13" x14ac:dyDescent="0.25">
      <c r="J22" s="110"/>
      <c r="K22" s="1">
        <v>59850</v>
      </c>
    </row>
    <row r="25" spans="9:13" x14ac:dyDescent="0.25">
      <c r="J25" s="1" t="s">
        <v>339</v>
      </c>
      <c r="K25" s="2">
        <v>1500</v>
      </c>
    </row>
    <row r="26" spans="9:13" x14ac:dyDescent="0.25">
      <c r="J26" s="1" t="s">
        <v>340</v>
      </c>
      <c r="K26" s="2">
        <v>2000</v>
      </c>
    </row>
    <row r="31" spans="9:13" x14ac:dyDescent="0.25">
      <c r="I31" s="3" t="s">
        <v>282</v>
      </c>
      <c r="J31" s="108" t="s">
        <v>341</v>
      </c>
      <c r="K31" s="108"/>
      <c r="L31" s="108"/>
      <c r="M31" s="108"/>
    </row>
    <row r="32" spans="9:13" x14ac:dyDescent="0.25">
      <c r="J32" s="112" t="s">
        <v>0</v>
      </c>
      <c r="K32" s="10" t="s">
        <v>326</v>
      </c>
      <c r="L32" s="10"/>
      <c r="M32" s="10">
        <f>K4*O11</f>
        <v>6.3</v>
      </c>
    </row>
    <row r="33" spans="9:13" x14ac:dyDescent="0.25">
      <c r="J33" s="113"/>
      <c r="K33" s="24" t="s">
        <v>327</v>
      </c>
      <c r="L33" s="24"/>
      <c r="M33" s="24">
        <f>M4*O12</f>
        <v>2.8</v>
      </c>
    </row>
    <row r="34" spans="9:13" x14ac:dyDescent="0.25">
      <c r="J34" s="114" t="s">
        <v>2</v>
      </c>
      <c r="K34" s="14" t="s">
        <v>328</v>
      </c>
      <c r="L34" s="14"/>
      <c r="M34" s="14">
        <f>O4*K15</f>
        <v>4</v>
      </c>
    </row>
    <row r="35" spans="9:13" x14ac:dyDescent="0.25">
      <c r="J35" s="113"/>
      <c r="K35" s="24" t="s">
        <v>329</v>
      </c>
      <c r="L35" s="24"/>
      <c r="M35" s="24">
        <f>Q4*K16</f>
        <v>15.200000000000001</v>
      </c>
    </row>
    <row r="36" spans="9:13" ht="13.8" thickBot="1" x14ac:dyDescent="0.3">
      <c r="J36" s="7" t="s">
        <v>270</v>
      </c>
      <c r="K36" s="7"/>
      <c r="L36" s="7"/>
      <c r="M36" s="33">
        <f>SUM(M32:M35)</f>
        <v>28.3</v>
      </c>
    </row>
    <row r="37" spans="9:13" ht="13.8" thickTop="1" x14ac:dyDescent="0.25"/>
    <row r="39" spans="9:13" x14ac:dyDescent="0.25">
      <c r="J39" s="108" t="s">
        <v>343</v>
      </c>
      <c r="K39" s="108"/>
      <c r="L39" s="108"/>
      <c r="M39" s="108"/>
    </row>
    <row r="40" spans="9:13" x14ac:dyDescent="0.25">
      <c r="J40" s="112" t="s">
        <v>0</v>
      </c>
      <c r="K40" s="10" t="s">
        <v>326</v>
      </c>
      <c r="L40" s="10"/>
      <c r="M40" s="10">
        <f>K5*O11</f>
        <v>10.5</v>
      </c>
    </row>
    <row r="41" spans="9:13" x14ac:dyDescent="0.25">
      <c r="J41" s="113"/>
      <c r="K41" s="24" t="s">
        <v>327</v>
      </c>
      <c r="L41" s="24"/>
      <c r="M41" s="24">
        <f>M5*O12</f>
        <v>6.3</v>
      </c>
    </row>
    <row r="42" spans="9:13" x14ac:dyDescent="0.25">
      <c r="J42" s="114" t="s">
        <v>2</v>
      </c>
      <c r="K42" s="14" t="s">
        <v>328</v>
      </c>
      <c r="L42" s="14"/>
      <c r="M42" s="14">
        <f>O5*K15</f>
        <v>7</v>
      </c>
    </row>
    <row r="43" spans="9:13" x14ac:dyDescent="0.25">
      <c r="J43" s="113"/>
      <c r="K43" s="24" t="s">
        <v>329</v>
      </c>
      <c r="L43" s="24"/>
      <c r="M43" s="24">
        <f>Q5*K16</f>
        <v>17.100000000000001</v>
      </c>
    </row>
    <row r="44" spans="9:13" ht="13.8" thickBot="1" x14ac:dyDescent="0.3">
      <c r="J44" s="7" t="s">
        <v>270</v>
      </c>
      <c r="K44" s="7"/>
      <c r="L44" s="7"/>
      <c r="M44" s="33">
        <f>SUM(M40:M43)</f>
        <v>40.900000000000006</v>
      </c>
    </row>
    <row r="45" spans="9:13" ht="13.8" thickTop="1" x14ac:dyDescent="0.25"/>
    <row r="47" spans="9:13" x14ac:dyDescent="0.25">
      <c r="I47" s="3" t="s">
        <v>286</v>
      </c>
      <c r="J47" s="1" t="s">
        <v>347</v>
      </c>
    </row>
    <row r="48" spans="9:13" x14ac:dyDescent="0.25">
      <c r="J48" s="1" t="s">
        <v>324</v>
      </c>
      <c r="K48" s="2">
        <f>K4*K25</f>
        <v>2700</v>
      </c>
    </row>
    <row r="49" spans="10:12" x14ac:dyDescent="0.25">
      <c r="J49" s="1" t="s">
        <v>325</v>
      </c>
      <c r="K49" s="88">
        <f>K5*K26</f>
        <v>6000</v>
      </c>
    </row>
    <row r="50" spans="10:12" x14ac:dyDescent="0.25">
      <c r="J50" s="1" t="s">
        <v>344</v>
      </c>
      <c r="K50" s="2">
        <f>SUM(K48:K49)</f>
        <v>8700</v>
      </c>
    </row>
    <row r="51" spans="10:12" x14ac:dyDescent="0.25">
      <c r="K51" s="2"/>
    </row>
    <row r="52" spans="10:12" x14ac:dyDescent="0.25">
      <c r="J52" s="1" t="s">
        <v>348</v>
      </c>
      <c r="K52" s="2"/>
    </row>
    <row r="53" spans="10:12" x14ac:dyDescent="0.25">
      <c r="J53" s="1" t="s">
        <v>324</v>
      </c>
      <c r="K53" s="2">
        <f>M4*K25</f>
        <v>3000</v>
      </c>
    </row>
    <row r="54" spans="10:12" x14ac:dyDescent="0.25">
      <c r="J54" s="1" t="s">
        <v>325</v>
      </c>
      <c r="K54" s="88">
        <f>M5*K26</f>
        <v>9000</v>
      </c>
    </row>
    <row r="55" spans="10:12" x14ac:dyDescent="0.25">
      <c r="J55" s="1" t="s">
        <v>345</v>
      </c>
      <c r="K55" s="2">
        <f>SUM(K53:K54)</f>
        <v>12000</v>
      </c>
    </row>
    <row r="59" spans="10:12" x14ac:dyDescent="0.25">
      <c r="J59" s="106" t="s">
        <v>346</v>
      </c>
      <c r="K59" s="108"/>
      <c r="L59" s="107"/>
    </row>
    <row r="60" spans="10:12" x14ac:dyDescent="0.25">
      <c r="J60" s="9" t="s">
        <v>200</v>
      </c>
      <c r="K60" s="10"/>
      <c r="L60" s="12"/>
    </row>
    <row r="61" spans="10:12" x14ac:dyDescent="0.25">
      <c r="J61" s="67" t="s">
        <v>36</v>
      </c>
      <c r="K61" s="72">
        <f>O11</f>
        <v>3.5</v>
      </c>
      <c r="L61" s="15"/>
    </row>
    <row r="62" spans="10:12" x14ac:dyDescent="0.25">
      <c r="J62" s="13" t="s">
        <v>139</v>
      </c>
      <c r="K62" s="61">
        <f>Q11</f>
        <v>8500</v>
      </c>
      <c r="L62" s="15"/>
    </row>
    <row r="63" spans="10:12" x14ac:dyDescent="0.25">
      <c r="J63" s="13" t="s">
        <v>35</v>
      </c>
      <c r="K63" s="61">
        <f>K50</f>
        <v>8700</v>
      </c>
      <c r="L63" s="70"/>
    </row>
    <row r="64" spans="10:12" x14ac:dyDescent="0.25">
      <c r="J64" s="13" t="s">
        <v>199</v>
      </c>
      <c r="K64" s="14">
        <f>K61*(K62-K63)</f>
        <v>-700</v>
      </c>
      <c r="L64" s="70" t="str">
        <f>IF(K64&gt;0,"D",IF(K64&lt;0,"F","-"))</f>
        <v>F</v>
      </c>
    </row>
    <row r="65" spans="10:12" x14ac:dyDescent="0.25">
      <c r="J65" s="13"/>
      <c r="K65" s="14"/>
      <c r="L65" s="70"/>
    </row>
    <row r="66" spans="10:12" x14ac:dyDescent="0.25">
      <c r="J66" s="13" t="s">
        <v>201</v>
      </c>
      <c r="K66" s="14"/>
      <c r="L66" s="70"/>
    </row>
    <row r="67" spans="10:12" x14ac:dyDescent="0.25">
      <c r="J67" s="13" t="s">
        <v>139</v>
      </c>
      <c r="K67" s="61">
        <f>K11</f>
        <v>14000</v>
      </c>
      <c r="L67" s="70"/>
    </row>
    <row r="68" spans="10:12" x14ac:dyDescent="0.25">
      <c r="J68" s="13" t="s">
        <v>140</v>
      </c>
      <c r="K68" s="14">
        <f>M11/K11</f>
        <v>3.7</v>
      </c>
      <c r="L68" s="70"/>
    </row>
    <row r="69" spans="10:12" x14ac:dyDescent="0.25">
      <c r="J69" s="13" t="s">
        <v>36</v>
      </c>
      <c r="K69" s="14">
        <f>+O11</f>
        <v>3.5</v>
      </c>
      <c r="L69" s="70"/>
    </row>
    <row r="70" spans="10:12" x14ac:dyDescent="0.25">
      <c r="J70" s="13" t="s">
        <v>202</v>
      </c>
      <c r="K70" s="14">
        <f>+K67*(K68-K69)</f>
        <v>2800.0000000000023</v>
      </c>
      <c r="L70" s="70" t="str">
        <f>IF(K70&gt;0,"D",IF(K70&lt;0,"F","-"))</f>
        <v>D</v>
      </c>
    </row>
    <row r="71" spans="10:12" x14ac:dyDescent="0.25">
      <c r="J71" s="13"/>
      <c r="K71" s="14"/>
      <c r="L71" s="70"/>
    </row>
    <row r="72" spans="10:12" x14ac:dyDescent="0.25">
      <c r="J72" s="13"/>
      <c r="K72" s="14"/>
      <c r="L72" s="70"/>
    </row>
    <row r="73" spans="10:12" x14ac:dyDescent="0.25">
      <c r="J73" s="68"/>
      <c r="K73" s="69"/>
      <c r="L73" s="71"/>
    </row>
    <row r="75" spans="10:12" x14ac:dyDescent="0.25">
      <c r="J75" s="106" t="s">
        <v>349</v>
      </c>
      <c r="K75" s="108"/>
      <c r="L75" s="107"/>
    </row>
    <row r="76" spans="10:12" x14ac:dyDescent="0.25">
      <c r="J76" s="9" t="s">
        <v>200</v>
      </c>
      <c r="K76" s="10"/>
      <c r="L76" s="12"/>
    </row>
    <row r="77" spans="10:12" x14ac:dyDescent="0.25">
      <c r="J77" s="67" t="s">
        <v>36</v>
      </c>
      <c r="K77" s="72">
        <f>O12</f>
        <v>1.4</v>
      </c>
      <c r="L77" s="15"/>
    </row>
    <row r="78" spans="10:12" x14ac:dyDescent="0.25">
      <c r="J78" s="13" t="s">
        <v>139</v>
      </c>
      <c r="K78" s="61">
        <f>Q12</f>
        <v>13000</v>
      </c>
      <c r="L78" s="15"/>
    </row>
    <row r="79" spans="10:12" x14ac:dyDescent="0.25">
      <c r="J79" s="13" t="s">
        <v>35</v>
      </c>
      <c r="K79" s="61">
        <f>K55</f>
        <v>12000</v>
      </c>
      <c r="L79" s="70"/>
    </row>
    <row r="80" spans="10:12" x14ac:dyDescent="0.25">
      <c r="J80" s="13" t="s">
        <v>199</v>
      </c>
      <c r="K80" s="14">
        <f>K77*(K78-K79)</f>
        <v>1400</v>
      </c>
      <c r="L80" s="70" t="str">
        <f>IF(K80&gt;0,"D",IF(K80&lt;0,"F","-"))</f>
        <v>D</v>
      </c>
    </row>
    <row r="81" spans="9:12" x14ac:dyDescent="0.25">
      <c r="J81" s="13"/>
      <c r="K81" s="14"/>
      <c r="L81" s="70"/>
    </row>
    <row r="82" spans="9:12" x14ac:dyDescent="0.25">
      <c r="J82" s="13" t="s">
        <v>201</v>
      </c>
      <c r="K82" s="14"/>
      <c r="L82" s="70"/>
    </row>
    <row r="83" spans="9:12" x14ac:dyDescent="0.25">
      <c r="J83" s="13" t="s">
        <v>139</v>
      </c>
      <c r="K83" s="61">
        <f>K12</f>
        <v>15000</v>
      </c>
      <c r="L83" s="70"/>
    </row>
    <row r="84" spans="9:12" x14ac:dyDescent="0.25">
      <c r="J84" s="13" t="s">
        <v>140</v>
      </c>
      <c r="K84" s="14">
        <f>M12/K12</f>
        <v>1.3</v>
      </c>
      <c r="L84" s="70"/>
    </row>
    <row r="85" spans="9:12" x14ac:dyDescent="0.25">
      <c r="J85" s="13" t="s">
        <v>36</v>
      </c>
      <c r="K85" s="14">
        <f>O12</f>
        <v>1.4</v>
      </c>
      <c r="L85" s="70"/>
    </row>
    <row r="86" spans="9:12" x14ac:dyDescent="0.25">
      <c r="J86" s="13" t="s">
        <v>202</v>
      </c>
      <c r="K86" s="14">
        <f>+K83*(K84-K85)</f>
        <v>-1499.999999999998</v>
      </c>
      <c r="L86" s="70" t="str">
        <f>IF(K86&gt;0,"D",IF(K86&lt;0,"F","-"))</f>
        <v>F</v>
      </c>
    </row>
    <row r="87" spans="9:12" x14ac:dyDescent="0.25">
      <c r="J87" s="13"/>
      <c r="K87" s="14"/>
      <c r="L87" s="70"/>
    </row>
    <row r="88" spans="9:12" x14ac:dyDescent="0.25">
      <c r="J88" s="13"/>
      <c r="K88" s="14"/>
      <c r="L88" s="70"/>
    </row>
    <row r="89" spans="9:12" x14ac:dyDescent="0.25">
      <c r="J89" s="68"/>
      <c r="K89" s="69"/>
      <c r="L89" s="71"/>
    </row>
    <row r="92" spans="9:12" x14ac:dyDescent="0.25">
      <c r="I92" s="3" t="s">
        <v>288</v>
      </c>
      <c r="J92" s="1" t="s">
        <v>328</v>
      </c>
    </row>
    <row r="93" spans="9:12" x14ac:dyDescent="0.25">
      <c r="J93" s="1" t="s">
        <v>324</v>
      </c>
      <c r="K93" s="2">
        <f>O4*K25</f>
        <v>300</v>
      </c>
    </row>
    <row r="94" spans="9:12" x14ac:dyDescent="0.25">
      <c r="J94" s="1" t="s">
        <v>325</v>
      </c>
      <c r="K94" s="88">
        <f>O5*K26</f>
        <v>700</v>
      </c>
    </row>
    <row r="95" spans="9:12" x14ac:dyDescent="0.25">
      <c r="J95" s="1" t="s">
        <v>344</v>
      </c>
      <c r="K95" s="2">
        <f>SUM(K93:K94)</f>
        <v>1000</v>
      </c>
    </row>
    <row r="96" spans="9:12" x14ac:dyDescent="0.25">
      <c r="K96" s="2"/>
    </row>
    <row r="97" spans="10:12" x14ac:dyDescent="0.25">
      <c r="J97" s="1" t="s">
        <v>329</v>
      </c>
      <c r="K97" s="2"/>
    </row>
    <row r="98" spans="10:12" x14ac:dyDescent="0.25">
      <c r="J98" s="1" t="s">
        <v>324</v>
      </c>
      <c r="K98" s="2">
        <f>Q4*K25</f>
        <v>1200</v>
      </c>
    </row>
    <row r="99" spans="10:12" x14ac:dyDescent="0.25">
      <c r="J99" s="1" t="s">
        <v>325</v>
      </c>
      <c r="K99" s="88">
        <f>Q5*K26</f>
        <v>1800</v>
      </c>
    </row>
    <row r="100" spans="10:12" x14ac:dyDescent="0.25">
      <c r="J100" s="1" t="s">
        <v>345</v>
      </c>
      <c r="K100" s="2">
        <f>SUM(K98:K99)</f>
        <v>3000</v>
      </c>
    </row>
    <row r="103" spans="10:12" x14ac:dyDescent="0.25">
      <c r="J103" s="106" t="s">
        <v>350</v>
      </c>
      <c r="K103" s="108"/>
      <c r="L103" s="107"/>
    </row>
    <row r="104" spans="10:12" x14ac:dyDescent="0.25">
      <c r="J104" s="9" t="s">
        <v>205</v>
      </c>
      <c r="K104" s="10"/>
      <c r="L104" s="12"/>
    </row>
    <row r="105" spans="10:12" x14ac:dyDescent="0.25">
      <c r="J105" s="67" t="s">
        <v>36</v>
      </c>
      <c r="K105" s="72">
        <f>K15</f>
        <v>20</v>
      </c>
      <c r="L105" s="15"/>
    </row>
    <row r="106" spans="10:12" x14ac:dyDescent="0.25">
      <c r="J106" s="13" t="s">
        <v>139</v>
      </c>
      <c r="K106" s="61">
        <f>K18</f>
        <v>1200</v>
      </c>
      <c r="L106" s="15"/>
    </row>
    <row r="107" spans="10:12" x14ac:dyDescent="0.25">
      <c r="J107" s="13" t="s">
        <v>35</v>
      </c>
      <c r="K107" s="61">
        <f>K95</f>
        <v>1000</v>
      </c>
      <c r="L107" s="70"/>
    </row>
    <row r="108" spans="10:12" x14ac:dyDescent="0.25">
      <c r="J108" s="13" t="s">
        <v>199</v>
      </c>
      <c r="K108" s="14">
        <f>K105*(K106-K107)</f>
        <v>4000</v>
      </c>
      <c r="L108" s="70" t="str">
        <f>IF(K108&gt;0,"D",IF(K108&lt;0,"F","-"))</f>
        <v>D</v>
      </c>
    </row>
    <row r="109" spans="10:12" x14ac:dyDescent="0.25">
      <c r="J109" s="13"/>
      <c r="K109" s="14"/>
      <c r="L109" s="70"/>
    </row>
    <row r="110" spans="10:12" x14ac:dyDescent="0.25">
      <c r="J110" s="13" t="s">
        <v>223</v>
      </c>
      <c r="K110" s="14"/>
      <c r="L110" s="70"/>
    </row>
    <row r="111" spans="10:12" x14ac:dyDescent="0.25">
      <c r="J111" s="13" t="s">
        <v>139</v>
      </c>
      <c r="K111" s="61">
        <f>K106</f>
        <v>1200</v>
      </c>
      <c r="L111" s="70"/>
    </row>
    <row r="112" spans="10:12" x14ac:dyDescent="0.25">
      <c r="J112" s="13" t="s">
        <v>140</v>
      </c>
      <c r="K112" s="14">
        <f>K19/K18</f>
        <v>22.5</v>
      </c>
      <c r="L112" s="70"/>
    </row>
    <row r="113" spans="10:12" x14ac:dyDescent="0.25">
      <c r="J113" s="13" t="s">
        <v>36</v>
      </c>
      <c r="K113" s="14">
        <f>K105</f>
        <v>20</v>
      </c>
      <c r="L113" s="70"/>
    </row>
    <row r="114" spans="10:12" x14ac:dyDescent="0.25">
      <c r="J114" s="13" t="s">
        <v>144</v>
      </c>
      <c r="K114" s="14">
        <f>+K111*(K112-K113)</f>
        <v>3000</v>
      </c>
      <c r="L114" s="70" t="str">
        <f>IF(K114&gt;0,"D",IF(K114&lt;0,"F","-"))</f>
        <v>D</v>
      </c>
    </row>
    <row r="115" spans="10:12" x14ac:dyDescent="0.25">
      <c r="J115" s="13"/>
      <c r="K115" s="14"/>
      <c r="L115" s="70"/>
    </row>
    <row r="116" spans="10:12" x14ac:dyDescent="0.25">
      <c r="J116" s="13"/>
      <c r="K116" s="14"/>
      <c r="L116" s="70"/>
    </row>
    <row r="117" spans="10:12" x14ac:dyDescent="0.25">
      <c r="J117" s="68" t="s">
        <v>226</v>
      </c>
      <c r="K117" s="69">
        <f>+K108+K114</f>
        <v>7000</v>
      </c>
      <c r="L117" s="71" t="str">
        <f>IF(K117&gt;0,"D",IF(K117&lt;0,"F","-"))</f>
        <v>D</v>
      </c>
    </row>
    <row r="119" spans="10:12" x14ac:dyDescent="0.25">
      <c r="J119" s="106" t="s">
        <v>351</v>
      </c>
      <c r="K119" s="108"/>
      <c r="L119" s="107"/>
    </row>
    <row r="120" spans="10:12" x14ac:dyDescent="0.25">
      <c r="J120" s="9" t="s">
        <v>205</v>
      </c>
      <c r="K120" s="10"/>
      <c r="L120" s="12"/>
    </row>
    <row r="121" spans="10:12" x14ac:dyDescent="0.25">
      <c r="J121" s="67" t="s">
        <v>36</v>
      </c>
      <c r="K121" s="72">
        <f>K16</f>
        <v>19</v>
      </c>
      <c r="L121" s="15"/>
    </row>
    <row r="122" spans="10:12" x14ac:dyDescent="0.25">
      <c r="J122" s="13" t="s">
        <v>139</v>
      </c>
      <c r="K122" s="61">
        <f>K21</f>
        <v>2850</v>
      </c>
      <c r="L122" s="15"/>
    </row>
    <row r="123" spans="10:12" x14ac:dyDescent="0.25">
      <c r="J123" s="13" t="s">
        <v>35</v>
      </c>
      <c r="K123" s="61">
        <f>K100</f>
        <v>3000</v>
      </c>
      <c r="L123" s="70"/>
    </row>
    <row r="124" spans="10:12" x14ac:dyDescent="0.25">
      <c r="J124" s="13" t="s">
        <v>199</v>
      </c>
      <c r="K124" s="14">
        <f>K121*(K122-K123)</f>
        <v>-2850</v>
      </c>
      <c r="L124" s="70" t="str">
        <f>IF(K124&gt;0,"D",IF(K124&lt;0,"F","-"))</f>
        <v>F</v>
      </c>
    </row>
    <row r="125" spans="10:12" x14ac:dyDescent="0.25">
      <c r="J125" s="13"/>
      <c r="K125" s="14"/>
      <c r="L125" s="70"/>
    </row>
    <row r="126" spans="10:12" x14ac:dyDescent="0.25">
      <c r="J126" s="13" t="s">
        <v>223</v>
      </c>
      <c r="K126" s="14"/>
      <c r="L126" s="70"/>
    </row>
    <row r="127" spans="10:12" x14ac:dyDescent="0.25">
      <c r="J127" s="13" t="s">
        <v>139</v>
      </c>
      <c r="K127" s="61">
        <f>K122</f>
        <v>2850</v>
      </c>
      <c r="L127" s="70"/>
    </row>
    <row r="128" spans="10:12" x14ac:dyDescent="0.25">
      <c r="J128" s="13" t="s">
        <v>140</v>
      </c>
      <c r="K128" s="14">
        <f>K22/K21</f>
        <v>21</v>
      </c>
      <c r="L128" s="70"/>
    </row>
    <row r="129" spans="10:12" x14ac:dyDescent="0.25">
      <c r="J129" s="13" t="s">
        <v>36</v>
      </c>
      <c r="K129" s="14">
        <f>K121</f>
        <v>19</v>
      </c>
      <c r="L129" s="70"/>
    </row>
    <row r="130" spans="10:12" x14ac:dyDescent="0.25">
      <c r="J130" s="13" t="s">
        <v>144</v>
      </c>
      <c r="K130" s="14">
        <f>+K127*(K128-K129)</f>
        <v>5700</v>
      </c>
      <c r="L130" s="70" t="str">
        <f>IF(K130&gt;0,"D",IF(K130&lt;0,"F","-"))</f>
        <v>D</v>
      </c>
    </row>
    <row r="131" spans="10:12" x14ac:dyDescent="0.25">
      <c r="J131" s="13"/>
      <c r="K131" s="14"/>
      <c r="L131" s="70"/>
    </row>
    <row r="132" spans="10:12" x14ac:dyDescent="0.25">
      <c r="J132" s="13"/>
      <c r="K132" s="14"/>
      <c r="L132" s="70"/>
    </row>
    <row r="133" spans="10:12" x14ac:dyDescent="0.25">
      <c r="J133" s="68" t="s">
        <v>226</v>
      </c>
      <c r="K133" s="69">
        <f>+K124+K130</f>
        <v>2850</v>
      </c>
      <c r="L133" s="71" t="str">
        <f>IF(K133&gt;0,"D",IF(K133&lt;0,"F","-"))</f>
        <v>D</v>
      </c>
    </row>
  </sheetData>
  <mergeCells count="22">
    <mergeCell ref="J59:L59"/>
    <mergeCell ref="J75:L75"/>
    <mergeCell ref="J103:L103"/>
    <mergeCell ref="J119:L119"/>
    <mergeCell ref="J32:J33"/>
    <mergeCell ref="J34:J35"/>
    <mergeCell ref="J31:M31"/>
    <mergeCell ref="J39:M39"/>
    <mergeCell ref="J40:J41"/>
    <mergeCell ref="J42:J43"/>
    <mergeCell ref="K10:L10"/>
    <mergeCell ref="M10:N10"/>
    <mergeCell ref="O10:P10"/>
    <mergeCell ref="Q10:R10"/>
    <mergeCell ref="J18:J19"/>
    <mergeCell ref="J21:J22"/>
    <mergeCell ref="K2:N2"/>
    <mergeCell ref="K3:L3"/>
    <mergeCell ref="M3:N3"/>
    <mergeCell ref="O3:P3"/>
    <mergeCell ref="Q3:R3"/>
    <mergeCell ref="O2:R2"/>
  </mergeCells>
  <pageMargins left="0.75" right="0.75" top="1" bottom="1" header="0.5" footer="0.5"/>
  <pageSetup paperSize="9" orientation="portrait" horizontalDpi="4294967292" verticalDpi="429496729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J3:Q64"/>
  <sheetViews>
    <sheetView showGridLines="0" topLeftCell="A31" zoomScaleNormal="100" zoomScalePageLayoutView="130" workbookViewId="0">
      <selection activeCell="N59" sqref="N59"/>
    </sheetView>
  </sheetViews>
  <sheetFormatPr defaultColWidth="10.8984375" defaultRowHeight="13.2" x14ac:dyDescent="0.25"/>
  <cols>
    <col min="1" max="10" width="10.8984375" style="1"/>
    <col min="11" max="11" width="22.5" style="1" bestFit="1" customWidth="1"/>
    <col min="12" max="12" width="15.09765625" style="1" bestFit="1" customWidth="1"/>
    <col min="13" max="13" width="16" style="1" bestFit="1" customWidth="1"/>
    <col min="14" max="14" width="16.09765625" style="1" bestFit="1" customWidth="1"/>
    <col min="15" max="16384" width="10.8984375" style="1"/>
  </cols>
  <sheetData>
    <row r="3" spans="11:14" x14ac:dyDescent="0.25">
      <c r="K3" s="108" t="s">
        <v>352</v>
      </c>
      <c r="L3" s="108"/>
      <c r="M3" s="108"/>
      <c r="N3" s="108"/>
    </row>
    <row r="4" spans="11:14" x14ac:dyDescent="0.25">
      <c r="K4" s="73"/>
      <c r="L4" s="66" t="s">
        <v>45</v>
      </c>
      <c r="M4" s="66" t="s">
        <v>46</v>
      </c>
      <c r="N4" s="66" t="s">
        <v>49</v>
      </c>
    </row>
    <row r="5" spans="11:14" x14ac:dyDescent="0.25">
      <c r="K5" s="1" t="s">
        <v>34</v>
      </c>
      <c r="L5" s="3">
        <v>2</v>
      </c>
      <c r="M5" s="3">
        <v>16</v>
      </c>
      <c r="N5" s="3">
        <f>+M5*L5</f>
        <v>32</v>
      </c>
    </row>
    <row r="6" spans="11:14" x14ac:dyDescent="0.25">
      <c r="K6" s="1" t="s">
        <v>2</v>
      </c>
      <c r="L6" s="3">
        <v>1</v>
      </c>
      <c r="M6" s="3">
        <v>15</v>
      </c>
      <c r="N6" s="3">
        <f>+M6*L6</f>
        <v>15</v>
      </c>
    </row>
    <row r="7" spans="11:14" x14ac:dyDescent="0.25">
      <c r="K7" s="1" t="s">
        <v>15</v>
      </c>
      <c r="L7" s="3">
        <v>1</v>
      </c>
      <c r="M7" s="3">
        <v>9</v>
      </c>
      <c r="N7" s="90">
        <f>+M7*L7</f>
        <v>9</v>
      </c>
    </row>
    <row r="8" spans="11:14" ht="13.8" thickBot="1" x14ac:dyDescent="0.3">
      <c r="K8" s="33" t="s">
        <v>270</v>
      </c>
      <c r="L8" s="91"/>
      <c r="M8" s="91"/>
      <c r="N8" s="91">
        <f>SUM(N5:N7)</f>
        <v>56</v>
      </c>
    </row>
    <row r="9" spans="11:14" ht="13.8" thickTop="1" x14ac:dyDescent="0.25"/>
    <row r="11" spans="11:14" x14ac:dyDescent="0.25">
      <c r="K11" s="73"/>
      <c r="L11" s="66" t="s">
        <v>272</v>
      </c>
      <c r="M11" s="66" t="s">
        <v>353</v>
      </c>
      <c r="N11" s="66" t="s">
        <v>354</v>
      </c>
    </row>
    <row r="12" spans="11:14" x14ac:dyDescent="0.25">
      <c r="K12" s="1" t="s">
        <v>34</v>
      </c>
      <c r="L12" s="3">
        <v>608000</v>
      </c>
      <c r="M12" s="3">
        <v>32000</v>
      </c>
      <c r="N12" s="3">
        <v>-11600</v>
      </c>
    </row>
    <row r="13" spans="11:14" x14ac:dyDescent="0.25">
      <c r="K13" s="1" t="s">
        <v>2</v>
      </c>
      <c r="L13" s="3">
        <v>285000</v>
      </c>
      <c r="M13" s="3">
        <v>15000</v>
      </c>
      <c r="N13" s="3">
        <v>4000</v>
      </c>
    </row>
    <row r="14" spans="11:14" x14ac:dyDescent="0.25">
      <c r="K14" s="24" t="s">
        <v>15</v>
      </c>
      <c r="L14" s="85">
        <v>171000</v>
      </c>
      <c r="M14" s="92">
        <f>L62</f>
        <v>9000</v>
      </c>
      <c r="N14" s="85">
        <v>-4000</v>
      </c>
    </row>
    <row r="17" spans="10:17" x14ac:dyDescent="0.25">
      <c r="J17" s="3" t="s">
        <v>282</v>
      </c>
      <c r="K17" s="115" t="s">
        <v>355</v>
      </c>
      <c r="L17" s="115"/>
      <c r="M17" s="115"/>
      <c r="N17" s="115"/>
      <c r="O17" s="115"/>
      <c r="P17" s="115"/>
      <c r="Q17" s="115"/>
    </row>
    <row r="18" spans="10:17" x14ac:dyDescent="0.25">
      <c r="K18" s="1" t="s">
        <v>34</v>
      </c>
      <c r="L18" s="2">
        <f>L12/N5</f>
        <v>19000</v>
      </c>
    </row>
    <row r="19" spans="10:17" x14ac:dyDescent="0.25">
      <c r="K19" s="1" t="s">
        <v>2</v>
      </c>
      <c r="L19" s="2">
        <f>L13/N6</f>
        <v>19000</v>
      </c>
    </row>
    <row r="20" spans="10:17" x14ac:dyDescent="0.25">
      <c r="K20" s="1" t="s">
        <v>15</v>
      </c>
      <c r="L20" s="2">
        <f>L14/N7</f>
        <v>19000</v>
      </c>
    </row>
    <row r="23" spans="10:17" x14ac:dyDescent="0.25">
      <c r="J23" s="3"/>
      <c r="K23" s="1" t="s">
        <v>356</v>
      </c>
      <c r="L23" s="1">
        <f>M5</f>
        <v>16</v>
      </c>
    </row>
    <row r="24" spans="10:17" x14ac:dyDescent="0.25">
      <c r="K24" s="1" t="s">
        <v>357</v>
      </c>
      <c r="L24" s="2">
        <f>L12/M5</f>
        <v>38000</v>
      </c>
    </row>
    <row r="25" spans="10:17" x14ac:dyDescent="0.25">
      <c r="J25" s="3" t="s">
        <v>286</v>
      </c>
      <c r="K25" s="1" t="s">
        <v>358</v>
      </c>
      <c r="L25" s="2">
        <f>(L12+M12)/M5</f>
        <v>40000</v>
      </c>
      <c r="O25" s="2"/>
    </row>
    <row r="26" spans="10:17" x14ac:dyDescent="0.25">
      <c r="J26" s="3" t="s">
        <v>288</v>
      </c>
      <c r="K26" s="1" t="s">
        <v>359</v>
      </c>
      <c r="L26" s="1">
        <f>SUM(L12:N12)/L25</f>
        <v>15.71</v>
      </c>
    </row>
    <row r="27" spans="10:17" x14ac:dyDescent="0.25">
      <c r="J27" s="3"/>
    </row>
    <row r="28" spans="10:17" x14ac:dyDescent="0.25">
      <c r="J28" s="3"/>
      <c r="K28" s="1" t="s">
        <v>294</v>
      </c>
      <c r="L28" s="1">
        <f>L24*L23</f>
        <v>608000</v>
      </c>
    </row>
    <row r="29" spans="10:17" x14ac:dyDescent="0.25">
      <c r="J29" s="3"/>
      <c r="K29" s="1" t="s">
        <v>295</v>
      </c>
      <c r="L29" s="14">
        <f>L25*L23</f>
        <v>640000</v>
      </c>
    </row>
    <row r="30" spans="10:17" x14ac:dyDescent="0.25">
      <c r="J30" s="3"/>
      <c r="K30" s="1" t="s">
        <v>299</v>
      </c>
      <c r="L30" s="1">
        <f>L25*L26</f>
        <v>628400</v>
      </c>
    </row>
    <row r="31" spans="10:17" x14ac:dyDescent="0.25">
      <c r="J31" s="3"/>
    </row>
    <row r="32" spans="10:17" x14ac:dyDescent="0.25">
      <c r="J32" s="3"/>
      <c r="K32" s="1" t="s">
        <v>50</v>
      </c>
      <c r="L32" s="1">
        <f>+L29-L28</f>
        <v>32000</v>
      </c>
    </row>
    <row r="33" spans="10:12" x14ac:dyDescent="0.25">
      <c r="J33" s="3"/>
      <c r="K33" s="1" t="s">
        <v>51</v>
      </c>
      <c r="L33" s="1">
        <f>+L30-L29</f>
        <v>-11600</v>
      </c>
    </row>
    <row r="34" spans="10:12" x14ac:dyDescent="0.25">
      <c r="J34" s="3"/>
      <c r="K34" s="1" t="s">
        <v>55</v>
      </c>
      <c r="L34" s="1">
        <f>+L33+L32</f>
        <v>20400</v>
      </c>
    </row>
    <row r="35" spans="10:12" x14ac:dyDescent="0.25">
      <c r="J35" s="3"/>
    </row>
    <row r="36" spans="10:12" x14ac:dyDescent="0.25">
      <c r="J36" s="3"/>
    </row>
    <row r="37" spans="10:12" x14ac:dyDescent="0.25">
      <c r="J37" s="3"/>
    </row>
    <row r="38" spans="10:12" x14ac:dyDescent="0.25">
      <c r="J38" s="3"/>
      <c r="K38" s="1" t="s">
        <v>360</v>
      </c>
      <c r="L38" s="1">
        <f>M6</f>
        <v>15</v>
      </c>
    </row>
    <row r="39" spans="10:12" x14ac:dyDescent="0.25">
      <c r="J39" s="3"/>
      <c r="K39" s="1" t="s">
        <v>361</v>
      </c>
      <c r="L39" s="2">
        <f>L13/M6</f>
        <v>19000</v>
      </c>
    </row>
    <row r="40" spans="10:12" x14ac:dyDescent="0.25">
      <c r="J40" s="3" t="s">
        <v>302</v>
      </c>
      <c r="K40" s="1" t="s">
        <v>362</v>
      </c>
      <c r="L40" s="2">
        <f>SUM(L13:M13)/M6</f>
        <v>20000</v>
      </c>
    </row>
    <row r="41" spans="10:12" x14ac:dyDescent="0.25">
      <c r="J41" s="3" t="s">
        <v>308</v>
      </c>
      <c r="K41" s="1" t="s">
        <v>363</v>
      </c>
      <c r="L41" s="1">
        <f>SUM(L13:N13)/L40</f>
        <v>15.2</v>
      </c>
    </row>
    <row r="42" spans="10:12" x14ac:dyDescent="0.25">
      <c r="J42" s="3"/>
    </row>
    <row r="43" spans="10:12" x14ac:dyDescent="0.25">
      <c r="J43" s="3"/>
      <c r="K43" s="1" t="s">
        <v>294</v>
      </c>
      <c r="L43" s="1">
        <f>L39*L38</f>
        <v>285000</v>
      </c>
    </row>
    <row r="44" spans="10:12" x14ac:dyDescent="0.25">
      <c r="J44" s="3"/>
      <c r="K44" s="1" t="s">
        <v>295</v>
      </c>
      <c r="L44" s="14">
        <f>L40*L38</f>
        <v>300000</v>
      </c>
    </row>
    <row r="45" spans="10:12" x14ac:dyDescent="0.25">
      <c r="J45" s="3"/>
      <c r="K45" s="1" t="s">
        <v>299</v>
      </c>
      <c r="L45" s="1">
        <f>L40*L41</f>
        <v>304000</v>
      </c>
    </row>
    <row r="46" spans="10:12" x14ac:dyDescent="0.25">
      <c r="J46" s="3"/>
    </row>
    <row r="47" spans="10:12" x14ac:dyDescent="0.25">
      <c r="J47" s="3"/>
      <c r="K47" s="1" t="s">
        <v>251</v>
      </c>
      <c r="L47" s="1">
        <f>+L44-L43</f>
        <v>15000</v>
      </c>
    </row>
    <row r="48" spans="10:12" x14ac:dyDescent="0.25">
      <c r="J48" s="3"/>
      <c r="K48" s="1" t="s">
        <v>144</v>
      </c>
      <c r="L48" s="1">
        <f>+L45-L44</f>
        <v>4000</v>
      </c>
    </row>
    <row r="49" spans="10:12" x14ac:dyDescent="0.25">
      <c r="J49" s="3"/>
      <c r="K49" s="1" t="s">
        <v>55</v>
      </c>
      <c r="L49" s="1">
        <f>+L48+L47</f>
        <v>19000</v>
      </c>
    </row>
    <row r="50" spans="10:12" x14ac:dyDescent="0.25">
      <c r="J50" s="3"/>
    </row>
    <row r="51" spans="10:12" x14ac:dyDescent="0.25">
      <c r="J51" s="3"/>
    </row>
    <row r="52" spans="10:12" x14ac:dyDescent="0.25">
      <c r="J52" s="3"/>
    </row>
    <row r="53" spans="10:12" x14ac:dyDescent="0.25">
      <c r="J53" s="3"/>
      <c r="K53" s="1" t="s">
        <v>364</v>
      </c>
      <c r="L53" s="1">
        <f>M7</f>
        <v>9</v>
      </c>
    </row>
    <row r="54" spans="10:12" x14ac:dyDescent="0.25">
      <c r="J54" s="3"/>
      <c r="K54" s="1" t="s">
        <v>365</v>
      </c>
      <c r="L54" s="2">
        <f>L14/M7</f>
        <v>19000</v>
      </c>
    </row>
    <row r="55" spans="10:12" x14ac:dyDescent="0.25">
      <c r="J55" s="3"/>
      <c r="K55" s="1" t="s">
        <v>366</v>
      </c>
      <c r="L55" s="2">
        <f>L40</f>
        <v>20000</v>
      </c>
    </row>
    <row r="56" spans="10:12" x14ac:dyDescent="0.25">
      <c r="J56" s="3"/>
      <c r="K56" s="1" t="s">
        <v>367</v>
      </c>
      <c r="L56" s="82" t="s">
        <v>258</v>
      </c>
    </row>
    <row r="57" spans="10:12" x14ac:dyDescent="0.25">
      <c r="J57" s="3"/>
    </row>
    <row r="58" spans="10:12" x14ac:dyDescent="0.25">
      <c r="J58" s="3"/>
      <c r="K58" s="1" t="s">
        <v>294</v>
      </c>
      <c r="L58" s="1">
        <f>L54*L53</f>
        <v>171000</v>
      </c>
    </row>
    <row r="59" spans="10:12" x14ac:dyDescent="0.25">
      <c r="J59" s="3"/>
      <c r="K59" s="1" t="s">
        <v>295</v>
      </c>
      <c r="L59" s="14">
        <f>L55*L53</f>
        <v>180000</v>
      </c>
    </row>
    <row r="60" spans="10:12" x14ac:dyDescent="0.25">
      <c r="J60" s="3" t="s">
        <v>315</v>
      </c>
      <c r="K60" s="1" t="s">
        <v>299</v>
      </c>
      <c r="L60" s="1">
        <f>L59+N14</f>
        <v>176000</v>
      </c>
    </row>
    <row r="62" spans="10:12" x14ac:dyDescent="0.25">
      <c r="K62" s="1" t="s">
        <v>251</v>
      </c>
      <c r="L62" s="1">
        <f>+L59-L58</f>
        <v>9000</v>
      </c>
    </row>
    <row r="63" spans="10:12" x14ac:dyDescent="0.25">
      <c r="K63" s="1" t="s">
        <v>316</v>
      </c>
      <c r="L63" s="1">
        <f>+L60-L59</f>
        <v>-4000</v>
      </c>
    </row>
    <row r="64" spans="10:12" x14ac:dyDescent="0.25">
      <c r="K64" s="1" t="s">
        <v>55</v>
      </c>
      <c r="L64" s="1">
        <f>+L63+L62</f>
        <v>5000</v>
      </c>
    </row>
  </sheetData>
  <mergeCells count="2">
    <mergeCell ref="K3:N3"/>
    <mergeCell ref="K17:Q17"/>
  </mergeCells>
  <pageMargins left="0.75" right="0.75" top="1" bottom="1" header="0.5" footer="0.5"/>
  <pageSetup paperSize="9" orientation="portrait" horizontalDpi="4294967292" verticalDpi="429496729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N47"/>
  <sheetViews>
    <sheetView showGridLines="0" zoomScale="130" zoomScaleNormal="130" zoomScalePageLayoutView="130" workbookViewId="0">
      <selection activeCell="D31" sqref="D31:E36"/>
    </sheetView>
  </sheetViews>
  <sheetFormatPr defaultColWidth="10.8984375" defaultRowHeight="13.2" x14ac:dyDescent="0.25"/>
  <cols>
    <col min="1" max="1" width="31.3984375" style="1" bestFit="1" customWidth="1"/>
    <col min="2" max="3" width="10.8984375" style="1"/>
    <col min="4" max="4" width="20.59765625" style="1" bestFit="1" customWidth="1"/>
    <col min="5" max="7" width="10.8984375" style="1"/>
    <col min="8" max="8" width="14.59765625" style="1" bestFit="1" customWidth="1"/>
    <col min="9" max="11" width="10.8984375" style="1"/>
    <col min="12" max="12" width="14.59765625" style="1" bestFit="1" customWidth="1"/>
    <col min="13" max="16384" width="10.8984375" style="1"/>
  </cols>
  <sheetData>
    <row r="2" spans="1:14" x14ac:dyDescent="0.25">
      <c r="A2" s="1" t="s">
        <v>319</v>
      </c>
      <c r="B2" s="2">
        <v>25000</v>
      </c>
      <c r="D2" s="1" t="s">
        <v>380</v>
      </c>
      <c r="E2" s="1">
        <f>B10/B4</f>
        <v>7.5</v>
      </c>
    </row>
    <row r="3" spans="1:14" x14ac:dyDescent="0.25">
      <c r="A3" s="1" t="s">
        <v>368</v>
      </c>
      <c r="B3" s="2">
        <v>2</v>
      </c>
    </row>
    <row r="4" spans="1:14" x14ac:dyDescent="0.25">
      <c r="A4" s="1" t="s">
        <v>369</v>
      </c>
      <c r="B4" s="2">
        <f>+B3*B2</f>
        <v>50000</v>
      </c>
      <c r="D4" s="1" t="s">
        <v>381</v>
      </c>
    </row>
    <row r="5" spans="1:14" x14ac:dyDescent="0.25">
      <c r="A5" s="1" t="s">
        <v>370</v>
      </c>
      <c r="B5" s="2">
        <v>20000</v>
      </c>
      <c r="D5" s="1" t="s">
        <v>383</v>
      </c>
      <c r="E5" s="1">
        <f>B8/B4</f>
        <v>1.5</v>
      </c>
    </row>
    <row r="6" spans="1:14" x14ac:dyDescent="0.25">
      <c r="A6" s="1" t="s">
        <v>374</v>
      </c>
      <c r="B6" s="2">
        <v>40000</v>
      </c>
      <c r="D6" s="1" t="s">
        <v>382</v>
      </c>
      <c r="E6" s="1">
        <f>B9/B4</f>
        <v>6</v>
      </c>
    </row>
    <row r="7" spans="1:14" x14ac:dyDescent="0.25">
      <c r="A7" s="1" t="s">
        <v>371</v>
      </c>
      <c r="B7" s="2">
        <v>42000</v>
      </c>
    </row>
    <row r="8" spans="1:14" x14ac:dyDescent="0.25">
      <c r="A8" s="1" t="s">
        <v>372</v>
      </c>
      <c r="B8" s="1">
        <v>75000</v>
      </c>
    </row>
    <row r="9" spans="1:14" x14ac:dyDescent="0.25">
      <c r="A9" s="1" t="s">
        <v>375</v>
      </c>
      <c r="B9" s="1">
        <v>300000</v>
      </c>
    </row>
    <row r="10" spans="1:14" x14ac:dyDescent="0.25">
      <c r="A10" s="1" t="s">
        <v>376</v>
      </c>
      <c r="B10" s="1">
        <f>+B9+B8</f>
        <v>375000</v>
      </c>
      <c r="D10" s="1" t="s">
        <v>384</v>
      </c>
      <c r="E10" s="1">
        <f>+E2*B6</f>
        <v>300000</v>
      </c>
    </row>
    <row r="11" spans="1:14" x14ac:dyDescent="0.25">
      <c r="A11" s="1" t="s">
        <v>377</v>
      </c>
      <c r="B11" s="1">
        <v>71000</v>
      </c>
    </row>
    <row r="12" spans="1:14" x14ac:dyDescent="0.25">
      <c r="A12" s="1" t="s">
        <v>378</v>
      </c>
      <c r="B12" s="1">
        <v>308000</v>
      </c>
    </row>
    <row r="13" spans="1:14" x14ac:dyDescent="0.25">
      <c r="A13" s="1" t="s">
        <v>379</v>
      </c>
      <c r="B13" s="1">
        <f>+B12+B11</f>
        <v>379000</v>
      </c>
      <c r="D13" s="1" t="s">
        <v>385</v>
      </c>
      <c r="E13" s="1">
        <f>+B12-B9</f>
        <v>8000</v>
      </c>
      <c r="F13" s="7" t="str">
        <f>IF(E13&gt;0,"D",IF(E13&lt;0,"F","-"))</f>
        <v>D</v>
      </c>
    </row>
    <row r="14" spans="1:14" x14ac:dyDescent="0.25">
      <c r="D14" s="1" t="s">
        <v>386</v>
      </c>
      <c r="E14" s="1">
        <f>B9-(E6*B6)</f>
        <v>60000</v>
      </c>
      <c r="F14" s="7" t="str">
        <f>IF(E14&gt;0,"D",IF(E14&lt;0,"F","-"))</f>
        <v>D</v>
      </c>
      <c r="G14" s="51" t="s">
        <v>387</v>
      </c>
      <c r="H14" s="1" t="s">
        <v>386</v>
      </c>
      <c r="I14" s="1">
        <f>E10-(E6*B3*B5)</f>
        <v>60000</v>
      </c>
      <c r="J14" s="7" t="str">
        <f>IF(I14&gt;0,"D",IF(I14&lt;0,"F","-"))</f>
        <v>D</v>
      </c>
      <c r="K14" s="51" t="s">
        <v>387</v>
      </c>
      <c r="L14" s="1" t="s">
        <v>386</v>
      </c>
      <c r="M14" s="1">
        <f>E6*(B4-B6)</f>
        <v>60000</v>
      </c>
      <c r="N14" s="7" t="str">
        <f>IF(M14&gt;0,"D",IF(M14&lt;0,"F","-"))</f>
        <v>D</v>
      </c>
    </row>
    <row r="17" spans="4:6" x14ac:dyDescent="0.25">
      <c r="D17" s="1" t="s">
        <v>388</v>
      </c>
      <c r="E17" s="1">
        <f>+B13-B9</f>
        <v>79000</v>
      </c>
    </row>
    <row r="20" spans="4:6" x14ac:dyDescent="0.25">
      <c r="D20" s="1" t="s">
        <v>293</v>
      </c>
      <c r="E20" s="1">
        <f>B7*E5</f>
        <v>63000</v>
      </c>
    </row>
    <row r="21" spans="4:6" x14ac:dyDescent="0.25">
      <c r="D21" s="1" t="s">
        <v>389</v>
      </c>
      <c r="E21" s="1">
        <f>B6*E5</f>
        <v>60000</v>
      </c>
    </row>
    <row r="22" spans="4:6" x14ac:dyDescent="0.25">
      <c r="D22" s="1" t="s">
        <v>390</v>
      </c>
      <c r="E22" s="1">
        <f>+E20-E21</f>
        <v>3000</v>
      </c>
      <c r="F22" s="7" t="str">
        <f>IF(E22&gt;0,"D",IF(E22&lt;0,"F","-"))</f>
        <v>D</v>
      </c>
    </row>
    <row r="24" spans="4:6" x14ac:dyDescent="0.25">
      <c r="D24" s="1" t="s">
        <v>391</v>
      </c>
      <c r="E24" s="1">
        <f>B11</f>
        <v>71000</v>
      </c>
    </row>
    <row r="25" spans="4:6" x14ac:dyDescent="0.25">
      <c r="D25" s="1" t="s">
        <v>293</v>
      </c>
      <c r="E25" s="1">
        <f>B7*E5</f>
        <v>63000</v>
      </c>
    </row>
    <row r="26" spans="4:6" x14ac:dyDescent="0.25">
      <c r="D26" s="1" t="s">
        <v>392</v>
      </c>
      <c r="E26" s="1">
        <f>+E24-E25</f>
        <v>8000</v>
      </c>
      <c r="F26" s="7" t="str">
        <f>IF(E26&gt;0,"D",IF(E26&lt;0,"F","-"))</f>
        <v>D</v>
      </c>
    </row>
    <row r="31" spans="4:6" x14ac:dyDescent="0.25">
      <c r="D31" s="106" t="s">
        <v>393</v>
      </c>
      <c r="E31" s="107"/>
    </row>
    <row r="32" spans="4:6" x14ac:dyDescent="0.25">
      <c r="D32" s="9" t="s">
        <v>390</v>
      </c>
      <c r="E32" s="12">
        <f>E22</f>
        <v>3000</v>
      </c>
    </row>
    <row r="33" spans="4:11" x14ac:dyDescent="0.25">
      <c r="D33" s="13" t="s">
        <v>392</v>
      </c>
      <c r="E33" s="15">
        <f>E26</f>
        <v>8000</v>
      </c>
    </row>
    <row r="34" spans="4:11" x14ac:dyDescent="0.25">
      <c r="D34" s="13" t="s">
        <v>386</v>
      </c>
      <c r="E34" s="15">
        <f>E14</f>
        <v>60000</v>
      </c>
    </row>
    <row r="35" spans="4:11" x14ac:dyDescent="0.25">
      <c r="D35" s="13" t="s">
        <v>385</v>
      </c>
      <c r="E35" s="15">
        <f>E13</f>
        <v>8000</v>
      </c>
    </row>
    <row r="36" spans="4:11" x14ac:dyDescent="0.25">
      <c r="D36" s="23" t="s">
        <v>55</v>
      </c>
      <c r="E36" s="25">
        <f>SUM(E32:E35)</f>
        <v>79000</v>
      </c>
    </row>
    <row r="43" spans="4:11" x14ac:dyDescent="0.25">
      <c r="K43" s="89"/>
    </row>
    <row r="44" spans="4:11" x14ac:dyDescent="0.25">
      <c r="K44" s="89"/>
    </row>
    <row r="45" spans="4:11" x14ac:dyDescent="0.25">
      <c r="K45" s="89"/>
    </row>
    <row r="46" spans="4:11" x14ac:dyDescent="0.25">
      <c r="K46" s="89"/>
    </row>
    <row r="47" spans="4:11" x14ac:dyDescent="0.25">
      <c r="K47" s="89"/>
    </row>
  </sheetData>
  <mergeCells count="1">
    <mergeCell ref="D31:E31"/>
  </mergeCells>
  <pageMargins left="0.75" right="0.75" top="1" bottom="1" header="0.5" footer="0.5"/>
  <pageSetup paperSize="9" orientation="portrait" horizontalDpi="4294967292" verticalDpi="4294967292"/>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L5:N24"/>
  <sheetViews>
    <sheetView showGridLines="0" zoomScale="130" zoomScaleNormal="130" zoomScalePageLayoutView="130" workbookViewId="0">
      <selection activeCell="K34" sqref="K34"/>
    </sheetView>
  </sheetViews>
  <sheetFormatPr defaultColWidth="10.8984375" defaultRowHeight="13.2" x14ac:dyDescent="0.25"/>
  <cols>
    <col min="1" max="12" width="10.8984375" style="1"/>
    <col min="13" max="13" width="23.59765625" style="1" bestFit="1" customWidth="1"/>
    <col min="14" max="16384" width="10.8984375" style="1"/>
  </cols>
  <sheetData>
    <row r="5" spans="13:14" x14ac:dyDescent="0.25">
      <c r="M5" s="1" t="s">
        <v>394</v>
      </c>
      <c r="N5" s="1">
        <v>3.5</v>
      </c>
    </row>
    <row r="6" spans="13:14" x14ac:dyDescent="0.25">
      <c r="M6" s="1" t="s">
        <v>373</v>
      </c>
      <c r="N6" s="1">
        <v>600000</v>
      </c>
    </row>
    <row r="7" spans="13:14" x14ac:dyDescent="0.25">
      <c r="M7" s="1" t="s">
        <v>395</v>
      </c>
      <c r="N7" s="2">
        <v>80000</v>
      </c>
    </row>
    <row r="8" spans="13:14" x14ac:dyDescent="0.25">
      <c r="M8" s="1" t="s">
        <v>166</v>
      </c>
      <c r="N8" s="2">
        <v>84000</v>
      </c>
    </row>
    <row r="9" spans="13:14" x14ac:dyDescent="0.25">
      <c r="M9" s="1" t="s">
        <v>396</v>
      </c>
      <c r="N9" s="2">
        <v>82000</v>
      </c>
    </row>
    <row r="13" spans="13:14" x14ac:dyDescent="0.25">
      <c r="M13" s="1" t="s">
        <v>397</v>
      </c>
      <c r="N13" s="1">
        <f>+N5*N7</f>
        <v>280000</v>
      </c>
    </row>
    <row r="14" spans="13:14" x14ac:dyDescent="0.25">
      <c r="M14" s="1" t="s">
        <v>373</v>
      </c>
      <c r="N14" s="1">
        <f>+N6</f>
        <v>600000</v>
      </c>
    </row>
    <row r="15" spans="13:14" x14ac:dyDescent="0.25">
      <c r="M15" s="1" t="s">
        <v>398</v>
      </c>
      <c r="N15" s="1">
        <f>+N14+N13</f>
        <v>880000</v>
      </c>
    </row>
    <row r="20" spans="12:14" x14ac:dyDescent="0.25">
      <c r="L20" s="1" t="s">
        <v>282</v>
      </c>
      <c r="M20" s="1" t="s">
        <v>380</v>
      </c>
      <c r="N20" s="1">
        <f>N15/N7</f>
        <v>11</v>
      </c>
    </row>
    <row r="24" spans="12:14" x14ac:dyDescent="0.25">
      <c r="L24" s="1" t="s">
        <v>286</v>
      </c>
      <c r="M24" s="1" t="s">
        <v>399</v>
      </c>
      <c r="N24" s="1">
        <f>+N20*N9</f>
        <v>902000</v>
      </c>
    </row>
  </sheetData>
  <pageMargins left="0.75" right="0.75" top="1" bottom="1" header="0.5" footer="0.5"/>
  <pageSetup paperSize="9" orientation="portrait" horizontalDpi="4294967292" verticalDpi="429496729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L7:O18"/>
  <sheetViews>
    <sheetView showGridLines="0" zoomScale="160" zoomScaleNormal="160" zoomScalePageLayoutView="160" workbookViewId="0">
      <selection activeCell="M16" sqref="M16:O18"/>
    </sheetView>
  </sheetViews>
  <sheetFormatPr defaultColWidth="10.8984375" defaultRowHeight="13.2" x14ac:dyDescent="0.25"/>
  <cols>
    <col min="1" max="12" width="10.8984375" style="1"/>
    <col min="13" max="13" width="15" style="1" bestFit="1" customWidth="1"/>
    <col min="14" max="16384" width="10.8984375" style="1"/>
  </cols>
  <sheetData>
    <row r="7" spans="12:15" x14ac:dyDescent="0.25">
      <c r="M7" s="1" t="s">
        <v>400</v>
      </c>
      <c r="N7" s="1">
        <v>400000</v>
      </c>
    </row>
    <row r="8" spans="12:15" x14ac:dyDescent="0.25">
      <c r="M8" s="1" t="s">
        <v>401</v>
      </c>
      <c r="N8" s="1">
        <v>394000</v>
      </c>
    </row>
    <row r="9" spans="12:15" x14ac:dyDescent="0.25">
      <c r="M9" s="1" t="s">
        <v>402</v>
      </c>
      <c r="N9" s="2">
        <v>50000</v>
      </c>
    </row>
    <row r="10" spans="12:15" x14ac:dyDescent="0.25">
      <c r="M10" s="1" t="s">
        <v>166</v>
      </c>
      <c r="N10" s="2">
        <v>51000</v>
      </c>
    </row>
    <row r="11" spans="12:15" x14ac:dyDescent="0.25">
      <c r="M11" s="1" t="s">
        <v>396</v>
      </c>
      <c r="N11" s="2">
        <v>48000</v>
      </c>
    </row>
    <row r="14" spans="12:15" x14ac:dyDescent="0.25">
      <c r="L14" s="1" t="s">
        <v>282</v>
      </c>
      <c r="M14" s="1" t="s">
        <v>380</v>
      </c>
      <c r="N14" s="1">
        <f>+N7/N9</f>
        <v>8</v>
      </c>
    </row>
    <row r="16" spans="12:15" x14ac:dyDescent="0.25">
      <c r="L16" s="1" t="s">
        <v>286</v>
      </c>
      <c r="M16" s="1" t="s">
        <v>403</v>
      </c>
      <c r="N16" s="1">
        <f>+N7-N8</f>
        <v>6000</v>
      </c>
      <c r="O16" s="7" t="str">
        <f>IF(N16&gt;0,"D",IF(N16&lt;0,"F","-"))</f>
        <v>D</v>
      </c>
    </row>
    <row r="18" spans="13:15" x14ac:dyDescent="0.25">
      <c r="M18" s="1" t="s">
        <v>404</v>
      </c>
      <c r="N18" s="1">
        <f>N7-(N14*N11)</f>
        <v>16000</v>
      </c>
      <c r="O18" s="7" t="str">
        <f>IF(N18&gt;0,"D",IF(N18&lt;0,"F","-"))</f>
        <v>D</v>
      </c>
    </row>
  </sheetData>
  <pageMargins left="0.75" right="0.75" top="1" bottom="1" header="0.5" footer="0.5"/>
  <pageSetup paperSize="9" orientation="portrait" horizontalDpi="4294967292" verticalDpi="429496729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I7:N40"/>
  <sheetViews>
    <sheetView showGridLines="0" zoomScale="160" zoomScaleNormal="160" zoomScalePageLayoutView="160" workbookViewId="0">
      <selection activeCell="I26" sqref="I26"/>
    </sheetView>
  </sheetViews>
  <sheetFormatPr defaultColWidth="10.8984375" defaultRowHeight="13.2" x14ac:dyDescent="0.25"/>
  <cols>
    <col min="1" max="8" width="10.8984375" style="1"/>
    <col min="9" max="9" width="12.3984375" style="1" bestFit="1" customWidth="1"/>
    <col min="10" max="16384" width="10.8984375" style="1"/>
  </cols>
  <sheetData>
    <row r="7" spans="9:14" x14ac:dyDescent="0.25">
      <c r="J7" s="51" t="s">
        <v>326</v>
      </c>
      <c r="K7" s="51" t="s">
        <v>327</v>
      </c>
      <c r="L7" s="51" t="s">
        <v>406</v>
      </c>
    </row>
    <row r="8" spans="9:14" x14ac:dyDescent="0.25">
      <c r="I8" s="1" t="s">
        <v>405</v>
      </c>
      <c r="J8" s="8">
        <v>20000</v>
      </c>
      <c r="K8" s="8">
        <v>9000</v>
      </c>
      <c r="L8" s="8">
        <v>10000</v>
      </c>
    </row>
    <row r="9" spans="9:14" x14ac:dyDescent="0.25">
      <c r="I9" s="1" t="s">
        <v>407</v>
      </c>
      <c r="J9" s="8">
        <v>19000</v>
      </c>
      <c r="K9" s="8">
        <v>8500</v>
      </c>
      <c r="L9" s="8">
        <v>8000</v>
      </c>
    </row>
    <row r="10" spans="9:14" x14ac:dyDescent="0.25">
      <c r="I10" s="1" t="s">
        <v>166</v>
      </c>
      <c r="J10" s="8">
        <v>19500</v>
      </c>
      <c r="K10" s="8">
        <v>8000</v>
      </c>
      <c r="L10" s="8">
        <v>9000</v>
      </c>
    </row>
    <row r="11" spans="9:14" x14ac:dyDescent="0.25">
      <c r="I11" s="1" t="s">
        <v>396</v>
      </c>
      <c r="J11" s="8">
        <v>18500</v>
      </c>
      <c r="K11" s="8">
        <v>8250</v>
      </c>
      <c r="L11" s="8">
        <v>9500</v>
      </c>
    </row>
    <row r="16" spans="9:14" ht="12" customHeight="1" x14ac:dyDescent="0.25">
      <c r="I16" s="109" t="s">
        <v>408</v>
      </c>
      <c r="J16" s="109"/>
      <c r="K16" s="109"/>
      <c r="L16" s="109"/>
      <c r="M16" s="52"/>
      <c r="N16" s="52"/>
    </row>
    <row r="17" spans="9:14" x14ac:dyDescent="0.25">
      <c r="I17" s="109"/>
      <c r="J17" s="109"/>
      <c r="K17" s="109"/>
      <c r="L17" s="109"/>
      <c r="M17" s="52"/>
      <c r="N17" s="52"/>
    </row>
    <row r="18" spans="9:14" x14ac:dyDescent="0.25">
      <c r="I18" s="109"/>
      <c r="J18" s="109"/>
      <c r="K18" s="109"/>
      <c r="L18" s="109"/>
      <c r="M18" s="52"/>
      <c r="N18" s="52"/>
    </row>
    <row r="19" spans="9:14" x14ac:dyDescent="0.25">
      <c r="I19" s="109"/>
      <c r="J19" s="109"/>
      <c r="K19" s="109"/>
      <c r="L19" s="109"/>
      <c r="M19" s="52"/>
      <c r="N19" s="52"/>
    </row>
    <row r="20" spans="9:14" x14ac:dyDescent="0.25">
      <c r="I20" s="109"/>
      <c r="J20" s="109"/>
      <c r="K20" s="109"/>
      <c r="L20" s="109"/>
      <c r="M20" s="52"/>
      <c r="N20" s="52"/>
    </row>
    <row r="21" spans="9:14" x14ac:dyDescent="0.25">
      <c r="I21" s="109"/>
      <c r="J21" s="109"/>
      <c r="K21" s="109"/>
      <c r="L21" s="109"/>
      <c r="M21" s="52"/>
      <c r="N21" s="52"/>
    </row>
    <row r="22" spans="9:14" x14ac:dyDescent="0.25">
      <c r="I22" s="109"/>
      <c r="J22" s="109"/>
      <c r="K22" s="109"/>
      <c r="L22" s="109"/>
      <c r="M22" s="52"/>
      <c r="N22" s="52"/>
    </row>
    <row r="23" spans="9:14" x14ac:dyDescent="0.25">
      <c r="I23" s="109"/>
      <c r="J23" s="109"/>
      <c r="K23" s="109"/>
      <c r="L23" s="109"/>
      <c r="M23" s="52"/>
      <c r="N23" s="52"/>
    </row>
    <row r="24" spans="9:14" x14ac:dyDescent="0.25">
      <c r="I24" s="52"/>
      <c r="J24" s="52"/>
      <c r="K24" s="52"/>
      <c r="L24" s="52"/>
      <c r="M24" s="52"/>
      <c r="N24" s="52"/>
    </row>
    <row r="25" spans="9:14" x14ac:dyDescent="0.25">
      <c r="I25" s="52"/>
      <c r="J25" s="52"/>
      <c r="K25" s="52"/>
      <c r="L25" s="52"/>
      <c r="M25" s="52"/>
      <c r="N25" s="52"/>
    </row>
    <row r="26" spans="9:14" x14ac:dyDescent="0.25">
      <c r="I26" s="52"/>
      <c r="J26" s="52"/>
      <c r="K26" s="52"/>
      <c r="L26" s="52"/>
      <c r="M26" s="52"/>
      <c r="N26" s="52"/>
    </row>
    <row r="27" spans="9:14" x14ac:dyDescent="0.25">
      <c r="I27" s="52"/>
      <c r="J27" s="52"/>
      <c r="K27" s="52"/>
      <c r="L27" s="52"/>
      <c r="M27" s="52"/>
      <c r="N27" s="52"/>
    </row>
    <row r="28" spans="9:14" x14ac:dyDescent="0.25">
      <c r="I28" s="52"/>
      <c r="J28" s="52"/>
      <c r="K28" s="52"/>
      <c r="L28" s="52"/>
      <c r="M28" s="52"/>
      <c r="N28" s="52"/>
    </row>
    <row r="29" spans="9:14" x14ac:dyDescent="0.25">
      <c r="I29" s="52"/>
      <c r="J29" s="52"/>
      <c r="K29" s="52"/>
      <c r="L29" s="52"/>
      <c r="M29" s="52"/>
      <c r="N29" s="52"/>
    </row>
    <row r="30" spans="9:14" x14ac:dyDescent="0.25">
      <c r="I30" s="52"/>
      <c r="J30" s="52"/>
      <c r="K30" s="52"/>
      <c r="L30" s="52"/>
      <c r="M30" s="52"/>
      <c r="N30" s="52"/>
    </row>
    <row r="31" spans="9:14" x14ac:dyDescent="0.25">
      <c r="I31" s="52"/>
      <c r="J31" s="52"/>
      <c r="K31" s="52"/>
      <c r="L31" s="52"/>
      <c r="M31" s="52"/>
      <c r="N31" s="52"/>
    </row>
    <row r="32" spans="9:14" x14ac:dyDescent="0.25">
      <c r="I32" s="52"/>
      <c r="J32" s="52"/>
      <c r="K32" s="52"/>
      <c r="L32" s="52"/>
      <c r="M32" s="52"/>
      <c r="N32" s="52"/>
    </row>
    <row r="33" spans="9:14" x14ac:dyDescent="0.25">
      <c r="I33" s="52"/>
      <c r="J33" s="52"/>
      <c r="K33" s="52"/>
      <c r="L33" s="52"/>
      <c r="M33" s="52"/>
      <c r="N33" s="52"/>
    </row>
    <row r="34" spans="9:14" x14ac:dyDescent="0.25">
      <c r="I34" s="52"/>
      <c r="J34" s="52"/>
      <c r="K34" s="52"/>
      <c r="L34" s="52"/>
      <c r="M34" s="52"/>
      <c r="N34" s="52"/>
    </row>
    <row r="35" spans="9:14" x14ac:dyDescent="0.25">
      <c r="I35" s="52"/>
      <c r="J35" s="52"/>
      <c r="K35" s="52"/>
      <c r="L35" s="52"/>
      <c r="M35" s="52"/>
      <c r="N35" s="52"/>
    </row>
    <row r="36" spans="9:14" x14ac:dyDescent="0.25">
      <c r="I36" s="52"/>
      <c r="J36" s="52"/>
      <c r="K36" s="52"/>
      <c r="L36" s="52"/>
      <c r="M36" s="52"/>
      <c r="N36" s="52"/>
    </row>
    <row r="37" spans="9:14" x14ac:dyDescent="0.25">
      <c r="I37" s="52"/>
      <c r="J37" s="52"/>
      <c r="K37" s="52"/>
      <c r="L37" s="52"/>
      <c r="M37" s="52"/>
      <c r="N37" s="52"/>
    </row>
    <row r="38" spans="9:14" x14ac:dyDescent="0.25">
      <c r="I38" s="52"/>
      <c r="J38" s="52"/>
      <c r="K38" s="52"/>
      <c r="L38" s="52"/>
      <c r="M38" s="52"/>
      <c r="N38" s="52"/>
    </row>
    <row r="39" spans="9:14" x14ac:dyDescent="0.25">
      <c r="I39" s="52"/>
      <c r="J39" s="52"/>
      <c r="K39" s="52"/>
      <c r="L39" s="52"/>
      <c r="M39" s="52"/>
      <c r="N39" s="52"/>
    </row>
    <row r="40" spans="9:14" x14ac:dyDescent="0.25">
      <c r="I40" s="52"/>
      <c r="J40" s="52"/>
      <c r="K40" s="52"/>
      <c r="L40" s="52"/>
      <c r="M40" s="52"/>
      <c r="N40" s="52"/>
    </row>
  </sheetData>
  <mergeCells count="1">
    <mergeCell ref="I16:L23"/>
  </mergeCells>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I5:K20"/>
  <sheetViews>
    <sheetView showGridLines="0" zoomScale="175" zoomScaleNormal="175" zoomScalePageLayoutView="175" workbookViewId="0">
      <selection activeCell="I19" sqref="I19"/>
    </sheetView>
  </sheetViews>
  <sheetFormatPr defaultColWidth="10.8984375" defaultRowHeight="13.2" x14ac:dyDescent="0.25"/>
  <cols>
    <col min="1" max="8" width="10.8984375" style="1"/>
    <col min="9" max="9" width="17.09765625" style="1" bestFit="1" customWidth="1"/>
    <col min="10" max="16384" width="10.8984375" style="1"/>
  </cols>
  <sheetData>
    <row r="5" spans="9:10" x14ac:dyDescent="0.25">
      <c r="I5" s="7" t="s">
        <v>409</v>
      </c>
    </row>
    <row r="6" spans="9:10" x14ac:dyDescent="0.25">
      <c r="I6" s="1" t="s">
        <v>39</v>
      </c>
      <c r="J6" s="2">
        <v>9500</v>
      </c>
    </row>
    <row r="7" spans="9:10" x14ac:dyDescent="0.25">
      <c r="I7" s="1" t="s">
        <v>410</v>
      </c>
      <c r="J7" s="2">
        <v>2</v>
      </c>
    </row>
    <row r="8" spans="9:10" x14ac:dyDescent="0.25">
      <c r="I8" s="1" t="s">
        <v>411</v>
      </c>
      <c r="J8" s="2">
        <v>20000</v>
      </c>
    </row>
    <row r="9" spans="9:10" x14ac:dyDescent="0.25">
      <c r="I9" s="7" t="s">
        <v>412</v>
      </c>
    </row>
    <row r="10" spans="9:10" x14ac:dyDescent="0.25">
      <c r="I10" s="1" t="s">
        <v>401</v>
      </c>
      <c r="J10" s="1">
        <v>79000</v>
      </c>
    </row>
    <row r="11" spans="9:10" x14ac:dyDescent="0.25">
      <c r="I11" s="1" t="s">
        <v>403</v>
      </c>
      <c r="J11" s="1">
        <v>-1000</v>
      </c>
    </row>
    <row r="14" spans="9:10" x14ac:dyDescent="0.25">
      <c r="I14" s="1" t="s">
        <v>400</v>
      </c>
      <c r="J14" s="1">
        <f>+J10-J11</f>
        <v>80000</v>
      </c>
    </row>
    <row r="16" spans="9:10" x14ac:dyDescent="0.25">
      <c r="I16" s="1" t="s">
        <v>396</v>
      </c>
      <c r="J16" s="2">
        <f>J6*J7</f>
        <v>19000</v>
      </c>
    </row>
    <row r="18" spans="9:11" x14ac:dyDescent="0.25">
      <c r="I18" s="1" t="s">
        <v>380</v>
      </c>
      <c r="J18" s="1">
        <f>J14/J8</f>
        <v>4</v>
      </c>
    </row>
    <row r="20" spans="9:11" x14ac:dyDescent="0.25">
      <c r="I20" s="1" t="s">
        <v>404</v>
      </c>
      <c r="J20" s="1">
        <f>J14-(J18*J16)</f>
        <v>4000</v>
      </c>
      <c r="K20" s="7" t="str">
        <f>IF(J20&gt;0,"D",IF(J20&lt;0,"F","-"))</f>
        <v>D</v>
      </c>
    </row>
  </sheetData>
  <pageMargins left="0.75" right="0.75" top="1" bottom="1" header="0.5" footer="0.5"/>
  <pageSetup paperSize="9" orientation="portrait" horizontalDpi="4294967292" verticalDpi="429496729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H3:L27"/>
  <sheetViews>
    <sheetView showGridLines="0" zoomScale="160" zoomScaleNormal="160" zoomScalePageLayoutView="160" workbookViewId="0">
      <selection activeCell="I16" sqref="I16:I18"/>
    </sheetView>
  </sheetViews>
  <sheetFormatPr defaultColWidth="10.8984375" defaultRowHeight="13.2" x14ac:dyDescent="0.25"/>
  <cols>
    <col min="1" max="8" width="10.8984375" style="1"/>
    <col min="9" max="9" width="15.3984375" style="1" bestFit="1" customWidth="1"/>
    <col min="10" max="16384" width="10.8984375" style="1"/>
  </cols>
  <sheetData>
    <row r="3" spans="8:10" x14ac:dyDescent="0.25">
      <c r="I3" s="1" t="s">
        <v>414</v>
      </c>
      <c r="J3" s="2">
        <v>24000</v>
      </c>
    </row>
    <row r="4" spans="8:10" x14ac:dyDescent="0.25">
      <c r="I4" s="1" t="s">
        <v>415</v>
      </c>
      <c r="J4" s="2">
        <v>8000</v>
      </c>
    </row>
    <row r="5" spans="8:10" x14ac:dyDescent="0.25">
      <c r="I5" s="1" t="s">
        <v>413</v>
      </c>
      <c r="J5" s="1">
        <v>12.6</v>
      </c>
    </row>
    <row r="6" spans="8:10" x14ac:dyDescent="0.25">
      <c r="I6" s="1" t="s">
        <v>417</v>
      </c>
      <c r="J6" s="2">
        <v>2</v>
      </c>
    </row>
    <row r="7" spans="8:10" x14ac:dyDescent="0.25">
      <c r="I7" s="1" t="s">
        <v>416</v>
      </c>
      <c r="J7" s="1">
        <v>4.2</v>
      </c>
    </row>
    <row r="8" spans="8:10" x14ac:dyDescent="0.25">
      <c r="I8" s="1" t="s">
        <v>394</v>
      </c>
      <c r="J8" s="1">
        <v>1.6</v>
      </c>
    </row>
    <row r="9" spans="8:10" x14ac:dyDescent="0.25">
      <c r="I9" s="1" t="s">
        <v>373</v>
      </c>
      <c r="J9" s="1">
        <v>84000</v>
      </c>
    </row>
    <row r="12" spans="8:10" x14ac:dyDescent="0.25">
      <c r="I12" s="1" t="s">
        <v>15</v>
      </c>
      <c r="J12" s="1">
        <f>+J8*J3</f>
        <v>38400</v>
      </c>
    </row>
    <row r="13" spans="8:10" x14ac:dyDescent="0.25">
      <c r="I13" s="1" t="s">
        <v>373</v>
      </c>
      <c r="J13" s="1">
        <f>+J9</f>
        <v>84000</v>
      </c>
    </row>
    <row r="14" spans="8:10" x14ac:dyDescent="0.25">
      <c r="I14" s="1" t="s">
        <v>398</v>
      </c>
      <c r="J14" s="1">
        <f>+J13+J12</f>
        <v>122400</v>
      </c>
    </row>
    <row r="16" spans="8:10" x14ac:dyDescent="0.25">
      <c r="H16" s="3" t="s">
        <v>282</v>
      </c>
      <c r="I16" s="1" t="s">
        <v>380</v>
      </c>
      <c r="J16" s="1">
        <f>+J14/J3</f>
        <v>5.0999999999999996</v>
      </c>
    </row>
    <row r="17" spans="8:12" x14ac:dyDescent="0.25">
      <c r="I17" s="1" t="s">
        <v>418</v>
      </c>
      <c r="J17" s="1">
        <f>J8</f>
        <v>1.6</v>
      </c>
    </row>
    <row r="18" spans="8:12" x14ac:dyDescent="0.25">
      <c r="I18" s="1" t="s">
        <v>419</v>
      </c>
      <c r="J18" s="1">
        <f>J9/J3</f>
        <v>3.5</v>
      </c>
    </row>
    <row r="22" spans="8:12" x14ac:dyDescent="0.25">
      <c r="J22" s="51" t="s">
        <v>45</v>
      </c>
      <c r="K22" s="51" t="s">
        <v>46</v>
      </c>
      <c r="L22" s="51" t="s">
        <v>49</v>
      </c>
    </row>
    <row r="23" spans="8:12" x14ac:dyDescent="0.25">
      <c r="H23" s="3" t="s">
        <v>282</v>
      </c>
      <c r="I23" s="1" t="s">
        <v>34</v>
      </c>
      <c r="J23" s="2">
        <v>2</v>
      </c>
      <c r="K23" s="1">
        <v>4.2</v>
      </c>
      <c r="L23" s="1">
        <f>+K23*J23</f>
        <v>8.4</v>
      </c>
    </row>
    <row r="24" spans="8:12" x14ac:dyDescent="0.25">
      <c r="I24" s="1" t="s">
        <v>2</v>
      </c>
      <c r="J24" s="2">
        <f>+J3/J4</f>
        <v>3</v>
      </c>
      <c r="K24" s="1">
        <f>+J5</f>
        <v>12.6</v>
      </c>
      <c r="L24" s="1">
        <f>+K24*J24</f>
        <v>37.799999999999997</v>
      </c>
    </row>
    <row r="25" spans="8:12" x14ac:dyDescent="0.25">
      <c r="I25" s="1" t="s">
        <v>15</v>
      </c>
      <c r="J25" s="2">
        <f>+J24</f>
        <v>3</v>
      </c>
      <c r="K25" s="1">
        <f>+J17</f>
        <v>1.6</v>
      </c>
      <c r="L25" s="1">
        <f>+K25*J25</f>
        <v>4.8000000000000007</v>
      </c>
    </row>
    <row r="26" spans="8:12" x14ac:dyDescent="0.25">
      <c r="I26" s="1" t="s">
        <v>373</v>
      </c>
      <c r="J26" s="2">
        <f>+J25</f>
        <v>3</v>
      </c>
      <c r="K26" s="1">
        <f>+J18</f>
        <v>3.5</v>
      </c>
      <c r="L26" s="55">
        <f>+K26*J26</f>
        <v>10.5</v>
      </c>
    </row>
    <row r="27" spans="8:12" x14ac:dyDescent="0.25">
      <c r="I27" s="1" t="s">
        <v>271</v>
      </c>
      <c r="L27" s="1">
        <f>SUM(L23:L26)</f>
        <v>61.5</v>
      </c>
    </row>
  </sheetData>
  <pageMargins left="0.75" right="0.75" top="1" bottom="1" header="0.5" footer="0.5"/>
  <pageSetup paperSize="9" orientation="portrait" horizontalDpi="4294967292" verticalDpi="429496729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H6:K53"/>
  <sheetViews>
    <sheetView showGridLines="0" zoomScale="130" zoomScaleNormal="130" zoomScalePageLayoutView="130" workbookViewId="0">
      <selection activeCell="I29" sqref="I29:J53"/>
    </sheetView>
  </sheetViews>
  <sheetFormatPr defaultColWidth="10.8984375" defaultRowHeight="13.2" x14ac:dyDescent="0.25"/>
  <cols>
    <col min="1" max="8" width="10.8984375" style="1"/>
    <col min="9" max="9" width="24.09765625" style="1" bestFit="1" customWidth="1"/>
    <col min="10" max="16384" width="10.8984375" style="1"/>
  </cols>
  <sheetData>
    <row r="6" spans="9:10" x14ac:dyDescent="0.25">
      <c r="I6" s="1" t="s">
        <v>426</v>
      </c>
      <c r="J6" s="1">
        <v>1.05</v>
      </c>
    </row>
    <row r="7" spans="9:10" x14ac:dyDescent="0.25">
      <c r="I7" s="1" t="s">
        <v>425</v>
      </c>
      <c r="J7" s="1">
        <v>24800</v>
      </c>
    </row>
    <row r="8" spans="9:10" x14ac:dyDescent="0.25">
      <c r="I8" s="1" t="s">
        <v>420</v>
      </c>
      <c r="J8" s="2">
        <v>8000</v>
      </c>
    </row>
    <row r="9" spans="9:10" x14ac:dyDescent="0.25">
      <c r="I9" s="1" t="s">
        <v>319</v>
      </c>
      <c r="J9" s="2">
        <v>3200</v>
      </c>
    </row>
    <row r="10" spans="9:10" x14ac:dyDescent="0.25">
      <c r="I10" s="1" t="s">
        <v>370</v>
      </c>
      <c r="J10" s="2">
        <v>3500</v>
      </c>
    </row>
    <row r="11" spans="9:10" x14ac:dyDescent="0.25">
      <c r="I11" s="1" t="s">
        <v>421</v>
      </c>
      <c r="J11" s="2">
        <v>8500</v>
      </c>
    </row>
    <row r="12" spans="9:10" x14ac:dyDescent="0.25">
      <c r="I12" s="1" t="s">
        <v>422</v>
      </c>
      <c r="J12" s="1">
        <v>9860</v>
      </c>
    </row>
    <row r="13" spans="9:10" x14ac:dyDescent="0.25">
      <c r="I13" s="1" t="s">
        <v>401</v>
      </c>
      <c r="J13" s="1">
        <v>25100</v>
      </c>
    </row>
    <row r="18" spans="8:11" x14ac:dyDescent="0.25">
      <c r="I18" s="1" t="s">
        <v>423</v>
      </c>
      <c r="J18" s="1">
        <f>+J6*J8</f>
        <v>8400</v>
      </c>
    </row>
    <row r="19" spans="8:11" x14ac:dyDescent="0.25">
      <c r="I19" s="1" t="s">
        <v>424</v>
      </c>
      <c r="J19" s="1">
        <f>+J7</f>
        <v>24800</v>
      </c>
    </row>
    <row r="21" spans="8:11" x14ac:dyDescent="0.25">
      <c r="H21" s="1" t="s">
        <v>282</v>
      </c>
      <c r="I21" s="1" t="s">
        <v>380</v>
      </c>
      <c r="J21" s="1">
        <f>(J19+J18)/J8</f>
        <v>4.1500000000000004</v>
      </c>
    </row>
    <row r="22" spans="8:11" x14ac:dyDescent="0.25">
      <c r="I22" s="1" t="s">
        <v>418</v>
      </c>
      <c r="J22" s="1">
        <f>J6</f>
        <v>1.05</v>
      </c>
    </row>
    <row r="23" spans="8:11" x14ac:dyDescent="0.25">
      <c r="I23" s="1" t="s">
        <v>419</v>
      </c>
      <c r="J23" s="1">
        <f>J7/J8</f>
        <v>3.1</v>
      </c>
    </row>
    <row r="26" spans="8:11" x14ac:dyDescent="0.25">
      <c r="H26" s="1" t="s">
        <v>286</v>
      </c>
      <c r="I26" s="1" t="s">
        <v>427</v>
      </c>
      <c r="J26" s="2">
        <f>J8/J9*J10</f>
        <v>8750</v>
      </c>
    </row>
    <row r="29" spans="8:11" x14ac:dyDescent="0.25">
      <c r="H29" s="1" t="s">
        <v>288</v>
      </c>
      <c r="I29" s="97" t="s">
        <v>15</v>
      </c>
      <c r="J29" s="97"/>
      <c r="K29" s="7"/>
    </row>
    <row r="30" spans="8:11" x14ac:dyDescent="0.25">
      <c r="I30" s="1" t="s">
        <v>429</v>
      </c>
      <c r="J30" s="2"/>
    </row>
    <row r="31" spans="8:11" x14ac:dyDescent="0.25">
      <c r="I31" s="1" t="s">
        <v>430</v>
      </c>
      <c r="J31" s="1">
        <f>J12</f>
        <v>9860</v>
      </c>
      <c r="K31" s="7"/>
    </row>
    <row r="32" spans="8:11" x14ac:dyDescent="0.25">
      <c r="I32" s="1" t="s">
        <v>431</v>
      </c>
      <c r="J32" s="1">
        <f>J11*J6</f>
        <v>8925</v>
      </c>
    </row>
    <row r="33" spans="9:10" x14ac:dyDescent="0.25">
      <c r="I33" s="1" t="s">
        <v>316</v>
      </c>
      <c r="J33" s="1">
        <f>+J31-J32</f>
        <v>935</v>
      </c>
    </row>
    <row r="35" spans="9:10" x14ac:dyDescent="0.25">
      <c r="I35" s="1" t="s">
        <v>432</v>
      </c>
    </row>
    <row r="36" spans="9:10" x14ac:dyDescent="0.25">
      <c r="I36" s="1" t="s">
        <v>433</v>
      </c>
      <c r="J36" s="1">
        <f>J6*J11</f>
        <v>8925</v>
      </c>
    </row>
    <row r="37" spans="9:10" x14ac:dyDescent="0.25">
      <c r="I37" s="1" t="s">
        <v>434</v>
      </c>
      <c r="J37" s="1">
        <f>J6*J26</f>
        <v>9187.5</v>
      </c>
    </row>
    <row r="38" spans="9:10" x14ac:dyDescent="0.25">
      <c r="I38" s="1" t="s">
        <v>435</v>
      </c>
      <c r="J38" s="1">
        <f>+J36-J37</f>
        <v>-262.5</v>
      </c>
    </row>
    <row r="40" spans="9:10" x14ac:dyDescent="0.25">
      <c r="I40" s="1" t="s">
        <v>436</v>
      </c>
      <c r="J40" s="1">
        <f>+J33+J38</f>
        <v>672.5</v>
      </c>
    </row>
    <row r="42" spans="9:10" x14ac:dyDescent="0.25">
      <c r="I42" s="97" t="s">
        <v>373</v>
      </c>
      <c r="J42" s="97"/>
    </row>
    <row r="43" spans="9:10" x14ac:dyDescent="0.25">
      <c r="I43" s="1" t="s">
        <v>403</v>
      </c>
      <c r="J43" s="1">
        <f>J13-J7</f>
        <v>300</v>
      </c>
    </row>
    <row r="45" spans="9:10" x14ac:dyDescent="0.25">
      <c r="I45" s="1" t="s">
        <v>404</v>
      </c>
      <c r="J45" s="1">
        <f>J7-(J23*J26)</f>
        <v>-2325</v>
      </c>
    </row>
    <row r="48" spans="9:10" x14ac:dyDescent="0.25">
      <c r="I48" s="106" t="s">
        <v>393</v>
      </c>
      <c r="J48" s="107"/>
    </row>
    <row r="49" spans="9:10" x14ac:dyDescent="0.25">
      <c r="I49" s="9" t="s">
        <v>390</v>
      </c>
      <c r="J49" s="12">
        <f>J38</f>
        <v>-262.5</v>
      </c>
    </row>
    <row r="50" spans="9:10" x14ac:dyDescent="0.25">
      <c r="I50" s="13" t="s">
        <v>392</v>
      </c>
      <c r="J50" s="15">
        <f>J33</f>
        <v>935</v>
      </c>
    </row>
    <row r="51" spans="9:10" x14ac:dyDescent="0.25">
      <c r="I51" s="13" t="s">
        <v>386</v>
      </c>
      <c r="J51" s="15">
        <f>J43</f>
        <v>300</v>
      </c>
    </row>
    <row r="52" spans="9:10" x14ac:dyDescent="0.25">
      <c r="I52" s="13" t="s">
        <v>385</v>
      </c>
      <c r="J52" s="15">
        <f>J45</f>
        <v>-2325</v>
      </c>
    </row>
    <row r="53" spans="9:10" x14ac:dyDescent="0.25">
      <c r="I53" s="23" t="s">
        <v>55</v>
      </c>
      <c r="J53" s="25">
        <f>SUM(J49:J52)</f>
        <v>-1352.5</v>
      </c>
    </row>
  </sheetData>
  <mergeCells count="3">
    <mergeCell ref="I29:J29"/>
    <mergeCell ref="I42:J42"/>
    <mergeCell ref="I48:J48"/>
  </mergeCells>
  <pageMargins left="0.75" right="0.75" top="1" bottom="1" header="0.5" footer="0.5"/>
  <pageSetup paperSize="9" orientation="portrait" horizontalDpi="4294967292" verticalDpi="429496729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H3:L31"/>
  <sheetViews>
    <sheetView showGridLines="0" zoomScale="175" zoomScaleNormal="175" zoomScalePageLayoutView="175" workbookViewId="0">
      <selection activeCell="I3" sqref="I3:L8"/>
    </sheetView>
  </sheetViews>
  <sheetFormatPr defaultColWidth="10.8984375" defaultRowHeight="13.2" x14ac:dyDescent="0.25"/>
  <cols>
    <col min="1" max="8" width="10.8984375" style="1"/>
    <col min="9" max="9" width="17.5" style="1" bestFit="1" customWidth="1"/>
    <col min="10" max="16384" width="10.8984375" style="1"/>
  </cols>
  <sheetData>
    <row r="3" spans="9:12" x14ac:dyDescent="0.25">
      <c r="I3" s="7" t="s">
        <v>342</v>
      </c>
      <c r="J3" s="79" t="s">
        <v>45</v>
      </c>
      <c r="K3" s="79" t="s">
        <v>46</v>
      </c>
      <c r="L3" s="79" t="s">
        <v>49</v>
      </c>
    </row>
    <row r="4" spans="9:12" x14ac:dyDescent="0.25">
      <c r="I4" s="1" t="s">
        <v>34</v>
      </c>
      <c r="J4" s="1">
        <v>1</v>
      </c>
      <c r="K4" s="1">
        <v>4</v>
      </c>
      <c r="L4" s="1">
        <f>+K4*J4</f>
        <v>4</v>
      </c>
    </row>
    <row r="5" spans="9:12" x14ac:dyDescent="0.25">
      <c r="I5" s="1" t="s">
        <v>2</v>
      </c>
      <c r="J5" s="1">
        <v>0.8</v>
      </c>
      <c r="K5" s="1">
        <v>18</v>
      </c>
      <c r="L5" s="1">
        <f>+K5*J5</f>
        <v>14.4</v>
      </c>
    </row>
    <row r="6" spans="9:12" x14ac:dyDescent="0.25">
      <c r="I6" s="1" t="s">
        <v>15</v>
      </c>
      <c r="J6" s="1">
        <v>0.8</v>
      </c>
      <c r="K6" s="1">
        <v>2.5</v>
      </c>
      <c r="L6" s="1">
        <f>+K6*J6</f>
        <v>2</v>
      </c>
    </row>
    <row r="7" spans="9:12" x14ac:dyDescent="0.25">
      <c r="I7" s="1" t="s">
        <v>373</v>
      </c>
      <c r="J7" s="1">
        <v>0.8</v>
      </c>
      <c r="K7" s="1">
        <v>6</v>
      </c>
      <c r="L7" s="1">
        <f>+K7*J7</f>
        <v>4.8000000000000007</v>
      </c>
    </row>
    <row r="8" spans="9:12" ht="13.8" thickBot="1" x14ac:dyDescent="0.3">
      <c r="I8" s="27" t="s">
        <v>270</v>
      </c>
      <c r="J8" s="27"/>
      <c r="K8" s="27"/>
      <c r="L8" s="27">
        <f>SUM(L4:L7)</f>
        <v>25.2</v>
      </c>
    </row>
    <row r="9" spans="9:12" ht="13.8" thickTop="1" x14ac:dyDescent="0.25"/>
    <row r="11" spans="9:12" x14ac:dyDescent="0.25">
      <c r="I11" s="1" t="s">
        <v>437</v>
      </c>
      <c r="J11" s="2">
        <v>10000</v>
      </c>
    </row>
    <row r="12" spans="9:12" x14ac:dyDescent="0.25">
      <c r="I12" s="1" t="s">
        <v>438</v>
      </c>
      <c r="J12" s="2">
        <v>8200</v>
      </c>
    </row>
    <row r="15" spans="9:12" x14ac:dyDescent="0.25">
      <c r="I15" s="1" t="s">
        <v>419</v>
      </c>
      <c r="J15" s="1">
        <v>6</v>
      </c>
    </row>
    <row r="16" spans="9:12" x14ac:dyDescent="0.25">
      <c r="I16" s="1" t="s">
        <v>401</v>
      </c>
      <c r="J16" s="1">
        <v>45600</v>
      </c>
    </row>
    <row r="17" spans="8:11" x14ac:dyDescent="0.25">
      <c r="I17" s="1" t="s">
        <v>404</v>
      </c>
      <c r="J17" s="1">
        <v>-3000</v>
      </c>
    </row>
    <row r="21" spans="8:11" x14ac:dyDescent="0.25">
      <c r="H21" s="3" t="s">
        <v>282</v>
      </c>
      <c r="I21" s="1" t="s">
        <v>439</v>
      </c>
      <c r="J21" s="1">
        <f>J11*J5</f>
        <v>8000</v>
      </c>
    </row>
    <row r="23" spans="8:11" x14ac:dyDescent="0.25">
      <c r="H23" s="3"/>
    </row>
    <row r="24" spans="8:11" x14ac:dyDescent="0.25">
      <c r="H24" s="3" t="s">
        <v>442</v>
      </c>
      <c r="I24" s="3" t="s">
        <v>440</v>
      </c>
      <c r="J24" s="3" t="s">
        <v>400</v>
      </c>
      <c r="K24" s="3" t="s">
        <v>401</v>
      </c>
    </row>
    <row r="25" spans="8:11" x14ac:dyDescent="0.25">
      <c r="I25" s="78">
        <f>+K7*J21</f>
        <v>48000</v>
      </c>
      <c r="J25" s="3">
        <f>+I25+J17</f>
        <v>45000</v>
      </c>
      <c r="K25" s="3">
        <f>+J16</f>
        <v>45600</v>
      </c>
    </row>
    <row r="27" spans="8:11" x14ac:dyDescent="0.25">
      <c r="I27" s="1" t="s">
        <v>441</v>
      </c>
      <c r="J27" s="1">
        <f>J17</f>
        <v>-3000</v>
      </c>
    </row>
    <row r="28" spans="8:11" x14ac:dyDescent="0.25">
      <c r="I28" s="1" t="s">
        <v>403</v>
      </c>
      <c r="J28" s="7">
        <f>+K25-J25</f>
        <v>600</v>
      </c>
    </row>
    <row r="31" spans="8:11" x14ac:dyDescent="0.25">
      <c r="H31" s="3" t="s">
        <v>302</v>
      </c>
      <c r="I31" s="1" t="s">
        <v>443</v>
      </c>
      <c r="J31" s="2">
        <f>J25/K7</f>
        <v>7500</v>
      </c>
    </row>
  </sheetData>
  <pageMargins left="0.75" right="0.75" top="1" bottom="1" header="0.5" footer="0.5"/>
  <pageSetup paperSize="9"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2"/>
  <sheetViews>
    <sheetView workbookViewId="0">
      <selection activeCell="D52" sqref="D52"/>
    </sheetView>
  </sheetViews>
  <sheetFormatPr defaultColWidth="10.8984375" defaultRowHeight="13.2" x14ac:dyDescent="0.25"/>
  <cols>
    <col min="1" max="16384" width="10.8984375" style="1"/>
  </cols>
  <sheetData>
    <row r="1" spans="1:1" ht="15" x14ac:dyDescent="0.25">
      <c r="A1" s="1" t="s">
        <v>57</v>
      </c>
    </row>
    <row r="2" spans="1:1" x14ac:dyDescent="0.25">
      <c r="A2" s="1" t="s">
        <v>58</v>
      </c>
    </row>
    <row r="4" spans="1:1" ht="15" x14ac:dyDescent="0.25">
      <c r="A4" s="1" t="s">
        <v>59</v>
      </c>
    </row>
    <row r="5" spans="1:1" x14ac:dyDescent="0.25">
      <c r="A5" s="1" t="s">
        <v>60</v>
      </c>
    </row>
    <row r="7" spans="1:1" ht="15" x14ac:dyDescent="0.25">
      <c r="A7" s="1" t="s">
        <v>61</v>
      </c>
    </row>
    <row r="8" spans="1:1" x14ac:dyDescent="0.25">
      <c r="A8" s="1" t="s">
        <v>62</v>
      </c>
    </row>
    <row r="10" spans="1:1" ht="15" x14ac:dyDescent="0.25">
      <c r="A10" s="1" t="s">
        <v>63</v>
      </c>
    </row>
    <row r="11" spans="1:1" x14ac:dyDescent="0.25">
      <c r="A11" s="1" t="s">
        <v>64</v>
      </c>
    </row>
    <row r="13" spans="1:1" ht="15" x14ac:dyDescent="0.25">
      <c r="A13" s="1" t="s">
        <v>65</v>
      </c>
    </row>
    <row r="14" spans="1:1" x14ac:dyDescent="0.25">
      <c r="A14" s="1" t="s">
        <v>66</v>
      </c>
    </row>
    <row r="16" spans="1:1" ht="15" x14ac:dyDescent="0.25">
      <c r="A16" s="1" t="s">
        <v>67</v>
      </c>
    </row>
    <row r="17" spans="1:1" x14ac:dyDescent="0.25">
      <c r="A17" s="1" t="s">
        <v>68</v>
      </c>
    </row>
    <row r="19" spans="1:1" ht="15" x14ac:dyDescent="0.25">
      <c r="A19" s="1" t="s">
        <v>69</v>
      </c>
    </row>
    <row r="20" spans="1:1" x14ac:dyDescent="0.25">
      <c r="A20" s="1" t="s">
        <v>70</v>
      </c>
    </row>
    <row r="22" spans="1:1" ht="15" x14ac:dyDescent="0.25">
      <c r="A22" s="1" t="s">
        <v>71</v>
      </c>
    </row>
    <row r="23" spans="1:1" x14ac:dyDescent="0.25">
      <c r="A23" s="1" t="s">
        <v>72</v>
      </c>
    </row>
    <row r="25" spans="1:1" ht="15" x14ac:dyDescent="0.25">
      <c r="A25" s="1" t="s">
        <v>73</v>
      </c>
    </row>
    <row r="26" spans="1:1" x14ac:dyDescent="0.25">
      <c r="A26" s="1" t="s">
        <v>74</v>
      </c>
    </row>
    <row r="28" spans="1:1" ht="15" x14ac:dyDescent="0.25">
      <c r="A28" s="1" t="s">
        <v>75</v>
      </c>
    </row>
    <row r="29" spans="1:1" x14ac:dyDescent="0.25">
      <c r="A29" s="1" t="s">
        <v>76</v>
      </c>
    </row>
    <row r="31" spans="1:1" ht="15" x14ac:dyDescent="0.25">
      <c r="A31" s="1" t="s">
        <v>77</v>
      </c>
    </row>
    <row r="32" spans="1:1" x14ac:dyDescent="0.25">
      <c r="A32" s="1" t="s">
        <v>78</v>
      </c>
    </row>
    <row r="34" spans="1:1" x14ac:dyDescent="0.25">
      <c r="A34" s="1" t="s">
        <v>79</v>
      </c>
    </row>
    <row r="36" spans="1:1" x14ac:dyDescent="0.25">
      <c r="A36" s="1" t="s">
        <v>80</v>
      </c>
    </row>
    <row r="38" spans="1:1" ht="15" x14ac:dyDescent="0.25">
      <c r="A38" s="1" t="s">
        <v>81</v>
      </c>
    </row>
    <row r="39" spans="1:1" x14ac:dyDescent="0.25">
      <c r="A39" s="1" t="s">
        <v>82</v>
      </c>
    </row>
    <row r="41" spans="1:1" ht="15" x14ac:dyDescent="0.25">
      <c r="A41" s="1" t="s">
        <v>83</v>
      </c>
    </row>
    <row r="42" spans="1:1" x14ac:dyDescent="0.25">
      <c r="A42" s="1" t="s">
        <v>84</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H3:L108"/>
  <sheetViews>
    <sheetView showGridLines="0" topLeftCell="A22" zoomScale="145" zoomScaleNormal="145" zoomScalePageLayoutView="145" workbookViewId="0">
      <selection activeCell="I30" sqref="I30:K60"/>
    </sheetView>
  </sheetViews>
  <sheetFormatPr defaultColWidth="10.8984375" defaultRowHeight="13.2" x14ac:dyDescent="0.25"/>
  <cols>
    <col min="1" max="8" width="10.8984375" style="1"/>
    <col min="9" max="9" width="22.8984375" style="1" bestFit="1" customWidth="1"/>
    <col min="10" max="12" width="15" style="1" customWidth="1"/>
    <col min="13" max="16384" width="10.8984375" style="1"/>
  </cols>
  <sheetData>
    <row r="3" spans="9:12" x14ac:dyDescent="0.25">
      <c r="I3" s="7" t="s">
        <v>342</v>
      </c>
      <c r="J3" s="79" t="s">
        <v>45</v>
      </c>
      <c r="K3" s="79" t="s">
        <v>46</v>
      </c>
      <c r="L3" s="79" t="s">
        <v>49</v>
      </c>
    </row>
    <row r="4" spans="9:12" x14ac:dyDescent="0.25">
      <c r="I4" s="1" t="s">
        <v>34</v>
      </c>
      <c r="J4" s="1">
        <v>4</v>
      </c>
      <c r="K4" s="1">
        <v>3.5</v>
      </c>
      <c r="L4" s="1">
        <f>+K4*J4</f>
        <v>14</v>
      </c>
    </row>
    <row r="5" spans="9:12" x14ac:dyDescent="0.25">
      <c r="I5" s="1" t="s">
        <v>2</v>
      </c>
      <c r="J5" s="1">
        <v>1.5</v>
      </c>
      <c r="K5" s="1">
        <v>12</v>
      </c>
      <c r="L5" s="1">
        <f>+K5*J5</f>
        <v>18</v>
      </c>
    </row>
    <row r="6" spans="9:12" x14ac:dyDescent="0.25">
      <c r="I6" s="1" t="s">
        <v>15</v>
      </c>
      <c r="J6" s="1">
        <v>1.5</v>
      </c>
      <c r="K6" s="1">
        <v>2</v>
      </c>
      <c r="L6" s="1">
        <f>+K6*J6</f>
        <v>3</v>
      </c>
    </row>
    <row r="7" spans="9:12" x14ac:dyDescent="0.25">
      <c r="I7" s="1" t="s">
        <v>373</v>
      </c>
      <c r="J7" s="1">
        <v>1.5</v>
      </c>
      <c r="K7" s="1">
        <v>6</v>
      </c>
      <c r="L7" s="1">
        <f>+K7*J7</f>
        <v>9</v>
      </c>
    </row>
    <row r="8" spans="9:12" ht="13.8" thickBot="1" x14ac:dyDescent="0.3">
      <c r="I8" s="27" t="s">
        <v>270</v>
      </c>
      <c r="J8" s="27"/>
      <c r="K8" s="27"/>
      <c r="L8" s="27">
        <f>SUM(L4:L7)</f>
        <v>44</v>
      </c>
    </row>
    <row r="9" spans="9:12" ht="13.8" thickTop="1" x14ac:dyDescent="0.25"/>
    <row r="11" spans="9:12" x14ac:dyDescent="0.25">
      <c r="I11" s="1" t="s">
        <v>39</v>
      </c>
      <c r="J11" s="2">
        <v>20000</v>
      </c>
    </row>
    <row r="13" spans="9:12" x14ac:dyDescent="0.25">
      <c r="J13" s="93" t="s">
        <v>445</v>
      </c>
      <c r="K13" s="93" t="s">
        <v>46</v>
      </c>
    </row>
    <row r="14" spans="9:12" x14ac:dyDescent="0.25">
      <c r="I14" s="1" t="s">
        <v>444</v>
      </c>
      <c r="J14" s="2">
        <v>78000</v>
      </c>
      <c r="K14" s="1">
        <v>3.75</v>
      </c>
    </row>
    <row r="17" spans="8:11" x14ac:dyDescent="0.25">
      <c r="J17" s="93" t="s">
        <v>445</v>
      </c>
      <c r="K17" s="93" t="s">
        <v>46</v>
      </c>
    </row>
    <row r="18" spans="8:11" x14ac:dyDescent="0.25">
      <c r="I18" s="1" t="s">
        <v>43</v>
      </c>
      <c r="J18" s="2">
        <v>32500</v>
      </c>
      <c r="K18" s="1">
        <v>11.8</v>
      </c>
    </row>
    <row r="22" spans="8:11" x14ac:dyDescent="0.25">
      <c r="I22" s="1" t="s">
        <v>446</v>
      </c>
      <c r="J22" s="2">
        <v>25000</v>
      </c>
    </row>
    <row r="23" spans="8:11" x14ac:dyDescent="0.25">
      <c r="I23" s="1" t="s">
        <v>400</v>
      </c>
      <c r="J23" s="1">
        <v>150000</v>
      </c>
    </row>
    <row r="24" spans="8:11" x14ac:dyDescent="0.25">
      <c r="I24" s="1" t="s">
        <v>401</v>
      </c>
      <c r="J24" s="1">
        <v>148000</v>
      </c>
    </row>
    <row r="25" spans="8:11" x14ac:dyDescent="0.25">
      <c r="I25" s="1" t="s">
        <v>422</v>
      </c>
      <c r="J25" s="1">
        <v>68250</v>
      </c>
    </row>
    <row r="27" spans="8:11" x14ac:dyDescent="0.25">
      <c r="I27" s="1" t="s">
        <v>439</v>
      </c>
      <c r="J27" s="2">
        <f>+J5*J11</f>
        <v>30000</v>
      </c>
    </row>
    <row r="30" spans="8:11" x14ac:dyDescent="0.25">
      <c r="H30" s="3" t="s">
        <v>282</v>
      </c>
      <c r="I30" s="106" t="s">
        <v>203</v>
      </c>
      <c r="J30" s="108"/>
      <c r="K30" s="107"/>
    </row>
    <row r="31" spans="8:11" x14ac:dyDescent="0.25">
      <c r="I31" s="9" t="s">
        <v>200</v>
      </c>
      <c r="J31" s="10"/>
      <c r="K31" s="12"/>
    </row>
    <row r="32" spans="8:11" x14ac:dyDescent="0.25">
      <c r="I32" s="67" t="s">
        <v>36</v>
      </c>
      <c r="J32" s="72">
        <f>K4</f>
        <v>3.5</v>
      </c>
      <c r="K32" s="15"/>
    </row>
    <row r="33" spans="8:11" x14ac:dyDescent="0.25">
      <c r="I33" s="13" t="s">
        <v>139</v>
      </c>
      <c r="J33" s="61">
        <f>J14</f>
        <v>78000</v>
      </c>
      <c r="K33" s="15"/>
    </row>
    <row r="34" spans="8:11" x14ac:dyDescent="0.25">
      <c r="I34" s="13" t="s">
        <v>35</v>
      </c>
      <c r="J34" s="61">
        <f>J4*J11</f>
        <v>80000</v>
      </c>
      <c r="K34" s="70"/>
    </row>
    <row r="35" spans="8:11" x14ac:dyDescent="0.25">
      <c r="I35" s="13" t="s">
        <v>199</v>
      </c>
      <c r="J35" s="14">
        <f>J32*(J33-J34)</f>
        <v>-7000</v>
      </c>
      <c r="K35" s="70" t="str">
        <f>IF(J35&gt;0,"D",IF(J35&lt;0,"F","-"))</f>
        <v>F</v>
      </c>
    </row>
    <row r="36" spans="8:11" x14ac:dyDescent="0.25">
      <c r="I36" s="13"/>
      <c r="J36" s="14"/>
      <c r="K36" s="70"/>
    </row>
    <row r="37" spans="8:11" x14ac:dyDescent="0.25">
      <c r="I37" s="13" t="s">
        <v>201</v>
      </c>
      <c r="J37" s="14"/>
      <c r="K37" s="70"/>
    </row>
    <row r="38" spans="8:11" x14ac:dyDescent="0.25">
      <c r="I38" s="13" t="s">
        <v>139</v>
      </c>
      <c r="J38" s="61">
        <f>J33</f>
        <v>78000</v>
      </c>
      <c r="K38" s="70"/>
    </row>
    <row r="39" spans="8:11" x14ac:dyDescent="0.25">
      <c r="I39" s="13" t="s">
        <v>140</v>
      </c>
      <c r="J39" s="14">
        <f>K14</f>
        <v>3.75</v>
      </c>
      <c r="K39" s="70"/>
    </row>
    <row r="40" spans="8:11" x14ac:dyDescent="0.25">
      <c r="I40" s="13" t="s">
        <v>36</v>
      </c>
      <c r="J40" s="14">
        <f>K4</f>
        <v>3.5</v>
      </c>
      <c r="K40" s="70"/>
    </row>
    <row r="41" spans="8:11" x14ac:dyDescent="0.25">
      <c r="I41" s="13" t="s">
        <v>202</v>
      </c>
      <c r="J41" s="14">
        <f>+J38*(J39-J40)</f>
        <v>19500</v>
      </c>
      <c r="K41" s="70" t="str">
        <f>IF(J41&gt;0,"D",IF(J41&lt;0,"F","-"))</f>
        <v>D</v>
      </c>
    </row>
    <row r="42" spans="8:11" x14ac:dyDescent="0.25">
      <c r="I42" s="13"/>
      <c r="J42" s="14"/>
      <c r="K42" s="70"/>
    </row>
    <row r="43" spans="8:11" x14ac:dyDescent="0.25">
      <c r="I43" s="13"/>
      <c r="J43" s="14"/>
      <c r="K43" s="70"/>
    </row>
    <row r="44" spans="8:11" x14ac:dyDescent="0.25">
      <c r="I44" s="68" t="s">
        <v>225</v>
      </c>
      <c r="J44" s="69">
        <f>+J35+J41</f>
        <v>12500</v>
      </c>
      <c r="K44" s="71" t="str">
        <f>IF(J44&gt;0,"D",IF(J44&lt;0,"F","-"))</f>
        <v>D</v>
      </c>
    </row>
    <row r="46" spans="8:11" x14ac:dyDescent="0.25">
      <c r="H46" s="3" t="s">
        <v>286</v>
      </c>
      <c r="I46" s="106" t="s">
        <v>204</v>
      </c>
      <c r="J46" s="108"/>
      <c r="K46" s="107"/>
    </row>
    <row r="47" spans="8:11" x14ac:dyDescent="0.25">
      <c r="I47" s="9" t="s">
        <v>205</v>
      </c>
      <c r="J47" s="10"/>
      <c r="K47" s="12"/>
    </row>
    <row r="48" spans="8:11" x14ac:dyDescent="0.25">
      <c r="I48" s="67" t="s">
        <v>36</v>
      </c>
      <c r="J48" s="72">
        <f>K5</f>
        <v>12</v>
      </c>
      <c r="K48" s="15"/>
    </row>
    <row r="49" spans="9:11" x14ac:dyDescent="0.25">
      <c r="I49" s="13" t="s">
        <v>139</v>
      </c>
      <c r="J49" s="61">
        <f>J18</f>
        <v>32500</v>
      </c>
      <c r="K49" s="15"/>
    </row>
    <row r="50" spans="9:11" x14ac:dyDescent="0.25">
      <c r="I50" s="13" t="s">
        <v>35</v>
      </c>
      <c r="J50" s="61">
        <f>J5*J11</f>
        <v>30000</v>
      </c>
      <c r="K50" s="70"/>
    </row>
    <row r="51" spans="9:11" x14ac:dyDescent="0.25">
      <c r="I51" s="13" t="s">
        <v>447</v>
      </c>
      <c r="J51" s="14">
        <f>J48*(J49-J50)</f>
        <v>30000</v>
      </c>
      <c r="K51" s="70" t="str">
        <f>IF(J51&gt;0,"D",IF(J51&lt;0,"F","-"))</f>
        <v>D</v>
      </c>
    </row>
    <row r="52" spans="9:11" x14ac:dyDescent="0.25">
      <c r="I52" s="13"/>
      <c r="J52" s="14"/>
      <c r="K52" s="70"/>
    </row>
    <row r="53" spans="9:11" x14ac:dyDescent="0.25">
      <c r="I53" s="13" t="s">
        <v>223</v>
      </c>
      <c r="J53" s="14"/>
      <c r="K53" s="70"/>
    </row>
    <row r="54" spans="9:11" x14ac:dyDescent="0.25">
      <c r="I54" s="13" t="s">
        <v>139</v>
      </c>
      <c r="J54" s="61">
        <f>J49</f>
        <v>32500</v>
      </c>
      <c r="K54" s="70"/>
    </row>
    <row r="55" spans="9:11" x14ac:dyDescent="0.25">
      <c r="I55" s="13" t="s">
        <v>140</v>
      </c>
      <c r="J55" s="14">
        <f>K18</f>
        <v>11.8</v>
      </c>
      <c r="K55" s="70"/>
    </row>
    <row r="56" spans="9:11" x14ac:dyDescent="0.25">
      <c r="I56" s="13" t="s">
        <v>36</v>
      </c>
      <c r="J56" s="14">
        <f>K5</f>
        <v>12</v>
      </c>
      <c r="K56" s="70"/>
    </row>
    <row r="57" spans="9:11" x14ac:dyDescent="0.25">
      <c r="I57" s="13" t="s">
        <v>144</v>
      </c>
      <c r="J57" s="14">
        <f>+J54*(J55-J56)</f>
        <v>-6499.9999999999773</v>
      </c>
      <c r="K57" s="70" t="str">
        <f>IF(J57&gt;0,"D",IF(J57&lt;0,"F","-"))</f>
        <v>F</v>
      </c>
    </row>
    <row r="58" spans="9:11" x14ac:dyDescent="0.25">
      <c r="I58" s="13"/>
      <c r="J58" s="14"/>
      <c r="K58" s="70"/>
    </row>
    <row r="59" spans="9:11" x14ac:dyDescent="0.25">
      <c r="I59" s="13"/>
      <c r="J59" s="14"/>
      <c r="K59" s="70"/>
    </row>
    <row r="60" spans="9:11" x14ac:dyDescent="0.25">
      <c r="I60" s="68" t="s">
        <v>226</v>
      </c>
      <c r="J60" s="69">
        <f>+J51+J57</f>
        <v>23500.000000000022</v>
      </c>
      <c r="K60" s="71" t="str">
        <f>IF(J60&gt;0,"D",IF(J60&lt;0,"F","-"))</f>
        <v>D</v>
      </c>
    </row>
    <row r="62" spans="9:11" x14ac:dyDescent="0.25">
      <c r="I62" s="97" t="s">
        <v>15</v>
      </c>
      <c r="J62" s="97"/>
    </row>
    <row r="63" spans="9:11" x14ac:dyDescent="0.25">
      <c r="I63" s="1" t="s">
        <v>429</v>
      </c>
      <c r="J63" s="2"/>
    </row>
    <row r="64" spans="9:11" x14ac:dyDescent="0.25">
      <c r="I64" s="1" t="s">
        <v>430</v>
      </c>
      <c r="J64" s="1">
        <f>J25</f>
        <v>68250</v>
      </c>
    </row>
    <row r="65" spans="9:11" x14ac:dyDescent="0.25">
      <c r="I65" s="1" t="s">
        <v>431</v>
      </c>
      <c r="J65" s="1">
        <f>J18*K6</f>
        <v>65000</v>
      </c>
    </row>
    <row r="66" spans="9:11" x14ac:dyDescent="0.25">
      <c r="I66" s="1" t="s">
        <v>316</v>
      </c>
      <c r="J66" s="1">
        <f>+J64-J65</f>
        <v>3250</v>
      </c>
      <c r="K66" s="34" t="str">
        <f>IF(J66&gt;0,"D",IF(J66&lt;0,"F","-"))</f>
        <v>D</v>
      </c>
    </row>
    <row r="67" spans="9:11" x14ac:dyDescent="0.25">
      <c r="K67" s="14"/>
    </row>
    <row r="68" spans="9:11" x14ac:dyDescent="0.25">
      <c r="I68" s="1" t="s">
        <v>432</v>
      </c>
      <c r="K68" s="14"/>
    </row>
    <row r="69" spans="9:11" x14ac:dyDescent="0.25">
      <c r="I69" s="1" t="s">
        <v>433</v>
      </c>
      <c r="J69" s="1">
        <f>J65</f>
        <v>65000</v>
      </c>
      <c r="K69" s="14"/>
    </row>
    <row r="70" spans="9:11" x14ac:dyDescent="0.25">
      <c r="I70" s="1" t="s">
        <v>434</v>
      </c>
      <c r="J70" s="1">
        <f>J6*J11*K6</f>
        <v>60000</v>
      </c>
      <c r="K70" s="14"/>
    </row>
    <row r="71" spans="9:11" x14ac:dyDescent="0.25">
      <c r="I71" s="1" t="s">
        <v>435</v>
      </c>
      <c r="J71" s="1">
        <f>+J69-J70</f>
        <v>5000</v>
      </c>
      <c r="K71" s="34" t="str">
        <f>IF(J71&gt;0,"D",IF(J71&lt;0,"F","-"))</f>
        <v>D</v>
      </c>
    </row>
    <row r="72" spans="9:11" x14ac:dyDescent="0.25">
      <c r="K72" s="14"/>
    </row>
    <row r="73" spans="9:11" x14ac:dyDescent="0.25">
      <c r="I73" s="1" t="s">
        <v>436</v>
      </c>
      <c r="J73" s="1">
        <f>+J66+J71</f>
        <v>8250</v>
      </c>
      <c r="K73" s="34" t="str">
        <f>IF(J73&gt;0,"D",IF(J73&lt;0,"F","-"))</f>
        <v>D</v>
      </c>
    </row>
    <row r="74" spans="9:11" x14ac:dyDescent="0.25">
      <c r="K74" s="14"/>
    </row>
    <row r="75" spans="9:11" x14ac:dyDescent="0.25">
      <c r="I75" s="97" t="s">
        <v>373</v>
      </c>
      <c r="J75" s="97"/>
      <c r="K75" s="14"/>
    </row>
    <row r="76" spans="9:11" x14ac:dyDescent="0.25">
      <c r="I76" s="1" t="s">
        <v>403</v>
      </c>
      <c r="J76" s="1">
        <f>J24-J23</f>
        <v>-2000</v>
      </c>
      <c r="K76" s="34" t="str">
        <f>IF(J76&gt;0,"D",IF(J76&lt;0,"F","-"))</f>
        <v>F</v>
      </c>
    </row>
    <row r="77" spans="9:11" x14ac:dyDescent="0.25">
      <c r="K77" s="14"/>
    </row>
    <row r="78" spans="9:11" x14ac:dyDescent="0.25">
      <c r="I78" s="1" t="s">
        <v>404</v>
      </c>
      <c r="J78" s="1">
        <f>J23-(K7*J27)</f>
        <v>-30000</v>
      </c>
      <c r="K78" s="34" t="str">
        <f>IF(J78&gt;0,"D",IF(J78&lt;0,"F","-"))</f>
        <v>F</v>
      </c>
    </row>
    <row r="81" spans="9:12" x14ac:dyDescent="0.25">
      <c r="I81" s="106" t="s">
        <v>393</v>
      </c>
      <c r="J81" s="107"/>
    </row>
    <row r="82" spans="9:12" x14ac:dyDescent="0.25">
      <c r="I82" s="9" t="s">
        <v>390</v>
      </c>
      <c r="J82" s="12">
        <f>J71</f>
        <v>5000</v>
      </c>
    </row>
    <row r="83" spans="9:12" x14ac:dyDescent="0.25">
      <c r="I83" s="13" t="s">
        <v>392</v>
      </c>
      <c r="J83" s="15">
        <f>J66</f>
        <v>3250</v>
      </c>
    </row>
    <row r="84" spans="9:12" x14ac:dyDescent="0.25">
      <c r="I84" s="13" t="s">
        <v>386</v>
      </c>
      <c r="J84" s="15">
        <f>J76</f>
        <v>-2000</v>
      </c>
    </row>
    <row r="85" spans="9:12" x14ac:dyDescent="0.25">
      <c r="I85" s="13" t="s">
        <v>385</v>
      </c>
      <c r="J85" s="15">
        <f>J78</f>
        <v>-30000</v>
      </c>
    </row>
    <row r="86" spans="9:12" x14ac:dyDescent="0.25">
      <c r="I86" s="23" t="s">
        <v>55</v>
      </c>
      <c r="J86" s="25">
        <f>SUM(J82:J85)</f>
        <v>-23750</v>
      </c>
    </row>
    <row r="89" spans="9:12" x14ac:dyDescent="0.25">
      <c r="I89" s="1" t="s">
        <v>55</v>
      </c>
      <c r="J89" s="1">
        <f>SUM(J44,J60,J86)</f>
        <v>12250.000000000022</v>
      </c>
    </row>
    <row r="92" spans="9:12" x14ac:dyDescent="0.25">
      <c r="I92" s="109" t="s">
        <v>448</v>
      </c>
      <c r="J92" s="109"/>
      <c r="K92" s="109"/>
      <c r="L92" s="109"/>
    </row>
    <row r="93" spans="9:12" x14ac:dyDescent="0.25">
      <c r="I93" s="109"/>
      <c r="J93" s="109"/>
      <c r="K93" s="109"/>
      <c r="L93" s="109"/>
    </row>
    <row r="94" spans="9:12" x14ac:dyDescent="0.25">
      <c r="I94" s="109"/>
      <c r="J94" s="109"/>
      <c r="K94" s="109"/>
      <c r="L94" s="109"/>
    </row>
    <row r="95" spans="9:12" x14ac:dyDescent="0.25">
      <c r="I95" s="109"/>
      <c r="J95" s="109"/>
      <c r="K95" s="109"/>
      <c r="L95" s="109"/>
    </row>
    <row r="96" spans="9:12" x14ac:dyDescent="0.25">
      <c r="I96" s="109"/>
      <c r="J96" s="109"/>
      <c r="K96" s="109"/>
      <c r="L96" s="109"/>
    </row>
    <row r="97" spans="9:12" x14ac:dyDescent="0.25">
      <c r="I97" s="109"/>
      <c r="J97" s="109"/>
      <c r="K97" s="109"/>
      <c r="L97" s="109"/>
    </row>
    <row r="98" spans="9:12" x14ac:dyDescent="0.25">
      <c r="I98" s="109"/>
      <c r="J98" s="109"/>
      <c r="K98" s="109"/>
      <c r="L98" s="109"/>
    </row>
    <row r="99" spans="9:12" x14ac:dyDescent="0.25">
      <c r="I99" s="109"/>
      <c r="J99" s="109"/>
      <c r="K99" s="109"/>
      <c r="L99" s="109"/>
    </row>
    <row r="100" spans="9:12" x14ac:dyDescent="0.25">
      <c r="I100" s="109"/>
      <c r="J100" s="109"/>
      <c r="K100" s="109"/>
      <c r="L100" s="109"/>
    </row>
    <row r="101" spans="9:12" x14ac:dyDescent="0.25">
      <c r="I101" s="109"/>
      <c r="J101" s="109"/>
      <c r="K101" s="109"/>
      <c r="L101" s="109"/>
    </row>
    <row r="102" spans="9:12" x14ac:dyDescent="0.25">
      <c r="I102" s="109"/>
      <c r="J102" s="109"/>
      <c r="K102" s="109"/>
      <c r="L102" s="109"/>
    </row>
    <row r="103" spans="9:12" x14ac:dyDescent="0.25">
      <c r="I103" s="109"/>
      <c r="J103" s="109"/>
      <c r="K103" s="109"/>
      <c r="L103" s="109"/>
    </row>
    <row r="104" spans="9:12" x14ac:dyDescent="0.25">
      <c r="I104" s="109"/>
      <c r="J104" s="109"/>
      <c r="K104" s="109"/>
      <c r="L104" s="109"/>
    </row>
    <row r="105" spans="9:12" x14ac:dyDescent="0.25">
      <c r="I105" s="109"/>
      <c r="J105" s="109"/>
      <c r="K105" s="109"/>
      <c r="L105" s="109"/>
    </row>
    <row r="106" spans="9:12" x14ac:dyDescent="0.25">
      <c r="I106" s="109"/>
      <c r="J106" s="109"/>
      <c r="K106" s="109"/>
      <c r="L106" s="109"/>
    </row>
    <row r="107" spans="9:12" x14ac:dyDescent="0.25">
      <c r="I107" s="109"/>
      <c r="J107" s="109"/>
      <c r="K107" s="109"/>
      <c r="L107" s="109"/>
    </row>
    <row r="108" spans="9:12" x14ac:dyDescent="0.25">
      <c r="I108" s="109"/>
      <c r="J108" s="109"/>
      <c r="K108" s="109"/>
      <c r="L108" s="109"/>
    </row>
  </sheetData>
  <mergeCells count="6">
    <mergeCell ref="I92:L108"/>
    <mergeCell ref="I30:K30"/>
    <mergeCell ref="I46:K46"/>
    <mergeCell ref="I62:J62"/>
    <mergeCell ref="I75:J75"/>
    <mergeCell ref="I81:J81"/>
  </mergeCells>
  <pageMargins left="0.75" right="0.75" top="1" bottom="1" header="0.5" footer="0.5"/>
  <pageSetup paperSize="9" orientation="portrait" horizontalDpi="4294967292" verticalDpi="429496729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3:K114"/>
  <sheetViews>
    <sheetView showGridLines="0" topLeftCell="A23" zoomScale="145" zoomScaleNormal="145" zoomScalePageLayoutView="145" workbookViewId="0">
      <selection activeCell="H5" sqref="H5:K9"/>
    </sheetView>
  </sheetViews>
  <sheetFormatPr defaultColWidth="10.8984375" defaultRowHeight="13.2" x14ac:dyDescent="0.25"/>
  <cols>
    <col min="1" max="7" width="10.8984375" style="1"/>
    <col min="8" max="8" width="27.3984375" style="1" bestFit="1" customWidth="1"/>
    <col min="9" max="9" width="14.09765625" style="1" customWidth="1"/>
    <col min="10" max="10" width="13.3984375" style="1" customWidth="1"/>
    <col min="11" max="11" width="14.09765625" style="1" bestFit="1" customWidth="1"/>
    <col min="12" max="16384" width="10.8984375" style="1"/>
  </cols>
  <sheetData>
    <row r="3" spans="7:11" x14ac:dyDescent="0.25">
      <c r="H3" s="1" t="s">
        <v>400</v>
      </c>
      <c r="I3" s="1">
        <v>320000</v>
      </c>
    </row>
    <row r="5" spans="7:11" x14ac:dyDescent="0.25">
      <c r="H5" s="79" t="s">
        <v>450</v>
      </c>
      <c r="I5" s="79" t="s">
        <v>45</v>
      </c>
      <c r="J5" s="79" t="s">
        <v>46</v>
      </c>
      <c r="K5" s="79" t="s">
        <v>49</v>
      </c>
    </row>
    <row r="6" spans="7:11" x14ac:dyDescent="0.25">
      <c r="H6" s="1" t="s">
        <v>43</v>
      </c>
      <c r="I6" s="1">
        <v>2.5</v>
      </c>
      <c r="J6" s="1">
        <v>20</v>
      </c>
      <c r="K6" s="1">
        <f>+J6*I6</f>
        <v>50</v>
      </c>
    </row>
    <row r="7" spans="7:11" x14ac:dyDescent="0.25">
      <c r="H7" s="1" t="s">
        <v>34</v>
      </c>
      <c r="I7" s="1">
        <v>3</v>
      </c>
      <c r="J7" s="1">
        <v>5</v>
      </c>
      <c r="K7" s="1">
        <f t="shared" ref="K7:K8" si="0">+J7*I7</f>
        <v>15</v>
      </c>
    </row>
    <row r="8" spans="7:11" x14ac:dyDescent="0.25">
      <c r="H8" s="1" t="s">
        <v>15</v>
      </c>
      <c r="I8" s="1">
        <f>I6</f>
        <v>2.5</v>
      </c>
      <c r="J8" s="1">
        <v>2.5</v>
      </c>
      <c r="K8" s="1">
        <f t="shared" si="0"/>
        <v>6.25</v>
      </c>
    </row>
    <row r="9" spans="7:11" ht="13.8" thickBot="1" x14ac:dyDescent="0.3">
      <c r="H9" s="27" t="s">
        <v>451</v>
      </c>
      <c r="I9" s="27"/>
      <c r="J9" s="27"/>
      <c r="K9" s="27">
        <f>SUM(K6:K8)</f>
        <v>71.25</v>
      </c>
    </row>
    <row r="10" spans="7:11" ht="13.8" thickTop="1" x14ac:dyDescent="0.25"/>
    <row r="12" spans="7:11" x14ac:dyDescent="0.25">
      <c r="H12" s="1" t="s">
        <v>449</v>
      </c>
      <c r="I12" s="2">
        <v>40000</v>
      </c>
    </row>
    <row r="15" spans="7:11" x14ac:dyDescent="0.25">
      <c r="G15" s="1" t="s">
        <v>282</v>
      </c>
      <c r="H15" s="1" t="s">
        <v>15</v>
      </c>
      <c r="I15" s="1">
        <f>J8*I12</f>
        <v>100000</v>
      </c>
    </row>
    <row r="16" spans="7:11" x14ac:dyDescent="0.25">
      <c r="H16" s="1" t="s">
        <v>373</v>
      </c>
      <c r="I16" s="1">
        <f>+I3</f>
        <v>320000</v>
      </c>
    </row>
    <row r="17" spans="7:9" x14ac:dyDescent="0.25">
      <c r="H17" s="1" t="s">
        <v>141</v>
      </c>
      <c r="I17" s="1">
        <f>+I16+I15</f>
        <v>420000</v>
      </c>
    </row>
    <row r="19" spans="7:9" x14ac:dyDescent="0.25">
      <c r="H19" s="1" t="s">
        <v>380</v>
      </c>
      <c r="I19" s="1">
        <f>I17/I12</f>
        <v>10.5</v>
      </c>
    </row>
    <row r="20" spans="7:9" x14ac:dyDescent="0.25">
      <c r="H20" s="1" t="s">
        <v>418</v>
      </c>
      <c r="I20" s="1">
        <f>I15/I12</f>
        <v>2.5</v>
      </c>
    </row>
    <row r="21" spans="7:9" x14ac:dyDescent="0.25">
      <c r="H21" s="1" t="s">
        <v>419</v>
      </c>
      <c r="I21" s="1">
        <f>I16/I12</f>
        <v>8</v>
      </c>
    </row>
    <row r="24" spans="7:9" x14ac:dyDescent="0.25">
      <c r="G24" s="1" t="s">
        <v>286</v>
      </c>
      <c r="H24" s="1" t="s">
        <v>449</v>
      </c>
      <c r="I24" s="2">
        <v>50000</v>
      </c>
    </row>
    <row r="27" spans="7:9" x14ac:dyDescent="0.25">
      <c r="H27" s="1" t="s">
        <v>15</v>
      </c>
      <c r="I27" s="1">
        <f>J8*I24</f>
        <v>125000</v>
      </c>
    </row>
    <row r="28" spans="7:9" x14ac:dyDescent="0.25">
      <c r="H28" s="1" t="s">
        <v>373</v>
      </c>
      <c r="I28" s="1">
        <f>+I3</f>
        <v>320000</v>
      </c>
    </row>
    <row r="29" spans="7:9" x14ac:dyDescent="0.25">
      <c r="H29" s="1" t="s">
        <v>141</v>
      </c>
      <c r="I29" s="1">
        <f>+I28+I27</f>
        <v>445000</v>
      </c>
    </row>
    <row r="31" spans="7:9" x14ac:dyDescent="0.25">
      <c r="H31" s="1" t="s">
        <v>380</v>
      </c>
      <c r="I31" s="1">
        <f>I29/I24</f>
        <v>8.9</v>
      </c>
    </row>
    <row r="32" spans="7:9" x14ac:dyDescent="0.25">
      <c r="H32" s="1" t="s">
        <v>418</v>
      </c>
      <c r="I32" s="1">
        <f>I27/I24</f>
        <v>2.5</v>
      </c>
    </row>
    <row r="33" spans="7:11" x14ac:dyDescent="0.25">
      <c r="H33" s="1" t="s">
        <v>419</v>
      </c>
      <c r="I33" s="1">
        <f>I28/I24</f>
        <v>6.4</v>
      </c>
    </row>
    <row r="36" spans="7:11" x14ac:dyDescent="0.25">
      <c r="G36" s="1" t="s">
        <v>288</v>
      </c>
      <c r="H36" s="79" t="s">
        <v>452</v>
      </c>
      <c r="I36" s="79" t="s">
        <v>45</v>
      </c>
      <c r="J36" s="79" t="s">
        <v>46</v>
      </c>
      <c r="K36" s="79" t="s">
        <v>49</v>
      </c>
    </row>
    <row r="37" spans="7:11" x14ac:dyDescent="0.25">
      <c r="H37" s="1" t="s">
        <v>34</v>
      </c>
      <c r="I37" s="1">
        <v>3</v>
      </c>
      <c r="J37" s="1">
        <v>5</v>
      </c>
      <c r="K37" s="1">
        <f>+J37*I37</f>
        <v>15</v>
      </c>
    </row>
    <row r="38" spans="7:11" x14ac:dyDescent="0.25">
      <c r="H38" s="1" t="s">
        <v>2</v>
      </c>
      <c r="I38" s="1">
        <f>I6</f>
        <v>2.5</v>
      </c>
      <c r="J38" s="1">
        <f>J6</f>
        <v>20</v>
      </c>
      <c r="K38" s="1">
        <f>+J38*I38</f>
        <v>50</v>
      </c>
    </row>
    <row r="39" spans="7:11" x14ac:dyDescent="0.25">
      <c r="H39" s="1" t="s">
        <v>15</v>
      </c>
      <c r="I39" s="1">
        <f>I8</f>
        <v>2.5</v>
      </c>
      <c r="J39" s="1">
        <f>J8</f>
        <v>2.5</v>
      </c>
      <c r="K39" s="1">
        <f>+J39*I39</f>
        <v>6.25</v>
      </c>
    </row>
    <row r="40" spans="7:11" x14ac:dyDescent="0.25">
      <c r="H40" s="1" t="s">
        <v>373</v>
      </c>
      <c r="I40" s="1">
        <f>I39</f>
        <v>2.5</v>
      </c>
      <c r="J40" s="1">
        <f>I21</f>
        <v>8</v>
      </c>
      <c r="K40" s="1">
        <f>+J40*I40</f>
        <v>20</v>
      </c>
    </row>
    <row r="41" spans="7:11" ht="13.8" thickBot="1" x14ac:dyDescent="0.3">
      <c r="H41" s="33" t="s">
        <v>270</v>
      </c>
      <c r="I41" s="27"/>
      <c r="J41" s="27"/>
      <c r="K41" s="27">
        <f>SUM(K37:K40)</f>
        <v>91.25</v>
      </c>
    </row>
    <row r="42" spans="7:11" ht="13.8" thickTop="1" x14ac:dyDescent="0.25"/>
    <row r="44" spans="7:11" x14ac:dyDescent="0.25">
      <c r="H44" s="79" t="s">
        <v>453</v>
      </c>
      <c r="I44" s="79" t="s">
        <v>45</v>
      </c>
      <c r="J44" s="79" t="s">
        <v>46</v>
      </c>
      <c r="K44" s="79" t="s">
        <v>49</v>
      </c>
    </row>
    <row r="45" spans="7:11" x14ac:dyDescent="0.25">
      <c r="H45" s="1" t="s">
        <v>34</v>
      </c>
      <c r="I45" s="1">
        <v>3</v>
      </c>
      <c r="J45" s="1">
        <v>5</v>
      </c>
      <c r="K45" s="1">
        <f>+J45*I45</f>
        <v>15</v>
      </c>
    </row>
    <row r="46" spans="7:11" x14ac:dyDescent="0.25">
      <c r="H46" s="1" t="s">
        <v>2</v>
      </c>
      <c r="I46" s="1">
        <f>I6</f>
        <v>2.5</v>
      </c>
      <c r="J46" s="1">
        <f>J6</f>
        <v>20</v>
      </c>
      <c r="K46" s="1">
        <f>+J46*I46</f>
        <v>50</v>
      </c>
    </row>
    <row r="47" spans="7:11" x14ac:dyDescent="0.25">
      <c r="H47" s="1" t="s">
        <v>15</v>
      </c>
      <c r="I47" s="1">
        <f>I46</f>
        <v>2.5</v>
      </c>
      <c r="J47" s="1">
        <f>I32</f>
        <v>2.5</v>
      </c>
      <c r="K47" s="1">
        <f>+J47*I47</f>
        <v>6.25</v>
      </c>
    </row>
    <row r="48" spans="7:11" x14ac:dyDescent="0.25">
      <c r="H48" s="1" t="s">
        <v>373</v>
      </c>
      <c r="I48" s="1">
        <f>I47</f>
        <v>2.5</v>
      </c>
      <c r="J48" s="1">
        <f>I33</f>
        <v>6.4</v>
      </c>
      <c r="K48" s="1">
        <f>+J48*I48</f>
        <v>16</v>
      </c>
    </row>
    <row r="49" spans="7:11" ht="13.8" thickBot="1" x14ac:dyDescent="0.3">
      <c r="H49" s="33" t="s">
        <v>270</v>
      </c>
      <c r="I49" s="27"/>
      <c r="J49" s="27"/>
      <c r="K49" s="27">
        <f>SUM(K45:K48)</f>
        <v>87.25</v>
      </c>
    </row>
    <row r="50" spans="7:11" ht="13.8" thickTop="1" x14ac:dyDescent="0.25"/>
    <row r="52" spans="7:11" x14ac:dyDescent="0.25">
      <c r="G52" s="1" t="s">
        <v>302</v>
      </c>
      <c r="H52" s="1" t="s">
        <v>166</v>
      </c>
      <c r="I52" s="2">
        <v>48000</v>
      </c>
    </row>
    <row r="53" spans="7:11" x14ac:dyDescent="0.25">
      <c r="H53" s="1" t="s">
        <v>39</v>
      </c>
      <c r="I53" s="2">
        <v>18500</v>
      </c>
    </row>
    <row r="55" spans="7:11" x14ac:dyDescent="0.25">
      <c r="H55" s="1" t="s">
        <v>422</v>
      </c>
      <c r="I55" s="1">
        <v>124800</v>
      </c>
    </row>
    <row r="56" spans="7:11" x14ac:dyDescent="0.25">
      <c r="H56" s="1" t="s">
        <v>401</v>
      </c>
      <c r="I56" s="55">
        <v>321700</v>
      </c>
    </row>
    <row r="57" spans="7:11" x14ac:dyDescent="0.25">
      <c r="H57" s="1" t="s">
        <v>398</v>
      </c>
      <c r="I57" s="1">
        <f>SUM(I55:I56)</f>
        <v>446500</v>
      </c>
    </row>
    <row r="59" spans="7:11" x14ac:dyDescent="0.25">
      <c r="G59" s="82" t="s">
        <v>454</v>
      </c>
      <c r="H59" s="1" t="s">
        <v>439</v>
      </c>
      <c r="I59" s="2">
        <f>+I6*I53</f>
        <v>46250</v>
      </c>
    </row>
    <row r="61" spans="7:11" x14ac:dyDescent="0.25">
      <c r="G61" s="82" t="s">
        <v>455</v>
      </c>
    </row>
    <row r="62" spans="7:11" x14ac:dyDescent="0.25">
      <c r="J62" s="116" t="s">
        <v>141</v>
      </c>
      <c r="K62" s="116"/>
    </row>
    <row r="63" spans="7:11" x14ac:dyDescent="0.25">
      <c r="J63" s="94">
        <v>446500</v>
      </c>
      <c r="K63" s="58">
        <f>I19*I59</f>
        <v>485625</v>
      </c>
    </row>
    <row r="64" spans="7:11" x14ac:dyDescent="0.25">
      <c r="J64" s="22"/>
      <c r="K64" s="3">
        <f>+K63-J63</f>
        <v>39125</v>
      </c>
    </row>
    <row r="65" spans="7:11" x14ac:dyDescent="0.25">
      <c r="J65" s="22"/>
      <c r="K65" s="3"/>
    </row>
    <row r="66" spans="7:11" x14ac:dyDescent="0.25">
      <c r="J66" s="22"/>
      <c r="K66" s="3" t="s">
        <v>456</v>
      </c>
    </row>
    <row r="67" spans="7:11" x14ac:dyDescent="0.25">
      <c r="H67" s="14"/>
      <c r="I67" s="14"/>
    </row>
    <row r="68" spans="7:11" x14ac:dyDescent="0.25">
      <c r="H68" s="14"/>
      <c r="I68" s="14"/>
    </row>
    <row r="69" spans="7:11" x14ac:dyDescent="0.25">
      <c r="G69" s="82" t="s">
        <v>457</v>
      </c>
      <c r="H69" s="97" t="s">
        <v>15</v>
      </c>
      <c r="I69" s="97"/>
    </row>
    <row r="70" spans="7:11" x14ac:dyDescent="0.25">
      <c r="H70" s="1" t="s">
        <v>429</v>
      </c>
      <c r="I70" s="2"/>
    </row>
    <row r="71" spans="7:11" x14ac:dyDescent="0.25">
      <c r="H71" s="1" t="s">
        <v>430</v>
      </c>
      <c r="I71" s="1">
        <f>I55</f>
        <v>124800</v>
      </c>
    </row>
    <row r="72" spans="7:11" x14ac:dyDescent="0.25">
      <c r="H72" s="1" t="s">
        <v>431</v>
      </c>
      <c r="I72" s="1">
        <f>I52*J47</f>
        <v>120000</v>
      </c>
    </row>
    <row r="73" spans="7:11" x14ac:dyDescent="0.25">
      <c r="H73" s="1" t="s">
        <v>316</v>
      </c>
      <c r="I73" s="1">
        <f>+I71-I72</f>
        <v>4800</v>
      </c>
    </row>
    <row r="75" spans="7:11" x14ac:dyDescent="0.25">
      <c r="H75" s="1" t="s">
        <v>432</v>
      </c>
    </row>
    <row r="76" spans="7:11" x14ac:dyDescent="0.25">
      <c r="H76" s="1" t="s">
        <v>433</v>
      </c>
      <c r="I76" s="1">
        <f>I72</f>
        <v>120000</v>
      </c>
    </row>
    <row r="77" spans="7:11" x14ac:dyDescent="0.25">
      <c r="H77" s="1" t="s">
        <v>434</v>
      </c>
      <c r="I77" s="1">
        <f>J47*I59</f>
        <v>115625</v>
      </c>
    </row>
    <row r="78" spans="7:11" x14ac:dyDescent="0.25">
      <c r="H78" s="1" t="s">
        <v>435</v>
      </c>
      <c r="I78" s="1">
        <f>+I76-I77</f>
        <v>4375</v>
      </c>
    </row>
    <row r="80" spans="7:11" x14ac:dyDescent="0.25">
      <c r="H80" s="1" t="s">
        <v>436</v>
      </c>
      <c r="I80" s="1">
        <f>+I73+I78</f>
        <v>9175</v>
      </c>
    </row>
    <row r="82" spans="8:9" x14ac:dyDescent="0.25">
      <c r="H82" s="97" t="s">
        <v>373</v>
      </c>
      <c r="I82" s="97"/>
    </row>
    <row r="83" spans="8:9" x14ac:dyDescent="0.25">
      <c r="H83" s="1" t="s">
        <v>403</v>
      </c>
      <c r="I83" s="1">
        <f>I56-I3</f>
        <v>1700</v>
      </c>
    </row>
    <row r="85" spans="8:9" x14ac:dyDescent="0.25">
      <c r="H85" s="1" t="s">
        <v>404</v>
      </c>
      <c r="I85" s="1">
        <f>I3-(I21*I59)</f>
        <v>-50000</v>
      </c>
    </row>
    <row r="88" spans="8:9" x14ac:dyDescent="0.25">
      <c r="H88" s="106" t="s">
        <v>393</v>
      </c>
      <c r="I88" s="107"/>
    </row>
    <row r="89" spans="8:9" x14ac:dyDescent="0.25">
      <c r="H89" s="9" t="s">
        <v>390</v>
      </c>
      <c r="I89" s="12">
        <f>I78</f>
        <v>4375</v>
      </c>
    </row>
    <row r="90" spans="8:9" x14ac:dyDescent="0.25">
      <c r="H90" s="13" t="s">
        <v>392</v>
      </c>
      <c r="I90" s="15">
        <f>I73</f>
        <v>4800</v>
      </c>
    </row>
    <row r="91" spans="8:9" x14ac:dyDescent="0.25">
      <c r="H91" s="13" t="s">
        <v>386</v>
      </c>
      <c r="I91" s="15">
        <f>I83</f>
        <v>1700</v>
      </c>
    </row>
    <row r="92" spans="8:9" x14ac:dyDescent="0.25">
      <c r="H92" s="13" t="s">
        <v>385</v>
      </c>
      <c r="I92" s="15">
        <f>I85</f>
        <v>-50000</v>
      </c>
    </row>
    <row r="93" spans="8:9" x14ac:dyDescent="0.25">
      <c r="H93" s="23" t="s">
        <v>55</v>
      </c>
      <c r="I93" s="25">
        <f>SUM(I89:I92)</f>
        <v>-39125</v>
      </c>
    </row>
    <row r="96" spans="8:9" x14ac:dyDescent="0.25">
      <c r="H96" s="1" t="s">
        <v>55</v>
      </c>
      <c r="I96" s="1">
        <f>SUM(I51,I67,I93)</f>
        <v>-39125</v>
      </c>
    </row>
    <row r="100" spans="8:11" x14ac:dyDescent="0.25">
      <c r="H100" s="109" t="s">
        <v>458</v>
      </c>
      <c r="I100" s="109"/>
      <c r="J100" s="109"/>
      <c r="K100" s="109"/>
    </row>
    <row r="101" spans="8:11" x14ac:dyDescent="0.25">
      <c r="H101" s="109"/>
      <c r="I101" s="109"/>
      <c r="J101" s="109"/>
      <c r="K101" s="109"/>
    </row>
    <row r="102" spans="8:11" x14ac:dyDescent="0.25">
      <c r="H102" s="109"/>
      <c r="I102" s="109"/>
      <c r="J102" s="109"/>
      <c r="K102" s="109"/>
    </row>
    <row r="103" spans="8:11" x14ac:dyDescent="0.25">
      <c r="H103" s="109"/>
      <c r="I103" s="109"/>
      <c r="J103" s="109"/>
      <c r="K103" s="109"/>
    </row>
    <row r="104" spans="8:11" x14ac:dyDescent="0.25">
      <c r="H104" s="109"/>
      <c r="I104" s="109"/>
      <c r="J104" s="109"/>
      <c r="K104" s="109"/>
    </row>
    <row r="105" spans="8:11" x14ac:dyDescent="0.25">
      <c r="H105" s="109"/>
      <c r="I105" s="109"/>
      <c r="J105" s="109"/>
      <c r="K105" s="109"/>
    </row>
    <row r="106" spans="8:11" x14ac:dyDescent="0.25">
      <c r="H106" s="109"/>
      <c r="I106" s="109"/>
      <c r="J106" s="109"/>
      <c r="K106" s="109"/>
    </row>
    <row r="107" spans="8:11" x14ac:dyDescent="0.25">
      <c r="H107" s="109"/>
      <c r="I107" s="109"/>
      <c r="J107" s="109"/>
      <c r="K107" s="109"/>
    </row>
    <row r="108" spans="8:11" x14ac:dyDescent="0.25">
      <c r="H108" s="109"/>
      <c r="I108" s="109"/>
      <c r="J108" s="109"/>
      <c r="K108" s="109"/>
    </row>
    <row r="109" spans="8:11" x14ac:dyDescent="0.25">
      <c r="H109" s="109"/>
      <c r="I109" s="109"/>
      <c r="J109" s="109"/>
      <c r="K109" s="109"/>
    </row>
    <row r="110" spans="8:11" x14ac:dyDescent="0.25">
      <c r="H110" s="109"/>
      <c r="I110" s="109"/>
      <c r="J110" s="109"/>
      <c r="K110" s="109"/>
    </row>
    <row r="111" spans="8:11" x14ac:dyDescent="0.25">
      <c r="H111" s="109"/>
      <c r="I111" s="109"/>
      <c r="J111" s="109"/>
      <c r="K111" s="109"/>
    </row>
    <row r="112" spans="8:11" x14ac:dyDescent="0.25">
      <c r="H112" s="109"/>
      <c r="I112" s="109"/>
      <c r="J112" s="109"/>
      <c r="K112" s="109"/>
    </row>
    <row r="113" spans="8:11" x14ac:dyDescent="0.25">
      <c r="H113" s="109"/>
      <c r="I113" s="109"/>
      <c r="J113" s="109"/>
      <c r="K113" s="109"/>
    </row>
    <row r="114" spans="8:11" x14ac:dyDescent="0.25">
      <c r="H114" s="109"/>
      <c r="I114" s="109"/>
      <c r="J114" s="109"/>
      <c r="K114" s="109"/>
    </row>
  </sheetData>
  <mergeCells count="5">
    <mergeCell ref="J62:K62"/>
    <mergeCell ref="H69:I69"/>
    <mergeCell ref="H82:I82"/>
    <mergeCell ref="H88:I88"/>
    <mergeCell ref="H100:K114"/>
  </mergeCells>
  <pageMargins left="0.75" right="0.75" top="1" bottom="1" header="0.5" footer="0.5"/>
  <pageSetup paperSize="9" orientation="portrait" horizontalDpi="4294967292" verticalDpi="429496729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H2:Q45"/>
  <sheetViews>
    <sheetView showGridLines="0" zoomScale="160" zoomScaleNormal="160" zoomScalePageLayoutView="160" workbookViewId="0">
      <selection activeCell="I46" sqref="I46:K46"/>
    </sheetView>
  </sheetViews>
  <sheetFormatPr defaultColWidth="10.8984375" defaultRowHeight="13.2" x14ac:dyDescent="0.25"/>
  <cols>
    <col min="1" max="8" width="10.8984375" style="1"/>
    <col min="9" max="9" width="27.3984375" style="1" bestFit="1" customWidth="1"/>
    <col min="10" max="10" width="16.09765625" style="1" customWidth="1"/>
    <col min="11" max="16384" width="10.8984375" style="1"/>
  </cols>
  <sheetData>
    <row r="2" spans="8:17" x14ac:dyDescent="0.25">
      <c r="I2" s="1" t="s">
        <v>459</v>
      </c>
      <c r="J2" s="2">
        <v>18000</v>
      </c>
    </row>
    <row r="3" spans="8:17" x14ac:dyDescent="0.25">
      <c r="L3" s="116" t="s">
        <v>141</v>
      </c>
      <c r="M3" s="116"/>
    </row>
    <row r="4" spans="8:17" x14ac:dyDescent="0.25">
      <c r="I4" s="1" t="s">
        <v>15</v>
      </c>
      <c r="J4" s="1">
        <v>31500</v>
      </c>
      <c r="L4" s="94">
        <v>96500</v>
      </c>
      <c r="M4" s="58">
        <v>92000</v>
      </c>
    </row>
    <row r="5" spans="8:17" x14ac:dyDescent="0.25">
      <c r="I5" s="1" t="s">
        <v>373</v>
      </c>
      <c r="J5" s="1">
        <v>72000</v>
      </c>
      <c r="L5" s="22">
        <f>+L4-M4</f>
        <v>4500</v>
      </c>
      <c r="M5" s="3"/>
    </row>
    <row r="6" spans="8:17" x14ac:dyDescent="0.25">
      <c r="I6" s="1" t="s">
        <v>398</v>
      </c>
      <c r="J6" s="1">
        <f>+J5+J4</f>
        <v>103500</v>
      </c>
      <c r="L6" s="22"/>
      <c r="M6" s="3"/>
    </row>
    <row r="8" spans="8:17" x14ac:dyDescent="0.25">
      <c r="I8" s="1" t="s">
        <v>421</v>
      </c>
      <c r="J8" s="2">
        <v>15000</v>
      </c>
    </row>
    <row r="9" spans="8:17" x14ac:dyDescent="0.25">
      <c r="I9" s="1" t="s">
        <v>427</v>
      </c>
      <c r="J9" s="2">
        <v>16000</v>
      </c>
    </row>
    <row r="10" spans="8:17" x14ac:dyDescent="0.25">
      <c r="I10" s="1" t="s">
        <v>422</v>
      </c>
      <c r="J10" s="1">
        <v>26500</v>
      </c>
    </row>
    <row r="11" spans="8:17" x14ac:dyDescent="0.25">
      <c r="I11" s="1" t="s">
        <v>401</v>
      </c>
      <c r="J11" s="1">
        <v>70000</v>
      </c>
    </row>
    <row r="12" spans="8:17" x14ac:dyDescent="0.25">
      <c r="L12" s="109" t="s">
        <v>460</v>
      </c>
      <c r="M12" s="110"/>
      <c r="N12" s="110"/>
      <c r="O12" s="110"/>
      <c r="P12" s="110"/>
      <c r="Q12" s="110"/>
    </row>
    <row r="13" spans="8:17" x14ac:dyDescent="0.25">
      <c r="L13" s="110"/>
      <c r="M13" s="110"/>
      <c r="N13" s="110"/>
      <c r="O13" s="110"/>
      <c r="P13" s="110"/>
      <c r="Q13" s="110"/>
    </row>
    <row r="14" spans="8:17" x14ac:dyDescent="0.25">
      <c r="H14" s="3" t="s">
        <v>282</v>
      </c>
      <c r="I14" s="1" t="s">
        <v>380</v>
      </c>
      <c r="J14" s="1">
        <f>J6/J2</f>
        <v>5.75</v>
      </c>
      <c r="L14" s="110"/>
      <c r="M14" s="110"/>
      <c r="N14" s="110"/>
      <c r="O14" s="110"/>
      <c r="P14" s="110"/>
      <c r="Q14" s="110"/>
    </row>
    <row r="15" spans="8:17" x14ac:dyDescent="0.25">
      <c r="I15" s="1" t="s">
        <v>418</v>
      </c>
      <c r="J15" s="1">
        <f>J4/J2</f>
        <v>1.75</v>
      </c>
      <c r="L15" s="110"/>
      <c r="M15" s="110"/>
      <c r="N15" s="110"/>
      <c r="O15" s="110"/>
      <c r="P15" s="110"/>
      <c r="Q15" s="110"/>
    </row>
    <row r="16" spans="8:17" x14ac:dyDescent="0.25">
      <c r="I16" s="1" t="s">
        <v>419</v>
      </c>
      <c r="J16" s="1">
        <f>J5/J2</f>
        <v>4</v>
      </c>
      <c r="L16" s="110"/>
      <c r="M16" s="110"/>
      <c r="N16" s="110"/>
      <c r="O16" s="110"/>
      <c r="P16" s="110"/>
      <c r="Q16" s="110"/>
    </row>
    <row r="17" spans="8:17" x14ac:dyDescent="0.25">
      <c r="L17" s="110"/>
      <c r="M17" s="110"/>
      <c r="N17" s="110"/>
      <c r="O17" s="110"/>
      <c r="P17" s="110"/>
      <c r="Q17" s="110"/>
    </row>
    <row r="18" spans="8:17" x14ac:dyDescent="0.25">
      <c r="H18" s="3" t="s">
        <v>286</v>
      </c>
      <c r="I18" s="1" t="s">
        <v>399</v>
      </c>
      <c r="J18" s="1">
        <f>+J9*J14</f>
        <v>92000</v>
      </c>
      <c r="L18" s="110"/>
      <c r="M18" s="110"/>
      <c r="N18" s="110"/>
      <c r="O18" s="110"/>
      <c r="P18" s="110"/>
      <c r="Q18" s="110"/>
    </row>
    <row r="19" spans="8:17" x14ac:dyDescent="0.25">
      <c r="L19" s="110"/>
      <c r="M19" s="110"/>
      <c r="N19" s="110"/>
      <c r="O19" s="110"/>
      <c r="P19" s="110"/>
      <c r="Q19" s="110"/>
    </row>
    <row r="20" spans="8:17" x14ac:dyDescent="0.25">
      <c r="H20" s="3" t="s">
        <v>288</v>
      </c>
      <c r="I20" s="1" t="s">
        <v>429</v>
      </c>
      <c r="J20" s="2"/>
      <c r="L20" s="110"/>
      <c r="M20" s="110"/>
      <c r="N20" s="110"/>
      <c r="O20" s="110"/>
      <c r="P20" s="110"/>
      <c r="Q20" s="110"/>
    </row>
    <row r="21" spans="8:17" x14ac:dyDescent="0.25">
      <c r="I21" s="1" t="s">
        <v>430</v>
      </c>
      <c r="J21" s="1">
        <f>J10</f>
        <v>26500</v>
      </c>
      <c r="L21" s="110"/>
      <c r="M21" s="110"/>
      <c r="N21" s="110"/>
      <c r="O21" s="110"/>
      <c r="P21" s="110"/>
      <c r="Q21" s="110"/>
    </row>
    <row r="22" spans="8:17" x14ac:dyDescent="0.25">
      <c r="I22" s="1" t="s">
        <v>431</v>
      </c>
      <c r="J22" s="1">
        <f>J15*J8</f>
        <v>26250</v>
      </c>
      <c r="L22" s="110"/>
      <c r="M22" s="110"/>
      <c r="N22" s="110"/>
      <c r="O22" s="110"/>
      <c r="P22" s="110"/>
      <c r="Q22" s="110"/>
    </row>
    <row r="23" spans="8:17" x14ac:dyDescent="0.25">
      <c r="I23" s="1" t="s">
        <v>316</v>
      </c>
      <c r="J23" s="1">
        <f>+J21-J22</f>
        <v>250</v>
      </c>
      <c r="L23" s="110"/>
      <c r="M23" s="110"/>
      <c r="N23" s="110"/>
      <c r="O23" s="110"/>
      <c r="P23" s="110"/>
      <c r="Q23" s="110"/>
    </row>
    <row r="24" spans="8:17" x14ac:dyDescent="0.25">
      <c r="L24" s="110"/>
      <c r="M24" s="110"/>
      <c r="N24" s="110"/>
      <c r="O24" s="110"/>
      <c r="P24" s="110"/>
      <c r="Q24" s="110"/>
    </row>
    <row r="25" spans="8:17" x14ac:dyDescent="0.25">
      <c r="I25" s="1" t="s">
        <v>432</v>
      </c>
      <c r="L25" s="110"/>
      <c r="M25" s="110"/>
      <c r="N25" s="110"/>
      <c r="O25" s="110"/>
      <c r="P25" s="110"/>
      <c r="Q25" s="110"/>
    </row>
    <row r="26" spans="8:17" x14ac:dyDescent="0.25">
      <c r="I26" s="1" t="s">
        <v>433</v>
      </c>
      <c r="J26" s="1">
        <f>J22</f>
        <v>26250</v>
      </c>
      <c r="L26" s="110"/>
      <c r="M26" s="110"/>
      <c r="N26" s="110"/>
      <c r="O26" s="110"/>
      <c r="P26" s="110"/>
      <c r="Q26" s="110"/>
    </row>
    <row r="27" spans="8:17" x14ac:dyDescent="0.25">
      <c r="I27" s="1" t="s">
        <v>434</v>
      </c>
      <c r="J27" s="1">
        <f>J15*J9</f>
        <v>28000</v>
      </c>
      <c r="L27" s="110"/>
      <c r="M27" s="110"/>
      <c r="N27" s="110"/>
      <c r="O27" s="110"/>
      <c r="P27" s="110"/>
      <c r="Q27" s="110"/>
    </row>
    <row r="28" spans="8:17" x14ac:dyDescent="0.25">
      <c r="I28" s="1" t="s">
        <v>435</v>
      </c>
      <c r="J28" s="1">
        <f>+J26-J27</f>
        <v>-1750</v>
      </c>
      <c r="L28" s="110"/>
      <c r="M28" s="110"/>
      <c r="N28" s="110"/>
      <c r="O28" s="110"/>
      <c r="P28" s="110"/>
      <c r="Q28" s="110"/>
    </row>
    <row r="29" spans="8:17" x14ac:dyDescent="0.25">
      <c r="L29" s="110"/>
      <c r="M29" s="110"/>
      <c r="N29" s="110"/>
      <c r="O29" s="110"/>
      <c r="P29" s="110"/>
      <c r="Q29" s="110"/>
    </row>
    <row r="30" spans="8:17" x14ac:dyDescent="0.25">
      <c r="I30" s="1" t="s">
        <v>436</v>
      </c>
      <c r="J30" s="1">
        <f>+J23+J28</f>
        <v>-1500</v>
      </c>
      <c r="L30" s="110"/>
      <c r="M30" s="110"/>
      <c r="N30" s="110"/>
      <c r="O30" s="110"/>
      <c r="P30" s="110"/>
      <c r="Q30" s="110"/>
    </row>
    <row r="31" spans="8:17" x14ac:dyDescent="0.25">
      <c r="L31" s="110"/>
      <c r="M31" s="110"/>
      <c r="N31" s="110"/>
      <c r="O31" s="110"/>
      <c r="P31" s="110"/>
      <c r="Q31" s="110"/>
    </row>
    <row r="32" spans="8:17" x14ac:dyDescent="0.25">
      <c r="I32" s="97" t="s">
        <v>373</v>
      </c>
      <c r="J32" s="97"/>
      <c r="L32" s="110"/>
      <c r="M32" s="110"/>
      <c r="N32" s="110"/>
      <c r="O32" s="110"/>
      <c r="P32" s="110"/>
      <c r="Q32" s="110"/>
    </row>
    <row r="33" spans="9:17" x14ac:dyDescent="0.25">
      <c r="I33" s="1" t="s">
        <v>403</v>
      </c>
      <c r="J33" s="1">
        <f>J11-J5</f>
        <v>-2000</v>
      </c>
      <c r="L33" s="110"/>
      <c r="M33" s="110"/>
      <c r="N33" s="110"/>
      <c r="O33" s="110"/>
      <c r="P33" s="110"/>
      <c r="Q33" s="110"/>
    </row>
    <row r="34" spans="9:17" x14ac:dyDescent="0.25">
      <c r="L34" s="110"/>
      <c r="M34" s="110"/>
      <c r="N34" s="110"/>
      <c r="O34" s="110"/>
      <c r="P34" s="110"/>
      <c r="Q34" s="110"/>
    </row>
    <row r="35" spans="9:17" x14ac:dyDescent="0.25">
      <c r="I35" s="1" t="s">
        <v>404</v>
      </c>
      <c r="J35" s="1">
        <f>+J5-(J16*J9)</f>
        <v>8000</v>
      </c>
      <c r="L35" s="110"/>
      <c r="M35" s="110"/>
      <c r="N35" s="110"/>
      <c r="O35" s="110"/>
      <c r="P35" s="110"/>
      <c r="Q35" s="110"/>
    </row>
    <row r="36" spans="9:17" x14ac:dyDescent="0.25">
      <c r="L36" s="110"/>
      <c r="M36" s="110"/>
      <c r="N36" s="110"/>
      <c r="O36" s="110"/>
      <c r="P36" s="110"/>
      <c r="Q36" s="110"/>
    </row>
    <row r="37" spans="9:17" x14ac:dyDescent="0.25">
      <c r="L37" s="110"/>
      <c r="M37" s="110"/>
      <c r="N37" s="110"/>
      <c r="O37" s="110"/>
      <c r="P37" s="110"/>
      <c r="Q37" s="110"/>
    </row>
    <row r="38" spans="9:17" x14ac:dyDescent="0.25">
      <c r="I38" s="106" t="s">
        <v>393</v>
      </c>
      <c r="J38" s="107"/>
      <c r="L38" s="110"/>
      <c r="M38" s="110"/>
      <c r="N38" s="110"/>
      <c r="O38" s="110"/>
      <c r="P38" s="110"/>
      <c r="Q38" s="110"/>
    </row>
    <row r="39" spans="9:17" x14ac:dyDescent="0.25">
      <c r="I39" s="9" t="s">
        <v>390</v>
      </c>
      <c r="J39" s="12">
        <f>J28</f>
        <v>-1750</v>
      </c>
      <c r="L39" s="110"/>
      <c r="M39" s="110"/>
      <c r="N39" s="110"/>
      <c r="O39" s="110"/>
      <c r="P39" s="110"/>
      <c r="Q39" s="110"/>
    </row>
    <row r="40" spans="9:17" x14ac:dyDescent="0.25">
      <c r="I40" s="13" t="s">
        <v>392</v>
      </c>
      <c r="J40" s="15">
        <f>J23</f>
        <v>250</v>
      </c>
      <c r="L40" s="110"/>
      <c r="M40" s="110"/>
      <c r="N40" s="110"/>
      <c r="O40" s="110"/>
      <c r="P40" s="110"/>
      <c r="Q40" s="110"/>
    </row>
    <row r="41" spans="9:17" x14ac:dyDescent="0.25">
      <c r="I41" s="13" t="s">
        <v>386</v>
      </c>
      <c r="J41" s="15">
        <f>J33</f>
        <v>-2000</v>
      </c>
      <c r="L41" s="110"/>
      <c r="M41" s="110"/>
      <c r="N41" s="110"/>
      <c r="O41" s="110"/>
      <c r="P41" s="110"/>
      <c r="Q41" s="110"/>
    </row>
    <row r="42" spans="9:17" x14ac:dyDescent="0.25">
      <c r="I42" s="13" t="s">
        <v>385</v>
      </c>
      <c r="J42" s="15">
        <f>J35</f>
        <v>8000</v>
      </c>
      <c r="L42" s="110"/>
      <c r="M42" s="110"/>
      <c r="N42" s="110"/>
      <c r="O42" s="110"/>
      <c r="P42" s="110"/>
      <c r="Q42" s="110"/>
    </row>
    <row r="43" spans="9:17" x14ac:dyDescent="0.25">
      <c r="I43" s="23" t="s">
        <v>55</v>
      </c>
      <c r="J43" s="25">
        <f>SUM(J39:J42)</f>
        <v>4500</v>
      </c>
      <c r="L43" s="110"/>
      <c r="M43" s="110"/>
      <c r="N43" s="110"/>
      <c r="O43" s="110"/>
      <c r="P43" s="110"/>
      <c r="Q43" s="110"/>
    </row>
    <row r="44" spans="9:17" x14ac:dyDescent="0.25">
      <c r="L44" s="110"/>
      <c r="M44" s="110"/>
      <c r="N44" s="110"/>
      <c r="O44" s="110"/>
      <c r="P44" s="110"/>
      <c r="Q44" s="110"/>
    </row>
    <row r="45" spans="9:17" x14ac:dyDescent="0.25">
      <c r="L45" s="110"/>
      <c r="M45" s="110"/>
      <c r="N45" s="110"/>
      <c r="O45" s="110"/>
      <c r="P45" s="110"/>
      <c r="Q45" s="110"/>
    </row>
  </sheetData>
  <mergeCells count="4">
    <mergeCell ref="L3:M3"/>
    <mergeCell ref="I32:J32"/>
    <mergeCell ref="I38:J38"/>
    <mergeCell ref="L12:Q45"/>
  </mergeCells>
  <pageMargins left="0.75" right="0.75" top="1" bottom="1" header="0.5" footer="0.5"/>
  <pageSetup paperSize="9" orientation="portrait" horizontalDpi="4294967292" verticalDpi="4294967292"/>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H3:L61"/>
  <sheetViews>
    <sheetView showGridLines="0" zoomScale="145" zoomScaleNormal="145" zoomScalePageLayoutView="145" workbookViewId="0">
      <selection activeCell="J37" sqref="J37"/>
    </sheetView>
  </sheetViews>
  <sheetFormatPr defaultColWidth="10.8984375" defaultRowHeight="13.2" x14ac:dyDescent="0.25"/>
  <cols>
    <col min="1" max="8" width="10.8984375" style="1"/>
    <col min="9" max="9" width="27.3984375" style="1" bestFit="1" customWidth="1"/>
    <col min="10" max="16384" width="10.8984375" style="1"/>
  </cols>
  <sheetData>
    <row r="3" spans="9:12" x14ac:dyDescent="0.25">
      <c r="I3" s="79" t="s">
        <v>450</v>
      </c>
      <c r="J3" s="79" t="s">
        <v>45</v>
      </c>
      <c r="K3" s="79" t="s">
        <v>46</v>
      </c>
      <c r="L3" s="79" t="s">
        <v>49</v>
      </c>
    </row>
    <row r="4" spans="9:12" x14ac:dyDescent="0.25">
      <c r="I4" s="1" t="s">
        <v>43</v>
      </c>
      <c r="J4" s="1">
        <v>1.5</v>
      </c>
      <c r="K4" s="1">
        <v>12</v>
      </c>
      <c r="L4" s="1">
        <f>+K4*J4</f>
        <v>18</v>
      </c>
    </row>
    <row r="5" spans="9:12" x14ac:dyDescent="0.25">
      <c r="I5" s="1" t="s">
        <v>34</v>
      </c>
      <c r="J5" s="1">
        <v>4</v>
      </c>
      <c r="K5" s="1">
        <v>3</v>
      </c>
      <c r="L5" s="1">
        <f t="shared" ref="L5:L7" si="0">+K5*J5</f>
        <v>12</v>
      </c>
    </row>
    <row r="6" spans="9:12" x14ac:dyDescent="0.25">
      <c r="I6" s="1" t="s">
        <v>15</v>
      </c>
      <c r="J6" s="1">
        <v>1.5</v>
      </c>
      <c r="K6" s="1">
        <v>2</v>
      </c>
      <c r="L6" s="1">
        <f t="shared" si="0"/>
        <v>3</v>
      </c>
    </row>
    <row r="7" spans="9:12" x14ac:dyDescent="0.25">
      <c r="I7" s="1" t="s">
        <v>373</v>
      </c>
      <c r="J7" s="1">
        <f>J6</f>
        <v>1.5</v>
      </c>
      <c r="K7" s="1">
        <f>+J21</f>
        <v>6</v>
      </c>
      <c r="L7" s="1">
        <f t="shared" si="0"/>
        <v>9</v>
      </c>
    </row>
    <row r="8" spans="9:12" ht="13.8" thickBot="1" x14ac:dyDescent="0.3">
      <c r="I8" s="27" t="s">
        <v>451</v>
      </c>
      <c r="J8" s="27"/>
      <c r="K8" s="27"/>
      <c r="L8" s="27">
        <f>SUM(L4:L7)</f>
        <v>42</v>
      </c>
    </row>
    <row r="9" spans="9:12" ht="13.8" thickTop="1" x14ac:dyDescent="0.25"/>
    <row r="10" spans="9:12" x14ac:dyDescent="0.25">
      <c r="I10" s="1" t="s">
        <v>400</v>
      </c>
      <c r="J10" s="1">
        <v>180000</v>
      </c>
    </row>
    <row r="11" spans="9:12" x14ac:dyDescent="0.25">
      <c r="I11" s="1" t="s">
        <v>461</v>
      </c>
      <c r="J11" s="2">
        <v>30000</v>
      </c>
    </row>
    <row r="12" spans="9:12" x14ac:dyDescent="0.25">
      <c r="I12" s="1" t="s">
        <v>462</v>
      </c>
      <c r="J12" s="2">
        <v>20000</v>
      </c>
    </row>
    <row r="14" spans="9:12" x14ac:dyDescent="0.25">
      <c r="I14" s="1" t="s">
        <v>370</v>
      </c>
      <c r="J14" s="2">
        <v>22000</v>
      </c>
    </row>
    <row r="15" spans="9:12" x14ac:dyDescent="0.25">
      <c r="I15" s="1" t="s">
        <v>166</v>
      </c>
      <c r="J15" s="2">
        <v>35000</v>
      </c>
    </row>
    <row r="16" spans="9:12" x14ac:dyDescent="0.25">
      <c r="I16" s="1" t="s">
        <v>422</v>
      </c>
      <c r="J16" s="1">
        <v>63000</v>
      </c>
    </row>
    <row r="17" spans="8:11" x14ac:dyDescent="0.25">
      <c r="I17" s="1" t="s">
        <v>401</v>
      </c>
      <c r="J17" s="1">
        <v>181000</v>
      </c>
    </row>
    <row r="19" spans="8:11" x14ac:dyDescent="0.25">
      <c r="H19" s="3" t="s">
        <v>282</v>
      </c>
      <c r="I19" s="1" t="s">
        <v>380</v>
      </c>
      <c r="J19" s="1">
        <f>(J10+K6*J11)/J11</f>
        <v>8</v>
      </c>
    </row>
    <row r="20" spans="8:11" x14ac:dyDescent="0.25">
      <c r="I20" s="1" t="s">
        <v>418</v>
      </c>
      <c r="J20" s="1">
        <f>K6</f>
        <v>2</v>
      </c>
    </row>
    <row r="21" spans="8:11" x14ac:dyDescent="0.25">
      <c r="I21" s="1" t="s">
        <v>419</v>
      </c>
      <c r="J21" s="1">
        <f>J10/J11</f>
        <v>6</v>
      </c>
    </row>
    <row r="24" spans="8:11" x14ac:dyDescent="0.25">
      <c r="H24" s="3" t="s">
        <v>286</v>
      </c>
      <c r="I24" s="1" t="s">
        <v>463</v>
      </c>
    </row>
    <row r="25" spans="8:11" x14ac:dyDescent="0.25">
      <c r="H25" s="3"/>
    </row>
    <row r="27" spans="8:11" x14ac:dyDescent="0.25">
      <c r="H27" s="3" t="s">
        <v>464</v>
      </c>
      <c r="I27" s="1" t="s">
        <v>396</v>
      </c>
      <c r="J27" s="2">
        <f>J4*J14</f>
        <v>33000</v>
      </c>
    </row>
    <row r="29" spans="8:11" x14ac:dyDescent="0.25">
      <c r="H29" s="3" t="s">
        <v>465</v>
      </c>
      <c r="J29" s="116" t="s">
        <v>141</v>
      </c>
      <c r="K29" s="116"/>
    </row>
    <row r="30" spans="8:11" x14ac:dyDescent="0.25">
      <c r="J30" s="94">
        <f>J17+J16</f>
        <v>244000</v>
      </c>
      <c r="K30" s="58">
        <f>J19*J27</f>
        <v>264000</v>
      </c>
    </row>
    <row r="31" spans="8:11" x14ac:dyDescent="0.25">
      <c r="J31" s="22"/>
      <c r="K31" s="3">
        <f>+K30-J30</f>
        <v>20000</v>
      </c>
    </row>
    <row r="32" spans="8:11" x14ac:dyDescent="0.25">
      <c r="J32" s="22"/>
      <c r="K32" s="3" t="s">
        <v>466</v>
      </c>
    </row>
    <row r="33" spans="8:11" x14ac:dyDescent="0.25">
      <c r="J33" s="21"/>
      <c r="K33" s="3"/>
    </row>
    <row r="35" spans="8:11" x14ac:dyDescent="0.25">
      <c r="H35" s="80" t="s">
        <v>302</v>
      </c>
      <c r="I35" s="1" t="s">
        <v>429</v>
      </c>
      <c r="J35" s="2"/>
    </row>
    <row r="36" spans="8:11" x14ac:dyDescent="0.25">
      <c r="I36" s="1" t="s">
        <v>430</v>
      </c>
      <c r="J36" s="1">
        <f>J16</f>
        <v>63000</v>
      </c>
    </row>
    <row r="37" spans="8:11" x14ac:dyDescent="0.25">
      <c r="I37" s="1" t="s">
        <v>431</v>
      </c>
      <c r="J37" s="1">
        <f>J15*K6</f>
        <v>70000</v>
      </c>
    </row>
    <row r="38" spans="8:11" x14ac:dyDescent="0.25">
      <c r="I38" s="1" t="s">
        <v>316</v>
      </c>
      <c r="J38" s="1">
        <f>+J36-J37</f>
        <v>-7000</v>
      </c>
    </row>
    <row r="40" spans="8:11" x14ac:dyDescent="0.25">
      <c r="I40" s="1" t="s">
        <v>432</v>
      </c>
    </row>
    <row r="41" spans="8:11" x14ac:dyDescent="0.25">
      <c r="I41" s="1" t="s">
        <v>433</v>
      </c>
      <c r="J41" s="1">
        <f>J37</f>
        <v>70000</v>
      </c>
    </row>
    <row r="42" spans="8:11" x14ac:dyDescent="0.25">
      <c r="I42" s="1" t="s">
        <v>434</v>
      </c>
      <c r="J42" s="1">
        <f>K6*J27</f>
        <v>66000</v>
      </c>
    </row>
    <row r="43" spans="8:11" x14ac:dyDescent="0.25">
      <c r="I43" s="1" t="s">
        <v>435</v>
      </c>
      <c r="J43" s="1">
        <f>+J41-J42</f>
        <v>4000</v>
      </c>
    </row>
    <row r="45" spans="8:11" x14ac:dyDescent="0.25">
      <c r="I45" s="1" t="s">
        <v>436</v>
      </c>
      <c r="J45" s="1">
        <f>+J38+J43</f>
        <v>-3000</v>
      </c>
    </row>
    <row r="47" spans="8:11" x14ac:dyDescent="0.25">
      <c r="I47" s="97" t="s">
        <v>373</v>
      </c>
      <c r="J47" s="97"/>
    </row>
    <row r="48" spans="8:11" x14ac:dyDescent="0.25">
      <c r="I48" s="1" t="s">
        <v>403</v>
      </c>
      <c r="J48" s="1">
        <f>J17-J10</f>
        <v>1000</v>
      </c>
    </row>
    <row r="50" spans="9:10" x14ac:dyDescent="0.25">
      <c r="I50" s="1" t="s">
        <v>404</v>
      </c>
      <c r="J50" s="1">
        <f>J10-(J21*J27)</f>
        <v>-18000</v>
      </c>
    </row>
    <row r="53" spans="9:10" x14ac:dyDescent="0.25">
      <c r="I53" s="106" t="s">
        <v>393</v>
      </c>
      <c r="J53" s="107"/>
    </row>
    <row r="54" spans="9:10" x14ac:dyDescent="0.25">
      <c r="I54" s="9" t="s">
        <v>390</v>
      </c>
      <c r="J54" s="12">
        <f>J43</f>
        <v>4000</v>
      </c>
    </row>
    <row r="55" spans="9:10" x14ac:dyDescent="0.25">
      <c r="I55" s="13" t="s">
        <v>392</v>
      </c>
      <c r="J55" s="15">
        <f>J38</f>
        <v>-7000</v>
      </c>
    </row>
    <row r="56" spans="9:10" x14ac:dyDescent="0.25">
      <c r="I56" s="13" t="s">
        <v>386</v>
      </c>
      <c r="J56" s="15">
        <f>J48</f>
        <v>1000</v>
      </c>
    </row>
    <row r="57" spans="9:10" x14ac:dyDescent="0.25">
      <c r="I57" s="13" t="s">
        <v>385</v>
      </c>
      <c r="J57" s="15">
        <f>J50</f>
        <v>-18000</v>
      </c>
    </row>
    <row r="58" spans="9:10" x14ac:dyDescent="0.25">
      <c r="I58" s="23" t="s">
        <v>55</v>
      </c>
      <c r="J58" s="25">
        <f>SUM(J54:J57)</f>
        <v>-20000</v>
      </c>
    </row>
    <row r="61" spans="9:10" x14ac:dyDescent="0.25">
      <c r="I61" s="1" t="s">
        <v>467</v>
      </c>
    </row>
  </sheetData>
  <mergeCells count="3">
    <mergeCell ref="J29:K29"/>
    <mergeCell ref="I47:J47"/>
    <mergeCell ref="I53:J53"/>
  </mergeCells>
  <pageMargins left="0.75" right="0.75" top="1" bottom="1" header="0.5" footer="0.5"/>
  <pageSetup paperSize="9" orientation="portrait" horizontalDpi="4294967292" verticalDpi="4294967292"/>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I4:Q109"/>
  <sheetViews>
    <sheetView showGridLines="0" zoomScale="130" zoomScaleNormal="130" zoomScalePageLayoutView="130" workbookViewId="0">
      <selection activeCell="D66" sqref="D66"/>
    </sheetView>
  </sheetViews>
  <sheetFormatPr defaultColWidth="10.8984375" defaultRowHeight="13.2" x14ac:dyDescent="0.25"/>
  <cols>
    <col min="1" max="9" width="10.8984375" style="1"/>
    <col min="10" max="10" width="27.3984375" style="1" bestFit="1" customWidth="1"/>
    <col min="11" max="13" width="9.3984375" style="1" customWidth="1"/>
    <col min="14" max="16384" width="10.8984375" style="1"/>
  </cols>
  <sheetData>
    <row r="4" spans="10:13" x14ac:dyDescent="0.25">
      <c r="J4" s="1" t="s">
        <v>470</v>
      </c>
      <c r="K4" s="2">
        <v>9000</v>
      </c>
    </row>
    <row r="5" spans="10:13" x14ac:dyDescent="0.25">
      <c r="J5" s="1" t="s">
        <v>468</v>
      </c>
      <c r="K5" s="1">
        <v>34200</v>
      </c>
    </row>
    <row r="6" spans="10:13" x14ac:dyDescent="0.25">
      <c r="J6" s="1" t="s">
        <v>469</v>
      </c>
      <c r="K6" s="1">
        <v>63000</v>
      </c>
    </row>
    <row r="9" spans="10:13" x14ac:dyDescent="0.25">
      <c r="J9" s="79" t="s">
        <v>450</v>
      </c>
      <c r="K9" s="79" t="s">
        <v>45</v>
      </c>
      <c r="L9" s="79" t="s">
        <v>46</v>
      </c>
      <c r="M9" s="79" t="s">
        <v>49</v>
      </c>
    </row>
    <row r="10" spans="10:13" x14ac:dyDescent="0.25">
      <c r="J10" s="1" t="s">
        <v>34</v>
      </c>
      <c r="K10" s="1">
        <v>4</v>
      </c>
      <c r="L10" s="1">
        <v>2.6</v>
      </c>
      <c r="M10" s="1">
        <f>+L10*K10</f>
        <v>10.4</v>
      </c>
    </row>
    <row r="11" spans="10:13" x14ac:dyDescent="0.25">
      <c r="J11" s="1" t="s">
        <v>43</v>
      </c>
      <c r="K11" s="1">
        <v>2</v>
      </c>
      <c r="L11" s="1">
        <v>9</v>
      </c>
      <c r="M11" s="1">
        <f t="shared" ref="M11:M12" si="0">+L11*K11</f>
        <v>18</v>
      </c>
    </row>
    <row r="12" spans="10:13" x14ac:dyDescent="0.25">
      <c r="J12" s="1" t="s">
        <v>141</v>
      </c>
      <c r="K12" s="1">
        <v>2</v>
      </c>
      <c r="L12" s="1">
        <v>10.8</v>
      </c>
      <c r="M12" s="1">
        <f t="shared" si="0"/>
        <v>21.6</v>
      </c>
    </row>
    <row r="13" spans="10:13" ht="13.8" thickBot="1" x14ac:dyDescent="0.3">
      <c r="J13" s="27" t="s">
        <v>451</v>
      </c>
      <c r="K13" s="27"/>
      <c r="L13" s="27"/>
      <c r="M13" s="27">
        <f>SUM(M10:M12)</f>
        <v>50</v>
      </c>
    </row>
    <row r="14" spans="10:13" ht="13.8" thickTop="1" x14ac:dyDescent="0.25"/>
    <row r="16" spans="10:13" x14ac:dyDescent="0.25">
      <c r="J16" s="1" t="s">
        <v>370</v>
      </c>
      <c r="K16" s="2">
        <v>4800</v>
      </c>
    </row>
    <row r="20" spans="9:13" x14ac:dyDescent="0.25">
      <c r="J20" s="79" t="s">
        <v>34</v>
      </c>
      <c r="K20" s="79" t="s">
        <v>45</v>
      </c>
      <c r="L20" s="79" t="s">
        <v>46</v>
      </c>
      <c r="M20" s="79" t="s">
        <v>49</v>
      </c>
    </row>
    <row r="21" spans="9:13" x14ac:dyDescent="0.25">
      <c r="J21" s="1" t="s">
        <v>245</v>
      </c>
      <c r="K21" s="2">
        <v>30000</v>
      </c>
      <c r="L21" s="1">
        <v>2.5</v>
      </c>
      <c r="M21" s="1">
        <f>+L21*K21</f>
        <v>75000</v>
      </c>
    </row>
    <row r="22" spans="9:13" x14ac:dyDescent="0.25">
      <c r="J22" s="1" t="s">
        <v>194</v>
      </c>
      <c r="K22" s="2">
        <v>20000</v>
      </c>
    </row>
    <row r="24" spans="9:13" x14ac:dyDescent="0.25">
      <c r="J24" s="79" t="s">
        <v>2</v>
      </c>
      <c r="K24" s="79" t="s">
        <v>45</v>
      </c>
      <c r="L24" s="79" t="s">
        <v>46</v>
      </c>
      <c r="M24" s="79" t="s">
        <v>49</v>
      </c>
    </row>
    <row r="25" spans="9:13" x14ac:dyDescent="0.25">
      <c r="J25" s="1" t="s">
        <v>43</v>
      </c>
      <c r="K25" s="1">
        <v>10000</v>
      </c>
      <c r="L25" s="1">
        <v>8.6</v>
      </c>
      <c r="M25" s="1">
        <f>+L25*K25</f>
        <v>86000</v>
      </c>
    </row>
    <row r="27" spans="9:13" x14ac:dyDescent="0.25">
      <c r="J27" s="1" t="s">
        <v>422</v>
      </c>
      <c r="K27" s="1">
        <v>35900</v>
      </c>
    </row>
    <row r="28" spans="9:13" x14ac:dyDescent="0.25">
      <c r="J28" s="1" t="s">
        <v>401</v>
      </c>
      <c r="K28" s="1">
        <v>64800</v>
      </c>
    </row>
    <row r="32" spans="9:13" x14ac:dyDescent="0.25">
      <c r="I32" s="3" t="s">
        <v>282</v>
      </c>
      <c r="J32" s="1" t="s">
        <v>463</v>
      </c>
    </row>
    <row r="34" spans="9:12" x14ac:dyDescent="0.25">
      <c r="I34" s="3" t="s">
        <v>286</v>
      </c>
      <c r="J34" s="106" t="s">
        <v>203</v>
      </c>
      <c r="K34" s="108"/>
      <c r="L34" s="107"/>
    </row>
    <row r="35" spans="9:12" x14ac:dyDescent="0.25">
      <c r="J35" s="9" t="s">
        <v>200</v>
      </c>
      <c r="K35" s="10"/>
      <c r="L35" s="12"/>
    </row>
    <row r="36" spans="9:12" x14ac:dyDescent="0.25">
      <c r="J36" s="67" t="s">
        <v>36</v>
      </c>
      <c r="K36" s="72">
        <f>L10</f>
        <v>2.6</v>
      </c>
      <c r="L36" s="15"/>
    </row>
    <row r="37" spans="9:12" x14ac:dyDescent="0.25">
      <c r="J37" s="13" t="s">
        <v>139</v>
      </c>
      <c r="K37" s="61">
        <f>K22</f>
        <v>20000</v>
      </c>
      <c r="L37" s="15"/>
    </row>
    <row r="38" spans="9:12" x14ac:dyDescent="0.25">
      <c r="J38" s="13" t="s">
        <v>35</v>
      </c>
      <c r="K38" s="61">
        <f>K10*K16</f>
        <v>19200</v>
      </c>
      <c r="L38" s="70"/>
    </row>
    <row r="39" spans="9:12" x14ac:dyDescent="0.25">
      <c r="J39" s="13" t="s">
        <v>199</v>
      </c>
      <c r="K39" s="14">
        <f>K36*(K37-K38)</f>
        <v>2080</v>
      </c>
      <c r="L39" s="70" t="str">
        <f>IF(K39&gt;0,"D",IF(K39&lt;0,"F","-"))</f>
        <v>D</v>
      </c>
    </row>
    <row r="40" spans="9:12" x14ac:dyDescent="0.25">
      <c r="J40" s="13"/>
      <c r="K40" s="14"/>
      <c r="L40" s="70"/>
    </row>
    <row r="41" spans="9:12" x14ac:dyDescent="0.25">
      <c r="J41" s="13" t="s">
        <v>201</v>
      </c>
      <c r="K41" s="14"/>
      <c r="L41" s="70"/>
    </row>
    <row r="42" spans="9:12" x14ac:dyDescent="0.25">
      <c r="J42" s="13" t="s">
        <v>139</v>
      </c>
      <c r="K42" s="61">
        <f>K21</f>
        <v>30000</v>
      </c>
      <c r="L42" s="70"/>
    </row>
    <row r="43" spans="9:12" x14ac:dyDescent="0.25">
      <c r="J43" s="13" t="s">
        <v>140</v>
      </c>
      <c r="K43" s="14">
        <f>L21</f>
        <v>2.5</v>
      </c>
      <c r="L43" s="70"/>
    </row>
    <row r="44" spans="9:12" x14ac:dyDescent="0.25">
      <c r="J44" s="13" t="s">
        <v>36</v>
      </c>
      <c r="K44" s="14">
        <f>L10</f>
        <v>2.6</v>
      </c>
      <c r="L44" s="70"/>
    </row>
    <row r="45" spans="9:12" x14ac:dyDescent="0.25">
      <c r="J45" s="13" t="s">
        <v>202</v>
      </c>
      <c r="K45" s="14">
        <f>+K42*(K43-K44)</f>
        <v>-3000.0000000000027</v>
      </c>
      <c r="L45" s="70" t="str">
        <f>IF(K45&gt;0,"D",IF(K45&lt;0,"F","-"))</f>
        <v>F</v>
      </c>
    </row>
    <row r="46" spans="9:12" x14ac:dyDescent="0.25">
      <c r="J46" s="13"/>
      <c r="K46" s="14"/>
      <c r="L46" s="70"/>
    </row>
    <row r="47" spans="9:12" x14ac:dyDescent="0.25">
      <c r="J47" s="13"/>
      <c r="K47" s="14"/>
      <c r="L47" s="70"/>
    </row>
    <row r="48" spans="9:12" x14ac:dyDescent="0.25">
      <c r="J48" s="68" t="s">
        <v>225</v>
      </c>
      <c r="K48" s="69">
        <f>+K39+K45</f>
        <v>-920.00000000000273</v>
      </c>
      <c r="L48" s="71" t="str">
        <f>IF(K48&gt;0,"D",IF(K48&lt;0,"F","-"))</f>
        <v>F</v>
      </c>
    </row>
    <row r="50" spans="10:12" x14ac:dyDescent="0.25">
      <c r="J50" s="106" t="s">
        <v>204</v>
      </c>
      <c r="K50" s="108"/>
      <c r="L50" s="107"/>
    </row>
    <row r="51" spans="10:12" x14ac:dyDescent="0.25">
      <c r="J51" s="9" t="s">
        <v>205</v>
      </c>
      <c r="K51" s="10"/>
      <c r="L51" s="12"/>
    </row>
    <row r="52" spans="10:12" x14ac:dyDescent="0.25">
      <c r="J52" s="67" t="s">
        <v>36</v>
      </c>
      <c r="K52" s="72">
        <f>L11</f>
        <v>9</v>
      </c>
      <c r="L52" s="15"/>
    </row>
    <row r="53" spans="10:12" x14ac:dyDescent="0.25">
      <c r="J53" s="13" t="s">
        <v>139</v>
      </c>
      <c r="K53" s="61">
        <f>K25</f>
        <v>10000</v>
      </c>
      <c r="L53" s="15"/>
    </row>
    <row r="54" spans="10:12" x14ac:dyDescent="0.25">
      <c r="J54" s="13" t="s">
        <v>35</v>
      </c>
      <c r="K54" s="61">
        <f>K11*K16</f>
        <v>9600</v>
      </c>
      <c r="L54" s="70"/>
    </row>
    <row r="55" spans="10:12" x14ac:dyDescent="0.25">
      <c r="J55" s="13" t="s">
        <v>447</v>
      </c>
      <c r="K55" s="14">
        <f>K52*(K53-K54)</f>
        <v>3600</v>
      </c>
      <c r="L55" s="70" t="str">
        <f>IF(K55&gt;0,"D",IF(K55&lt;0,"F","-"))</f>
        <v>D</v>
      </c>
    </row>
    <row r="56" spans="10:12" x14ac:dyDescent="0.25">
      <c r="J56" s="13"/>
      <c r="K56" s="14"/>
      <c r="L56" s="70"/>
    </row>
    <row r="57" spans="10:12" x14ac:dyDescent="0.25">
      <c r="J57" s="13" t="s">
        <v>223</v>
      </c>
      <c r="K57" s="14"/>
      <c r="L57" s="70"/>
    </row>
    <row r="58" spans="10:12" x14ac:dyDescent="0.25">
      <c r="J58" s="13" t="s">
        <v>139</v>
      </c>
      <c r="K58" s="61">
        <f>K53</f>
        <v>10000</v>
      </c>
      <c r="L58" s="70"/>
    </row>
    <row r="59" spans="10:12" x14ac:dyDescent="0.25">
      <c r="J59" s="13" t="s">
        <v>140</v>
      </c>
      <c r="K59" s="14">
        <f>L25</f>
        <v>8.6</v>
      </c>
      <c r="L59" s="70"/>
    </row>
    <row r="60" spans="10:12" x14ac:dyDescent="0.25">
      <c r="J60" s="13" t="s">
        <v>36</v>
      </c>
      <c r="K60" s="14">
        <f>L11</f>
        <v>9</v>
      </c>
      <c r="L60" s="70"/>
    </row>
    <row r="61" spans="10:12" x14ac:dyDescent="0.25">
      <c r="J61" s="13" t="s">
        <v>144</v>
      </c>
      <c r="K61" s="14">
        <f>+K58*(K59-K60)</f>
        <v>-4000.0000000000036</v>
      </c>
      <c r="L61" s="70" t="str">
        <f>IF(K61&gt;0,"D",IF(K61&lt;0,"F","-"))</f>
        <v>F</v>
      </c>
    </row>
    <row r="62" spans="10:12" x14ac:dyDescent="0.25">
      <c r="J62" s="13"/>
      <c r="K62" s="14"/>
      <c r="L62" s="70"/>
    </row>
    <row r="63" spans="10:12" x14ac:dyDescent="0.25">
      <c r="J63" s="13"/>
      <c r="K63" s="14"/>
      <c r="L63" s="70"/>
    </row>
    <row r="64" spans="10:12" x14ac:dyDescent="0.25">
      <c r="J64" s="68" t="s">
        <v>226</v>
      </c>
      <c r="K64" s="69">
        <f>+K55+K61</f>
        <v>-400.00000000000364</v>
      </c>
      <c r="L64" s="71" t="str">
        <f>IF(K64&gt;0,"D",IF(K64&lt;0,"F","-"))</f>
        <v>F</v>
      </c>
    </row>
    <row r="66" spans="9:11" x14ac:dyDescent="0.25">
      <c r="I66" s="3" t="s">
        <v>288</v>
      </c>
      <c r="J66" s="1" t="s">
        <v>380</v>
      </c>
      <c r="K66" s="1">
        <f>(K5+K6)/K4</f>
        <v>10.8</v>
      </c>
    </row>
    <row r="67" spans="9:11" x14ac:dyDescent="0.25">
      <c r="J67" s="1" t="s">
        <v>418</v>
      </c>
      <c r="K67" s="1">
        <f>K5/K4</f>
        <v>3.8</v>
      </c>
    </row>
    <row r="68" spans="9:11" x14ac:dyDescent="0.25">
      <c r="J68" s="1" t="s">
        <v>419</v>
      </c>
      <c r="K68" s="1">
        <f>K6/K4</f>
        <v>7</v>
      </c>
    </row>
    <row r="70" spans="9:11" x14ac:dyDescent="0.25">
      <c r="J70" s="1" t="s">
        <v>396</v>
      </c>
      <c r="K70" s="2">
        <f>K16*K11</f>
        <v>9600</v>
      </c>
    </row>
    <row r="73" spans="9:11" x14ac:dyDescent="0.25">
      <c r="J73" s="1" t="s">
        <v>429</v>
      </c>
      <c r="K73" s="2"/>
    </row>
    <row r="74" spans="9:11" x14ac:dyDescent="0.25">
      <c r="J74" s="1" t="s">
        <v>430</v>
      </c>
      <c r="K74" s="1">
        <f>K27</f>
        <v>35900</v>
      </c>
    </row>
    <row r="75" spans="9:11" x14ac:dyDescent="0.25">
      <c r="J75" s="1" t="s">
        <v>431</v>
      </c>
      <c r="K75" s="1">
        <f>K67*K25</f>
        <v>38000</v>
      </c>
    </row>
    <row r="76" spans="9:11" x14ac:dyDescent="0.25">
      <c r="J76" s="1" t="s">
        <v>316</v>
      </c>
      <c r="K76" s="1">
        <f>+K74-K75</f>
        <v>-2100</v>
      </c>
    </row>
    <row r="78" spans="9:11" x14ac:dyDescent="0.25">
      <c r="J78" s="1" t="s">
        <v>432</v>
      </c>
    </row>
    <row r="79" spans="9:11" x14ac:dyDescent="0.25">
      <c r="J79" s="1" t="s">
        <v>433</v>
      </c>
      <c r="K79" s="1">
        <f>K75</f>
        <v>38000</v>
      </c>
    </row>
    <row r="80" spans="9:11" x14ac:dyDescent="0.25">
      <c r="J80" s="1" t="s">
        <v>434</v>
      </c>
      <c r="K80" s="1">
        <f>K67*K70</f>
        <v>36480</v>
      </c>
    </row>
    <row r="81" spans="10:11" x14ac:dyDescent="0.25">
      <c r="J81" s="1" t="s">
        <v>435</v>
      </c>
      <c r="K81" s="1">
        <f>+K79-K80</f>
        <v>1520</v>
      </c>
    </row>
    <row r="83" spans="10:11" x14ac:dyDescent="0.25">
      <c r="J83" s="1" t="s">
        <v>436</v>
      </c>
      <c r="K83" s="1">
        <f>+K76+K81</f>
        <v>-580</v>
      </c>
    </row>
    <row r="85" spans="10:11" x14ac:dyDescent="0.25">
      <c r="J85" s="97" t="s">
        <v>373</v>
      </c>
      <c r="K85" s="97"/>
    </row>
    <row r="86" spans="10:11" x14ac:dyDescent="0.25">
      <c r="J86" s="1" t="s">
        <v>403</v>
      </c>
      <c r="K86" s="1">
        <f>K28-K6</f>
        <v>1800</v>
      </c>
    </row>
    <row r="88" spans="10:11" x14ac:dyDescent="0.25">
      <c r="J88" s="1" t="s">
        <v>404</v>
      </c>
      <c r="K88" s="1">
        <f>+K6-(K68*K70)</f>
        <v>-4200</v>
      </c>
    </row>
    <row r="91" spans="10:11" x14ac:dyDescent="0.25">
      <c r="J91" s="106" t="s">
        <v>393</v>
      </c>
      <c r="K91" s="107"/>
    </row>
    <row r="92" spans="10:11" x14ac:dyDescent="0.25">
      <c r="J92" s="9" t="s">
        <v>390</v>
      </c>
      <c r="K92" s="12">
        <f>K81</f>
        <v>1520</v>
      </c>
    </row>
    <row r="93" spans="10:11" x14ac:dyDescent="0.25">
      <c r="J93" s="13" t="s">
        <v>392</v>
      </c>
      <c r="K93" s="15">
        <f>K76</f>
        <v>-2100</v>
      </c>
    </row>
    <row r="94" spans="10:11" x14ac:dyDescent="0.25">
      <c r="J94" s="13" t="s">
        <v>386</v>
      </c>
      <c r="K94" s="15">
        <f>K86</f>
        <v>1800</v>
      </c>
    </row>
    <row r="95" spans="10:11" x14ac:dyDescent="0.25">
      <c r="J95" s="13" t="s">
        <v>385</v>
      </c>
      <c r="K95" s="15">
        <f>K88</f>
        <v>-4200</v>
      </c>
    </row>
    <row r="96" spans="10:11" x14ac:dyDescent="0.25">
      <c r="J96" s="23" t="s">
        <v>55</v>
      </c>
      <c r="K96" s="25">
        <f>SUM(K92:K95)</f>
        <v>-2980</v>
      </c>
    </row>
    <row r="100" spans="10:17" x14ac:dyDescent="0.25">
      <c r="J100" s="109" t="s">
        <v>471</v>
      </c>
      <c r="K100" s="109"/>
      <c r="L100" s="109"/>
      <c r="M100" s="109"/>
      <c r="N100" s="109"/>
      <c r="O100" s="109"/>
      <c r="P100" s="109"/>
      <c r="Q100" s="109"/>
    </row>
    <row r="101" spans="10:17" x14ac:dyDescent="0.25">
      <c r="J101" s="109"/>
      <c r="K101" s="109"/>
      <c r="L101" s="109"/>
      <c r="M101" s="109"/>
      <c r="N101" s="109"/>
      <c r="O101" s="109"/>
      <c r="P101" s="109"/>
      <c r="Q101" s="109"/>
    </row>
    <row r="102" spans="10:17" x14ac:dyDescent="0.25">
      <c r="J102" s="109"/>
      <c r="K102" s="109"/>
      <c r="L102" s="109"/>
      <c r="M102" s="109"/>
      <c r="N102" s="109"/>
      <c r="O102" s="109"/>
      <c r="P102" s="109"/>
      <c r="Q102" s="109"/>
    </row>
    <row r="103" spans="10:17" x14ac:dyDescent="0.25">
      <c r="J103" s="109"/>
      <c r="K103" s="109"/>
      <c r="L103" s="109"/>
      <c r="M103" s="109"/>
      <c r="N103" s="109"/>
      <c r="O103" s="109"/>
      <c r="P103" s="109"/>
      <c r="Q103" s="109"/>
    </row>
    <row r="104" spans="10:17" x14ac:dyDescent="0.25">
      <c r="J104" s="109"/>
      <c r="K104" s="109"/>
      <c r="L104" s="109"/>
      <c r="M104" s="109"/>
      <c r="N104" s="109"/>
      <c r="O104" s="109"/>
      <c r="P104" s="109"/>
      <c r="Q104" s="109"/>
    </row>
    <row r="105" spans="10:17" x14ac:dyDescent="0.25">
      <c r="J105" s="109"/>
      <c r="K105" s="109"/>
      <c r="L105" s="109"/>
      <c r="M105" s="109"/>
      <c r="N105" s="109"/>
      <c r="O105" s="109"/>
      <c r="P105" s="109"/>
      <c r="Q105" s="109"/>
    </row>
    <row r="106" spans="10:17" x14ac:dyDescent="0.25">
      <c r="J106" s="109"/>
      <c r="K106" s="109"/>
      <c r="L106" s="109"/>
      <c r="M106" s="109"/>
      <c r="N106" s="109"/>
      <c r="O106" s="109"/>
      <c r="P106" s="109"/>
      <c r="Q106" s="109"/>
    </row>
    <row r="107" spans="10:17" x14ac:dyDescent="0.25">
      <c r="J107" s="109"/>
      <c r="K107" s="109"/>
      <c r="L107" s="109"/>
      <c r="M107" s="109"/>
      <c r="N107" s="109"/>
      <c r="O107" s="109"/>
      <c r="P107" s="109"/>
      <c r="Q107" s="109"/>
    </row>
    <row r="108" spans="10:17" x14ac:dyDescent="0.25">
      <c r="J108" s="109"/>
      <c r="K108" s="109"/>
      <c r="L108" s="109"/>
      <c r="M108" s="109"/>
      <c r="N108" s="109"/>
      <c r="O108" s="109"/>
      <c r="P108" s="109"/>
      <c r="Q108" s="109"/>
    </row>
    <row r="109" spans="10:17" x14ac:dyDescent="0.25">
      <c r="J109" s="109"/>
      <c r="K109" s="109"/>
      <c r="L109" s="109"/>
      <c r="M109" s="109"/>
      <c r="N109" s="109"/>
      <c r="O109" s="109"/>
      <c r="P109" s="109"/>
      <c r="Q109" s="109"/>
    </row>
  </sheetData>
  <mergeCells count="5">
    <mergeCell ref="J100:Q109"/>
    <mergeCell ref="J34:L34"/>
    <mergeCell ref="J50:L50"/>
    <mergeCell ref="J85:K85"/>
    <mergeCell ref="J91:K91"/>
  </mergeCells>
  <pageMargins left="0.75" right="0.75" top="1" bottom="1" header="0.5" footer="0.5"/>
  <pageSetup paperSize="9" orientation="portrait" horizontalDpi="4294967292" verticalDpi="4294967292"/>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showGridLines="0" workbookViewId="0">
      <selection activeCell="L27" sqref="L27"/>
    </sheetView>
  </sheetViews>
  <sheetFormatPr defaultColWidth="10.8984375" defaultRowHeight="13.2" x14ac:dyDescent="0.25"/>
  <cols>
    <col min="1" max="16384" width="10.8984375" style="1"/>
  </cols>
  <sheetData/>
  <pageMargins left="0.75" right="0.75" top="1" bottom="1" header="0.5" footer="0.5"/>
  <pageSetup paperSize="9" orientation="portrait" horizontalDpi="4294967292" verticalDpi="4294967292"/>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showGridLines="0" workbookViewId="0">
      <selection activeCell="R70" sqref="R70"/>
    </sheetView>
  </sheetViews>
  <sheetFormatPr defaultColWidth="10.8984375" defaultRowHeight="13.2" x14ac:dyDescent="0.25"/>
  <cols>
    <col min="1" max="16384" width="10.8984375" style="1"/>
  </cols>
  <sheetData/>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showGridLines="0" workbookViewId="0">
      <selection activeCell="O53" sqref="O53"/>
    </sheetView>
  </sheetViews>
  <sheetFormatPr defaultColWidth="10.8984375" defaultRowHeight="13.2" x14ac:dyDescent="0.25"/>
  <cols>
    <col min="1" max="16384" width="10.8984375" style="1"/>
  </cols>
  <sheetData/>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showGridLines="0" workbookViewId="0">
      <selection activeCell="N52" sqref="N52"/>
    </sheetView>
  </sheetViews>
  <sheetFormatPr defaultColWidth="10.8984375" defaultRowHeight="13.2" x14ac:dyDescent="0.25"/>
  <cols>
    <col min="1" max="16384" width="10.8984375" style="1"/>
  </cols>
  <sheetData/>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showGridLines="0" workbookViewId="0">
      <selection activeCell="M33" sqref="M33"/>
    </sheetView>
  </sheetViews>
  <sheetFormatPr defaultColWidth="10.8984375" defaultRowHeight="13.2" x14ac:dyDescent="0.25"/>
  <cols>
    <col min="1" max="16384" width="10.8984375" style="1"/>
  </cols>
  <sheetData/>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64"/>
  <sheetViews>
    <sheetView topLeftCell="B1" zoomScale="130" zoomScaleNormal="130" zoomScalePageLayoutView="130" workbookViewId="0">
      <selection activeCell="U36" sqref="U36"/>
    </sheetView>
  </sheetViews>
  <sheetFormatPr defaultColWidth="10.8984375" defaultRowHeight="13.2" x14ac:dyDescent="0.25"/>
  <cols>
    <col min="1" max="1" width="58.8984375" style="37" bestFit="1" customWidth="1"/>
    <col min="2" max="2" width="14.09765625" style="36" bestFit="1" customWidth="1"/>
    <col min="3" max="3" width="9.5" style="37" bestFit="1" customWidth="1"/>
    <col min="4" max="4" width="9.59765625" style="36" bestFit="1" customWidth="1"/>
    <col min="5" max="5" width="10" style="37" bestFit="1" customWidth="1"/>
    <col min="6" max="6" width="10.8984375" style="38" bestFit="1" customWidth="1"/>
    <col min="7" max="14" width="10.8984375" style="1"/>
    <col min="15" max="15" width="58.8984375" style="37" bestFit="1" customWidth="1"/>
    <col min="16" max="16" width="14.09765625" style="36" bestFit="1" customWidth="1"/>
    <col min="17" max="17" width="9.5" style="37" bestFit="1" customWidth="1"/>
    <col min="18" max="18" width="9.59765625" style="36" bestFit="1" customWidth="1"/>
    <col min="19" max="19" width="10" style="37" bestFit="1" customWidth="1"/>
    <col min="20" max="20" width="10.8984375" style="38" bestFit="1" customWidth="1"/>
    <col min="21" max="21" width="10.8984375" style="1"/>
    <col min="22" max="22" width="58.8984375" style="37" bestFit="1" customWidth="1"/>
    <col min="23" max="23" width="14.09765625" style="36" bestFit="1" customWidth="1"/>
    <col min="24" max="24" width="9.5" style="37" bestFit="1" customWidth="1"/>
    <col min="25" max="25" width="9.59765625" style="36" bestFit="1" customWidth="1"/>
    <col min="26" max="26" width="10" style="37" bestFit="1" customWidth="1"/>
    <col min="27" max="27" width="10.8984375" style="38" bestFit="1" customWidth="1"/>
    <col min="28" max="16384" width="10.8984375" style="1"/>
  </cols>
  <sheetData>
    <row r="1" spans="1:26" x14ac:dyDescent="0.25">
      <c r="A1" s="35" t="s">
        <v>85</v>
      </c>
      <c r="O1" s="35" t="s">
        <v>85</v>
      </c>
      <c r="V1" s="35" t="s">
        <v>85</v>
      </c>
    </row>
    <row r="3" spans="1:26" x14ac:dyDescent="0.25">
      <c r="A3" s="39" t="s">
        <v>86</v>
      </c>
      <c r="O3" s="45" t="s">
        <v>86</v>
      </c>
      <c r="V3" s="45" t="s">
        <v>86</v>
      </c>
    </row>
    <row r="4" spans="1:26" x14ac:dyDescent="0.25">
      <c r="A4" s="40" t="s">
        <v>87</v>
      </c>
      <c r="O4" s="46" t="s">
        <v>87</v>
      </c>
      <c r="V4" s="46" t="s">
        <v>87</v>
      </c>
    </row>
    <row r="5" spans="1:26" x14ac:dyDescent="0.25">
      <c r="A5" s="41" t="s">
        <v>88</v>
      </c>
      <c r="B5" s="103" t="s">
        <v>89</v>
      </c>
      <c r="C5" s="103"/>
      <c r="D5" s="103" t="s">
        <v>90</v>
      </c>
      <c r="E5" s="103"/>
      <c r="O5" s="44" t="s">
        <v>88</v>
      </c>
      <c r="P5" s="103" t="s">
        <v>89</v>
      </c>
      <c r="Q5" s="103"/>
      <c r="R5" s="103" t="s">
        <v>90</v>
      </c>
      <c r="S5" s="103"/>
      <c r="V5" s="44" t="s">
        <v>88</v>
      </c>
      <c r="W5" s="103" t="s">
        <v>89</v>
      </c>
      <c r="X5" s="103"/>
      <c r="Y5" s="103" t="s">
        <v>90</v>
      </c>
      <c r="Z5" s="103"/>
    </row>
    <row r="6" spans="1:26" x14ac:dyDescent="0.25">
      <c r="A6" s="37" t="s">
        <v>91</v>
      </c>
      <c r="B6" s="36">
        <v>3</v>
      </c>
      <c r="C6" s="37" t="s">
        <v>92</v>
      </c>
      <c r="D6" s="36">
        <v>4</v>
      </c>
      <c r="E6" s="37" t="s">
        <v>93</v>
      </c>
      <c r="O6" s="37" t="s">
        <v>91</v>
      </c>
      <c r="P6" s="36">
        <v>2.9</v>
      </c>
      <c r="Q6" s="37" t="s">
        <v>92</v>
      </c>
      <c r="R6" s="36">
        <v>4</v>
      </c>
      <c r="S6" s="37" t="s">
        <v>93</v>
      </c>
      <c r="V6" s="37" t="s">
        <v>91</v>
      </c>
      <c r="W6" s="36">
        <v>3</v>
      </c>
      <c r="X6" s="37" t="s">
        <v>92</v>
      </c>
      <c r="Y6" s="36">
        <v>4</v>
      </c>
      <c r="Z6" s="37" t="s">
        <v>93</v>
      </c>
    </row>
    <row r="7" spans="1:26" x14ac:dyDescent="0.25">
      <c r="A7" s="37" t="s">
        <v>94</v>
      </c>
      <c r="B7" s="36">
        <v>0.5</v>
      </c>
      <c r="C7" s="37" t="s">
        <v>95</v>
      </c>
      <c r="D7" s="36">
        <v>22</v>
      </c>
      <c r="E7" s="37" t="s">
        <v>96</v>
      </c>
      <c r="O7" s="37" t="s">
        <v>94</v>
      </c>
      <c r="P7" s="36">
        <v>0.6</v>
      </c>
      <c r="Q7" s="37" t="s">
        <v>95</v>
      </c>
      <c r="R7" s="36">
        <v>22</v>
      </c>
      <c r="S7" s="37" t="s">
        <v>96</v>
      </c>
      <c r="V7" s="37" t="s">
        <v>94</v>
      </c>
      <c r="W7" s="36">
        <v>0.5</v>
      </c>
      <c r="X7" s="37" t="s">
        <v>95</v>
      </c>
      <c r="Y7" s="36">
        <v>22</v>
      </c>
      <c r="Z7" s="37" t="s">
        <v>96</v>
      </c>
    </row>
    <row r="8" spans="1:26" x14ac:dyDescent="0.25">
      <c r="A8" s="37" t="s">
        <v>97</v>
      </c>
      <c r="B8" s="36">
        <v>0.5</v>
      </c>
      <c r="C8" s="37" t="s">
        <v>95</v>
      </c>
      <c r="D8" s="36">
        <v>6</v>
      </c>
      <c r="E8" s="37" t="s">
        <v>96</v>
      </c>
      <c r="O8" s="37" t="s">
        <v>97</v>
      </c>
      <c r="P8" s="36">
        <v>0.6</v>
      </c>
      <c r="Q8" s="37" t="s">
        <v>95</v>
      </c>
      <c r="R8" s="36">
        <v>6</v>
      </c>
      <c r="S8" s="37" t="s">
        <v>96</v>
      </c>
      <c r="V8" s="37" t="s">
        <v>97</v>
      </c>
      <c r="W8" s="36">
        <v>0.5</v>
      </c>
      <c r="X8" s="37" t="s">
        <v>95</v>
      </c>
      <c r="Y8" s="36">
        <v>6</v>
      </c>
      <c r="Z8" s="37" t="s">
        <v>96</v>
      </c>
    </row>
    <row r="10" spans="1:26" x14ac:dyDescent="0.25">
      <c r="A10" s="37" t="s">
        <v>98</v>
      </c>
      <c r="O10" s="37" t="s">
        <v>98</v>
      </c>
      <c r="V10" s="37" t="s">
        <v>98</v>
      </c>
    </row>
    <row r="11" spans="1:26" x14ac:dyDescent="0.25">
      <c r="A11" s="42" t="s">
        <v>99</v>
      </c>
      <c r="B11" s="36">
        <v>2000</v>
      </c>
      <c r="C11" s="37" t="s">
        <v>135</v>
      </c>
      <c r="O11" s="42" t="s">
        <v>99</v>
      </c>
      <c r="P11" s="36">
        <v>2000</v>
      </c>
      <c r="Q11" s="37" t="s">
        <v>135</v>
      </c>
      <c r="V11" s="42" t="s">
        <v>99</v>
      </c>
      <c r="W11" s="36">
        <v>2100</v>
      </c>
      <c r="X11" s="37" t="s">
        <v>135</v>
      </c>
    </row>
    <row r="12" spans="1:26" x14ac:dyDescent="0.25">
      <c r="A12" s="42" t="s">
        <v>100</v>
      </c>
      <c r="B12" s="43">
        <v>7140</v>
      </c>
      <c r="O12" s="42" t="s">
        <v>100</v>
      </c>
      <c r="P12" s="43">
        <v>7140</v>
      </c>
      <c r="V12" s="42" t="s">
        <v>100</v>
      </c>
      <c r="W12" s="43">
        <v>5100</v>
      </c>
    </row>
    <row r="13" spans="1:26" x14ac:dyDescent="0.25">
      <c r="A13" s="42"/>
      <c r="B13" s="103" t="s">
        <v>101</v>
      </c>
      <c r="C13" s="103"/>
      <c r="D13" s="103" t="s">
        <v>102</v>
      </c>
      <c r="E13" s="103"/>
      <c r="O13" s="42"/>
      <c r="P13" s="103" t="s">
        <v>101</v>
      </c>
      <c r="Q13" s="103"/>
      <c r="R13" s="103" t="s">
        <v>102</v>
      </c>
      <c r="S13" s="103"/>
      <c r="V13" s="42"/>
      <c r="W13" s="103" t="s">
        <v>101</v>
      </c>
      <c r="X13" s="103"/>
      <c r="Y13" s="103" t="s">
        <v>102</v>
      </c>
      <c r="Z13" s="103"/>
    </row>
    <row r="14" spans="1:26" x14ac:dyDescent="0.25">
      <c r="A14" s="42" t="s">
        <v>103</v>
      </c>
      <c r="B14" s="43">
        <v>6500</v>
      </c>
      <c r="C14" s="37" t="s">
        <v>92</v>
      </c>
      <c r="D14" s="36">
        <v>3.8</v>
      </c>
      <c r="E14" s="37" t="s">
        <v>93</v>
      </c>
      <c r="O14" s="42" t="s">
        <v>103</v>
      </c>
      <c r="P14" s="43">
        <v>6500</v>
      </c>
      <c r="Q14" s="37" t="s">
        <v>92</v>
      </c>
      <c r="R14" s="36">
        <v>3.8</v>
      </c>
      <c r="S14" s="37" t="s">
        <v>93</v>
      </c>
      <c r="V14" s="42" t="s">
        <v>103</v>
      </c>
      <c r="W14" s="43">
        <v>6350</v>
      </c>
      <c r="X14" s="37" t="s">
        <v>92</v>
      </c>
      <c r="Y14" s="36">
        <v>4.0999999999999996</v>
      </c>
      <c r="Z14" s="37" t="s">
        <v>93</v>
      </c>
    </row>
    <row r="15" spans="1:26" x14ac:dyDescent="0.25">
      <c r="A15" s="42" t="s">
        <v>104</v>
      </c>
      <c r="B15" s="43">
        <v>1050</v>
      </c>
      <c r="C15" s="37" t="s">
        <v>105</v>
      </c>
      <c r="D15" s="36">
        <v>21.6</v>
      </c>
      <c r="E15" s="37" t="s">
        <v>96</v>
      </c>
      <c r="O15" s="42" t="s">
        <v>104</v>
      </c>
      <c r="P15" s="43">
        <v>1050</v>
      </c>
      <c r="Q15" s="37" t="s">
        <v>105</v>
      </c>
      <c r="R15" s="36">
        <v>21.6</v>
      </c>
      <c r="S15" s="37" t="s">
        <v>96</v>
      </c>
      <c r="V15" s="42" t="s">
        <v>104</v>
      </c>
      <c r="W15" s="43">
        <v>1020</v>
      </c>
      <c r="X15" s="37" t="s">
        <v>105</v>
      </c>
      <c r="Y15" s="36">
        <v>22.1</v>
      </c>
      <c r="Z15" s="37" t="s">
        <v>96</v>
      </c>
    </row>
    <row r="17" spans="1:27" x14ac:dyDescent="0.25">
      <c r="A17" s="104" t="s">
        <v>106</v>
      </c>
      <c r="B17" s="104"/>
      <c r="C17" s="104"/>
      <c r="D17" s="104"/>
      <c r="E17" s="104"/>
      <c r="F17" s="104"/>
      <c r="O17" s="104" t="s">
        <v>106</v>
      </c>
      <c r="P17" s="104"/>
      <c r="Q17" s="104"/>
      <c r="R17" s="104"/>
      <c r="S17" s="104"/>
      <c r="T17" s="104"/>
      <c r="V17" s="104" t="s">
        <v>106</v>
      </c>
      <c r="W17" s="104"/>
      <c r="X17" s="104"/>
      <c r="Y17" s="104"/>
      <c r="Z17" s="104"/>
      <c r="AA17" s="104"/>
    </row>
    <row r="18" spans="1:27" x14ac:dyDescent="0.25">
      <c r="A18" s="101" t="s">
        <v>107</v>
      </c>
      <c r="B18" s="101"/>
      <c r="C18" s="101"/>
      <c r="D18" s="101"/>
      <c r="E18" s="101"/>
      <c r="F18" s="101"/>
      <c r="O18" s="101" t="s">
        <v>107</v>
      </c>
      <c r="P18" s="101"/>
      <c r="Q18" s="101"/>
      <c r="R18" s="101"/>
      <c r="S18" s="101"/>
      <c r="T18" s="101"/>
      <c r="V18" s="101" t="s">
        <v>107</v>
      </c>
      <c r="W18" s="101"/>
      <c r="X18" s="101"/>
      <c r="Y18" s="101"/>
      <c r="Z18" s="101"/>
      <c r="AA18" s="101"/>
    </row>
    <row r="20" spans="1:27" x14ac:dyDescent="0.25">
      <c r="A20" s="102" t="s">
        <v>108</v>
      </c>
      <c r="B20" s="102"/>
      <c r="C20" s="102"/>
      <c r="D20" s="102"/>
      <c r="E20" s="102"/>
      <c r="F20" s="102"/>
      <c r="O20" s="102" t="s">
        <v>108</v>
      </c>
      <c r="P20" s="102"/>
      <c r="Q20" s="102"/>
      <c r="R20" s="102"/>
      <c r="S20" s="102"/>
      <c r="T20" s="102"/>
      <c r="V20" s="102" t="s">
        <v>108</v>
      </c>
      <c r="W20" s="102"/>
      <c r="X20" s="102"/>
      <c r="Y20" s="102"/>
      <c r="Z20" s="102"/>
      <c r="AA20" s="102"/>
    </row>
    <row r="21" spans="1:27" x14ac:dyDescent="0.25">
      <c r="A21" s="37" t="s">
        <v>109</v>
      </c>
      <c r="B21" s="49">
        <f>B6*$B$11</f>
        <v>6000</v>
      </c>
      <c r="C21" s="37" t="s">
        <v>110</v>
      </c>
      <c r="D21" s="48">
        <f>D6</f>
        <v>4</v>
      </c>
      <c r="E21" s="37" t="s">
        <v>111</v>
      </c>
      <c r="F21" s="47">
        <f>+D21*B21</f>
        <v>24000</v>
      </c>
      <c r="O21" s="37" t="s">
        <v>109</v>
      </c>
      <c r="P21" s="49">
        <f>P6*$B$11</f>
        <v>5800</v>
      </c>
      <c r="Q21" s="37" t="s">
        <v>110</v>
      </c>
      <c r="R21" s="48">
        <f>R6</f>
        <v>4</v>
      </c>
      <c r="S21" s="37" t="s">
        <v>111</v>
      </c>
      <c r="T21" s="47">
        <f>+R21*P21</f>
        <v>23200</v>
      </c>
      <c r="V21" s="37" t="s">
        <v>109</v>
      </c>
      <c r="W21" s="49">
        <f>+W6*W11</f>
        <v>6300</v>
      </c>
      <c r="X21" s="37" t="s">
        <v>110</v>
      </c>
      <c r="Y21" s="48">
        <f>Y6</f>
        <v>4</v>
      </c>
      <c r="Z21" s="37" t="s">
        <v>111</v>
      </c>
      <c r="AA21" s="47">
        <f>+Y21*W21</f>
        <v>25200</v>
      </c>
    </row>
    <row r="22" spans="1:27" x14ac:dyDescent="0.25">
      <c r="A22" s="37" t="s">
        <v>112</v>
      </c>
      <c r="B22" s="49">
        <f>B14</f>
        <v>6500</v>
      </c>
      <c r="C22" s="37" t="s">
        <v>110</v>
      </c>
      <c r="D22" s="48">
        <f>D6</f>
        <v>4</v>
      </c>
      <c r="E22" s="37" t="s">
        <v>111</v>
      </c>
      <c r="F22" s="47">
        <f t="shared" ref="F22:F23" si="0">+D22*B22</f>
        <v>26000</v>
      </c>
      <c r="O22" s="37" t="s">
        <v>112</v>
      </c>
      <c r="P22" s="49">
        <f>P14</f>
        <v>6500</v>
      </c>
      <c r="Q22" s="37" t="s">
        <v>110</v>
      </c>
      <c r="R22" s="48">
        <f>R6</f>
        <v>4</v>
      </c>
      <c r="S22" s="37" t="s">
        <v>111</v>
      </c>
      <c r="T22" s="47">
        <f t="shared" ref="T22:T23" si="1">+R22*P22</f>
        <v>26000</v>
      </c>
      <c r="V22" s="37" t="s">
        <v>112</v>
      </c>
      <c r="W22" s="49">
        <f>+W14</f>
        <v>6350</v>
      </c>
      <c r="X22" s="37" t="s">
        <v>110</v>
      </c>
      <c r="Y22" s="48">
        <f>Y6</f>
        <v>4</v>
      </c>
      <c r="Z22" s="37" t="s">
        <v>111</v>
      </c>
      <c r="AA22" s="47">
        <f t="shared" ref="AA22:AA23" si="2">+Y22*W22</f>
        <v>25400</v>
      </c>
    </row>
    <row r="23" spans="1:27" x14ac:dyDescent="0.25">
      <c r="A23" s="37" t="s">
        <v>113</v>
      </c>
      <c r="B23" s="49">
        <f>B14</f>
        <v>6500</v>
      </c>
      <c r="C23" s="37" t="s">
        <v>110</v>
      </c>
      <c r="D23" s="48">
        <f>D14</f>
        <v>3.8</v>
      </c>
      <c r="E23" s="37" t="s">
        <v>111</v>
      </c>
      <c r="F23" s="47">
        <f t="shared" si="0"/>
        <v>24700</v>
      </c>
      <c r="O23" s="37" t="s">
        <v>113</v>
      </c>
      <c r="P23" s="49">
        <f>P14</f>
        <v>6500</v>
      </c>
      <c r="Q23" s="37" t="s">
        <v>110</v>
      </c>
      <c r="R23" s="48">
        <f>R14</f>
        <v>3.8</v>
      </c>
      <c r="S23" s="37" t="s">
        <v>111</v>
      </c>
      <c r="T23" s="47">
        <f t="shared" si="1"/>
        <v>24700</v>
      </c>
      <c r="V23" s="37" t="s">
        <v>113</v>
      </c>
      <c r="W23" s="49">
        <f>+W14</f>
        <v>6350</v>
      </c>
      <c r="X23" s="37" t="s">
        <v>110</v>
      </c>
      <c r="Y23" s="48">
        <f>Y14</f>
        <v>4.0999999999999996</v>
      </c>
      <c r="Z23" s="37" t="s">
        <v>111</v>
      </c>
      <c r="AA23" s="47">
        <f t="shared" si="2"/>
        <v>26034.999999999996</v>
      </c>
    </row>
    <row r="24" spans="1:27" x14ac:dyDescent="0.25">
      <c r="A24" s="37" t="s">
        <v>114</v>
      </c>
      <c r="O24" s="37" t="s">
        <v>114</v>
      </c>
      <c r="V24" s="37" t="s">
        <v>114</v>
      </c>
    </row>
    <row r="25" spans="1:27" x14ac:dyDescent="0.25">
      <c r="A25" s="42" t="s">
        <v>115</v>
      </c>
      <c r="B25" s="48">
        <f>ABS(F21-F22)</f>
        <v>2000</v>
      </c>
      <c r="C25" s="37" t="str">
        <f>IF(F22&gt;F21,"D",IF(F21&gt;F22,"F","-"))</f>
        <v>D</v>
      </c>
      <c r="O25" s="42" t="s">
        <v>115</v>
      </c>
      <c r="P25" s="48">
        <f>ABS(T21-T22)</f>
        <v>2800</v>
      </c>
      <c r="Q25" s="37" t="str">
        <f>IF(T22&gt;T21,"D",IF(T21&gt;T22,"F","-"))</f>
        <v>D</v>
      </c>
      <c r="V25" s="42" t="s">
        <v>115</v>
      </c>
      <c r="W25" s="48">
        <f>ABS(AA21-AA22)</f>
        <v>200</v>
      </c>
      <c r="X25" s="37" t="str">
        <f>IF(AA22&gt;AA21,"D",IF(AA21&gt;AA22,"F","-"))</f>
        <v>D</v>
      </c>
    </row>
    <row r="26" spans="1:27" x14ac:dyDescent="0.25">
      <c r="A26" s="42" t="s">
        <v>116</v>
      </c>
      <c r="B26" s="48">
        <f>ABS(F22-F23)</f>
        <v>1300</v>
      </c>
      <c r="C26" s="37" t="str">
        <f t="shared" ref="C26" si="3">IF(F23&gt;F22,"D",IF(F22&gt;F23,"F","-"))</f>
        <v>F</v>
      </c>
      <c r="O26" s="42" t="s">
        <v>116</v>
      </c>
      <c r="P26" s="48">
        <f>ABS(T22-T23)</f>
        <v>1300</v>
      </c>
      <c r="Q26" s="37" t="str">
        <f t="shared" ref="Q26" si="4">IF(T23&gt;T22,"D",IF(T22&gt;T23,"F","-"))</f>
        <v>F</v>
      </c>
      <c r="V26" s="42" t="s">
        <v>116</v>
      </c>
      <c r="W26" s="48">
        <f>ABS(AA22-AA23)</f>
        <v>634.99999999999636</v>
      </c>
      <c r="X26" s="37" t="str">
        <f t="shared" ref="X26" si="5">IF(AA23&gt;AA22,"D",IF(AA22&gt;AA23,"F","-"))</f>
        <v>D</v>
      </c>
    </row>
    <row r="27" spans="1:27" x14ac:dyDescent="0.25">
      <c r="A27" s="42" t="s">
        <v>117</v>
      </c>
      <c r="B27" s="48">
        <f>ABS(F23-F21)</f>
        <v>700</v>
      </c>
      <c r="C27" s="37" t="str">
        <f>IF(F23&gt;F21,"D",IF(F21&gt;F23,"F","-"))</f>
        <v>D</v>
      </c>
      <c r="O27" s="42" t="s">
        <v>117</v>
      </c>
      <c r="P27" s="48">
        <f>ABS(T23-T21)</f>
        <v>1500</v>
      </c>
      <c r="Q27" s="37" t="str">
        <f>IF(T23&gt;T21,"D",IF(T21&gt;T23,"F","-"))</f>
        <v>D</v>
      </c>
      <c r="V27" s="42" t="s">
        <v>117</v>
      </c>
      <c r="W27" s="48">
        <f>ABS(AA23-AA21)</f>
        <v>834.99999999999636</v>
      </c>
      <c r="X27" s="37" t="str">
        <f>IF(AA23&gt;AA21,"D",IF(AA21&gt;AA23,"F","-"))</f>
        <v>D</v>
      </c>
    </row>
    <row r="29" spans="1:27" x14ac:dyDescent="0.25">
      <c r="A29" s="102" t="s">
        <v>118</v>
      </c>
      <c r="B29" s="102"/>
      <c r="C29" s="102"/>
      <c r="D29" s="102"/>
      <c r="E29" s="102"/>
      <c r="F29" s="102"/>
      <c r="O29" s="102" t="s">
        <v>118</v>
      </c>
      <c r="P29" s="102"/>
      <c r="Q29" s="102"/>
      <c r="R29" s="102"/>
      <c r="S29" s="102"/>
      <c r="T29" s="102"/>
      <c r="V29" s="102" t="s">
        <v>118</v>
      </c>
      <c r="W29" s="102"/>
      <c r="X29" s="102"/>
      <c r="Y29" s="102"/>
      <c r="Z29" s="102"/>
      <c r="AA29" s="102"/>
    </row>
    <row r="30" spans="1:27" x14ac:dyDescent="0.25">
      <c r="A30" s="37" t="s">
        <v>119</v>
      </c>
      <c r="B30" s="49">
        <f>B7*B11</f>
        <v>1000</v>
      </c>
      <c r="C30" s="37" t="s">
        <v>120</v>
      </c>
      <c r="D30" s="48">
        <f>D7</f>
        <v>22</v>
      </c>
      <c r="E30" s="37" t="s">
        <v>121</v>
      </c>
      <c r="F30" s="47">
        <f>+D30*B30</f>
        <v>22000</v>
      </c>
      <c r="O30" s="37" t="s">
        <v>119</v>
      </c>
      <c r="P30" s="49">
        <f>P7*P11</f>
        <v>1200</v>
      </c>
      <c r="Q30" s="37" t="s">
        <v>120</v>
      </c>
      <c r="R30" s="48">
        <f>R7</f>
        <v>22</v>
      </c>
      <c r="S30" s="37" t="s">
        <v>121</v>
      </c>
      <c r="T30" s="47">
        <f>+R30*P30</f>
        <v>26400</v>
      </c>
      <c r="V30" s="37" t="s">
        <v>119</v>
      </c>
      <c r="W30" s="49">
        <f>W7*W11</f>
        <v>1050</v>
      </c>
      <c r="X30" s="37" t="s">
        <v>120</v>
      </c>
      <c r="Y30" s="48">
        <f>Y7</f>
        <v>22</v>
      </c>
      <c r="Z30" s="37" t="s">
        <v>121</v>
      </c>
      <c r="AA30" s="47">
        <f>+Y30*W30</f>
        <v>23100</v>
      </c>
    </row>
    <row r="31" spans="1:27" x14ac:dyDescent="0.25">
      <c r="A31" s="37" t="s">
        <v>122</v>
      </c>
      <c r="B31" s="49">
        <f>B15</f>
        <v>1050</v>
      </c>
      <c r="C31" s="37" t="s">
        <v>120</v>
      </c>
      <c r="D31" s="48">
        <f>D7</f>
        <v>22</v>
      </c>
      <c r="E31" s="37" t="s">
        <v>123</v>
      </c>
      <c r="F31" s="47">
        <f t="shared" ref="F31:F32" si="6">+D31*B31</f>
        <v>23100</v>
      </c>
      <c r="O31" s="37" t="s">
        <v>122</v>
      </c>
      <c r="P31" s="49">
        <f>P15</f>
        <v>1050</v>
      </c>
      <c r="Q31" s="37" t="s">
        <v>120</v>
      </c>
      <c r="R31" s="48">
        <f>R7</f>
        <v>22</v>
      </c>
      <c r="S31" s="37" t="s">
        <v>123</v>
      </c>
      <c r="T31" s="47">
        <f t="shared" ref="T31:T32" si="7">+R31*P31</f>
        <v>23100</v>
      </c>
      <c r="V31" s="37" t="s">
        <v>122</v>
      </c>
      <c r="W31" s="49">
        <f>W15</f>
        <v>1020</v>
      </c>
      <c r="X31" s="37" t="s">
        <v>120</v>
      </c>
      <c r="Y31" s="48">
        <f>Y7</f>
        <v>22</v>
      </c>
      <c r="Z31" s="37" t="s">
        <v>123</v>
      </c>
      <c r="AA31" s="47">
        <f t="shared" ref="AA31:AA32" si="8">+Y31*W31</f>
        <v>22440</v>
      </c>
    </row>
    <row r="32" spans="1:27" x14ac:dyDescent="0.25">
      <c r="A32" s="37" t="s">
        <v>124</v>
      </c>
      <c r="B32" s="49">
        <f>B15</f>
        <v>1050</v>
      </c>
      <c r="C32" s="37" t="s">
        <v>120</v>
      </c>
      <c r="D32" s="48">
        <f>D15</f>
        <v>21.6</v>
      </c>
      <c r="E32" s="37" t="s">
        <v>121</v>
      </c>
      <c r="F32" s="47">
        <f t="shared" si="6"/>
        <v>22680</v>
      </c>
      <c r="O32" s="37" t="s">
        <v>124</v>
      </c>
      <c r="P32" s="49">
        <f>P15</f>
        <v>1050</v>
      </c>
      <c r="Q32" s="37" t="s">
        <v>120</v>
      </c>
      <c r="R32" s="48">
        <f>R15</f>
        <v>21.6</v>
      </c>
      <c r="S32" s="37" t="s">
        <v>121</v>
      </c>
      <c r="T32" s="47">
        <f t="shared" si="7"/>
        <v>22680</v>
      </c>
      <c r="V32" s="37" t="s">
        <v>124</v>
      </c>
      <c r="W32" s="49">
        <f>W15</f>
        <v>1020</v>
      </c>
      <c r="X32" s="37" t="s">
        <v>120</v>
      </c>
      <c r="Y32" s="48">
        <f>Y15</f>
        <v>22.1</v>
      </c>
      <c r="Z32" s="37" t="s">
        <v>121</v>
      </c>
      <c r="AA32" s="47">
        <f t="shared" si="8"/>
        <v>22542</v>
      </c>
    </row>
    <row r="33" spans="1:27" x14ac:dyDescent="0.25">
      <c r="A33" s="37" t="s">
        <v>125</v>
      </c>
      <c r="O33" s="37" t="s">
        <v>125</v>
      </c>
      <c r="V33" s="37" t="s">
        <v>125</v>
      </c>
    </row>
    <row r="34" spans="1:27" x14ac:dyDescent="0.25">
      <c r="A34" s="42" t="s">
        <v>126</v>
      </c>
      <c r="B34" s="48">
        <f>ABS(F30-F31)</f>
        <v>1100</v>
      </c>
      <c r="C34" s="37" t="str">
        <f>IF(F31&gt;F30,"D",IF(F30&gt;F31,"F","-"))</f>
        <v>D</v>
      </c>
      <c r="O34" s="42" t="s">
        <v>126</v>
      </c>
      <c r="P34" s="48">
        <f>ABS(T30-T31)</f>
        <v>3300</v>
      </c>
      <c r="Q34" s="37" t="str">
        <f>IF(T31&gt;T30,"D",IF(T30&gt;T31,"F","-"))</f>
        <v>F</v>
      </c>
      <c r="V34" s="42" t="s">
        <v>126</v>
      </c>
      <c r="W34" s="48">
        <f>ABS(AA30-AA31)</f>
        <v>660</v>
      </c>
      <c r="X34" s="37" t="str">
        <f>IF(AA31&gt;AA30,"D",IF(AA30&gt;AA31,"F","-"))</f>
        <v>F</v>
      </c>
    </row>
    <row r="35" spans="1:27" x14ac:dyDescent="0.25">
      <c r="A35" s="42" t="s">
        <v>127</v>
      </c>
      <c r="B35" s="48">
        <f>ABS(F31-F32)</f>
        <v>420</v>
      </c>
      <c r="C35" s="37" t="str">
        <f t="shared" ref="C35" si="9">IF(F32&gt;F31,"D",IF(F31&gt;F32,"F","-"))</f>
        <v>F</v>
      </c>
      <c r="O35" s="42" t="s">
        <v>127</v>
      </c>
      <c r="P35" s="48">
        <f>ABS(T31-T32)</f>
        <v>420</v>
      </c>
      <c r="Q35" s="37" t="str">
        <f t="shared" ref="Q35" si="10">IF(T32&gt;T31,"D",IF(T31&gt;T32,"F","-"))</f>
        <v>F</v>
      </c>
      <c r="V35" s="42" t="s">
        <v>127</v>
      </c>
      <c r="W35" s="48">
        <f>ABS(AA31-AA32)</f>
        <v>102</v>
      </c>
      <c r="X35" s="37" t="str">
        <f t="shared" ref="X35" si="11">IF(AA32&gt;AA31,"D",IF(AA31&gt;AA32,"F","-"))</f>
        <v>D</v>
      </c>
    </row>
    <row r="36" spans="1:27" x14ac:dyDescent="0.25">
      <c r="A36" s="42" t="s">
        <v>128</v>
      </c>
      <c r="B36" s="48">
        <f>ABS(F32-F30)</f>
        <v>680</v>
      </c>
      <c r="C36" s="37" t="str">
        <f>IF(F32&gt;F30,"D",IF(F30&gt;F32,"F","-"))</f>
        <v>D</v>
      </c>
      <c r="O36" s="42" t="s">
        <v>128</v>
      </c>
      <c r="P36" s="48">
        <f>ABS(T32-T30)</f>
        <v>3720</v>
      </c>
      <c r="Q36" s="37" t="str">
        <f>IF(T32&gt;T30,"D",IF(T30&gt;T32,"F","-"))</f>
        <v>F</v>
      </c>
      <c r="V36" s="42" t="s">
        <v>128</v>
      </c>
      <c r="W36" s="48">
        <f>ABS(AA32-AA30)</f>
        <v>558</v>
      </c>
      <c r="X36" s="37" t="str">
        <f>IF(AA32&gt;AA30,"D",IF(AA30&gt;AA32,"F","-"))</f>
        <v>F</v>
      </c>
    </row>
    <row r="38" spans="1:27" x14ac:dyDescent="0.25">
      <c r="A38" s="102" t="s">
        <v>129</v>
      </c>
      <c r="B38" s="102"/>
      <c r="C38" s="102"/>
      <c r="D38" s="102"/>
      <c r="E38" s="102"/>
      <c r="F38" s="102"/>
      <c r="O38" s="102" t="s">
        <v>129</v>
      </c>
      <c r="P38" s="102"/>
      <c r="Q38" s="102"/>
      <c r="R38" s="102"/>
      <c r="S38" s="102"/>
      <c r="T38" s="102"/>
      <c r="V38" s="102" t="s">
        <v>129</v>
      </c>
      <c r="W38" s="102"/>
      <c r="X38" s="102"/>
      <c r="Y38" s="102"/>
      <c r="Z38" s="102"/>
      <c r="AA38" s="102"/>
    </row>
    <row r="39" spans="1:27" x14ac:dyDescent="0.25">
      <c r="A39" s="37" t="s">
        <v>119</v>
      </c>
      <c r="B39" s="49">
        <f>B8*B11</f>
        <v>1000</v>
      </c>
      <c r="C39" s="37" t="s">
        <v>120</v>
      </c>
      <c r="D39" s="48">
        <f>D8</f>
        <v>6</v>
      </c>
      <c r="E39" s="37" t="s">
        <v>121</v>
      </c>
      <c r="F39" s="47">
        <f>+D39*B39</f>
        <v>6000</v>
      </c>
      <c r="O39" s="37" t="s">
        <v>119</v>
      </c>
      <c r="P39" s="49">
        <f>P8*P11</f>
        <v>1200</v>
      </c>
      <c r="Q39" s="37" t="s">
        <v>120</v>
      </c>
      <c r="R39" s="48">
        <f>R8</f>
        <v>6</v>
      </c>
      <c r="S39" s="37" t="s">
        <v>121</v>
      </c>
      <c r="T39" s="47">
        <f>+R39*P39</f>
        <v>7200</v>
      </c>
      <c r="V39" s="37" t="s">
        <v>119</v>
      </c>
      <c r="W39" s="49">
        <f>W8*W11</f>
        <v>1050</v>
      </c>
      <c r="X39" s="37" t="s">
        <v>120</v>
      </c>
      <c r="Y39" s="48">
        <f>Y8</f>
        <v>6</v>
      </c>
      <c r="Z39" s="37" t="s">
        <v>121</v>
      </c>
      <c r="AA39" s="47">
        <f>+Y39*W39</f>
        <v>6300</v>
      </c>
    </row>
    <row r="40" spans="1:27" x14ac:dyDescent="0.25">
      <c r="A40" s="37" t="s">
        <v>130</v>
      </c>
      <c r="B40" s="49">
        <f>B15</f>
        <v>1050</v>
      </c>
      <c r="C40" s="37" t="s">
        <v>120</v>
      </c>
      <c r="D40" s="48">
        <f>D8</f>
        <v>6</v>
      </c>
      <c r="E40" s="37" t="s">
        <v>121</v>
      </c>
      <c r="F40" s="47">
        <f t="shared" ref="F40:F41" si="12">+D40*B40</f>
        <v>6300</v>
      </c>
      <c r="O40" s="37" t="s">
        <v>130</v>
      </c>
      <c r="P40" s="49">
        <f>P15</f>
        <v>1050</v>
      </c>
      <c r="Q40" s="37" t="s">
        <v>120</v>
      </c>
      <c r="R40" s="48">
        <f>R8</f>
        <v>6</v>
      </c>
      <c r="S40" s="37" t="s">
        <v>121</v>
      </c>
      <c r="T40" s="47">
        <f t="shared" ref="T40:T41" si="13">+R40*P40</f>
        <v>6300</v>
      </c>
      <c r="V40" s="37" t="s">
        <v>130</v>
      </c>
      <c r="W40" s="49">
        <f>W15</f>
        <v>1020</v>
      </c>
      <c r="X40" s="37" t="s">
        <v>120</v>
      </c>
      <c r="Y40" s="48">
        <f>Y8</f>
        <v>6</v>
      </c>
      <c r="Z40" s="37" t="s">
        <v>121</v>
      </c>
      <c r="AA40" s="47">
        <f t="shared" ref="AA40:AA41" si="14">+Y40*W40</f>
        <v>6120</v>
      </c>
    </row>
    <row r="41" spans="1:27" x14ac:dyDescent="0.25">
      <c r="A41" s="37" t="s">
        <v>124</v>
      </c>
      <c r="B41" s="49">
        <f>B15</f>
        <v>1050</v>
      </c>
      <c r="C41" s="37" t="s">
        <v>120</v>
      </c>
      <c r="D41" s="48">
        <f>B12/B15</f>
        <v>6.8</v>
      </c>
      <c r="E41" s="37" t="s">
        <v>121</v>
      </c>
      <c r="F41" s="47">
        <f t="shared" si="12"/>
        <v>7140</v>
      </c>
      <c r="O41" s="37" t="s">
        <v>124</v>
      </c>
      <c r="P41" s="49">
        <f>P15</f>
        <v>1050</v>
      </c>
      <c r="Q41" s="37" t="s">
        <v>120</v>
      </c>
      <c r="R41" s="48">
        <f>P12/P15</f>
        <v>6.8</v>
      </c>
      <c r="S41" s="37" t="s">
        <v>121</v>
      </c>
      <c r="T41" s="47">
        <f t="shared" si="13"/>
        <v>7140</v>
      </c>
      <c r="V41" s="37" t="s">
        <v>124</v>
      </c>
      <c r="W41" s="49">
        <f>W15</f>
        <v>1020</v>
      </c>
      <c r="X41" s="37" t="s">
        <v>120</v>
      </c>
      <c r="Y41" s="48">
        <f>W12/W15</f>
        <v>5</v>
      </c>
      <c r="Z41" s="37" t="s">
        <v>121</v>
      </c>
      <c r="AA41" s="47">
        <f t="shared" si="14"/>
        <v>5100</v>
      </c>
    </row>
    <row r="42" spans="1:27" x14ac:dyDescent="0.25">
      <c r="A42" s="37" t="s">
        <v>131</v>
      </c>
      <c r="O42" s="37" t="s">
        <v>131</v>
      </c>
      <c r="V42" s="37" t="s">
        <v>131</v>
      </c>
    </row>
    <row r="43" spans="1:27" x14ac:dyDescent="0.25">
      <c r="A43" s="42" t="s">
        <v>132</v>
      </c>
      <c r="B43" s="48">
        <f>ABS(F39-F40)</f>
        <v>300</v>
      </c>
      <c r="C43" s="37" t="str">
        <f>IF(F40&gt;F39,"D",IF(F39&gt;F40,"F","-"))</f>
        <v>D</v>
      </c>
      <c r="O43" s="42" t="s">
        <v>132</v>
      </c>
      <c r="P43" s="48">
        <f>ABS(T39-T40)</f>
        <v>900</v>
      </c>
      <c r="Q43" s="37" t="str">
        <f>IF(T40&gt;T39,"D",IF(T39&gt;T40,"F","-"))</f>
        <v>F</v>
      </c>
      <c r="V43" s="42" t="s">
        <v>132</v>
      </c>
      <c r="W43" s="48">
        <f>ABS(AA39-AA40)</f>
        <v>180</v>
      </c>
      <c r="X43" s="37" t="str">
        <f>IF(AA40&gt;AA39,"D",IF(AA39&gt;AA40,"F","-"))</f>
        <v>F</v>
      </c>
    </row>
    <row r="44" spans="1:27" x14ac:dyDescent="0.25">
      <c r="A44" s="42" t="s">
        <v>133</v>
      </c>
      <c r="B44" s="48">
        <f>ABS(F40-F41)</f>
        <v>840</v>
      </c>
      <c r="C44" s="37" t="str">
        <f t="shared" ref="C44" si="15">IF(F41&gt;F40,"D",IF(F40&gt;F41,"F","-"))</f>
        <v>D</v>
      </c>
      <c r="O44" s="42" t="s">
        <v>133</v>
      </c>
      <c r="P44" s="48">
        <f>ABS(T40-T41)</f>
        <v>840</v>
      </c>
      <c r="Q44" s="37" t="str">
        <f t="shared" ref="Q44" si="16">IF(T41&gt;T40,"D",IF(T40&gt;T41,"F","-"))</f>
        <v>D</v>
      </c>
      <c r="V44" s="42" t="s">
        <v>133</v>
      </c>
      <c r="W44" s="48">
        <f>ABS(AA40-AA41)</f>
        <v>1020</v>
      </c>
      <c r="X44" s="37" t="str">
        <f t="shared" ref="X44" si="17">IF(AA41&gt;AA40,"D",IF(AA40&gt;AA41,"F","-"))</f>
        <v>F</v>
      </c>
    </row>
    <row r="45" spans="1:27" x14ac:dyDescent="0.25">
      <c r="A45" s="42" t="s">
        <v>134</v>
      </c>
      <c r="B45" s="48">
        <f>ABS(F41-F39)</f>
        <v>1140</v>
      </c>
      <c r="C45" s="37" t="str">
        <f>IF(F41&gt;F39,"D",IF(F39&gt;F41,"F","-"))</f>
        <v>D</v>
      </c>
      <c r="O45" s="42" t="s">
        <v>134</v>
      </c>
      <c r="P45" s="48">
        <f>ABS(T41-T39)</f>
        <v>60</v>
      </c>
      <c r="Q45" s="37" t="str">
        <f>IF(T41&gt;T39,"D",IF(T39&gt;T41,"F","-"))</f>
        <v>F</v>
      </c>
      <c r="V45" s="42" t="s">
        <v>134</v>
      </c>
      <c r="W45" s="48">
        <f>ABS(AA41-AA39)</f>
        <v>1200</v>
      </c>
      <c r="X45" s="37" t="str">
        <f>IF(AA41&gt;AA39,"D",IF(AA39&gt;AA41,"F","-"))</f>
        <v>F</v>
      </c>
    </row>
    <row r="49" spans="15:27" x14ac:dyDescent="0.25">
      <c r="O49" s="105" t="s">
        <v>136</v>
      </c>
      <c r="P49" s="105"/>
      <c r="Q49" s="105"/>
      <c r="R49" s="105"/>
      <c r="S49" s="105"/>
      <c r="T49" s="105"/>
      <c r="V49" s="50"/>
      <c r="W49" s="50"/>
      <c r="X49" s="50"/>
      <c r="Y49" s="50"/>
      <c r="Z49" s="50"/>
      <c r="AA49" s="50"/>
    </row>
    <row r="50" spans="15:27" x14ac:dyDescent="0.25">
      <c r="O50" s="105"/>
      <c r="P50" s="105"/>
      <c r="Q50" s="105"/>
      <c r="R50" s="105"/>
      <c r="S50" s="105"/>
      <c r="T50" s="105"/>
      <c r="V50" s="50"/>
      <c r="W50" s="50"/>
      <c r="X50" s="50"/>
      <c r="Y50" s="50"/>
      <c r="Z50" s="50"/>
      <c r="AA50" s="50"/>
    </row>
    <row r="51" spans="15:27" x14ac:dyDescent="0.25">
      <c r="O51" s="105"/>
      <c r="P51" s="105"/>
      <c r="Q51" s="105"/>
      <c r="R51" s="105"/>
      <c r="S51" s="105"/>
      <c r="T51" s="105"/>
      <c r="V51" s="50"/>
      <c r="W51" s="50"/>
      <c r="X51" s="50"/>
      <c r="Y51" s="50"/>
      <c r="Z51" s="50"/>
      <c r="AA51" s="50"/>
    </row>
    <row r="52" spans="15:27" x14ac:dyDescent="0.25">
      <c r="O52" s="105"/>
      <c r="P52" s="105"/>
      <c r="Q52" s="105"/>
      <c r="R52" s="105"/>
      <c r="S52" s="105"/>
      <c r="T52" s="105"/>
      <c r="V52" s="50"/>
      <c r="W52" s="50"/>
      <c r="X52" s="50"/>
      <c r="Y52" s="50"/>
      <c r="Z52" s="50"/>
      <c r="AA52" s="50"/>
    </row>
    <row r="53" spans="15:27" x14ac:dyDescent="0.25">
      <c r="O53" s="105"/>
      <c r="P53" s="105"/>
      <c r="Q53" s="105"/>
      <c r="R53" s="105"/>
      <c r="S53" s="105"/>
      <c r="T53" s="105"/>
      <c r="V53" s="50"/>
      <c r="W53" s="50"/>
      <c r="X53" s="50"/>
      <c r="Y53" s="50"/>
      <c r="Z53" s="50"/>
      <c r="AA53" s="50"/>
    </row>
    <row r="54" spans="15:27" x14ac:dyDescent="0.25">
      <c r="O54" s="105"/>
      <c r="P54" s="105"/>
      <c r="Q54" s="105"/>
      <c r="R54" s="105"/>
      <c r="S54" s="105"/>
      <c r="T54" s="105"/>
      <c r="V54" s="50"/>
      <c r="W54" s="50"/>
      <c r="X54" s="50"/>
      <c r="Y54" s="50"/>
      <c r="Z54" s="50"/>
      <c r="AA54" s="50"/>
    </row>
    <row r="55" spans="15:27" x14ac:dyDescent="0.25">
      <c r="O55" s="105"/>
      <c r="P55" s="105"/>
      <c r="Q55" s="105"/>
      <c r="R55" s="105"/>
      <c r="S55" s="105"/>
      <c r="T55" s="105"/>
      <c r="V55" s="50"/>
      <c r="W55" s="50"/>
      <c r="X55" s="50"/>
      <c r="Y55" s="50"/>
      <c r="Z55" s="50"/>
      <c r="AA55" s="50"/>
    </row>
    <row r="56" spans="15:27" x14ac:dyDescent="0.25">
      <c r="O56" s="105"/>
      <c r="P56" s="105"/>
      <c r="Q56" s="105"/>
      <c r="R56" s="105"/>
      <c r="S56" s="105"/>
      <c r="T56" s="105"/>
      <c r="V56" s="50"/>
      <c r="W56" s="50"/>
      <c r="X56" s="50"/>
      <c r="Y56" s="50"/>
      <c r="Z56" s="50"/>
      <c r="AA56" s="50"/>
    </row>
    <row r="57" spans="15:27" x14ac:dyDescent="0.25">
      <c r="O57" s="105"/>
      <c r="P57" s="105"/>
      <c r="Q57" s="105"/>
      <c r="R57" s="105"/>
      <c r="S57" s="105"/>
      <c r="T57" s="105"/>
      <c r="V57" s="50"/>
      <c r="W57" s="50"/>
      <c r="X57" s="50"/>
      <c r="Y57" s="50"/>
      <c r="Z57" s="50"/>
      <c r="AA57" s="50"/>
    </row>
    <row r="58" spans="15:27" x14ac:dyDescent="0.25">
      <c r="O58" s="105"/>
      <c r="P58" s="105"/>
      <c r="Q58" s="105"/>
      <c r="R58" s="105"/>
      <c r="S58" s="105"/>
      <c r="T58" s="105"/>
      <c r="V58" s="50"/>
      <c r="W58" s="50"/>
      <c r="X58" s="50"/>
      <c r="Y58" s="50"/>
      <c r="Z58" s="50"/>
      <c r="AA58" s="50"/>
    </row>
    <row r="59" spans="15:27" x14ac:dyDescent="0.25">
      <c r="O59" s="105"/>
      <c r="P59" s="105"/>
      <c r="Q59" s="105"/>
      <c r="R59" s="105"/>
      <c r="S59" s="105"/>
      <c r="T59" s="105"/>
      <c r="V59" s="50"/>
      <c r="W59" s="50"/>
      <c r="X59" s="50"/>
      <c r="Y59" s="50"/>
      <c r="Z59" s="50"/>
      <c r="AA59" s="50"/>
    </row>
    <row r="60" spans="15:27" x14ac:dyDescent="0.25">
      <c r="O60" s="105"/>
      <c r="P60" s="105"/>
      <c r="Q60" s="105"/>
      <c r="R60" s="105"/>
      <c r="S60" s="105"/>
      <c r="T60" s="105"/>
      <c r="V60" s="50"/>
      <c r="W60" s="50"/>
      <c r="X60" s="50"/>
      <c r="Y60" s="50"/>
      <c r="Z60" s="50"/>
      <c r="AA60" s="50"/>
    </row>
    <row r="61" spans="15:27" x14ac:dyDescent="0.25">
      <c r="O61" s="105"/>
      <c r="P61" s="105"/>
      <c r="Q61" s="105"/>
      <c r="R61" s="105"/>
      <c r="S61" s="105"/>
      <c r="T61" s="105"/>
      <c r="V61" s="50"/>
      <c r="W61" s="50"/>
      <c r="X61" s="50"/>
      <c r="Y61" s="50"/>
      <c r="Z61" s="50"/>
      <c r="AA61" s="50"/>
    </row>
    <row r="62" spans="15:27" x14ac:dyDescent="0.25">
      <c r="O62" s="105"/>
      <c r="P62" s="105"/>
      <c r="Q62" s="105"/>
      <c r="R62" s="105"/>
      <c r="S62" s="105"/>
      <c r="T62" s="105"/>
      <c r="V62" s="50"/>
      <c r="W62" s="50"/>
      <c r="X62" s="50"/>
      <c r="Y62" s="50"/>
      <c r="Z62" s="50"/>
      <c r="AA62" s="50"/>
    </row>
    <row r="63" spans="15:27" x14ac:dyDescent="0.25">
      <c r="O63" s="105"/>
      <c r="P63" s="105"/>
      <c r="Q63" s="105"/>
      <c r="R63" s="105"/>
      <c r="S63" s="105"/>
      <c r="T63" s="105"/>
      <c r="V63" s="50"/>
      <c r="W63" s="50"/>
      <c r="X63" s="50"/>
      <c r="Y63" s="50"/>
      <c r="Z63" s="50"/>
      <c r="AA63" s="50"/>
    </row>
    <row r="64" spans="15:27" x14ac:dyDescent="0.25">
      <c r="O64" s="105"/>
      <c r="P64" s="105"/>
      <c r="Q64" s="105"/>
      <c r="R64" s="105"/>
      <c r="S64" s="105"/>
      <c r="T64" s="105"/>
      <c r="V64" s="50"/>
      <c r="W64" s="50"/>
      <c r="X64" s="50"/>
      <c r="Y64" s="50"/>
      <c r="Z64" s="50"/>
      <c r="AA64" s="50"/>
    </row>
  </sheetData>
  <mergeCells count="28">
    <mergeCell ref="A20:F20"/>
    <mergeCell ref="A29:F29"/>
    <mergeCell ref="A38:F38"/>
    <mergeCell ref="B5:C5"/>
    <mergeCell ref="D5:E5"/>
    <mergeCell ref="B13:C13"/>
    <mergeCell ref="D13:E13"/>
    <mergeCell ref="A17:F17"/>
    <mergeCell ref="A18:F18"/>
    <mergeCell ref="P5:Q5"/>
    <mergeCell ref="R5:S5"/>
    <mergeCell ref="P13:Q13"/>
    <mergeCell ref="R13:S13"/>
    <mergeCell ref="O17:T17"/>
    <mergeCell ref="O18:T18"/>
    <mergeCell ref="O20:T20"/>
    <mergeCell ref="O29:T29"/>
    <mergeCell ref="O38:T38"/>
    <mergeCell ref="O49:T64"/>
    <mergeCell ref="V18:AA18"/>
    <mergeCell ref="V20:AA20"/>
    <mergeCell ref="V29:AA29"/>
    <mergeCell ref="V38:AA38"/>
    <mergeCell ref="W5:X5"/>
    <mergeCell ref="Y5:Z5"/>
    <mergeCell ref="W13:X13"/>
    <mergeCell ref="Y13:Z13"/>
    <mergeCell ref="V17:AA17"/>
  </mergeCells>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2:J49"/>
  <sheetViews>
    <sheetView showGridLines="0" zoomScale="115" zoomScaleNormal="115" zoomScalePageLayoutView="160" workbookViewId="0">
      <selection activeCell="I18" sqref="I18"/>
    </sheetView>
  </sheetViews>
  <sheetFormatPr defaultColWidth="10.8984375" defaultRowHeight="13.2" x14ac:dyDescent="0.25"/>
  <cols>
    <col min="1" max="7" width="10.8984375" style="1"/>
    <col min="8" max="8" width="22.3984375" style="1" customWidth="1"/>
    <col min="9" max="9" width="10.8984375" style="1" customWidth="1"/>
    <col min="10" max="10" width="17.3984375" style="1" customWidth="1"/>
    <col min="11" max="16384" width="10.8984375" style="1"/>
  </cols>
  <sheetData>
    <row r="2" spans="8:10" x14ac:dyDescent="0.25">
      <c r="H2" s="1" t="s">
        <v>146</v>
      </c>
      <c r="I2" s="2">
        <v>4000</v>
      </c>
    </row>
    <row r="3" spans="8:10" x14ac:dyDescent="0.25">
      <c r="H3" s="1" t="s">
        <v>147</v>
      </c>
      <c r="I3" s="2">
        <v>11000</v>
      </c>
      <c r="J3" s="95" t="s">
        <v>472</v>
      </c>
    </row>
    <row r="4" spans="8:10" x14ac:dyDescent="0.25">
      <c r="H4" s="1" t="s">
        <v>148</v>
      </c>
      <c r="I4" s="1">
        <v>18700</v>
      </c>
      <c r="J4" s="8"/>
    </row>
    <row r="6" spans="8:10" x14ac:dyDescent="0.25">
      <c r="H6" s="2" t="s">
        <v>149</v>
      </c>
      <c r="I6" s="1">
        <f>I3/I2</f>
        <v>2.75</v>
      </c>
    </row>
    <row r="7" spans="8:10" x14ac:dyDescent="0.25">
      <c r="H7" s="1" t="s">
        <v>150</v>
      </c>
      <c r="I7" s="1">
        <f>I4/I3</f>
        <v>1.7</v>
      </c>
    </row>
    <row r="9" spans="8:10" x14ac:dyDescent="0.25">
      <c r="H9" s="1" t="s">
        <v>35</v>
      </c>
      <c r="I9" s="1">
        <v>2.5</v>
      </c>
      <c r="J9" s="95" t="s">
        <v>473</v>
      </c>
    </row>
    <row r="10" spans="8:10" x14ac:dyDescent="0.25">
      <c r="H10" s="1" t="s">
        <v>36</v>
      </c>
      <c r="I10" s="1">
        <v>1.8</v>
      </c>
    </row>
    <row r="12" spans="8:10" x14ac:dyDescent="0.25">
      <c r="H12" s="97" t="s">
        <v>157</v>
      </c>
      <c r="I12" s="97"/>
    </row>
    <row r="13" spans="8:10" x14ac:dyDescent="0.25">
      <c r="H13" s="1" t="str">
        <f>H2</f>
        <v>Produção</v>
      </c>
      <c r="I13" s="2">
        <f>I2</f>
        <v>4000</v>
      </c>
    </row>
    <row r="14" spans="8:10" x14ac:dyDescent="0.25">
      <c r="H14" s="1" t="s">
        <v>153</v>
      </c>
      <c r="I14" s="1">
        <f>I9</f>
        <v>2.5</v>
      </c>
    </row>
    <row r="15" spans="8:10" x14ac:dyDescent="0.25">
      <c r="H15" s="1" t="s">
        <v>155</v>
      </c>
      <c r="I15" s="2">
        <f>+I13*I14</f>
        <v>10000</v>
      </c>
    </row>
    <row r="16" spans="8:10" x14ac:dyDescent="0.25">
      <c r="H16" s="1" t="s">
        <v>154</v>
      </c>
      <c r="I16" s="1">
        <f>I10</f>
        <v>1.8</v>
      </c>
    </row>
    <row r="17" spans="8:10" x14ac:dyDescent="0.25">
      <c r="H17" s="1" t="s">
        <v>156</v>
      </c>
      <c r="I17" s="1">
        <f>+I16*I15</f>
        <v>18000</v>
      </c>
    </row>
    <row r="19" spans="8:10" x14ac:dyDescent="0.25">
      <c r="H19" s="1" t="s">
        <v>137</v>
      </c>
      <c r="I19" s="1">
        <f>I4</f>
        <v>18700</v>
      </c>
    </row>
    <row r="20" spans="8:10" x14ac:dyDescent="0.25">
      <c r="H20" s="1" t="s">
        <v>55</v>
      </c>
      <c r="I20" s="1">
        <f>+I19-I17</f>
        <v>700</v>
      </c>
      <c r="J20" s="1" t="str">
        <f t="shared" ref="J20" si="0">IF(I20&gt;0,"D",IF(I20&lt;0,"F","-"))</f>
        <v>D</v>
      </c>
    </row>
    <row r="23" spans="8:10" x14ac:dyDescent="0.25">
      <c r="H23" s="97" t="s">
        <v>158</v>
      </c>
      <c r="I23" s="97"/>
    </row>
    <row r="24" spans="8:10" x14ac:dyDescent="0.25">
      <c r="H24" s="1" t="s">
        <v>152</v>
      </c>
      <c r="I24" s="1">
        <f>I10*((I6-I9)*I2)</f>
        <v>1800</v>
      </c>
      <c r="J24" s="1" t="str">
        <f>IF(I24&gt;0,"D",IF(I24&lt;0,"F","-"))</f>
        <v>D</v>
      </c>
    </row>
    <row r="25" spans="8:10" x14ac:dyDescent="0.25">
      <c r="H25" s="1" t="s">
        <v>151</v>
      </c>
      <c r="I25" s="1">
        <f>I6*((I7-I10)*I2)</f>
        <v>-1100.0000000000009</v>
      </c>
      <c r="J25" s="1" t="str">
        <f t="shared" ref="J25:J26" si="1">IF(I25&gt;0,"D",IF(I25&lt;0,"F","-"))</f>
        <v>F</v>
      </c>
    </row>
    <row r="26" spans="8:10" x14ac:dyDescent="0.25">
      <c r="H26" s="1" t="s">
        <v>55</v>
      </c>
      <c r="I26" s="1">
        <f>SUM(I24:I25)</f>
        <v>699.99999999999909</v>
      </c>
      <c r="J26" s="1" t="str">
        <f t="shared" si="1"/>
        <v>D</v>
      </c>
    </row>
    <row r="37" spans="3:7" x14ac:dyDescent="0.25">
      <c r="C37" s="52"/>
      <c r="D37" s="53"/>
      <c r="E37" s="53"/>
      <c r="F37" s="53"/>
      <c r="G37" s="53"/>
    </row>
    <row r="38" spans="3:7" x14ac:dyDescent="0.25">
      <c r="C38" s="53"/>
      <c r="D38" s="53"/>
      <c r="E38" s="53"/>
      <c r="F38" s="53"/>
      <c r="G38" s="53"/>
    </row>
    <row r="39" spans="3:7" x14ac:dyDescent="0.25">
      <c r="C39" s="53"/>
      <c r="D39" s="53"/>
      <c r="E39" s="53"/>
      <c r="F39" s="53"/>
      <c r="G39" s="53"/>
    </row>
    <row r="40" spans="3:7" x14ac:dyDescent="0.25">
      <c r="C40" s="53"/>
      <c r="D40" s="53"/>
      <c r="E40" s="53"/>
      <c r="F40" s="53"/>
      <c r="G40" s="53"/>
    </row>
    <row r="41" spans="3:7" x14ac:dyDescent="0.25">
      <c r="C41" s="53"/>
      <c r="D41" s="53"/>
      <c r="E41" s="53"/>
      <c r="F41" s="53"/>
      <c r="G41" s="53"/>
    </row>
    <row r="42" spans="3:7" x14ac:dyDescent="0.25">
      <c r="C42" s="53"/>
      <c r="D42" s="53"/>
      <c r="E42" s="53"/>
      <c r="F42" s="53"/>
      <c r="G42" s="53"/>
    </row>
    <row r="43" spans="3:7" x14ac:dyDescent="0.25">
      <c r="C43" s="53"/>
      <c r="D43" s="53"/>
      <c r="E43" s="53"/>
      <c r="F43" s="53"/>
      <c r="G43" s="53"/>
    </row>
    <row r="44" spans="3:7" x14ac:dyDescent="0.25">
      <c r="C44" s="53"/>
      <c r="D44" s="53"/>
      <c r="E44" s="53"/>
      <c r="F44" s="53"/>
      <c r="G44" s="53"/>
    </row>
    <row r="45" spans="3:7" x14ac:dyDescent="0.25">
      <c r="C45" s="53"/>
      <c r="D45" s="53"/>
      <c r="E45" s="53"/>
      <c r="F45" s="53"/>
      <c r="G45" s="53"/>
    </row>
    <row r="46" spans="3:7" x14ac:dyDescent="0.25">
      <c r="C46" s="53"/>
      <c r="D46" s="53"/>
      <c r="E46" s="53"/>
      <c r="F46" s="53"/>
      <c r="G46" s="53"/>
    </row>
    <row r="47" spans="3:7" x14ac:dyDescent="0.25">
      <c r="C47" s="53"/>
      <c r="D47" s="53"/>
      <c r="E47" s="53"/>
      <c r="F47" s="53"/>
      <c r="G47" s="53"/>
    </row>
    <row r="48" spans="3:7" x14ac:dyDescent="0.25">
      <c r="C48" s="53"/>
      <c r="D48" s="53"/>
      <c r="E48" s="53"/>
      <c r="F48" s="53"/>
      <c r="G48" s="53"/>
    </row>
    <row r="49" spans="3:7" x14ac:dyDescent="0.25">
      <c r="C49" s="53"/>
      <c r="D49" s="53"/>
      <c r="E49" s="53"/>
      <c r="F49" s="53"/>
      <c r="G49" s="53"/>
    </row>
  </sheetData>
  <mergeCells count="2">
    <mergeCell ref="H12:I12"/>
    <mergeCell ref="H23:I23"/>
  </mergeCells>
  <pageMargins left="0.75" right="0.75" top="1" bottom="1" header="0.5" footer="0.5"/>
  <pageSetup paperSize="9" orientation="portrait"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I2:L26"/>
  <sheetViews>
    <sheetView showGridLines="0" zoomScale="115" zoomScaleNormal="115" zoomScalePageLayoutView="145" workbookViewId="0">
      <selection activeCell="I18" sqref="I18"/>
    </sheetView>
  </sheetViews>
  <sheetFormatPr defaultColWidth="10.8984375" defaultRowHeight="13.2" x14ac:dyDescent="0.25"/>
  <cols>
    <col min="1" max="8" width="10.8984375" style="1"/>
    <col min="9" max="9" width="22.3984375" style="1" customWidth="1"/>
    <col min="10" max="11" width="10.8984375" style="1" customWidth="1"/>
    <col min="12" max="16384" width="10.8984375" style="1"/>
  </cols>
  <sheetData>
    <row r="2" spans="9:12" x14ac:dyDescent="0.25">
      <c r="I2" s="1" t="s">
        <v>146</v>
      </c>
      <c r="J2" s="2">
        <v>6000</v>
      </c>
    </row>
    <row r="3" spans="9:12" x14ac:dyDescent="0.25">
      <c r="I3" s="1" t="s">
        <v>147</v>
      </c>
      <c r="J3" s="2">
        <v>1150</v>
      </c>
      <c r="K3" s="8"/>
    </row>
    <row r="4" spans="9:12" x14ac:dyDescent="0.25">
      <c r="I4" s="1" t="s">
        <v>148</v>
      </c>
      <c r="J4" s="1">
        <v>11500</v>
      </c>
      <c r="K4" s="8"/>
    </row>
    <row r="6" spans="9:12" x14ac:dyDescent="0.25">
      <c r="I6" s="2" t="s">
        <v>149</v>
      </c>
      <c r="J6" s="1">
        <f>J3/J2</f>
        <v>0.19166666666666668</v>
      </c>
      <c r="L6" s="2"/>
    </row>
    <row r="7" spans="9:12" x14ac:dyDescent="0.25">
      <c r="I7" s="1" t="s">
        <v>150</v>
      </c>
      <c r="J7" s="1">
        <f>J4/J3</f>
        <v>10</v>
      </c>
    </row>
    <row r="9" spans="9:12" x14ac:dyDescent="0.25">
      <c r="I9" s="1" t="s">
        <v>35</v>
      </c>
      <c r="J9" s="1">
        <v>0.2</v>
      </c>
    </row>
    <row r="10" spans="9:12" x14ac:dyDescent="0.25">
      <c r="I10" s="1" t="s">
        <v>36</v>
      </c>
      <c r="J10" s="1">
        <v>9.5</v>
      </c>
    </row>
    <row r="12" spans="9:12" x14ac:dyDescent="0.25">
      <c r="I12" s="97" t="s">
        <v>157</v>
      </c>
      <c r="J12" s="97"/>
    </row>
    <row r="13" spans="9:12" x14ac:dyDescent="0.25">
      <c r="I13" s="1" t="str">
        <f>I2</f>
        <v>Produção</v>
      </c>
      <c r="J13" s="2">
        <f>J2</f>
        <v>6000</v>
      </c>
    </row>
    <row r="14" spans="9:12" x14ac:dyDescent="0.25">
      <c r="I14" s="1" t="s">
        <v>153</v>
      </c>
      <c r="J14" s="1">
        <f>J9</f>
        <v>0.2</v>
      </c>
    </row>
    <row r="15" spans="9:12" x14ac:dyDescent="0.25">
      <c r="I15" s="1" t="s">
        <v>161</v>
      </c>
      <c r="J15" s="2">
        <f>+J13*J14</f>
        <v>1200</v>
      </c>
    </row>
    <row r="16" spans="9:12" x14ac:dyDescent="0.25">
      <c r="I16" s="1" t="s">
        <v>154</v>
      </c>
      <c r="J16" s="1">
        <f>J10</f>
        <v>9.5</v>
      </c>
    </row>
    <row r="17" spans="9:11" x14ac:dyDescent="0.25">
      <c r="I17" s="1" t="s">
        <v>162</v>
      </c>
      <c r="J17" s="1">
        <f>+J16*J15</f>
        <v>11400</v>
      </c>
    </row>
    <row r="19" spans="9:11" x14ac:dyDescent="0.25">
      <c r="I19" s="1" t="s">
        <v>137</v>
      </c>
      <c r="J19" s="1">
        <f>J4</f>
        <v>11500</v>
      </c>
    </row>
    <row r="20" spans="9:11" x14ac:dyDescent="0.25">
      <c r="I20" s="1" t="s">
        <v>55</v>
      </c>
      <c r="J20" s="1">
        <f>+J19-J17</f>
        <v>100</v>
      </c>
      <c r="K20" s="1" t="str">
        <f t="shared" ref="K20" si="0">IF(J20&gt;0,"D",IF(J20&lt;0,"F","-"))</f>
        <v>D</v>
      </c>
    </row>
    <row r="23" spans="9:11" x14ac:dyDescent="0.25">
      <c r="I23" s="97" t="s">
        <v>158</v>
      </c>
      <c r="J23" s="97"/>
    </row>
    <row r="24" spans="9:11" x14ac:dyDescent="0.25">
      <c r="I24" s="1" t="s">
        <v>152</v>
      </c>
      <c r="J24" s="1">
        <f>J10*((J6-J9)*J2)</f>
        <v>-474.99999999999989</v>
      </c>
      <c r="K24" s="1" t="str">
        <f>IF(J24&gt;0,"D",IF(J24&lt;0,"F","-"))</f>
        <v>F</v>
      </c>
    </row>
    <row r="25" spans="9:11" x14ac:dyDescent="0.25">
      <c r="I25" s="1" t="s">
        <v>151</v>
      </c>
      <c r="J25" s="1">
        <f>J6*((J7-J10)*J2)</f>
        <v>575</v>
      </c>
      <c r="K25" s="1" t="str">
        <f t="shared" ref="K25:K26" si="1">IF(J25&gt;0,"D",IF(J25&lt;0,"F","-"))</f>
        <v>D</v>
      </c>
    </row>
    <row r="26" spans="9:11" x14ac:dyDescent="0.25">
      <c r="I26" s="1" t="s">
        <v>55</v>
      </c>
      <c r="J26" s="1">
        <f>SUM(J24:J25)</f>
        <v>100.00000000000011</v>
      </c>
      <c r="K26" s="1" t="str">
        <f t="shared" si="1"/>
        <v>D</v>
      </c>
    </row>
  </sheetData>
  <mergeCells count="2">
    <mergeCell ref="I12:J12"/>
    <mergeCell ref="I23:J23"/>
  </mergeCells>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J2:L26"/>
  <sheetViews>
    <sheetView showGridLines="0" zoomScale="115" zoomScaleNormal="115" zoomScalePageLayoutView="160" workbookViewId="0">
      <selection activeCell="J17" sqref="J17"/>
    </sheetView>
  </sheetViews>
  <sheetFormatPr defaultColWidth="10.8984375" defaultRowHeight="13.2" x14ac:dyDescent="0.25"/>
  <cols>
    <col min="1" max="9" width="10.8984375" style="1"/>
    <col min="10" max="10" width="22.3984375" style="1" customWidth="1"/>
    <col min="11" max="12" width="10.8984375" style="1" customWidth="1"/>
    <col min="13" max="16384" width="10.8984375" style="1"/>
  </cols>
  <sheetData>
    <row r="2" spans="10:12" x14ac:dyDescent="0.25">
      <c r="J2" s="1" t="s">
        <v>146</v>
      </c>
      <c r="K2" s="2">
        <v>140000</v>
      </c>
    </row>
    <row r="3" spans="10:12" x14ac:dyDescent="0.25">
      <c r="J3" s="1" t="s">
        <v>147</v>
      </c>
      <c r="K3" s="2">
        <v>5800</v>
      </c>
      <c r="L3" s="8"/>
    </row>
    <row r="4" spans="10:12" x14ac:dyDescent="0.25">
      <c r="J4" s="1" t="s">
        <v>148</v>
      </c>
      <c r="K4" s="1">
        <v>15950</v>
      </c>
      <c r="L4" s="8"/>
    </row>
    <row r="6" spans="10:12" x14ac:dyDescent="0.25">
      <c r="J6" s="2" t="s">
        <v>149</v>
      </c>
      <c r="K6" s="1">
        <f>K3/K2</f>
        <v>4.1428571428571426E-2</v>
      </c>
    </row>
    <row r="7" spans="10:12" x14ac:dyDescent="0.25">
      <c r="J7" s="1" t="s">
        <v>150</v>
      </c>
      <c r="K7" s="1">
        <f>+K4/K3</f>
        <v>2.75</v>
      </c>
    </row>
    <row r="9" spans="10:12" x14ac:dyDescent="0.25">
      <c r="J9" s="1" t="s">
        <v>35</v>
      </c>
      <c r="K9" s="1">
        <v>0.04</v>
      </c>
    </row>
    <row r="10" spans="10:12" x14ac:dyDescent="0.25">
      <c r="J10" s="1" t="s">
        <v>36</v>
      </c>
      <c r="K10" s="1">
        <v>2.8</v>
      </c>
    </row>
    <row r="12" spans="10:12" x14ac:dyDescent="0.25">
      <c r="J12" s="97" t="s">
        <v>157</v>
      </c>
      <c r="K12" s="97"/>
    </row>
    <row r="13" spans="10:12" x14ac:dyDescent="0.25">
      <c r="J13" s="1" t="str">
        <f>J2</f>
        <v>Produção</v>
      </c>
      <c r="K13" s="2">
        <f>K2</f>
        <v>140000</v>
      </c>
    </row>
    <row r="14" spans="10:12" x14ac:dyDescent="0.25">
      <c r="J14" s="1" t="s">
        <v>153</v>
      </c>
      <c r="K14" s="1">
        <f>K9</f>
        <v>0.04</v>
      </c>
    </row>
    <row r="15" spans="10:12" x14ac:dyDescent="0.25">
      <c r="J15" s="1" t="s">
        <v>161</v>
      </c>
      <c r="K15" s="2">
        <f>+K13*K14</f>
        <v>5600</v>
      </c>
    </row>
    <row r="16" spans="10:12" x14ac:dyDescent="0.25">
      <c r="J16" s="1" t="s">
        <v>154</v>
      </c>
      <c r="K16" s="1">
        <f>K10</f>
        <v>2.8</v>
      </c>
    </row>
    <row r="17" spans="10:12" x14ac:dyDescent="0.25">
      <c r="J17" s="1" t="s">
        <v>163</v>
      </c>
      <c r="K17" s="1">
        <f>+K16*K15</f>
        <v>15679.999999999998</v>
      </c>
    </row>
    <row r="19" spans="10:12" x14ac:dyDescent="0.25">
      <c r="J19" s="1" t="s">
        <v>137</v>
      </c>
      <c r="K19" s="1">
        <f>K4</f>
        <v>15950</v>
      </c>
    </row>
    <row r="20" spans="10:12" x14ac:dyDescent="0.25">
      <c r="J20" s="1" t="s">
        <v>55</v>
      </c>
      <c r="K20" s="1">
        <f>+K19-K17</f>
        <v>270.00000000000182</v>
      </c>
      <c r="L20" s="1" t="str">
        <f t="shared" ref="L20" si="0">IF(K20&gt;0,"D",IF(K20&lt;0,"F","-"))</f>
        <v>D</v>
      </c>
    </row>
    <row r="23" spans="10:12" x14ac:dyDescent="0.25">
      <c r="J23" s="97" t="s">
        <v>158</v>
      </c>
      <c r="K23" s="97"/>
    </row>
    <row r="24" spans="10:12" x14ac:dyDescent="0.25">
      <c r="J24" s="1" t="s">
        <v>152</v>
      </c>
      <c r="K24" s="1">
        <f>K10*((K6-K9)*K2)</f>
        <v>559.99999999999852</v>
      </c>
      <c r="L24" s="1" t="str">
        <f>IF(K24&gt;0,"D",IF(K24&lt;0,"F","-"))</f>
        <v>D</v>
      </c>
    </row>
    <row r="25" spans="10:12" x14ac:dyDescent="0.25">
      <c r="J25" s="1" t="s">
        <v>151</v>
      </c>
      <c r="K25" s="1">
        <f>K6*((K7-K10)*K2)</f>
        <v>-289.99999999999898</v>
      </c>
      <c r="L25" s="1" t="str">
        <f t="shared" ref="L25:L26" si="1">IF(K25&gt;0,"D",IF(K25&lt;0,"F","-"))</f>
        <v>F</v>
      </c>
    </row>
    <row r="26" spans="10:12" x14ac:dyDescent="0.25">
      <c r="J26" s="1" t="s">
        <v>55</v>
      </c>
      <c r="K26" s="1">
        <f>SUM(K24:K25)</f>
        <v>269.99999999999955</v>
      </c>
      <c r="L26" s="1" t="str">
        <f t="shared" si="1"/>
        <v>D</v>
      </c>
    </row>
  </sheetData>
  <mergeCells count="2">
    <mergeCell ref="J12:K12"/>
    <mergeCell ref="J23:K23"/>
  </mergeCells>
  <pageMargins left="0.75" right="0.75" top="1" bottom="1" header="0.5" footer="0.5"/>
  <pageSetup paperSize="9" orientation="portrait" horizontalDpi="4294967292" verticalDpi="429496729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I2:K48"/>
  <sheetViews>
    <sheetView showGridLines="0" zoomScale="115" zoomScaleNormal="115" zoomScalePageLayoutView="130" workbookViewId="0">
      <selection activeCell="I20" sqref="I20"/>
    </sheetView>
  </sheetViews>
  <sheetFormatPr defaultColWidth="10.8984375" defaultRowHeight="13.2" x14ac:dyDescent="0.25"/>
  <cols>
    <col min="1" max="8" width="10.8984375" style="1"/>
    <col min="9" max="9" width="22.3984375" style="1" customWidth="1"/>
    <col min="10" max="10" width="10.8984375" style="1" customWidth="1"/>
    <col min="11" max="11" width="16.59765625" style="1" customWidth="1"/>
    <col min="12" max="12" width="10.8984375" style="1" customWidth="1"/>
    <col min="13" max="16384" width="10.8984375" style="1"/>
  </cols>
  <sheetData>
    <row r="2" spans="9:11" x14ac:dyDescent="0.25">
      <c r="I2" s="1" t="s">
        <v>146</v>
      </c>
      <c r="J2" s="2">
        <v>20000</v>
      </c>
    </row>
    <row r="3" spans="9:11" x14ac:dyDescent="0.25">
      <c r="I3" s="1" t="s">
        <v>147</v>
      </c>
      <c r="J3" s="2">
        <v>2125</v>
      </c>
      <c r="K3" s="8"/>
    </row>
    <row r="4" spans="9:11" x14ac:dyDescent="0.25">
      <c r="I4" s="1" t="s">
        <v>148</v>
      </c>
      <c r="J4" s="1">
        <v>49300</v>
      </c>
      <c r="K4" s="8"/>
    </row>
    <row r="6" spans="9:11" x14ac:dyDescent="0.25">
      <c r="I6" s="2" t="s">
        <v>149</v>
      </c>
      <c r="J6" s="1">
        <f>J3/J2</f>
        <v>0.10625</v>
      </c>
    </row>
    <row r="7" spans="9:11" x14ac:dyDescent="0.25">
      <c r="I7" s="1" t="s">
        <v>150</v>
      </c>
      <c r="J7" s="1">
        <f>+J4/J3</f>
        <v>23.2</v>
      </c>
    </row>
    <row r="9" spans="9:11" x14ac:dyDescent="0.25">
      <c r="I9" s="1" t="s">
        <v>35</v>
      </c>
      <c r="J9" s="1">
        <v>0.1</v>
      </c>
    </row>
    <row r="10" spans="9:11" x14ac:dyDescent="0.25">
      <c r="I10" s="1" t="s">
        <v>159</v>
      </c>
      <c r="J10" s="1">
        <v>24</v>
      </c>
      <c r="K10" s="96" t="s">
        <v>474</v>
      </c>
    </row>
    <row r="11" spans="9:11" x14ac:dyDescent="0.25">
      <c r="I11" s="1" t="s">
        <v>160</v>
      </c>
      <c r="J11" s="1">
        <f>+J10*J9</f>
        <v>2.4000000000000004</v>
      </c>
    </row>
    <row r="13" spans="9:11" x14ac:dyDescent="0.25">
      <c r="I13" s="97" t="s">
        <v>157</v>
      </c>
      <c r="J13" s="97"/>
    </row>
    <row r="14" spans="9:11" x14ac:dyDescent="0.25">
      <c r="I14" s="1" t="str">
        <f>I2</f>
        <v>Produção</v>
      </c>
      <c r="J14" s="2">
        <f>J2</f>
        <v>20000</v>
      </c>
    </row>
    <row r="15" spans="9:11" x14ac:dyDescent="0.25">
      <c r="I15" s="1" t="s">
        <v>153</v>
      </c>
      <c r="J15" s="1">
        <f>J9</f>
        <v>0.1</v>
      </c>
    </row>
    <row r="16" spans="9:11" x14ac:dyDescent="0.25">
      <c r="I16" s="1" t="s">
        <v>161</v>
      </c>
      <c r="J16" s="2">
        <f>+J14*J15</f>
        <v>2000</v>
      </c>
    </row>
    <row r="17" spans="9:11" x14ac:dyDescent="0.25">
      <c r="I17" s="1" t="s">
        <v>154</v>
      </c>
      <c r="J17" s="1">
        <f>J10</f>
        <v>24</v>
      </c>
    </row>
    <row r="18" spans="9:11" x14ac:dyDescent="0.25">
      <c r="I18" s="1" t="s">
        <v>156</v>
      </c>
      <c r="J18" s="1">
        <f>+J17*J16</f>
        <v>48000</v>
      </c>
    </row>
    <row r="20" spans="9:11" x14ac:dyDescent="0.25">
      <c r="I20" s="1" t="s">
        <v>137</v>
      </c>
      <c r="J20" s="1">
        <f>J4</f>
        <v>49300</v>
      </c>
    </row>
    <row r="21" spans="9:11" x14ac:dyDescent="0.25">
      <c r="I21" s="1" t="s">
        <v>55</v>
      </c>
      <c r="J21" s="1">
        <f>+J20-J18</f>
        <v>1300</v>
      </c>
      <c r="K21" s="1" t="str">
        <f t="shared" ref="K21" si="0">IF(J21&gt;0,"D",IF(J21&lt;0,"F","-"))</f>
        <v>D</v>
      </c>
    </row>
    <row r="24" spans="9:11" x14ac:dyDescent="0.25">
      <c r="I24" s="97" t="s">
        <v>158</v>
      </c>
      <c r="J24" s="97"/>
    </row>
    <row r="25" spans="9:11" x14ac:dyDescent="0.25">
      <c r="I25" s="1" t="s">
        <v>152</v>
      </c>
      <c r="J25" s="1">
        <f>J17*(J3-J16)</f>
        <v>3000</v>
      </c>
      <c r="K25" s="1" t="str">
        <f>IF(J25&gt;0,"D",IF(J25&lt;0,"F","-"))</f>
        <v>D</v>
      </c>
    </row>
    <row r="26" spans="9:11" x14ac:dyDescent="0.25">
      <c r="I26" s="1" t="s">
        <v>151</v>
      </c>
      <c r="J26" s="1">
        <f>J3*(J7-J10)</f>
        <v>-1700.0000000000016</v>
      </c>
      <c r="K26" s="1" t="str">
        <f t="shared" ref="K26:K27" si="1">IF(J26&gt;0,"D",IF(J26&lt;0,"F","-"))</f>
        <v>F</v>
      </c>
    </row>
    <row r="27" spans="9:11" x14ac:dyDescent="0.25">
      <c r="I27" s="1" t="s">
        <v>55</v>
      </c>
      <c r="J27" s="1">
        <f>+J26+J25</f>
        <v>1299.9999999999984</v>
      </c>
      <c r="K27" s="1" t="str">
        <f t="shared" si="1"/>
        <v>D</v>
      </c>
    </row>
    <row r="30" spans="9:11" x14ac:dyDescent="0.25">
      <c r="I30" s="1" t="s">
        <v>164</v>
      </c>
      <c r="J30" s="1">
        <v>16</v>
      </c>
      <c r="K30" s="1" t="s">
        <v>142</v>
      </c>
    </row>
    <row r="31" spans="9:11" x14ac:dyDescent="0.25">
      <c r="I31" s="1" t="s">
        <v>165</v>
      </c>
      <c r="J31" s="1">
        <v>39100</v>
      </c>
    </row>
    <row r="32" spans="9:11" x14ac:dyDescent="0.25">
      <c r="I32" s="1" t="s">
        <v>167</v>
      </c>
      <c r="J32" s="1">
        <f>J31/J3</f>
        <v>18.399999999999999</v>
      </c>
    </row>
    <row r="34" spans="9:11" x14ac:dyDescent="0.25">
      <c r="I34" s="97" t="s">
        <v>157</v>
      </c>
      <c r="J34" s="97"/>
    </row>
    <row r="35" spans="9:11" x14ac:dyDescent="0.25">
      <c r="I35" s="1" t="s">
        <v>166</v>
      </c>
      <c r="J35" s="2">
        <f>J2</f>
        <v>20000</v>
      </c>
    </row>
    <row r="36" spans="9:11" x14ac:dyDescent="0.25">
      <c r="I36" s="1" t="s">
        <v>153</v>
      </c>
      <c r="J36" s="1">
        <f>J9</f>
        <v>0.1</v>
      </c>
    </row>
    <row r="37" spans="9:11" x14ac:dyDescent="0.25">
      <c r="I37" s="1" t="s">
        <v>161</v>
      </c>
      <c r="J37" s="2">
        <f>+J35*J36</f>
        <v>2000</v>
      </c>
    </row>
    <row r="38" spans="9:11" x14ac:dyDescent="0.25">
      <c r="I38" s="1" t="s">
        <v>154</v>
      </c>
      <c r="J38" s="1">
        <f>J30</f>
        <v>16</v>
      </c>
    </row>
    <row r="39" spans="9:11" x14ac:dyDescent="0.25">
      <c r="I39" s="1" t="s">
        <v>168</v>
      </c>
      <c r="J39" s="1">
        <f>+J38*J37</f>
        <v>32000</v>
      </c>
    </row>
    <row r="41" spans="9:11" x14ac:dyDescent="0.25">
      <c r="I41" s="1" t="s">
        <v>137</v>
      </c>
      <c r="J41" s="1">
        <f>J31</f>
        <v>39100</v>
      </c>
    </row>
    <row r="42" spans="9:11" x14ac:dyDescent="0.25">
      <c r="I42" s="1" t="s">
        <v>55</v>
      </c>
      <c r="J42" s="1">
        <f>+J41-J39</f>
        <v>7100</v>
      </c>
      <c r="K42" s="1" t="str">
        <f t="shared" ref="K42" si="2">IF(J42&gt;0,"D",IF(J42&lt;0,"F","-"))</f>
        <v>D</v>
      </c>
    </row>
    <row r="45" spans="9:11" x14ac:dyDescent="0.25">
      <c r="I45" s="97" t="s">
        <v>158</v>
      </c>
      <c r="J45" s="97"/>
    </row>
    <row r="46" spans="9:11" x14ac:dyDescent="0.25">
      <c r="I46" s="1" t="s">
        <v>152</v>
      </c>
      <c r="J46" s="1">
        <f>J30*(J3-J16)</f>
        <v>2000</v>
      </c>
      <c r="K46" s="1" t="str">
        <f>IF(J46&gt;0,"D",IF(J46&lt;0,"F","-"))</f>
        <v>D</v>
      </c>
    </row>
    <row r="47" spans="9:11" x14ac:dyDescent="0.25">
      <c r="I47" s="1" t="s">
        <v>151</v>
      </c>
      <c r="J47" s="1">
        <f>J3*(J32-J30)</f>
        <v>5099.9999999999973</v>
      </c>
      <c r="K47" s="1" t="str">
        <f t="shared" ref="K47:K48" si="3">IF(J47&gt;0,"D",IF(J47&lt;0,"F","-"))</f>
        <v>D</v>
      </c>
    </row>
    <row r="48" spans="9:11" x14ac:dyDescent="0.25">
      <c r="I48" s="1" t="s">
        <v>55</v>
      </c>
      <c r="J48" s="1">
        <f>+J47+J46</f>
        <v>7099.9999999999973</v>
      </c>
      <c r="K48" s="1" t="str">
        <f t="shared" si="3"/>
        <v>D</v>
      </c>
    </row>
  </sheetData>
  <mergeCells count="4">
    <mergeCell ref="I13:J13"/>
    <mergeCell ref="I24:J24"/>
    <mergeCell ref="I34:J34"/>
    <mergeCell ref="I45:J45"/>
  </mergeCells>
  <pageMargins left="0.75" right="0.75" top="1" bottom="1" header="0.5" footer="0.5"/>
  <pageSetup paperSize="9"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K2:M40"/>
  <sheetViews>
    <sheetView showGridLines="0" zoomScaleNormal="100" zoomScalePageLayoutView="130" workbookViewId="0">
      <selection activeCell="J52" sqref="J52"/>
    </sheetView>
  </sheetViews>
  <sheetFormatPr defaultColWidth="10.8984375" defaultRowHeight="13.2" x14ac:dyDescent="0.25"/>
  <cols>
    <col min="1" max="10" width="10.8984375" style="1"/>
    <col min="11" max="11" width="23.09765625" style="1" bestFit="1" customWidth="1"/>
    <col min="12" max="16384" width="10.8984375" style="1"/>
  </cols>
  <sheetData>
    <row r="2" spans="11:13" x14ac:dyDescent="0.25">
      <c r="K2" s="106" t="s">
        <v>86</v>
      </c>
      <c r="L2" s="107"/>
    </row>
    <row r="3" spans="11:13" x14ac:dyDescent="0.25">
      <c r="K3" s="13" t="s">
        <v>146</v>
      </c>
      <c r="L3" s="54">
        <v>168</v>
      </c>
    </row>
    <row r="4" spans="11:13" x14ac:dyDescent="0.25">
      <c r="K4" s="13" t="s">
        <v>35</v>
      </c>
      <c r="L4" s="15">
        <v>1.25</v>
      </c>
    </row>
    <row r="5" spans="11:13" x14ac:dyDescent="0.25">
      <c r="K5" s="13" t="s">
        <v>171</v>
      </c>
      <c r="L5" s="15">
        <v>12</v>
      </c>
    </row>
    <row r="6" spans="11:13" x14ac:dyDescent="0.25">
      <c r="K6" s="23" t="s">
        <v>170</v>
      </c>
      <c r="L6" s="25">
        <f>+L5*L4</f>
        <v>15</v>
      </c>
    </row>
    <row r="8" spans="11:13" x14ac:dyDescent="0.25">
      <c r="K8" s="1" t="s">
        <v>55</v>
      </c>
      <c r="L8" s="1">
        <v>330</v>
      </c>
      <c r="M8" s="1" t="str">
        <f>IF(L8&gt;0,"D",IF(L8&lt;0,"F","-"))</f>
        <v>D</v>
      </c>
    </row>
    <row r="9" spans="11:13" x14ac:dyDescent="0.25">
      <c r="K9" s="1" t="s">
        <v>177</v>
      </c>
      <c r="L9" s="1">
        <v>-150</v>
      </c>
      <c r="M9" s="1" t="str">
        <f>IF(L9&gt;0,"D",IF(L9&lt;0,"F","-"))</f>
        <v>F</v>
      </c>
    </row>
    <row r="11" spans="11:13" x14ac:dyDescent="0.25">
      <c r="K11" s="1" t="s">
        <v>169</v>
      </c>
    </row>
    <row r="12" spans="11:13" x14ac:dyDescent="0.25">
      <c r="K12" s="1" t="s">
        <v>175</v>
      </c>
      <c r="L12" s="1">
        <f>L8-L9</f>
        <v>480</v>
      </c>
      <c r="M12" s="1" t="str">
        <f>IF(L12&gt;0,"D",IF(L12&lt;0,"F","-"))</f>
        <v>D</v>
      </c>
    </row>
    <row r="15" spans="11:13" x14ac:dyDescent="0.25">
      <c r="K15" s="106" t="s">
        <v>157</v>
      </c>
      <c r="L15" s="107"/>
    </row>
    <row r="16" spans="11:13" x14ac:dyDescent="0.25">
      <c r="K16" s="9" t="str">
        <f>K3</f>
        <v>Produção</v>
      </c>
      <c r="L16" s="56">
        <f>L3</f>
        <v>168</v>
      </c>
    </row>
    <row r="17" spans="11:12" x14ac:dyDescent="0.25">
      <c r="K17" s="13" t="s">
        <v>153</v>
      </c>
      <c r="L17" s="15">
        <f>+L4</f>
        <v>1.25</v>
      </c>
    </row>
    <row r="18" spans="11:12" x14ac:dyDescent="0.25">
      <c r="K18" s="13" t="s">
        <v>172</v>
      </c>
      <c r="L18" s="54">
        <f>+L17*L16</f>
        <v>210</v>
      </c>
    </row>
    <row r="19" spans="11:12" x14ac:dyDescent="0.25">
      <c r="K19" s="13" t="s">
        <v>173</v>
      </c>
      <c r="L19" s="15">
        <f>L5</f>
        <v>12</v>
      </c>
    </row>
    <row r="20" spans="11:12" x14ac:dyDescent="0.25">
      <c r="K20" s="13" t="s">
        <v>156</v>
      </c>
      <c r="L20" s="15">
        <f>+L19*L18</f>
        <v>2520</v>
      </c>
    </row>
    <row r="21" spans="11:12" x14ac:dyDescent="0.25">
      <c r="K21" s="13"/>
      <c r="L21" s="15"/>
    </row>
    <row r="22" spans="11:12" x14ac:dyDescent="0.25">
      <c r="K22" s="13" t="s">
        <v>174</v>
      </c>
      <c r="L22" s="57">
        <v>330</v>
      </c>
    </row>
    <row r="23" spans="11:12" x14ac:dyDescent="0.25">
      <c r="K23" s="23" t="s">
        <v>143</v>
      </c>
      <c r="L23" s="25">
        <f>+L20-L22</f>
        <v>2190</v>
      </c>
    </row>
    <row r="26" spans="11:12" x14ac:dyDescent="0.25">
      <c r="K26" s="1" t="s">
        <v>178</v>
      </c>
      <c r="L26" s="1">
        <f>L12</f>
        <v>480</v>
      </c>
    </row>
    <row r="27" spans="11:12" x14ac:dyDescent="0.25">
      <c r="K27" s="1" t="s">
        <v>37</v>
      </c>
      <c r="L27" s="1">
        <f>+L19</f>
        <v>12</v>
      </c>
    </row>
    <row r="28" spans="11:12" x14ac:dyDescent="0.25">
      <c r="K28" s="1" t="s">
        <v>179</v>
      </c>
      <c r="L28" s="1">
        <f>+L18</f>
        <v>210</v>
      </c>
    </row>
    <row r="30" spans="11:12" x14ac:dyDescent="0.25">
      <c r="K30" s="1" t="s">
        <v>169</v>
      </c>
    </row>
    <row r="31" spans="11:12" x14ac:dyDescent="0.25">
      <c r="K31" s="1" t="s">
        <v>139</v>
      </c>
      <c r="L31" s="2">
        <f>(L26+(L27*L28))/L27</f>
        <v>250</v>
      </c>
    </row>
    <row r="35" spans="11:12" x14ac:dyDescent="0.25">
      <c r="K35" s="1" t="s">
        <v>180</v>
      </c>
      <c r="L35" s="1">
        <f>L9</f>
        <v>-150</v>
      </c>
    </row>
    <row r="36" spans="11:12" x14ac:dyDescent="0.25">
      <c r="K36" s="1" t="s">
        <v>139</v>
      </c>
      <c r="L36" s="1">
        <f>L31</f>
        <v>250</v>
      </c>
    </row>
    <row r="37" spans="11:12" x14ac:dyDescent="0.25">
      <c r="K37" s="1" t="s">
        <v>37</v>
      </c>
      <c r="L37" s="1">
        <f>L27</f>
        <v>12</v>
      </c>
    </row>
    <row r="39" spans="11:12" x14ac:dyDescent="0.25">
      <c r="K39" s="1" t="s">
        <v>169</v>
      </c>
    </row>
    <row r="40" spans="11:12" x14ac:dyDescent="0.25">
      <c r="K40" s="1" t="s">
        <v>181</v>
      </c>
      <c r="L40" s="1">
        <f>(L35+(L36*L37))/L36</f>
        <v>11.4</v>
      </c>
    </row>
  </sheetData>
  <mergeCells count="2">
    <mergeCell ref="K2:L2"/>
    <mergeCell ref="K15:L15"/>
  </mergeCells>
  <pageMargins left="0.75" right="0.75" top="1" bottom="1" header="0.5" footer="0.5"/>
  <pageSetup paperSize="9"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39</vt:i4>
      </vt:variant>
    </vt:vector>
  </HeadingPairs>
  <TitlesOfParts>
    <vt:vector size="39" baseType="lpstr">
      <vt:lpstr>acopanhamento</vt:lpstr>
      <vt:lpstr>prob. revisao</vt:lpstr>
      <vt:lpstr>questoes</vt:lpstr>
      <vt:lpstr>aplicacao</vt:lpstr>
      <vt:lpstr>10.1</vt:lpstr>
      <vt:lpstr>10.2</vt:lpstr>
      <vt:lpstr>10.3</vt:lpstr>
      <vt:lpstr>10.4</vt:lpstr>
      <vt:lpstr>10.5</vt:lpstr>
      <vt:lpstr>10.6</vt:lpstr>
      <vt:lpstr>10.7</vt:lpstr>
      <vt:lpstr>10.8</vt:lpstr>
      <vt:lpstr>10.9</vt:lpstr>
      <vt:lpstr>10.10</vt:lpstr>
      <vt:lpstr>10.11</vt:lpstr>
      <vt:lpstr>10.12</vt:lpstr>
      <vt:lpstr>10.13</vt:lpstr>
      <vt:lpstr>10.14 top ph</vt:lpstr>
      <vt:lpstr>10.15 top ph</vt:lpstr>
      <vt:lpstr>10.16</vt:lpstr>
      <vt:lpstr>10.17</vt:lpstr>
      <vt:lpstr>acomp apendice A</vt:lpstr>
      <vt:lpstr>10.A1</vt:lpstr>
      <vt:lpstr>10.A2</vt:lpstr>
      <vt:lpstr>10.A3</vt:lpstr>
      <vt:lpstr>10.A4</vt:lpstr>
      <vt:lpstr>10.A5</vt:lpstr>
      <vt:lpstr>10.A6</vt:lpstr>
      <vt:lpstr>10.A7</vt:lpstr>
      <vt:lpstr>10.A8</vt:lpstr>
      <vt:lpstr>10.A9</vt:lpstr>
      <vt:lpstr>10.A10</vt:lpstr>
      <vt:lpstr>10.A11</vt:lpstr>
      <vt:lpstr>10A.12</vt:lpstr>
      <vt:lpstr>10.B1</vt:lpstr>
      <vt:lpstr>10.B2</vt:lpstr>
      <vt:lpstr>10.B3</vt:lpstr>
      <vt:lpstr>10.B4</vt:lpstr>
      <vt:lpstr>10.B5</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Bitti , Eugenio</dc:creator>
  <cp:lastModifiedBy>Eugenio Jose Silva Bitti</cp:lastModifiedBy>
  <dcterms:created xsi:type="dcterms:W3CDTF">2015-03-08T18:55:46Z</dcterms:created>
  <dcterms:modified xsi:type="dcterms:W3CDTF">2020-04-29T21:52:17Z</dcterms:modified>
</cp:coreProperties>
</file>