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0" yWindow="460" windowWidth="11300" windowHeight="14140" activeTab="1"/>
  </bookViews>
  <sheets>
    <sheet name="EX.1 ABC" sheetId="1" r:id="rId1"/>
    <sheet name="EX.2 ABC" sheetId="2" r:id="rId2"/>
  </sheets>
  <definedNames/>
  <calcPr fullCalcOnLoad="1"/>
</workbook>
</file>

<file path=xl/sharedStrings.xml><?xml version="1.0" encoding="utf-8"?>
<sst xmlns="http://schemas.openxmlformats.org/spreadsheetml/2006/main" count="187" uniqueCount="126">
  <si>
    <t>A</t>
  </si>
  <si>
    <t>B</t>
  </si>
  <si>
    <t>No. de lotes inspec</t>
  </si>
  <si>
    <t>No. de horas máquina</t>
  </si>
  <si>
    <t>Material direto [$/u]</t>
  </si>
  <si>
    <t>MOD [$/u]</t>
  </si>
  <si>
    <t>Prod./mês [u]</t>
  </si>
  <si>
    <t>Preço</t>
  </si>
  <si>
    <t>Preço [$/u]</t>
  </si>
  <si>
    <t>Análise de Resultados</t>
  </si>
  <si>
    <t>Tradicional</t>
  </si>
  <si>
    <t>Material</t>
  </si>
  <si>
    <t>MOD</t>
  </si>
  <si>
    <t>CIF rateados</t>
  </si>
  <si>
    <t xml:space="preserve">MODT </t>
  </si>
  <si>
    <t>CIFT</t>
  </si>
  <si>
    <t>$</t>
  </si>
  <si>
    <t>%</t>
  </si>
  <si>
    <t>ABC</t>
  </si>
  <si>
    <t>LT</t>
  </si>
  <si>
    <t>mcu</t>
  </si>
  <si>
    <t>MCT</t>
  </si>
  <si>
    <t>Marg lucro u</t>
  </si>
  <si>
    <t>RT</t>
  </si>
  <si>
    <t>Somente atividades</t>
  </si>
  <si>
    <t>1. Inspecionar</t>
  </si>
  <si>
    <t>3. Controlar Estoques</t>
  </si>
  <si>
    <t>4. Processar Máquinas</t>
  </si>
  <si>
    <t>5. Eng. Indl.</t>
  </si>
  <si>
    <t>1 e 4 serão atribuidas aos produtos</t>
  </si>
  <si>
    <r>
      <t xml:space="preserve">As outros comporão o </t>
    </r>
    <r>
      <rPr>
        <i/>
        <sz val="10"/>
        <rFont val="Arial"/>
        <family val="2"/>
      </rPr>
      <t>overhead</t>
    </r>
  </si>
  <si>
    <t>1. Inspecionar total</t>
  </si>
  <si>
    <t>1. Inspecionar unit.</t>
  </si>
  <si>
    <t>4. Máquinas total</t>
  </si>
  <si>
    <t>4. Máquinas unit.</t>
  </si>
  <si>
    <t>cdu</t>
  </si>
  <si>
    <t>ctu</t>
  </si>
  <si>
    <t>cdu1</t>
  </si>
  <si>
    <t>cdu2</t>
  </si>
  <si>
    <t xml:space="preserve"> </t>
  </si>
  <si>
    <t>OVERHEAD</t>
  </si>
  <si>
    <t>RESULTANTE</t>
  </si>
  <si>
    <t>lucro</t>
  </si>
  <si>
    <t>Emitir faturas</t>
  </si>
  <si>
    <t>Despachar produtos</t>
  </si>
  <si>
    <t>Pagar Fornec</t>
  </si>
  <si>
    <t>Receber Duplicatas</t>
  </si>
  <si>
    <t>No. faturas</t>
  </si>
  <si>
    <t>No. de embarques</t>
  </si>
  <si>
    <t>No. cheques</t>
  </si>
  <si>
    <t>No. de duplicatas</t>
  </si>
  <si>
    <t>ABC ampliado</t>
  </si>
  <si>
    <t>mcu 2</t>
  </si>
  <si>
    <t>MCT 2</t>
  </si>
  <si>
    <t>Emitir unit.</t>
  </si>
  <si>
    <t>Despachar unit.</t>
  </si>
  <si>
    <t>Pagar unit.</t>
  </si>
  <si>
    <t>Reveber duplic</t>
  </si>
  <si>
    <t>Receb unit</t>
  </si>
  <si>
    <t>cdu3</t>
  </si>
  <si>
    <t>mcu3</t>
  </si>
  <si>
    <t>overhead result</t>
  </si>
  <si>
    <t>Energia elétrica</t>
  </si>
  <si>
    <t>Manuseio Materiais</t>
  </si>
  <si>
    <t>Setips</t>
  </si>
  <si>
    <t>Inspeção</t>
  </si>
  <si>
    <t>Horas-máquina disp.</t>
  </si>
  <si>
    <t>Atividades</t>
  </si>
  <si>
    <t>Fonecer ee</t>
  </si>
  <si>
    <t>Manusear</t>
  </si>
  <si>
    <t>Setups</t>
  </si>
  <si>
    <t>Drivers</t>
  </si>
  <si>
    <t>Capacidade</t>
  </si>
  <si>
    <t>Custo</t>
  </si>
  <si>
    <t>KWh</t>
  </si>
  <si>
    <t>Movi</t>
  </si>
  <si>
    <t>setups</t>
  </si>
  <si>
    <t>inspeções</t>
  </si>
  <si>
    <t>Custo direto mat.</t>
  </si>
  <si>
    <t>Custo direto mod.</t>
  </si>
  <si>
    <t>Horas-máquina</t>
  </si>
  <si>
    <t>N. mov</t>
  </si>
  <si>
    <t>N. setups</t>
  </si>
  <si>
    <t>N. inspeções</t>
  </si>
  <si>
    <t>Unidades</t>
  </si>
  <si>
    <t>cdm</t>
  </si>
  <si>
    <t>mod</t>
  </si>
  <si>
    <t>overhead</t>
  </si>
  <si>
    <t>ociosidade</t>
  </si>
  <si>
    <t>1. 2 3 total</t>
  </si>
  <si>
    <t>1.2.3.unit.</t>
  </si>
  <si>
    <t xml:space="preserve">  resultante (Eng Indl)</t>
  </si>
  <si>
    <t>despesas</t>
  </si>
  <si>
    <t>manusear</t>
  </si>
  <si>
    <t>set ups</t>
  </si>
  <si>
    <t>inspeçoes</t>
  </si>
  <si>
    <t>eeletrica</t>
  </si>
  <si>
    <t>sub total</t>
  </si>
  <si>
    <t>total</t>
  </si>
  <si>
    <t>mcu [R$/u.]</t>
  </si>
  <si>
    <t>MCT [R$/mês]</t>
  </si>
  <si>
    <t xml:space="preserve">custeio </t>
  </si>
  <si>
    <t>direto</t>
  </si>
  <si>
    <t>custeio</t>
  </si>
  <si>
    <t>absorção</t>
  </si>
  <si>
    <t>ml [R$/u.]</t>
  </si>
  <si>
    <t>MLT [R$/mês]</t>
  </si>
  <si>
    <t>. CIF - TOTAL</t>
  </si>
  <si>
    <t xml:space="preserve">2. Armazenar </t>
  </si>
  <si>
    <t>mc</t>
  </si>
  <si>
    <t>$ 1000\</t>
  </si>
  <si>
    <t>formação de preços</t>
  </si>
  <si>
    <t>impostos</t>
  </si>
  <si>
    <t>margem</t>
  </si>
  <si>
    <t>comissão</t>
  </si>
  <si>
    <t xml:space="preserve">P final ABC = </t>
  </si>
  <si>
    <t xml:space="preserve">P final trad = </t>
  </si>
  <si>
    <t xml:space="preserve"> ABC</t>
  </si>
  <si>
    <t>ampliado</t>
  </si>
  <si>
    <t>ABSORÇÃO</t>
  </si>
  <si>
    <t xml:space="preserve">ABSORÇÃO </t>
  </si>
  <si>
    <t>AMPLIADO</t>
  </si>
  <si>
    <t>cf rateado</t>
  </si>
  <si>
    <t>CIT</t>
  </si>
  <si>
    <t>cut</t>
  </si>
  <si>
    <t>ml</t>
  </si>
</sst>
</file>

<file path=xl/styles.xml><?xml version="1.0" encoding="utf-8"?>
<styleSheet xmlns="http://schemas.openxmlformats.org/spreadsheetml/2006/main">
  <numFmts count="2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* #,##0.0_);_(* \(#,##0.0\);_(* &quot;-&quot;??_);_(@_)"/>
    <numFmt numFmtId="171" formatCode="_(* #,##0_);_(* \(#,##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_)"/>
    <numFmt numFmtId="182" formatCode="_(* #,##0.0_);_(* \(#,##0.0\);_(* &quot;-&quot;?_);_(@_)"/>
  </numFmts>
  <fonts count="37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57" applyFont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0" fillId="0" borderId="0" xfId="57" applyFont="1" applyBorder="1" applyAlignment="1">
      <alignment/>
    </xf>
    <xf numFmtId="171" fontId="0" fillId="0" borderId="0" xfId="42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9" fontId="0" fillId="0" borderId="14" xfId="57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171" fontId="0" fillId="33" borderId="0" xfId="42" applyNumberFormat="1" applyFont="1" applyFill="1" applyBorder="1" applyAlignment="1">
      <alignment/>
    </xf>
    <xf numFmtId="171" fontId="0" fillId="33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71" fontId="0" fillId="34" borderId="0" xfId="0" applyNumberFormat="1" applyFill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9" fontId="0" fillId="0" borderId="0" xfId="57" applyFont="1" applyAlignment="1">
      <alignment/>
    </xf>
    <xf numFmtId="171" fontId="0" fillId="0" borderId="0" xfId="42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0" fillId="0" borderId="13" xfId="0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9" fontId="0" fillId="0" borderId="0" xfId="57" applyFont="1" applyFill="1" applyBorder="1" applyAlignment="1">
      <alignment horizontal="center"/>
    </xf>
    <xf numFmtId="9" fontId="0" fillId="0" borderId="14" xfId="57" applyFont="1" applyFill="1" applyBorder="1" applyAlignment="1">
      <alignment horizontal="center"/>
    </xf>
    <xf numFmtId="2" fontId="0" fillId="0" borderId="0" xfId="57" applyNumberFormat="1" applyFont="1" applyFill="1" applyBorder="1" applyAlignment="1">
      <alignment horizontal="center"/>
    </xf>
    <xf numFmtId="2" fontId="0" fillId="0" borderId="14" xfId="57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9" fontId="0" fillId="35" borderId="0" xfId="57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42" applyNumberFormat="1" applyFont="1" applyFill="1" applyBorder="1" applyAlignment="1">
      <alignment horizontal="center"/>
    </xf>
    <xf numFmtId="1" fontId="0" fillId="0" borderId="0" xfId="57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9" fontId="0" fillId="36" borderId="0" xfId="57" applyFont="1" applyFill="1" applyBorder="1" applyAlignment="1">
      <alignment horizontal="center"/>
    </xf>
    <xf numFmtId="9" fontId="0" fillId="36" borderId="14" xfId="57" applyFont="1" applyFill="1" applyBorder="1" applyAlignment="1">
      <alignment horizontal="center"/>
    </xf>
    <xf numFmtId="171" fontId="0" fillId="0" borderId="16" xfId="0" applyNumberFormat="1" applyBorder="1" applyAlignment="1">
      <alignment/>
    </xf>
    <xf numFmtId="9" fontId="0" fillId="36" borderId="0" xfId="57" applyFont="1" applyFill="1" applyBorder="1" applyAlignment="1">
      <alignment/>
    </xf>
    <xf numFmtId="9" fontId="0" fillId="36" borderId="14" xfId="57" applyFont="1" applyFill="1" applyBorder="1" applyAlignment="1">
      <alignment/>
    </xf>
    <xf numFmtId="0" fontId="0" fillId="34" borderId="0" xfId="0" applyFill="1" applyAlignment="1">
      <alignment/>
    </xf>
    <xf numFmtId="43" fontId="0" fillId="0" borderId="0" xfId="42" applyFont="1" applyAlignment="1">
      <alignment/>
    </xf>
    <xf numFmtId="37" fontId="0" fillId="0" borderId="0" xfId="42" applyNumberFormat="1" applyFont="1" applyAlignment="1">
      <alignment horizontal="left" indent="3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34" borderId="0" xfId="0" applyFont="1" applyFill="1" applyAlignment="1">
      <alignment horizontal="right"/>
    </xf>
    <xf numFmtId="41" fontId="0" fillId="0" borderId="0" xfId="42" applyNumberFormat="1" applyFont="1" applyAlignment="1">
      <alignment/>
    </xf>
    <xf numFmtId="37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34" borderId="0" xfId="57" applyFont="1" applyFill="1" applyAlignment="1">
      <alignment/>
    </xf>
    <xf numFmtId="170" fontId="0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57" applyFont="1" applyAlignment="1">
      <alignment horizontal="left"/>
    </xf>
    <xf numFmtId="9" fontId="0" fillId="0" borderId="0" xfId="0" applyNumberFormat="1" applyAlignment="1">
      <alignment horizontal="left"/>
    </xf>
    <xf numFmtId="3" fontId="0" fillId="0" borderId="0" xfId="42" applyNumberFormat="1" applyFont="1" applyAlignment="1">
      <alignment horizontal="center"/>
    </xf>
    <xf numFmtId="9" fontId="0" fillId="34" borderId="0" xfId="57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37" fontId="0" fillId="0" borderId="0" xfId="42" applyNumberFormat="1" applyFont="1" applyBorder="1" applyAlignment="1">
      <alignment horizontal="center"/>
    </xf>
    <xf numFmtId="37" fontId="0" fillId="0" borderId="14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97"/>
  <sheetViews>
    <sheetView zoomScale="98" zoomScaleNormal="98" zoomScalePageLayoutView="0" workbookViewId="0" topLeftCell="C86">
      <selection activeCell="C78" sqref="C78"/>
    </sheetView>
  </sheetViews>
  <sheetFormatPr defaultColWidth="8.8515625" defaultRowHeight="12.75"/>
  <cols>
    <col min="1" max="1" width="22.421875" style="0" customWidth="1"/>
    <col min="2" max="2" width="10.140625" style="0" customWidth="1"/>
    <col min="3" max="3" width="9.8515625" style="0" customWidth="1"/>
    <col min="4" max="4" width="8.140625" style="0" customWidth="1"/>
    <col min="5" max="5" width="9.28125" style="0" bestFit="1" customWidth="1"/>
    <col min="6" max="6" width="11.421875" style="0" customWidth="1"/>
    <col min="7" max="7" width="13.28125" style="0" customWidth="1"/>
    <col min="8" max="8" width="11.28125" style="0" customWidth="1"/>
    <col min="9" max="9" width="12.421875" style="0" bestFit="1" customWidth="1"/>
    <col min="10" max="10" width="11.28125" style="0" bestFit="1" customWidth="1"/>
    <col min="11" max="11" width="9.8515625" style="0" bestFit="1" customWidth="1"/>
    <col min="12" max="12" width="14.7109375" style="0" bestFit="1" customWidth="1"/>
    <col min="13" max="13" width="10.421875" style="0" bestFit="1" customWidth="1"/>
  </cols>
  <sheetData>
    <row r="4" ht="12.75">
      <c r="J4">
        <f>(B8+B9+B10)</f>
        <v>150000</v>
      </c>
    </row>
    <row r="5" ht="12.75">
      <c r="J5">
        <f>J4/E21</f>
        <v>10000</v>
      </c>
    </row>
    <row r="6" ht="12.75">
      <c r="J6">
        <f>J5*C21</f>
        <v>50000</v>
      </c>
    </row>
    <row r="7" ht="12.75">
      <c r="H7">
        <f>15*12</f>
        <v>180</v>
      </c>
    </row>
    <row r="8" spans="1:6" ht="12.75">
      <c r="A8" t="s">
        <v>108</v>
      </c>
      <c r="B8">
        <v>50000</v>
      </c>
      <c r="F8" t="s">
        <v>9</v>
      </c>
    </row>
    <row r="9" spans="1:2" ht="13.5" thickBot="1">
      <c r="A9" t="s">
        <v>25</v>
      </c>
      <c r="B9">
        <v>60000</v>
      </c>
    </row>
    <row r="10" spans="1:11" ht="12.75">
      <c r="A10" t="s">
        <v>26</v>
      </c>
      <c r="B10">
        <v>40000</v>
      </c>
      <c r="F10" s="8" t="s">
        <v>10</v>
      </c>
      <c r="G10" s="9"/>
      <c r="H10" s="72" t="s">
        <v>0</v>
      </c>
      <c r="I10" s="72"/>
      <c r="J10" s="10" t="s">
        <v>1</v>
      </c>
      <c r="K10" s="11"/>
    </row>
    <row r="11" spans="1:11" ht="12.75">
      <c r="A11" t="s">
        <v>27</v>
      </c>
      <c r="B11">
        <v>150000</v>
      </c>
      <c r="F11" s="12"/>
      <c r="G11" s="4"/>
      <c r="H11" s="5" t="s">
        <v>16</v>
      </c>
      <c r="I11" s="5" t="s">
        <v>17</v>
      </c>
      <c r="J11" s="5" t="s">
        <v>16</v>
      </c>
      <c r="K11" s="13" t="s">
        <v>17</v>
      </c>
    </row>
    <row r="12" spans="1:11" ht="12.75">
      <c r="A12" t="s">
        <v>28</v>
      </c>
      <c r="B12">
        <v>200000</v>
      </c>
      <c r="F12" s="12" t="s">
        <v>7</v>
      </c>
      <c r="G12" s="32"/>
      <c r="H12" s="32">
        <f>C18</f>
        <v>80</v>
      </c>
      <c r="I12" s="32"/>
      <c r="J12" s="32">
        <f>D18</f>
        <v>95</v>
      </c>
      <c r="K12" s="33"/>
    </row>
    <row r="13" spans="1:12" ht="12.75">
      <c r="A13" t="s">
        <v>107</v>
      </c>
      <c r="B13">
        <f>SUM(B8:B12)</f>
        <v>500000</v>
      </c>
      <c r="F13" s="35" t="s">
        <v>11</v>
      </c>
      <c r="G13" s="36"/>
      <c r="H13" s="36">
        <f>C15</f>
        <v>20</v>
      </c>
      <c r="I13" s="37">
        <f>H13/$H$21</f>
        <v>0.25</v>
      </c>
      <c r="J13" s="36">
        <f>D15</f>
        <v>25</v>
      </c>
      <c r="K13" s="38">
        <f>J13/$J$21</f>
        <v>0.2631578947368421</v>
      </c>
      <c r="L13">
        <f>(C15*C17)+(D15*D17)</f>
        <v>340000</v>
      </c>
    </row>
    <row r="14" spans="3:12" ht="12.75">
      <c r="C14" s="1" t="s">
        <v>0</v>
      </c>
      <c r="D14" s="1" t="s">
        <v>1</v>
      </c>
      <c r="F14" s="35" t="s">
        <v>12</v>
      </c>
      <c r="G14" s="36"/>
      <c r="H14" s="36">
        <f>C16</f>
        <v>10</v>
      </c>
      <c r="I14" s="37">
        <f>H14/$H$21</f>
        <v>0.125</v>
      </c>
      <c r="J14" s="36">
        <f>D16</f>
        <v>6</v>
      </c>
      <c r="K14" s="38">
        <f>J14/$J$21</f>
        <v>0.06315789473684211</v>
      </c>
      <c r="L14">
        <f>E19</f>
        <v>144000</v>
      </c>
    </row>
    <row r="15" spans="1:11" ht="12.75">
      <c r="A15" t="s">
        <v>4</v>
      </c>
      <c r="C15" s="1">
        <v>20</v>
      </c>
      <c r="D15" s="1">
        <v>25</v>
      </c>
      <c r="F15" s="35" t="s">
        <v>35</v>
      </c>
      <c r="G15" s="36"/>
      <c r="H15" s="36">
        <f>H14+H13</f>
        <v>30</v>
      </c>
      <c r="I15" s="37">
        <f>H15/$H$21</f>
        <v>0.375</v>
      </c>
      <c r="J15" s="36">
        <f>J14+J13</f>
        <v>31</v>
      </c>
      <c r="K15" s="38">
        <f>J15/$J$21</f>
        <v>0.3263157894736842</v>
      </c>
    </row>
    <row r="16" spans="1:11" ht="12.75">
      <c r="A16" t="s">
        <v>5</v>
      </c>
      <c r="C16" s="1">
        <v>10</v>
      </c>
      <c r="D16" s="1">
        <v>6</v>
      </c>
      <c r="F16" s="35" t="s">
        <v>20</v>
      </c>
      <c r="G16" s="36"/>
      <c r="H16" s="34">
        <f>H12-H15</f>
        <v>50</v>
      </c>
      <c r="I16" s="43">
        <f>H16/H12</f>
        <v>0.625</v>
      </c>
      <c r="J16" s="34">
        <f>J12-J15</f>
        <v>64</v>
      </c>
      <c r="K16" s="43">
        <f>J16/J12</f>
        <v>0.6736842105263158</v>
      </c>
    </row>
    <row r="17" spans="1:12" ht="12.75">
      <c r="A17" t="s">
        <v>6</v>
      </c>
      <c r="C17" s="1">
        <v>12000</v>
      </c>
      <c r="D17" s="1">
        <v>4000</v>
      </c>
      <c r="F17" s="35" t="s">
        <v>21</v>
      </c>
      <c r="G17" s="36"/>
      <c r="H17" s="48">
        <f>H16*C17</f>
        <v>600000</v>
      </c>
      <c r="I17" s="43">
        <f>H17/L17</f>
        <v>0.7009345794392523</v>
      </c>
      <c r="J17" s="48">
        <f>J16*D17</f>
        <v>256000</v>
      </c>
      <c r="K17" s="43">
        <f>J17/L17</f>
        <v>0.29906542056074764</v>
      </c>
      <c r="L17" s="44">
        <f>H17+J17</f>
        <v>856000</v>
      </c>
    </row>
    <row r="18" spans="1:12" ht="12.75">
      <c r="A18" t="s">
        <v>8</v>
      </c>
      <c r="C18" s="1">
        <v>80</v>
      </c>
      <c r="D18" s="1">
        <v>95</v>
      </c>
      <c r="F18" s="12" t="s">
        <v>15</v>
      </c>
      <c r="G18" s="36"/>
      <c r="H18" s="45">
        <f>C20*$B$13</f>
        <v>416666.6666666667</v>
      </c>
      <c r="I18" s="46"/>
      <c r="J18" s="45">
        <f>D20*$B$13</f>
        <v>83333.33333333333</v>
      </c>
      <c r="K18" s="38"/>
      <c r="L18" s="3">
        <f>H18+J18</f>
        <v>500000</v>
      </c>
    </row>
    <row r="19" spans="1:11" ht="12.75">
      <c r="A19" t="s">
        <v>14</v>
      </c>
      <c r="C19" s="31">
        <f>C16*C17</f>
        <v>120000</v>
      </c>
      <c r="D19" s="1">
        <f>D16*D17</f>
        <v>24000</v>
      </c>
      <c r="E19">
        <f>SUM(C19:D19)</f>
        <v>144000</v>
      </c>
      <c r="F19" s="12" t="s">
        <v>13</v>
      </c>
      <c r="G19" s="36"/>
      <c r="H19" s="36">
        <f>H18/C17</f>
        <v>34.72222222222222</v>
      </c>
      <c r="I19" s="37">
        <f>H19/$H$21</f>
        <v>0.4340277777777778</v>
      </c>
      <c r="J19" s="36">
        <f>J18/D17</f>
        <v>20.833333333333332</v>
      </c>
      <c r="K19" s="38">
        <f>J19/$J$21</f>
        <v>0.21929824561403508</v>
      </c>
    </row>
    <row r="20" spans="3:11" ht="12.75">
      <c r="C20" s="2">
        <f>C19/E19</f>
        <v>0.8333333333333334</v>
      </c>
      <c r="D20" s="2">
        <f>D19/E19</f>
        <v>0.16666666666666666</v>
      </c>
      <c r="F20" s="12" t="s">
        <v>36</v>
      </c>
      <c r="G20" s="36"/>
      <c r="H20" s="36">
        <f>H19+H15</f>
        <v>64.72222222222223</v>
      </c>
      <c r="I20" s="37">
        <f>H20/$H$21</f>
        <v>0.8090277777777779</v>
      </c>
      <c r="J20" s="36">
        <f>J19+J15</f>
        <v>51.83333333333333</v>
      </c>
      <c r="K20" s="38">
        <f>J20/$J$21</f>
        <v>0.5456140350877192</v>
      </c>
    </row>
    <row r="21" spans="1:13" ht="12.75">
      <c r="A21" t="s">
        <v>2</v>
      </c>
      <c r="C21">
        <v>5</v>
      </c>
      <c r="D21">
        <v>10</v>
      </c>
      <c r="E21">
        <f>C21+D21</f>
        <v>15</v>
      </c>
      <c r="F21" s="12" t="s">
        <v>7</v>
      </c>
      <c r="G21" s="36"/>
      <c r="H21" s="36">
        <f>C18</f>
        <v>80</v>
      </c>
      <c r="I21" s="37">
        <f>H21/$H$21</f>
        <v>1</v>
      </c>
      <c r="J21" s="36">
        <f>D18</f>
        <v>95</v>
      </c>
      <c r="K21" s="38">
        <f>J21/$J$21</f>
        <v>1</v>
      </c>
      <c r="M21" s="3">
        <f>L22-L18-L14-L13</f>
        <v>356000</v>
      </c>
    </row>
    <row r="22" spans="1:12" ht="12.75">
      <c r="A22" t="s">
        <v>3</v>
      </c>
      <c r="C22">
        <v>4000</v>
      </c>
      <c r="D22">
        <v>6000</v>
      </c>
      <c r="E22">
        <f>C22+D22</f>
        <v>10000</v>
      </c>
      <c r="F22" s="12" t="s">
        <v>23</v>
      </c>
      <c r="G22" s="36"/>
      <c r="H22" s="47">
        <f>H21*C17</f>
        <v>960000</v>
      </c>
      <c r="I22" s="37">
        <f>H22/L22</f>
        <v>0.7164179104477612</v>
      </c>
      <c r="J22" s="47">
        <f>J21*D17</f>
        <v>380000</v>
      </c>
      <c r="K22" s="38">
        <f>J22/L22</f>
        <v>0.2835820895522388</v>
      </c>
      <c r="L22" s="3">
        <f>H22+J22</f>
        <v>1340000</v>
      </c>
    </row>
    <row r="23" spans="6:12" ht="12.75">
      <c r="F23" s="12" t="s">
        <v>22</v>
      </c>
      <c r="G23" s="36"/>
      <c r="H23" s="36">
        <f>H21-H20</f>
        <v>15.277777777777771</v>
      </c>
      <c r="I23" s="49">
        <f>H23/$H$21</f>
        <v>0.19097222222222215</v>
      </c>
      <c r="J23" s="36">
        <f>J21-J20</f>
        <v>43.16666666666667</v>
      </c>
      <c r="K23" s="50">
        <f>J23/$J$21</f>
        <v>0.4543859649122807</v>
      </c>
      <c r="L23" s="3">
        <f>J24+H24</f>
        <v>355999.99999999994</v>
      </c>
    </row>
    <row r="24" spans="1:12" ht="12.75">
      <c r="A24" t="s">
        <v>24</v>
      </c>
      <c r="F24" s="12" t="s">
        <v>19</v>
      </c>
      <c r="G24" s="36"/>
      <c r="H24" s="47">
        <f>H23*C17</f>
        <v>183333.33333333326</v>
      </c>
      <c r="I24" s="49">
        <f>H24/L23</f>
        <v>0.5149812734082395</v>
      </c>
      <c r="J24" s="47">
        <f>J23*D17</f>
        <v>172666.6666666667</v>
      </c>
      <c r="K24" s="50">
        <f>J24/L23</f>
        <v>0.48501872659176043</v>
      </c>
      <c r="L24" s="3">
        <f>H24+J24</f>
        <v>355999.99999999994</v>
      </c>
    </row>
    <row r="25" spans="1:11" ht="12.75">
      <c r="A25" t="s">
        <v>29</v>
      </c>
      <c r="F25" s="12"/>
      <c r="G25" s="36"/>
      <c r="H25" s="36"/>
      <c r="I25" s="37"/>
      <c r="J25" s="36"/>
      <c r="K25" s="38"/>
    </row>
    <row r="26" spans="1:11" ht="12.75">
      <c r="A26" t="s">
        <v>30</v>
      </c>
      <c r="F26" s="12" t="s">
        <v>40</v>
      </c>
      <c r="G26" s="76">
        <v>500000</v>
      </c>
      <c r="H26" s="76"/>
      <c r="I26" s="76"/>
      <c r="J26" s="76"/>
      <c r="K26" s="77"/>
    </row>
    <row r="27" spans="6:12" ht="12.75">
      <c r="F27" s="12" t="s">
        <v>41</v>
      </c>
      <c r="G27" s="36"/>
      <c r="H27" s="36"/>
      <c r="I27" s="39" t="s">
        <v>39</v>
      </c>
      <c r="J27" s="36"/>
      <c r="K27" s="40"/>
      <c r="L27" s="3" t="s">
        <v>39</v>
      </c>
    </row>
    <row r="28" spans="1:11" ht="13.5" thickBot="1">
      <c r="A28" t="s">
        <v>43</v>
      </c>
      <c r="B28">
        <v>15000</v>
      </c>
      <c r="G28" s="41" t="s">
        <v>42</v>
      </c>
      <c r="H28" s="41"/>
      <c r="I28" s="42">
        <f>L17-G26</f>
        <v>356000</v>
      </c>
      <c r="J28" s="41"/>
      <c r="K28" s="41"/>
    </row>
    <row r="29" spans="1:11" ht="12.75">
      <c r="A29" t="s">
        <v>44</v>
      </c>
      <c r="B29">
        <v>35000</v>
      </c>
      <c r="F29" s="8" t="s">
        <v>18</v>
      </c>
      <c r="G29" s="9"/>
      <c r="H29" s="72" t="s">
        <v>0</v>
      </c>
      <c r="I29" s="72"/>
      <c r="J29" s="10" t="s">
        <v>1</v>
      </c>
      <c r="K29" s="11"/>
    </row>
    <row r="30" spans="1:11" ht="12.75">
      <c r="A30" t="s">
        <v>45</v>
      </c>
      <c r="B30">
        <v>9750</v>
      </c>
      <c r="F30" s="12"/>
      <c r="G30" s="4"/>
      <c r="H30" s="5" t="s">
        <v>16</v>
      </c>
      <c r="I30" s="5" t="s">
        <v>17</v>
      </c>
      <c r="J30" s="5" t="s">
        <v>16</v>
      </c>
      <c r="K30" s="13" t="s">
        <v>17</v>
      </c>
    </row>
    <row r="31" spans="1:11" ht="12.75">
      <c r="A31" t="s">
        <v>46</v>
      </c>
      <c r="B31">
        <v>30000</v>
      </c>
      <c r="F31" s="12" t="s">
        <v>11</v>
      </c>
      <c r="G31" s="4"/>
      <c r="H31" s="19">
        <f>H13</f>
        <v>20</v>
      </c>
      <c r="I31" s="6">
        <f>H31/$H$39</f>
        <v>0.25</v>
      </c>
      <c r="J31" s="22">
        <f>J13</f>
        <v>25</v>
      </c>
      <c r="K31" s="14">
        <f>J31/$J$39</f>
        <v>0.2631578947368421</v>
      </c>
    </row>
    <row r="32" spans="2:11" ht="12.75">
      <c r="B32">
        <f>SUM(B28:B31)</f>
        <v>89750</v>
      </c>
      <c r="F32" s="12" t="s">
        <v>12</v>
      </c>
      <c r="G32" s="4"/>
      <c r="H32" s="19">
        <f>H14</f>
        <v>10</v>
      </c>
      <c r="I32" s="6">
        <f>H32/$H$39</f>
        <v>0.125</v>
      </c>
      <c r="J32" s="22">
        <f>J14</f>
        <v>6</v>
      </c>
      <c r="K32" s="14">
        <f aca="true" t="shared" si="0" ref="K32:K40">J32/$J$39</f>
        <v>0.06315789473684211</v>
      </c>
    </row>
    <row r="33" spans="3:11" ht="12.75">
      <c r="C33" t="s">
        <v>0</v>
      </c>
      <c r="D33" t="s">
        <v>1</v>
      </c>
      <c r="F33" s="12" t="s">
        <v>37</v>
      </c>
      <c r="G33" s="4"/>
      <c r="H33" s="19">
        <f>H32+H31</f>
        <v>30</v>
      </c>
      <c r="I33" s="6">
        <f>H33/$H$39</f>
        <v>0.375</v>
      </c>
      <c r="J33" s="22">
        <f>J32+J31</f>
        <v>31</v>
      </c>
      <c r="K33" s="14">
        <f t="shared" si="0"/>
        <v>0.3263157894736842</v>
      </c>
    </row>
    <row r="34" spans="1:11" ht="12.75">
      <c r="A34" t="s">
        <v>47</v>
      </c>
      <c r="C34">
        <v>8</v>
      </c>
      <c r="D34">
        <v>12</v>
      </c>
      <c r="E34">
        <f>SUM(C34:D34)</f>
        <v>20</v>
      </c>
      <c r="F34" s="12" t="s">
        <v>89</v>
      </c>
      <c r="G34" s="4"/>
      <c r="H34" s="20">
        <f>(($B$8+B9+B10)/$E$21)*C21</f>
        <v>50000</v>
      </c>
      <c r="I34" s="6"/>
      <c r="J34" s="20">
        <f>(($B$8+B9+B10)/$E$21)*D21</f>
        <v>100000</v>
      </c>
      <c r="K34" s="14"/>
    </row>
    <row r="35" spans="1:11" ht="12.75">
      <c r="A35" t="s">
        <v>48</v>
      </c>
      <c r="C35">
        <v>8</v>
      </c>
      <c r="D35">
        <v>12</v>
      </c>
      <c r="E35">
        <f>SUM(C35:D35)</f>
        <v>20</v>
      </c>
      <c r="F35" s="12" t="s">
        <v>90</v>
      </c>
      <c r="G35" s="4"/>
      <c r="H35" s="21">
        <f>H34/C17</f>
        <v>4.166666666666667</v>
      </c>
      <c r="I35" s="6">
        <f>H35/$H$39</f>
        <v>0.052083333333333336</v>
      </c>
      <c r="J35" s="23">
        <f>J34/D17</f>
        <v>25</v>
      </c>
      <c r="K35" s="14">
        <f t="shared" si="0"/>
        <v>0.2631578947368421</v>
      </c>
    </row>
    <row r="36" spans="1:11" ht="12.75">
      <c r="A36" t="s">
        <v>49</v>
      </c>
      <c r="C36">
        <v>50</v>
      </c>
      <c r="D36">
        <v>100</v>
      </c>
      <c r="E36">
        <f>SUM(C36:D36)</f>
        <v>150</v>
      </c>
      <c r="F36" s="12" t="s">
        <v>33</v>
      </c>
      <c r="G36" s="4"/>
      <c r="H36" s="21">
        <f>(B11/E22)*C22</f>
        <v>60000</v>
      </c>
      <c r="I36" s="6"/>
      <c r="J36" s="23">
        <f>(B11/E22)*D22</f>
        <v>90000</v>
      </c>
      <c r="K36" s="14"/>
    </row>
    <row r="37" spans="1:11" ht="12.75">
      <c r="A37" t="s">
        <v>50</v>
      </c>
      <c r="C37">
        <v>8</v>
      </c>
      <c r="D37">
        <v>12</v>
      </c>
      <c r="E37">
        <f>SUM(C37:D37)</f>
        <v>20</v>
      </c>
      <c r="F37" s="12" t="s">
        <v>34</v>
      </c>
      <c r="G37" s="4"/>
      <c r="H37" s="21">
        <f>H36/C17</f>
        <v>5</v>
      </c>
      <c r="I37" s="6">
        <f>H37/$H$39</f>
        <v>0.0625</v>
      </c>
      <c r="J37" s="23">
        <f>J36/D17</f>
        <v>22.5</v>
      </c>
      <c r="K37" s="14">
        <f t="shared" si="0"/>
        <v>0.23684210526315788</v>
      </c>
    </row>
    <row r="38" spans="6:11" ht="12.75">
      <c r="F38" s="12" t="s">
        <v>38</v>
      </c>
      <c r="G38" s="4"/>
      <c r="H38" s="21">
        <f>H37+H35+H33</f>
        <v>39.16666666666667</v>
      </c>
      <c r="I38" s="6">
        <f>H38/$H$39</f>
        <v>0.48958333333333337</v>
      </c>
      <c r="J38" s="21">
        <f>J37+J35+J33</f>
        <v>78.5</v>
      </c>
      <c r="K38" s="14">
        <f t="shared" si="0"/>
        <v>0.8263157894736842</v>
      </c>
    </row>
    <row r="39" spans="6:11" ht="12.75">
      <c r="F39" s="12" t="s">
        <v>7</v>
      </c>
      <c r="G39" s="4"/>
      <c r="H39" s="21">
        <f>H21</f>
        <v>80</v>
      </c>
      <c r="I39" s="6">
        <f>H39/$H$39</f>
        <v>1</v>
      </c>
      <c r="J39" s="21">
        <f>J21</f>
        <v>95</v>
      </c>
      <c r="K39" s="14">
        <f t="shared" si="0"/>
        <v>1</v>
      </c>
    </row>
    <row r="40" spans="6:11" ht="12.75">
      <c r="F40" s="12" t="s">
        <v>20</v>
      </c>
      <c r="G40" s="4"/>
      <c r="H40" s="21">
        <f>H39-H38</f>
        <v>40.83333333333333</v>
      </c>
      <c r="I40" s="6">
        <f>H40/$H$39</f>
        <v>0.5104166666666666</v>
      </c>
      <c r="J40" s="21">
        <f>J39-J38</f>
        <v>16.5</v>
      </c>
      <c r="K40" s="14">
        <f t="shared" si="0"/>
        <v>0.1736842105263158</v>
      </c>
    </row>
    <row r="41" spans="2:12" ht="12.75">
      <c r="B41" s="3">
        <f>I28-B32</f>
        <v>266250</v>
      </c>
      <c r="F41" s="12" t="s">
        <v>21</v>
      </c>
      <c r="G41" s="4"/>
      <c r="H41" s="21">
        <f>H40*C17</f>
        <v>489999.99999999994</v>
      </c>
      <c r="I41" s="6">
        <f>H41/$L$41</f>
        <v>0.8812949640287768</v>
      </c>
      <c r="J41" s="21">
        <f>J40*D17</f>
        <v>66000</v>
      </c>
      <c r="K41" s="6">
        <f>J41/$L$41</f>
        <v>0.11870503597122302</v>
      </c>
      <c r="L41" s="3">
        <f>H41+J41</f>
        <v>556000</v>
      </c>
    </row>
    <row r="42" spans="6:11" ht="13.5" thickBot="1">
      <c r="F42" s="17" t="s">
        <v>91</v>
      </c>
      <c r="G42" s="18"/>
      <c r="H42" s="78">
        <f>B12</f>
        <v>200000</v>
      </c>
      <c r="I42" s="78"/>
      <c r="J42" s="78"/>
      <c r="K42" s="79"/>
    </row>
    <row r="43" spans="6:9" ht="13.5" thickTop="1">
      <c r="F43" t="s">
        <v>109</v>
      </c>
      <c r="I43" s="3">
        <f>L41-H42</f>
        <v>356000</v>
      </c>
    </row>
    <row r="45" ht="13.5" thickBot="1"/>
    <row r="46" spans="6:11" ht="12.75">
      <c r="F46" s="8" t="s">
        <v>51</v>
      </c>
      <c r="G46" s="9"/>
      <c r="H46" s="72" t="s">
        <v>0</v>
      </c>
      <c r="I46" s="72"/>
      <c r="J46" s="10" t="s">
        <v>1</v>
      </c>
      <c r="K46" s="11"/>
    </row>
    <row r="47" spans="6:11" ht="12.75">
      <c r="F47" s="12"/>
      <c r="G47" s="4"/>
      <c r="H47" s="5" t="s">
        <v>16</v>
      </c>
      <c r="I47" s="5" t="s">
        <v>17</v>
      </c>
      <c r="J47" s="5" t="s">
        <v>16</v>
      </c>
      <c r="K47" s="13" t="s">
        <v>17</v>
      </c>
    </row>
    <row r="48" spans="6:11" ht="12.75">
      <c r="F48" s="12" t="s">
        <v>11</v>
      </c>
      <c r="G48" s="4"/>
      <c r="H48" s="19">
        <f>H31</f>
        <v>20</v>
      </c>
      <c r="I48" s="6">
        <f>H48/$H$56</f>
        <v>0.25</v>
      </c>
      <c r="J48" s="22">
        <f>J31</f>
        <v>25</v>
      </c>
      <c r="K48" s="14">
        <f>J48/$J$39</f>
        <v>0.2631578947368421</v>
      </c>
    </row>
    <row r="49" spans="6:11" ht="12.75">
      <c r="F49" s="12" t="s">
        <v>12</v>
      </c>
      <c r="G49" s="4"/>
      <c r="H49" s="19">
        <f>H32</f>
        <v>10</v>
      </c>
      <c r="I49" s="6">
        <f aca="true" t="shared" si="1" ref="I49:I57">H49/$H$56</f>
        <v>0.125</v>
      </c>
      <c r="J49" s="22">
        <f>J32</f>
        <v>6</v>
      </c>
      <c r="K49" s="14">
        <f aca="true" t="shared" si="2" ref="K49:K57">J49/$J$39</f>
        <v>0.06315789473684211</v>
      </c>
    </row>
    <row r="50" spans="6:11" ht="12.75">
      <c r="F50" s="12" t="s">
        <v>37</v>
      </c>
      <c r="G50" s="4"/>
      <c r="H50" s="19">
        <f>H49+H48</f>
        <v>30</v>
      </c>
      <c r="I50" s="6">
        <f t="shared" si="1"/>
        <v>0.375</v>
      </c>
      <c r="J50" s="22">
        <f>J49+J48</f>
        <v>31</v>
      </c>
      <c r="K50" s="14">
        <f t="shared" si="2"/>
        <v>0.3263157894736842</v>
      </c>
    </row>
    <row r="51" spans="6:11" ht="12.75">
      <c r="F51" s="12" t="s">
        <v>31</v>
      </c>
      <c r="G51" s="4"/>
      <c r="H51" s="20">
        <f>H34</f>
        <v>50000</v>
      </c>
      <c r="I51" s="6" t="s">
        <v>39</v>
      </c>
      <c r="J51" s="20">
        <f>J34</f>
        <v>100000</v>
      </c>
      <c r="K51" s="14"/>
    </row>
    <row r="52" spans="6:11" ht="12.75">
      <c r="F52" s="12" t="s">
        <v>32</v>
      </c>
      <c r="G52" s="4"/>
      <c r="H52" s="20">
        <f aca="true" t="shared" si="3" ref="H52:H58">H35</f>
        <v>4.166666666666667</v>
      </c>
      <c r="I52" s="6">
        <f t="shared" si="1"/>
        <v>0.052083333333333336</v>
      </c>
      <c r="J52" s="20">
        <f aca="true" t="shared" si="4" ref="J52:J58">J35</f>
        <v>25</v>
      </c>
      <c r="K52" s="14">
        <f t="shared" si="2"/>
        <v>0.2631578947368421</v>
      </c>
    </row>
    <row r="53" spans="6:11" ht="12.75">
      <c r="F53" s="12" t="s">
        <v>33</v>
      </c>
      <c r="G53" s="4"/>
      <c r="H53" s="20">
        <f t="shared" si="3"/>
        <v>60000</v>
      </c>
      <c r="I53" s="6" t="s">
        <v>39</v>
      </c>
      <c r="J53" s="20">
        <f t="shared" si="4"/>
        <v>90000</v>
      </c>
      <c r="K53" s="14"/>
    </row>
    <row r="54" spans="6:11" ht="12.75">
      <c r="F54" s="12" t="s">
        <v>34</v>
      </c>
      <c r="G54" s="4"/>
      <c r="H54" s="20">
        <f t="shared" si="3"/>
        <v>5</v>
      </c>
      <c r="I54" s="6">
        <f t="shared" si="1"/>
        <v>0.0625</v>
      </c>
      <c r="J54" s="20">
        <f t="shared" si="4"/>
        <v>22.5</v>
      </c>
      <c r="K54" s="14">
        <f t="shared" si="2"/>
        <v>0.23684210526315788</v>
      </c>
    </row>
    <row r="55" spans="6:11" ht="12.75">
      <c r="F55" s="12" t="s">
        <v>38</v>
      </c>
      <c r="G55" s="4"/>
      <c r="H55" s="20">
        <f t="shared" si="3"/>
        <v>39.16666666666667</v>
      </c>
      <c r="I55" s="6">
        <f t="shared" si="1"/>
        <v>0.48958333333333337</v>
      </c>
      <c r="J55" s="20">
        <f t="shared" si="4"/>
        <v>78.5</v>
      </c>
      <c r="K55" s="14">
        <f t="shared" si="2"/>
        <v>0.8263157894736842</v>
      </c>
    </row>
    <row r="56" spans="6:11" ht="12.75">
      <c r="F56" s="12" t="s">
        <v>7</v>
      </c>
      <c r="G56" s="4"/>
      <c r="H56" s="20">
        <f t="shared" si="3"/>
        <v>80</v>
      </c>
      <c r="I56" s="6">
        <f t="shared" si="1"/>
        <v>1</v>
      </c>
      <c r="J56" s="20">
        <f t="shared" si="4"/>
        <v>95</v>
      </c>
      <c r="K56" s="14">
        <f t="shared" si="2"/>
        <v>1</v>
      </c>
    </row>
    <row r="57" spans="6:11" ht="12.75">
      <c r="F57" s="12" t="s">
        <v>52</v>
      </c>
      <c r="G57" s="4"/>
      <c r="H57" s="20">
        <f t="shared" si="3"/>
        <v>40.83333333333333</v>
      </c>
      <c r="I57" s="6">
        <f t="shared" si="1"/>
        <v>0.5104166666666666</v>
      </c>
      <c r="J57" s="20">
        <f t="shared" si="4"/>
        <v>16.5</v>
      </c>
      <c r="K57" s="14">
        <f t="shared" si="2"/>
        <v>0.1736842105263158</v>
      </c>
    </row>
    <row r="58" spans="6:12" ht="12.75">
      <c r="F58" s="12" t="s">
        <v>53</v>
      </c>
      <c r="G58" s="4"/>
      <c r="H58" s="20">
        <f t="shared" si="3"/>
        <v>489999.99999999994</v>
      </c>
      <c r="I58" s="6">
        <f>H58/L58</f>
        <v>0.8812949640287768</v>
      </c>
      <c r="J58" s="20">
        <f t="shared" si="4"/>
        <v>66000</v>
      </c>
      <c r="K58" s="14">
        <f>J58/L58</f>
        <v>0.11870503597122302</v>
      </c>
      <c r="L58" s="3">
        <f>H58+J58</f>
        <v>556000</v>
      </c>
    </row>
    <row r="59" spans="6:11" ht="12.75">
      <c r="F59" s="12"/>
      <c r="G59" s="4"/>
      <c r="H59" s="73"/>
      <c r="I59" s="73"/>
      <c r="J59" s="73"/>
      <c r="K59" s="74"/>
    </row>
    <row r="60" spans="6:11" ht="12.75">
      <c r="F60" s="12" t="s">
        <v>43</v>
      </c>
      <c r="G60" s="4"/>
      <c r="H60" s="4">
        <f>($B$28/$E$34)*C34</f>
        <v>6000</v>
      </c>
      <c r="I60" s="6"/>
      <c r="J60" s="4">
        <f>(B28*D34)/E34</f>
        <v>9000</v>
      </c>
      <c r="K60" s="14"/>
    </row>
    <row r="61" spans="6:11" ht="12.75">
      <c r="F61" s="12" t="s">
        <v>54</v>
      </c>
      <c r="G61" s="4"/>
      <c r="H61" s="4">
        <f>H60/C17</f>
        <v>0.5</v>
      </c>
      <c r="I61" s="6">
        <f aca="true" t="shared" si="5" ref="I61:I69">H61/$H$56</f>
        <v>0.00625</v>
      </c>
      <c r="J61" s="4">
        <f>J60/D17</f>
        <v>2.25</v>
      </c>
      <c r="K61" s="14">
        <f aca="true" t="shared" si="6" ref="K61:K69">J61/$J$39</f>
        <v>0.02368421052631579</v>
      </c>
    </row>
    <row r="62" spans="6:11" ht="12.75">
      <c r="F62" s="12" t="s">
        <v>44</v>
      </c>
      <c r="G62" s="4"/>
      <c r="H62" s="4">
        <f>($B$29*C35)/$E$35</f>
        <v>14000</v>
      </c>
      <c r="I62" s="6"/>
      <c r="J62" s="4">
        <f>(B29*D35)/E35</f>
        <v>21000</v>
      </c>
      <c r="K62" s="14"/>
    </row>
    <row r="63" spans="6:11" ht="12.75">
      <c r="F63" s="12" t="s">
        <v>55</v>
      </c>
      <c r="G63" s="4"/>
      <c r="H63" s="24">
        <f>H62/C17</f>
        <v>1.1666666666666667</v>
      </c>
      <c r="I63" s="6">
        <f t="shared" si="5"/>
        <v>0.014583333333333334</v>
      </c>
      <c r="J63" s="4">
        <f>J62/D17</f>
        <v>5.25</v>
      </c>
      <c r="K63" s="14">
        <f t="shared" si="6"/>
        <v>0.05526315789473684</v>
      </c>
    </row>
    <row r="64" spans="6:11" ht="12.75">
      <c r="F64" s="12" t="s">
        <v>45</v>
      </c>
      <c r="G64" s="4"/>
      <c r="H64" s="4">
        <f>$B$30*C36/$E$36</f>
        <v>3250</v>
      </c>
      <c r="I64" s="6"/>
      <c r="J64" s="4">
        <f>$B$30*D36/$E$36</f>
        <v>6500</v>
      </c>
      <c r="K64" s="14"/>
    </row>
    <row r="65" spans="6:11" ht="12.75">
      <c r="F65" s="12" t="s">
        <v>56</v>
      </c>
      <c r="G65" s="4"/>
      <c r="H65" s="25">
        <f>H64/C17</f>
        <v>0.2708333333333333</v>
      </c>
      <c r="I65" s="6">
        <f t="shared" si="5"/>
        <v>0.0033854166666666663</v>
      </c>
      <c r="J65" s="26">
        <f>J64/D17</f>
        <v>1.625</v>
      </c>
      <c r="K65" s="14">
        <f t="shared" si="6"/>
        <v>0.017105263157894738</v>
      </c>
    </row>
    <row r="66" spans="6:11" ht="12.75">
      <c r="F66" s="12" t="s">
        <v>57</v>
      </c>
      <c r="G66" s="4"/>
      <c r="H66" s="4">
        <f>$B$31*C37/$E$37</f>
        <v>12000</v>
      </c>
      <c r="I66" s="6"/>
      <c r="J66" s="4">
        <f>B31*D37/E37</f>
        <v>18000</v>
      </c>
      <c r="K66" s="14"/>
    </row>
    <row r="67" spans="6:11" ht="12.75">
      <c r="F67" s="12" t="s">
        <v>58</v>
      </c>
      <c r="G67" s="4"/>
      <c r="H67" s="26">
        <f>H66/C17</f>
        <v>1</v>
      </c>
      <c r="I67" s="6">
        <f t="shared" si="5"/>
        <v>0.0125</v>
      </c>
      <c r="J67" s="26">
        <f>J66/D17</f>
        <v>4.5</v>
      </c>
      <c r="K67" s="14">
        <f t="shared" si="6"/>
        <v>0.04736842105263158</v>
      </c>
    </row>
    <row r="68" spans="6:11" ht="12.75">
      <c r="F68" s="12" t="s">
        <v>59</v>
      </c>
      <c r="G68" s="4"/>
      <c r="H68" s="27">
        <f>H67+H65+H63+H61+H55</f>
        <v>42.10416666666667</v>
      </c>
      <c r="I68" s="6">
        <f t="shared" si="5"/>
        <v>0.5263020833333334</v>
      </c>
      <c r="J68" s="27">
        <f>J67+J65+J63+J61+J55</f>
        <v>92.125</v>
      </c>
      <c r="K68" s="14">
        <f t="shared" si="6"/>
        <v>0.9697368421052631</v>
      </c>
    </row>
    <row r="69" spans="6:11" ht="12.75">
      <c r="F69" s="12" t="s">
        <v>60</v>
      </c>
      <c r="G69" s="4"/>
      <c r="H69" s="27">
        <f>H56-H68</f>
        <v>37.89583333333333</v>
      </c>
      <c r="I69" s="6">
        <f t="shared" si="5"/>
        <v>0.4736979166666666</v>
      </c>
      <c r="J69" s="27">
        <f>J56-J68</f>
        <v>2.875</v>
      </c>
      <c r="K69" s="14">
        <f t="shared" si="6"/>
        <v>0.030263157894736843</v>
      </c>
    </row>
    <row r="70" spans="6:12" ht="12.75">
      <c r="F70" s="12" t="s">
        <v>21</v>
      </c>
      <c r="G70" s="4"/>
      <c r="H70" s="7">
        <f>H69*C17</f>
        <v>454749.99999999994</v>
      </c>
      <c r="I70" s="52">
        <f>H70/L70</f>
        <v>0.9753351206434316</v>
      </c>
      <c r="J70" s="7">
        <f>J69*D17</f>
        <v>11500</v>
      </c>
      <c r="K70" s="53">
        <f>J70/L70</f>
        <v>0.02466487935656837</v>
      </c>
      <c r="L70" s="3">
        <f>J70+H70</f>
        <v>466249.99999999994</v>
      </c>
    </row>
    <row r="71" spans="6:11" ht="12.75">
      <c r="F71" s="12" t="s">
        <v>61</v>
      </c>
      <c r="G71" s="4"/>
      <c r="H71" s="75">
        <f>H42</f>
        <v>200000</v>
      </c>
      <c r="I71" s="75"/>
      <c r="J71" s="75"/>
      <c r="K71" s="28"/>
    </row>
    <row r="72" spans="6:11" ht="13.5" thickBot="1">
      <c r="F72" s="15" t="s">
        <v>42</v>
      </c>
      <c r="G72" s="16"/>
      <c r="H72" s="16"/>
      <c r="I72" s="51">
        <f>L70-H71</f>
        <v>266249.99999999994</v>
      </c>
      <c r="J72" s="16"/>
      <c r="K72" s="29"/>
    </row>
    <row r="74" spans="7:12" ht="12.75">
      <c r="G74" s="58" t="s">
        <v>123</v>
      </c>
      <c r="H74" s="31">
        <f>L74*C20</f>
        <v>491458.3333333334</v>
      </c>
      <c r="I74" s="1"/>
      <c r="J74" s="65">
        <f>L74*D20</f>
        <v>98291.66666666666</v>
      </c>
      <c r="L74">
        <f>B13+B32</f>
        <v>589750</v>
      </c>
    </row>
    <row r="75" spans="6:10" ht="12.75">
      <c r="F75" t="s">
        <v>120</v>
      </c>
      <c r="G75" s="58" t="s">
        <v>35</v>
      </c>
      <c r="H75" s="1">
        <f>H50</f>
        <v>30</v>
      </c>
      <c r="I75" s="1"/>
      <c r="J75" s="1">
        <f>J50</f>
        <v>31</v>
      </c>
    </row>
    <row r="76" spans="6:10" ht="12.75">
      <c r="F76" t="s">
        <v>121</v>
      </c>
      <c r="G76" s="58" t="s">
        <v>122</v>
      </c>
      <c r="H76" s="66">
        <f>H74/C17</f>
        <v>40.954861111111114</v>
      </c>
      <c r="I76" s="66"/>
      <c r="J76" s="66">
        <f>J74/D17</f>
        <v>24.572916666666664</v>
      </c>
    </row>
    <row r="77" spans="7:10" ht="12.75">
      <c r="G77" s="58" t="s">
        <v>124</v>
      </c>
      <c r="H77" s="66">
        <f>H75+H76</f>
        <v>70.95486111111111</v>
      </c>
      <c r="I77" s="1"/>
      <c r="J77" s="66">
        <f>J75+J76</f>
        <v>55.572916666666664</v>
      </c>
    </row>
    <row r="78" spans="7:11" ht="12.75">
      <c r="G78" s="58" t="s">
        <v>125</v>
      </c>
      <c r="H78" s="66">
        <f>H56-H77</f>
        <v>9.045138888888886</v>
      </c>
      <c r="I78" s="67">
        <f>H78/H56</f>
        <v>0.11306423611111108</v>
      </c>
      <c r="J78" s="66">
        <f>J56-J77</f>
        <v>39.427083333333336</v>
      </c>
      <c r="K78" s="30">
        <f>J78/J56</f>
        <v>0.41502192982456143</v>
      </c>
    </row>
    <row r="79" spans="8:10" ht="12.75">
      <c r="H79" s="1"/>
      <c r="I79" s="1"/>
      <c r="J79" s="1"/>
    </row>
    <row r="80" spans="8:10" ht="12.75">
      <c r="H80" s="1"/>
      <c r="I80" s="1"/>
      <c r="J80" s="1"/>
    </row>
    <row r="83" spans="8:12" ht="15.75">
      <c r="H83" s="71" t="s">
        <v>0</v>
      </c>
      <c r="I83" s="71"/>
      <c r="J83" s="71" t="s">
        <v>1</v>
      </c>
      <c r="K83" s="71"/>
      <c r="L83" s="1" t="s">
        <v>98</v>
      </c>
    </row>
    <row r="84" spans="6:11" ht="15.75">
      <c r="F84" s="59" t="s">
        <v>101</v>
      </c>
      <c r="G84" s="58" t="s">
        <v>99</v>
      </c>
      <c r="H84" s="44">
        <f>H16</f>
        <v>50</v>
      </c>
      <c r="I84" s="30">
        <f aca="true" t="shared" si="7" ref="I84:K85">I16</f>
        <v>0.625</v>
      </c>
      <c r="J84" s="44">
        <f t="shared" si="7"/>
        <v>64</v>
      </c>
      <c r="K84" s="64">
        <f t="shared" si="7"/>
        <v>0.6736842105263158</v>
      </c>
    </row>
    <row r="85" spans="6:12" ht="15.75">
      <c r="F85" s="59" t="s">
        <v>102</v>
      </c>
      <c r="G85" s="58" t="s">
        <v>100</v>
      </c>
      <c r="H85" s="57">
        <f>H17</f>
        <v>600000</v>
      </c>
      <c r="I85" s="64">
        <f t="shared" si="7"/>
        <v>0.7009345794392523</v>
      </c>
      <c r="J85" s="57">
        <f t="shared" si="7"/>
        <v>256000</v>
      </c>
      <c r="K85" s="30">
        <f t="shared" si="7"/>
        <v>0.29906542056074764</v>
      </c>
      <c r="L85" s="56">
        <v>856000</v>
      </c>
    </row>
    <row r="87" spans="6:11" ht="15.75">
      <c r="F87" s="59" t="s">
        <v>103</v>
      </c>
      <c r="G87" s="58" t="s">
        <v>105</v>
      </c>
      <c r="H87" s="44">
        <f>H23</f>
        <v>15.277777777777771</v>
      </c>
      <c r="I87" s="30">
        <f aca="true" t="shared" si="8" ref="I87:L88">I23</f>
        <v>0.19097222222222215</v>
      </c>
      <c r="J87" s="44">
        <f t="shared" si="8"/>
        <v>43.16666666666667</v>
      </c>
      <c r="K87" s="64">
        <f t="shared" si="8"/>
        <v>0.4543859649122807</v>
      </c>
    </row>
    <row r="88" spans="6:12" ht="15.75">
      <c r="F88" s="59" t="s">
        <v>104</v>
      </c>
      <c r="G88" s="58" t="s">
        <v>106</v>
      </c>
      <c r="H88" s="57">
        <f>H24</f>
        <v>183333.33333333326</v>
      </c>
      <c r="I88" s="30">
        <f>I24</f>
        <v>0.5149812734082395</v>
      </c>
      <c r="J88" s="57">
        <f t="shared" si="8"/>
        <v>172666.6666666667</v>
      </c>
      <c r="K88" s="30">
        <f t="shared" si="8"/>
        <v>0.48501872659176043</v>
      </c>
      <c r="L88" s="60">
        <f t="shared" si="8"/>
        <v>355999.99999999994</v>
      </c>
    </row>
    <row r="90" spans="6:11" ht="15.75">
      <c r="F90" s="59" t="s">
        <v>103</v>
      </c>
      <c r="G90" s="58" t="s">
        <v>99</v>
      </c>
      <c r="H90" s="55">
        <f>H40</f>
        <v>40.83333333333333</v>
      </c>
      <c r="I90" s="64">
        <f aca="true" t="shared" si="9" ref="I90:L91">I40</f>
        <v>0.5104166666666666</v>
      </c>
      <c r="J90" s="55">
        <f t="shared" si="9"/>
        <v>16.5</v>
      </c>
      <c r="K90" s="30">
        <f t="shared" si="9"/>
        <v>0.1736842105263158</v>
      </c>
    </row>
    <row r="91" spans="6:12" ht="15.75">
      <c r="F91" s="59" t="s">
        <v>18</v>
      </c>
      <c r="G91" s="58" t="s">
        <v>100</v>
      </c>
      <c r="H91" s="3">
        <f>H41</f>
        <v>489999.99999999994</v>
      </c>
      <c r="I91" s="64">
        <f t="shared" si="9"/>
        <v>0.8812949640287768</v>
      </c>
      <c r="J91" s="3">
        <f t="shared" si="9"/>
        <v>66000</v>
      </c>
      <c r="K91" s="30">
        <f t="shared" si="9"/>
        <v>0.11870503597122302</v>
      </c>
      <c r="L91" s="61">
        <f t="shared" si="9"/>
        <v>556000</v>
      </c>
    </row>
    <row r="93" spans="6:11" ht="15.75">
      <c r="F93" s="59" t="s">
        <v>117</v>
      </c>
      <c r="G93" s="58" t="s">
        <v>99</v>
      </c>
      <c r="H93" s="62">
        <f aca="true" t="shared" si="10" ref="H93:K94">H69</f>
        <v>37.89583333333333</v>
      </c>
      <c r="I93" s="64">
        <f t="shared" si="10"/>
        <v>0.4736979166666666</v>
      </c>
      <c r="J93" s="62">
        <f t="shared" si="10"/>
        <v>2.875</v>
      </c>
      <c r="K93" s="30">
        <f t="shared" si="10"/>
        <v>0.030263157894736843</v>
      </c>
    </row>
    <row r="94" spans="6:12" ht="15.75">
      <c r="F94" s="59" t="s">
        <v>51</v>
      </c>
      <c r="G94" s="58" t="s">
        <v>100</v>
      </c>
      <c r="H94" s="63">
        <f t="shared" si="10"/>
        <v>454749.99999999994</v>
      </c>
      <c r="I94" s="64">
        <f t="shared" si="10"/>
        <v>0.9753351206434316</v>
      </c>
      <c r="J94" s="63">
        <f t="shared" si="10"/>
        <v>11500</v>
      </c>
      <c r="K94" s="30">
        <f t="shared" si="10"/>
        <v>0.02466487935656837</v>
      </c>
      <c r="L94" s="61">
        <f>L70</f>
        <v>466249.99999999994</v>
      </c>
    </row>
    <row r="96" spans="6:11" ht="15.75">
      <c r="F96" s="59" t="s">
        <v>119</v>
      </c>
      <c r="G96" s="58" t="s">
        <v>105</v>
      </c>
      <c r="H96" s="66">
        <f>H78</f>
        <v>9.045138888888886</v>
      </c>
      <c r="I96" s="68">
        <f>I78</f>
        <v>0.11306423611111108</v>
      </c>
      <c r="J96" s="66">
        <f>J78</f>
        <v>39.427083333333336</v>
      </c>
      <c r="K96" s="68">
        <f>K78</f>
        <v>0.41502192982456143</v>
      </c>
    </row>
    <row r="97" spans="6:12" ht="15.75">
      <c r="F97" s="59" t="s">
        <v>118</v>
      </c>
      <c r="G97" s="58" t="s">
        <v>106</v>
      </c>
      <c r="H97" s="69">
        <f>H96*C17</f>
        <v>108541.66666666663</v>
      </c>
      <c r="I97" s="67">
        <f>H97/L97</f>
        <v>0.4076682316118934</v>
      </c>
      <c r="J97" s="69">
        <f>J96*D17</f>
        <v>157708.33333333334</v>
      </c>
      <c r="K97" s="70">
        <f>J97/L97</f>
        <v>0.5923317683881064</v>
      </c>
      <c r="L97" s="57">
        <f>H97+J97</f>
        <v>266250</v>
      </c>
    </row>
  </sheetData>
  <sheetProtection/>
  <mergeCells count="9">
    <mergeCell ref="H83:I83"/>
    <mergeCell ref="J83:K83"/>
    <mergeCell ref="H46:I46"/>
    <mergeCell ref="H59:K59"/>
    <mergeCell ref="H71:J71"/>
    <mergeCell ref="H10:I10"/>
    <mergeCell ref="G26:K26"/>
    <mergeCell ref="H29:I29"/>
    <mergeCell ref="H42:K42"/>
  </mergeCells>
  <printOptions/>
  <pageMargins left="0.75" right="0.75" top="1" bottom="1" header="0.492125985" footer="0.49212598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="120" zoomScaleNormal="120" zoomScalePageLayoutView="0" workbookViewId="0" topLeftCell="A1">
      <selection activeCell="A25" sqref="A25"/>
    </sheetView>
  </sheetViews>
  <sheetFormatPr defaultColWidth="8.8515625" defaultRowHeight="12.75"/>
  <cols>
    <col min="1" max="1" width="18.421875" style="0" customWidth="1"/>
    <col min="2" max="8" width="8.8515625" style="0" customWidth="1"/>
    <col min="9" max="9" width="12.8515625" style="0" bestFit="1" customWidth="1"/>
  </cols>
  <sheetData>
    <row r="2" spans="1:2" ht="12.75">
      <c r="A2" t="s">
        <v>62</v>
      </c>
      <c r="B2">
        <v>40000</v>
      </c>
    </row>
    <row r="3" spans="1:2" ht="12.75">
      <c r="A3" t="s">
        <v>63</v>
      </c>
      <c r="B3">
        <v>80000</v>
      </c>
    </row>
    <row r="4" spans="1:2" ht="12.75">
      <c r="A4" t="s">
        <v>64</v>
      </c>
      <c r="B4">
        <v>60000</v>
      </c>
    </row>
    <row r="5" spans="1:8" ht="12.75">
      <c r="A5" t="s">
        <v>65</v>
      </c>
      <c r="B5">
        <v>20000</v>
      </c>
      <c r="H5" t="s">
        <v>111</v>
      </c>
    </row>
    <row r="6" spans="2:10" ht="12.75">
      <c r="B6">
        <f>SUM(B2:B5)</f>
        <v>200000</v>
      </c>
      <c r="I6" t="s">
        <v>112</v>
      </c>
      <c r="J6">
        <v>0.26</v>
      </c>
    </row>
    <row r="7" spans="1:10" ht="12.75">
      <c r="A7" t="s">
        <v>66</v>
      </c>
      <c r="B7">
        <v>50000</v>
      </c>
      <c r="C7">
        <f>B6/B7</f>
        <v>4</v>
      </c>
      <c r="I7" t="s">
        <v>113</v>
      </c>
      <c r="J7">
        <v>0.2</v>
      </c>
    </row>
    <row r="8" spans="9:10" ht="12.75">
      <c r="I8" t="s">
        <v>114</v>
      </c>
      <c r="J8">
        <v>0.1</v>
      </c>
    </row>
    <row r="9" ht="12.75">
      <c r="J9">
        <f>SUM(J6:J8)</f>
        <v>0.56</v>
      </c>
    </row>
    <row r="10" spans="1:10" ht="12.75">
      <c r="A10" t="s">
        <v>67</v>
      </c>
      <c r="B10" t="s">
        <v>71</v>
      </c>
      <c r="C10" t="s">
        <v>72</v>
      </c>
      <c r="D10" t="s">
        <v>73</v>
      </c>
      <c r="I10" t="s">
        <v>116</v>
      </c>
      <c r="J10">
        <f>F21/(1-J9)</f>
        <v>175.4545454545455</v>
      </c>
    </row>
    <row r="11" spans="1:10" ht="12.75">
      <c r="A11" t="s">
        <v>68</v>
      </c>
      <c r="B11" t="s">
        <v>74</v>
      </c>
      <c r="C11">
        <v>20000</v>
      </c>
      <c r="D11">
        <v>24000</v>
      </c>
      <c r="E11">
        <f>D11/C11</f>
        <v>1.2</v>
      </c>
      <c r="I11" t="s">
        <v>115</v>
      </c>
      <c r="J11">
        <f>H25/(1-J9)</f>
        <v>167.0909090909091</v>
      </c>
    </row>
    <row r="12" spans="1:5" ht="12.75">
      <c r="A12" t="s">
        <v>69</v>
      </c>
      <c r="B12" t="s">
        <v>75</v>
      </c>
      <c r="C12">
        <v>5000</v>
      </c>
      <c r="D12">
        <v>60000</v>
      </c>
      <c r="E12">
        <f>D12/C12</f>
        <v>12</v>
      </c>
    </row>
    <row r="13" spans="1:5" ht="12.75">
      <c r="A13" t="s">
        <v>70</v>
      </c>
      <c r="B13" t="s">
        <v>76</v>
      </c>
      <c r="C13">
        <v>1000</v>
      </c>
      <c r="D13">
        <v>80000</v>
      </c>
      <c r="E13">
        <f>D13/C13</f>
        <v>80</v>
      </c>
    </row>
    <row r="14" spans="1:5" ht="12.75">
      <c r="A14" t="s">
        <v>65</v>
      </c>
      <c r="B14" t="s">
        <v>77</v>
      </c>
      <c r="C14">
        <v>3000</v>
      </c>
      <c r="D14">
        <v>36000</v>
      </c>
      <c r="E14">
        <f>D14/C14</f>
        <v>12</v>
      </c>
    </row>
    <row r="15" ht="12.75">
      <c r="D15">
        <f>SUM(D11:D14)</f>
        <v>200000</v>
      </c>
    </row>
    <row r="16" spans="6:8" ht="12.75">
      <c r="F16" t="s">
        <v>10</v>
      </c>
      <c r="G16" t="s">
        <v>39</v>
      </c>
      <c r="H16" t="s">
        <v>18</v>
      </c>
    </row>
    <row r="17" spans="1:9" ht="12.75">
      <c r="A17" t="s">
        <v>78</v>
      </c>
      <c r="B17">
        <v>20000</v>
      </c>
      <c r="F17" s="1" t="s">
        <v>110</v>
      </c>
      <c r="G17" s="1" t="s">
        <v>17</v>
      </c>
      <c r="H17" s="1" t="s">
        <v>110</v>
      </c>
      <c r="I17" s="1" t="s">
        <v>17</v>
      </c>
    </row>
    <row r="18" spans="1:8" ht="12.75">
      <c r="A18" t="s">
        <v>79</v>
      </c>
      <c r="B18">
        <v>50000</v>
      </c>
      <c r="E18" t="s">
        <v>85</v>
      </c>
      <c r="F18">
        <f>B17/B24</f>
        <v>20</v>
      </c>
      <c r="G18" s="30">
        <f>F18/F21</f>
        <v>0.25906735751295334</v>
      </c>
      <c r="H18">
        <f>F18</f>
        <v>20</v>
      </c>
    </row>
    <row r="19" spans="1:10" ht="12.75">
      <c r="A19" t="s">
        <v>80</v>
      </c>
      <c r="B19">
        <v>1800</v>
      </c>
      <c r="E19" t="s">
        <v>86</v>
      </c>
      <c r="F19">
        <f>B18/B24</f>
        <v>50</v>
      </c>
      <c r="G19" s="30">
        <f>F19/F21</f>
        <v>0.6476683937823834</v>
      </c>
      <c r="H19">
        <f>F19</f>
        <v>50</v>
      </c>
      <c r="J19" t="s">
        <v>92</v>
      </c>
    </row>
    <row r="20" spans="1:10" ht="12.75">
      <c r="A20" t="s">
        <v>74</v>
      </c>
      <c r="B20">
        <v>2000</v>
      </c>
      <c r="E20" t="s">
        <v>87</v>
      </c>
      <c r="F20">
        <f>C7*B19/B24</f>
        <v>7.2</v>
      </c>
      <c r="G20" s="30">
        <f>F20/F21</f>
        <v>0.09326424870466321</v>
      </c>
      <c r="H20">
        <f>E11*B20/B24</f>
        <v>2.4</v>
      </c>
      <c r="I20" t="s">
        <v>96</v>
      </c>
      <c r="J20" t="s">
        <v>88</v>
      </c>
    </row>
    <row r="21" spans="1:10" ht="12.75">
      <c r="A21" t="s">
        <v>81</v>
      </c>
      <c r="B21">
        <v>40</v>
      </c>
      <c r="E21" t="s">
        <v>36</v>
      </c>
      <c r="F21" s="54">
        <f>SUM(F18:F20)</f>
        <v>77.2</v>
      </c>
      <c r="H21">
        <f>E12*B21/B24</f>
        <v>0.48</v>
      </c>
      <c r="I21" t="s">
        <v>93</v>
      </c>
      <c r="J21">
        <f>(F20-H24)*1000</f>
        <v>3680.0000000000005</v>
      </c>
    </row>
    <row r="22" spans="1:9" ht="12.75">
      <c r="A22" t="s">
        <v>82</v>
      </c>
      <c r="B22">
        <v>5</v>
      </c>
      <c r="H22">
        <f>E13*B22/B24</f>
        <v>0.4</v>
      </c>
      <c r="I22" t="s">
        <v>94</v>
      </c>
    </row>
    <row r="23" spans="1:9" ht="12.75">
      <c r="A23" t="s">
        <v>83</v>
      </c>
      <c r="B23">
        <v>20</v>
      </c>
      <c r="H23">
        <f>E14*B23/B24</f>
        <v>0.24</v>
      </c>
      <c r="I23" t="s">
        <v>95</v>
      </c>
    </row>
    <row r="24" spans="1:9" ht="12.75">
      <c r="A24" t="s">
        <v>84</v>
      </c>
      <c r="B24">
        <v>1000</v>
      </c>
      <c r="H24">
        <f>SUM(H20:H23)</f>
        <v>3.5199999999999996</v>
      </c>
      <c r="I24" t="s">
        <v>97</v>
      </c>
    </row>
    <row r="25" spans="8:9" ht="12.75">
      <c r="H25" s="54">
        <f>H24+H19+H18</f>
        <v>73.52</v>
      </c>
      <c r="I25" t="s">
        <v>98</v>
      </c>
    </row>
  </sheetData>
  <sheetProtection/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Microsoft Office User</cp:lastModifiedBy>
  <dcterms:created xsi:type="dcterms:W3CDTF">2000-04-07T18:21:58Z</dcterms:created>
  <dcterms:modified xsi:type="dcterms:W3CDTF">2020-04-27T20:10:19Z</dcterms:modified>
  <cp:category/>
  <cp:version/>
  <cp:contentType/>
  <cp:contentStatus/>
</cp:coreProperties>
</file>