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so\OneDrive\Documentos\USP\ENSINO\Disciplinas de Graduação\Gestão de Projetos - ZOO\Aulas 2020\"/>
    </mc:Choice>
  </mc:AlternateContent>
  <xr:revisionPtr revIDLastSave="0" documentId="8_{6990CCAC-3A6E-4635-9E35-50B2E448036C}" xr6:coauthVersionLast="44" xr6:coauthVersionMax="44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INVESTIMENTOS" sheetId="9" r:id="rId1"/>
    <sheet name="CUSTO FINAL" sheetId="6" r:id="rId2"/>
    <sheet name="CUSTO INICIAL" sheetId="8" r:id="rId3"/>
    <sheet name="CUSTO INTERMEDIÁRIO" sheetId="11" r:id="rId4"/>
    <sheet name="FLUXO DE CAIXA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8" i="8" l="1"/>
  <c r="D78" i="8"/>
  <c r="F78" i="6"/>
  <c r="D78" i="6"/>
  <c r="F62" i="6"/>
  <c r="E62" i="6"/>
  <c r="R26" i="9"/>
  <c r="E103" i="11" l="1"/>
  <c r="D103" i="11"/>
  <c r="E87" i="11"/>
  <c r="F86" i="11"/>
  <c r="F85" i="11"/>
  <c r="F87" i="11" s="1"/>
  <c r="F88" i="11" s="1"/>
  <c r="F82" i="11"/>
  <c r="F72" i="11"/>
  <c r="F65" i="11"/>
  <c r="F63" i="11"/>
  <c r="E60" i="11"/>
  <c r="E64" i="11" s="1"/>
  <c r="F64" i="11" s="1"/>
  <c r="F59" i="11"/>
  <c r="F58" i="11"/>
  <c r="F55" i="11"/>
  <c r="F54" i="11"/>
  <c r="F53" i="11"/>
  <c r="F52" i="11"/>
  <c r="F51" i="11"/>
  <c r="F50" i="11"/>
  <c r="F49" i="11"/>
  <c r="F48" i="11"/>
  <c r="F47" i="11"/>
  <c r="F45" i="11"/>
  <c r="F44" i="11"/>
  <c r="F43" i="11"/>
  <c r="F42" i="11"/>
  <c r="F41" i="11"/>
  <c r="F40" i="11"/>
  <c r="F39" i="11"/>
  <c r="F38" i="11"/>
  <c r="F37" i="11"/>
  <c r="F35" i="11"/>
  <c r="F34" i="11"/>
  <c r="F33" i="11"/>
  <c r="F32" i="11"/>
  <c r="F31" i="11"/>
  <c r="F30" i="11"/>
  <c r="F29" i="11"/>
  <c r="F28" i="11"/>
  <c r="F25" i="11"/>
  <c r="F24" i="11"/>
  <c r="F23" i="11"/>
  <c r="F21" i="11"/>
  <c r="F20" i="11"/>
  <c r="E19" i="11"/>
  <c r="F19" i="11" s="1"/>
  <c r="F18" i="11"/>
  <c r="F17" i="11"/>
  <c r="F16" i="11"/>
  <c r="F15" i="11"/>
  <c r="F14" i="11"/>
  <c r="F14" i="10"/>
  <c r="E105" i="8"/>
  <c r="D105" i="8"/>
  <c r="F105" i="8" s="1"/>
  <c r="E87" i="8"/>
  <c r="F86" i="8"/>
  <c r="F85" i="8"/>
  <c r="F82" i="8"/>
  <c r="F72" i="8"/>
  <c r="F65" i="8"/>
  <c r="F63" i="8"/>
  <c r="E60" i="8"/>
  <c r="E64" i="8" s="1"/>
  <c r="F64" i="8" s="1"/>
  <c r="F59" i="8"/>
  <c r="F58" i="8"/>
  <c r="F55" i="8"/>
  <c r="F54" i="8"/>
  <c r="F53" i="8"/>
  <c r="F52" i="8"/>
  <c r="F51" i="8"/>
  <c r="F50" i="8"/>
  <c r="F48" i="8"/>
  <c r="F49" i="8" s="1"/>
  <c r="F47" i="8"/>
  <c r="F45" i="8"/>
  <c r="F44" i="8"/>
  <c r="F43" i="8"/>
  <c r="F42" i="8"/>
  <c r="F41" i="8"/>
  <c r="F40" i="8"/>
  <c r="F39" i="8"/>
  <c r="F38" i="8"/>
  <c r="F37" i="8"/>
  <c r="F35" i="8"/>
  <c r="F34" i="8"/>
  <c r="F33" i="8"/>
  <c r="F32" i="8"/>
  <c r="F31" i="8"/>
  <c r="F30" i="8"/>
  <c r="F29" i="8"/>
  <c r="F28" i="8"/>
  <c r="F25" i="8"/>
  <c r="F24" i="8"/>
  <c r="F23" i="8"/>
  <c r="F21" i="8"/>
  <c r="F20" i="8"/>
  <c r="F19" i="8"/>
  <c r="F18" i="8"/>
  <c r="F17" i="8"/>
  <c r="F16" i="8"/>
  <c r="F15" i="8"/>
  <c r="F14" i="8"/>
  <c r="F59" i="6"/>
  <c r="F60" i="6" s="1"/>
  <c r="F58" i="6"/>
  <c r="F52" i="6"/>
  <c r="F53" i="6"/>
  <c r="F54" i="6"/>
  <c r="F55" i="6"/>
  <c r="F51" i="6"/>
  <c r="F56" i="6" s="1"/>
  <c r="F49" i="6"/>
  <c r="F48" i="6"/>
  <c r="F39" i="6"/>
  <c r="F40" i="6"/>
  <c r="F41" i="6"/>
  <c r="F42" i="6"/>
  <c r="F43" i="6"/>
  <c r="F44" i="6"/>
  <c r="F45" i="6"/>
  <c r="F38" i="6"/>
  <c r="F46" i="6" s="1"/>
  <c r="F29" i="6"/>
  <c r="F30" i="6"/>
  <c r="F31" i="6"/>
  <c r="F32" i="6"/>
  <c r="F33" i="6"/>
  <c r="F34" i="6"/>
  <c r="F35" i="6"/>
  <c r="F28" i="6"/>
  <c r="F36" i="6" s="1"/>
  <c r="F16" i="6"/>
  <c r="F17" i="6"/>
  <c r="F18" i="6"/>
  <c r="F20" i="6"/>
  <c r="F21" i="6"/>
  <c r="F23" i="6"/>
  <c r="F24" i="6"/>
  <c r="F25" i="6"/>
  <c r="F15" i="6"/>
  <c r="F63" i="6"/>
  <c r="F66" i="6" s="1"/>
  <c r="F65" i="6"/>
  <c r="E103" i="6"/>
  <c r="E87" i="6"/>
  <c r="D103" i="6"/>
  <c r="F103" i="6" s="1"/>
  <c r="F86" i="6"/>
  <c r="F85" i="6"/>
  <c r="E60" i="6"/>
  <c r="E64" i="6" s="1"/>
  <c r="F64" i="6" s="1"/>
  <c r="F66" i="11" l="1"/>
  <c r="F103" i="11"/>
  <c r="F60" i="11"/>
  <c r="F56" i="11"/>
  <c r="F46" i="11"/>
  <c r="F36" i="11"/>
  <c r="E22" i="11"/>
  <c r="F22" i="11" s="1"/>
  <c r="F26" i="11" s="1"/>
  <c r="F60" i="8"/>
  <c r="F46" i="8"/>
  <c r="F56" i="8"/>
  <c r="F66" i="8"/>
  <c r="F87" i="8"/>
  <c r="E22" i="8"/>
  <c r="F22" i="8" s="1"/>
  <c r="F26" i="8" s="1"/>
  <c r="F36" i="8"/>
  <c r="F87" i="6"/>
  <c r="O26" i="9"/>
  <c r="O9" i="9"/>
  <c r="O10" i="9"/>
  <c r="O11" i="9"/>
  <c r="R11" i="9" s="1"/>
  <c r="O12" i="9"/>
  <c r="O13" i="9"/>
  <c r="O14" i="9"/>
  <c r="O15" i="9"/>
  <c r="R15" i="9" s="1"/>
  <c r="O16" i="9"/>
  <c r="O17" i="9"/>
  <c r="O18" i="9"/>
  <c r="R18" i="9" s="1"/>
  <c r="O19" i="9"/>
  <c r="R19" i="9" s="1"/>
  <c r="O20" i="9"/>
  <c r="O21" i="9"/>
  <c r="O22" i="9"/>
  <c r="R22" i="9" s="1"/>
  <c r="O23" i="9"/>
  <c r="R23" i="9" s="1"/>
  <c r="O24" i="9"/>
  <c r="O25" i="9"/>
  <c r="O8" i="9"/>
  <c r="R25" i="9"/>
  <c r="R27" i="9" s="1"/>
  <c r="R24" i="9"/>
  <c r="R21" i="9"/>
  <c r="R20" i="9"/>
  <c r="R17" i="9"/>
  <c r="R16" i="9"/>
  <c r="R14" i="9"/>
  <c r="R13" i="9"/>
  <c r="R12" i="9"/>
  <c r="R10" i="9"/>
  <c r="R9" i="9"/>
  <c r="D32" i="9"/>
  <c r="G31" i="9"/>
  <c r="G30" i="9"/>
  <c r="G29" i="9"/>
  <c r="G28" i="9"/>
  <c r="G27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F37" i="6"/>
  <c r="F47" i="6"/>
  <c r="F50" i="6"/>
  <c r="E19" i="6"/>
  <c r="F19" i="6" s="1"/>
  <c r="F14" i="6"/>
  <c r="F67" i="8" l="1"/>
  <c r="F89" i="8" s="1"/>
  <c r="O27" i="9"/>
  <c r="R8" i="9"/>
  <c r="C17" i="10"/>
  <c r="F17" i="10" s="1"/>
  <c r="E107" i="8"/>
  <c r="F107" i="8" s="1"/>
  <c r="E105" i="11"/>
  <c r="F105" i="11" s="1"/>
  <c r="E105" i="6"/>
  <c r="F105" i="6" s="1"/>
  <c r="D78" i="11"/>
  <c r="F78" i="11" s="1"/>
  <c r="F89" i="11"/>
  <c r="F67" i="11"/>
  <c r="F104" i="11"/>
  <c r="D77" i="11"/>
  <c r="F77" i="11" s="1"/>
  <c r="F70" i="11"/>
  <c r="G32" i="9"/>
  <c r="E22" i="6"/>
  <c r="F72" i="6"/>
  <c r="F82" i="6"/>
  <c r="F88" i="6"/>
  <c r="E71" i="11" l="1"/>
  <c r="F71" i="11" s="1"/>
  <c r="E71" i="8"/>
  <c r="F71" i="8" s="1"/>
  <c r="E71" i="6"/>
  <c r="F71" i="6" s="1"/>
  <c r="F73" i="11"/>
  <c r="F76" i="11" s="1"/>
  <c r="F79" i="11" s="1"/>
  <c r="D15" i="10"/>
  <c r="E15" i="10"/>
  <c r="D77" i="8"/>
  <c r="F77" i="8" s="1"/>
  <c r="F70" i="8"/>
  <c r="F106" i="8"/>
  <c r="F22" i="6"/>
  <c r="F26" i="6" s="1"/>
  <c r="F67" i="6" s="1"/>
  <c r="F91" i="11" l="1"/>
  <c r="F73" i="8"/>
  <c r="F15" i="10"/>
  <c r="F99" i="11"/>
  <c r="F101" i="11"/>
  <c r="F96" i="11"/>
  <c r="F106" i="11"/>
  <c r="F93" i="11"/>
  <c r="F104" i="6"/>
  <c r="F91" i="8" l="1"/>
  <c r="F76" i="8"/>
  <c r="F79" i="8" s="1"/>
  <c r="F89" i="6"/>
  <c r="F70" i="6"/>
  <c r="F73" i="6" s="1"/>
  <c r="D77" i="6"/>
  <c r="F77" i="6" s="1"/>
  <c r="F101" i="8" l="1"/>
  <c r="C13" i="10"/>
  <c r="C19" i="10" s="1"/>
  <c r="C23" i="10" s="1"/>
  <c r="F93" i="8"/>
  <c r="F108" i="8"/>
  <c r="F103" i="8"/>
  <c r="F96" i="8"/>
  <c r="F99" i="8"/>
  <c r="F76" i="6"/>
  <c r="E13" i="10" l="1"/>
  <c r="E19" i="10" s="1"/>
  <c r="E21" i="10" s="1"/>
  <c r="D13" i="10"/>
  <c r="D19" i="10" s="1"/>
  <c r="D21" i="10" s="1"/>
  <c r="D23" i="10" s="1"/>
  <c r="F79" i="6"/>
  <c r="F106" i="6" s="1"/>
  <c r="F91" i="6"/>
  <c r="F99" i="6" s="1"/>
  <c r="E23" i="10" l="1"/>
  <c r="F93" i="6"/>
  <c r="F19" i="10"/>
  <c r="F13" i="10"/>
  <c r="F101" i="6"/>
  <c r="F96" i="6"/>
</calcChain>
</file>

<file path=xl/sharedStrings.xml><?xml version="1.0" encoding="utf-8"?>
<sst xmlns="http://schemas.openxmlformats.org/spreadsheetml/2006/main" count="560" uniqueCount="157">
  <si>
    <t>ITEM</t>
  </si>
  <si>
    <t>DESCRIÇÃO</t>
  </si>
  <si>
    <t>DESPESAS INDIRETAS</t>
  </si>
  <si>
    <t>$ INICIAL</t>
  </si>
  <si>
    <t>$ FINAL</t>
  </si>
  <si>
    <t>VIDA UTIL</t>
  </si>
  <si>
    <t>DEPRECIAÇÃO</t>
  </si>
  <si>
    <t>TOTAL</t>
  </si>
  <si>
    <t>ANO 4</t>
  </si>
  <si>
    <t>ANO 5</t>
  </si>
  <si>
    <t>ANO 0</t>
  </si>
  <si>
    <t>Pratos</t>
  </si>
  <si>
    <t>Canecas</t>
  </si>
  <si>
    <t>Talheres</t>
  </si>
  <si>
    <t>Grampeadores</t>
  </si>
  <si>
    <t>Mesas</t>
  </si>
  <si>
    <t>Cadeiras</t>
  </si>
  <si>
    <t>Lixeiras</t>
  </si>
  <si>
    <t>Lixeiras Grandes</t>
  </si>
  <si>
    <t>Geladeira</t>
  </si>
  <si>
    <t>Cafeteira</t>
  </si>
  <si>
    <t>Microondas</t>
  </si>
  <si>
    <t>Telefones</t>
  </si>
  <si>
    <t>Computadores</t>
  </si>
  <si>
    <t>Monitores</t>
  </si>
  <si>
    <t>Impressora</t>
  </si>
  <si>
    <t xml:space="preserve"> </t>
  </si>
  <si>
    <t>%</t>
  </si>
  <si>
    <t>9.14. Juros sobre capital investido</t>
  </si>
  <si>
    <t>R$</t>
  </si>
  <si>
    <t>9.8. Custo do produto/ano</t>
  </si>
  <si>
    <t>9.6. Capital de investimento</t>
  </si>
  <si>
    <t>9.5. Capital circulante</t>
  </si>
  <si>
    <t xml:space="preserve">9. Entrada de dados: </t>
  </si>
  <si>
    <t>9. LUCRATIVIDADE</t>
  </si>
  <si>
    <t>8. PONTO DE EQUILIBRIO</t>
  </si>
  <si>
    <t>%/ano</t>
  </si>
  <si>
    <t xml:space="preserve">   [4 / (9.5 + 9.7)] *100</t>
  </si>
  <si>
    <t>7. REMUNERAÇÃO DO CAPITAL TOTAL</t>
  </si>
  <si>
    <t xml:space="preserve">    (4 / 9.5)*100</t>
  </si>
  <si>
    <t>6. REMUNERAÇÃO DO CAPITAL CIRCULANTE</t>
  </si>
  <si>
    <t>5. LUCRO (2 -1.3)</t>
  </si>
  <si>
    <t>4. MARGEM LÍQUIDA (2 - 1.2)</t>
  </si>
  <si>
    <t>3. MARGEM BRUTA (2 - 1.1)</t>
  </si>
  <si>
    <t>TOTAL DE RENDA BRUTA</t>
  </si>
  <si>
    <t>SUB-TOTAL</t>
  </si>
  <si>
    <t>2.1 Descrever receitas da empresa</t>
  </si>
  <si>
    <t>2. RENDA BRUTA</t>
  </si>
  <si>
    <t xml:space="preserve">CUSTO TOTAL </t>
  </si>
  <si>
    <t xml:space="preserve">           1.3.3. Remuneração do capital de investimento </t>
  </si>
  <si>
    <t xml:space="preserve">           1.3.2. Remuneração do capital circulante</t>
  </si>
  <si>
    <t xml:space="preserve">           1.3.1. Custo operacional total</t>
  </si>
  <si>
    <t xml:space="preserve">    1.3. CUSTO TOTAL </t>
  </si>
  <si>
    <t>CUSTO OPERACIONAL  TOTAL</t>
  </si>
  <si>
    <t xml:space="preserve">          1.2.4. Prolabore</t>
  </si>
  <si>
    <t xml:space="preserve">          1.2.3. Depreciação anual</t>
  </si>
  <si>
    <t xml:space="preserve">          1.2.1. Custo operacional efetivo</t>
  </si>
  <si>
    <t xml:space="preserve">    1.2. CUSTO OPERACIONAL TOTAL</t>
  </si>
  <si>
    <t>CUSTO OPERACIONAL EFETIVO</t>
  </si>
  <si>
    <t xml:space="preserve">                    . Serviços Gerais </t>
  </si>
  <si>
    <t xml:space="preserve">    1.1. CUSTO OPERACIONAL EFETIVO</t>
  </si>
  <si>
    <t>1. CUSTOS DE PRODUÇÃO</t>
  </si>
  <si>
    <t>(R$)</t>
  </si>
  <si>
    <t>no ano</t>
  </si>
  <si>
    <t>Total no ano</t>
  </si>
  <si>
    <t>Preço unitário</t>
  </si>
  <si>
    <t>Quantidade</t>
  </si>
  <si>
    <t>Unidade</t>
  </si>
  <si>
    <t>Especificação</t>
  </si>
  <si>
    <t>PLANILHA DE ORÇAMENTO DE INVESTIMENTO</t>
  </si>
  <si>
    <t xml:space="preserve">          1.1.1. Mão-de-obra permanente</t>
  </si>
  <si>
    <t xml:space="preserve">                    . Presidente</t>
  </si>
  <si>
    <t xml:space="preserve">                    . Diretor Financeiro</t>
  </si>
  <si>
    <t xml:space="preserve">                    . Diretor de Projetos</t>
  </si>
  <si>
    <t xml:space="preserve">                    . Diretor de RH</t>
  </si>
  <si>
    <t>'                    . Diretor de Marketing</t>
  </si>
  <si>
    <t>'                    . Conselho Fiscal</t>
  </si>
  <si>
    <t xml:space="preserve">                    . Auxiliar de RH</t>
  </si>
  <si>
    <t xml:space="preserve">                    . Auxiliar de Mkt</t>
  </si>
  <si>
    <r>
      <t xml:space="preserve">                    . </t>
    </r>
    <r>
      <rPr>
        <sz val="9"/>
        <rFont val="Times New Roman"/>
        <family val="1"/>
      </rPr>
      <t>Limpeza</t>
    </r>
  </si>
  <si>
    <t xml:space="preserve">                    .  Encargos trabalhistas (102%)</t>
  </si>
  <si>
    <t>ano</t>
  </si>
  <si>
    <t>mês</t>
  </si>
  <si>
    <t xml:space="preserve">                    .  Assistência Técnica</t>
  </si>
  <si>
    <t>Papel Higienico</t>
  </si>
  <si>
    <t>Sabonete</t>
  </si>
  <si>
    <t>Detergente</t>
  </si>
  <si>
    <t>Desinfetante</t>
  </si>
  <si>
    <t>Rodo</t>
  </si>
  <si>
    <t>Vassoura</t>
  </si>
  <si>
    <t>Balde</t>
  </si>
  <si>
    <t>Panos de chão</t>
  </si>
  <si>
    <t xml:space="preserve">                    .Lápis</t>
  </si>
  <si>
    <t xml:space="preserve">                    .Canetas</t>
  </si>
  <si>
    <t xml:space="preserve">                    .Apontador</t>
  </si>
  <si>
    <t xml:space="preserve">                    .Borracha</t>
  </si>
  <si>
    <t xml:space="preserve">                    .Grampos</t>
  </si>
  <si>
    <t xml:space="preserve">                    .Sulfite</t>
  </si>
  <si>
    <t xml:space="preserve">                    .Envelopes</t>
  </si>
  <si>
    <t xml:space="preserve">                    .Arquivos</t>
  </si>
  <si>
    <r>
      <t xml:space="preserve">      </t>
    </r>
    <r>
      <rPr>
        <b/>
        <sz val="9"/>
        <rFont val="Times New Roman"/>
        <family val="1"/>
      </rPr>
      <t xml:space="preserve">    1.1.2. Papelaria</t>
    </r>
  </si>
  <si>
    <r>
      <rPr>
        <b/>
        <sz val="9"/>
        <rFont val="Times New Roman"/>
        <family val="1"/>
      </rPr>
      <t xml:space="preserve"> 1.1.3 Limpeza</t>
    </r>
  </si>
  <si>
    <t>1.1.4 Assistência Técnica</t>
  </si>
  <si>
    <t>Ferramentas</t>
  </si>
  <si>
    <t>Caixa</t>
  </si>
  <si>
    <t>Pacote</t>
  </si>
  <si>
    <t>kit</t>
  </si>
  <si>
    <r>
      <t xml:space="preserve">          </t>
    </r>
    <r>
      <rPr>
        <b/>
        <sz val="9"/>
        <rFont val="Times New Roman"/>
        <family val="1"/>
      </rPr>
      <t xml:space="preserve">1.1.5. Contas </t>
    </r>
  </si>
  <si>
    <t xml:space="preserve">                   . Aluguel</t>
  </si>
  <si>
    <t xml:space="preserve">                   . Energia</t>
  </si>
  <si>
    <t xml:space="preserve">                   . Água e Esgoto</t>
  </si>
  <si>
    <t xml:space="preserve">                   . Combustivel</t>
  </si>
  <si>
    <t>IPVA</t>
  </si>
  <si>
    <t>Internet e telefone</t>
  </si>
  <si>
    <t>L/mês</t>
  </si>
  <si>
    <t>IPTU</t>
  </si>
  <si>
    <t>ISS 5%RT</t>
  </si>
  <si>
    <t>Carro</t>
  </si>
  <si>
    <t>Item</t>
  </si>
  <si>
    <t>Descrição</t>
  </si>
  <si>
    <t>Valor Unitário</t>
  </si>
  <si>
    <t>Valor Total</t>
  </si>
  <si>
    <t>Valor Final</t>
  </si>
  <si>
    <t>Vida Útil</t>
  </si>
  <si>
    <t>Anual</t>
  </si>
  <si>
    <t>Máquinas, veículos e equipamentos</t>
  </si>
  <si>
    <t>Mesa de Reunião</t>
  </si>
  <si>
    <t>Lixeira Grande</t>
  </si>
  <si>
    <t>Micoondas</t>
  </si>
  <si>
    <t>Projetor</t>
  </si>
  <si>
    <t>Impressoras</t>
  </si>
  <si>
    <t>INVESTIMENTO TOTAL</t>
  </si>
  <si>
    <t>DEPRECIAÇÃO ANUAL</t>
  </si>
  <si>
    <t>Marketing</t>
  </si>
  <si>
    <t>1.1.7. Impostos e Taxas</t>
  </si>
  <si>
    <t>1.1.6. Produto</t>
  </si>
  <si>
    <t>Food Truck</t>
  </si>
  <si>
    <t>KW/mês</t>
  </si>
  <si>
    <t>m³/mês</t>
  </si>
  <si>
    <t>ICMS 18%Preço da mercadoria</t>
  </si>
  <si>
    <t>Personalização</t>
  </si>
  <si>
    <t>X</t>
  </si>
  <si>
    <t>X=50000 TAXA DE FRANQUIA</t>
  </si>
  <si>
    <t>270 000 NOSSA FRANQUIA (TD)</t>
  </si>
  <si>
    <t>Franquia</t>
  </si>
  <si>
    <t>Royalties</t>
  </si>
  <si>
    <t>Franquia do Food Truck + Royalties (Custos do caminhão e personalização serão repassados ao cliente).</t>
  </si>
  <si>
    <t>unidade</t>
  </si>
  <si>
    <t>mensal/unidade</t>
  </si>
  <si>
    <t xml:space="preserve">9.1. Produção média Food Truck </t>
  </si>
  <si>
    <t>FLUXO ECONÔMICO - FINANCEIRO</t>
  </si>
  <si>
    <t>DESPESAS</t>
  </si>
  <si>
    <t>RECEITAS</t>
  </si>
  <si>
    <t>RESULTADO OPERACIONAL ANUAL</t>
  </si>
  <si>
    <t>INVESTIMENTO</t>
  </si>
  <si>
    <t>RESULTADO APÓS IMPOSTO DE RENDA (35%)</t>
  </si>
  <si>
    <t>RESULTADO OP. ACUMULADO DO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</si>
</sst>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thick">
        <color theme="3" tint="-0.249977111117893"/>
      </right>
      <top/>
      <bottom/>
      <diagonal/>
    </border>
    <border>
      <left/>
      <right style="thick">
        <color theme="3" tint="-0.249977111117893"/>
      </right>
      <top style="thick">
        <color theme="3" tint="-0.249977111117893"/>
      </top>
      <bottom style="thick">
        <color theme="3" tint="-0.249977111117893"/>
      </bottom>
      <diagonal/>
    </border>
    <border>
      <left style="thick">
        <color theme="3" tint="-0.249977111117893"/>
      </left>
      <right style="thick">
        <color theme="3" tint="-0.249977111117893"/>
      </right>
      <top/>
      <bottom/>
      <diagonal/>
    </border>
    <border>
      <left/>
      <right/>
      <top/>
      <bottom style="thick">
        <color theme="3" tint="-0.249977111117893"/>
      </bottom>
      <diagonal/>
    </border>
    <border>
      <left style="thick">
        <color theme="3" tint="-0.249977111117893"/>
      </left>
      <right/>
      <top style="thick">
        <color theme="3" tint="-0.249977111117893"/>
      </top>
      <bottom style="thick">
        <color theme="3" tint="-0.249977111117893"/>
      </bottom>
      <diagonal/>
    </border>
    <border>
      <left/>
      <right/>
      <top style="thick">
        <color theme="3" tint="-0.249977111117893"/>
      </top>
      <bottom style="thick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ck">
        <color theme="3" tint="-0.249977111117893"/>
      </right>
      <top style="thick">
        <color theme="3" tint="-0.249977111117893"/>
      </top>
      <bottom/>
      <diagonal/>
    </border>
    <border>
      <left/>
      <right/>
      <top style="thick">
        <color theme="3" tint="-0.249977111117893"/>
      </top>
      <bottom/>
      <diagonal/>
    </border>
    <border>
      <left style="thick">
        <color theme="3" tint="-0.249977111117893"/>
      </left>
      <right/>
      <top/>
      <bottom style="thick">
        <color theme="3" tint="-0.249977111117893"/>
      </bottom>
      <diagonal/>
    </border>
    <border>
      <left/>
      <right style="thick">
        <color theme="3" tint="-0.249977111117893"/>
      </right>
      <top/>
      <bottom style="thick">
        <color theme="3" tint="-0.249977111117893"/>
      </bottom>
      <diagonal/>
    </border>
    <border>
      <left style="thick">
        <color theme="3" tint="-0.249977111117893"/>
      </left>
      <right/>
      <top style="thick">
        <color theme="3" tint="-0.249977111117893"/>
      </top>
      <bottom/>
      <diagonal/>
    </border>
    <border>
      <left style="thick">
        <color theme="3" tint="-0.249977111117893"/>
      </left>
      <right/>
      <top/>
      <bottom/>
      <diagonal/>
    </border>
    <border>
      <left style="thick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ck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ck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ck">
        <color theme="3" tint="-0.249977111117893"/>
      </right>
      <top/>
      <bottom style="thin">
        <color theme="3" tint="-0.249977111117893"/>
      </bottom>
      <diagonal/>
    </border>
    <border>
      <left style="thick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ck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ck">
        <color theme="3" tint="-0.249977111117893"/>
      </bottom>
      <diagonal/>
    </border>
    <border>
      <left style="thin">
        <color theme="3" tint="-0.249977111117893"/>
      </left>
      <right style="thick">
        <color theme="3" tint="-0.249977111117893"/>
      </right>
      <top style="thin">
        <color theme="3" tint="-0.249977111117893"/>
      </top>
      <bottom style="thick">
        <color theme="3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3" tint="-0.249977111117893"/>
      </left>
      <right style="thin">
        <color indexed="64"/>
      </right>
      <top style="thick">
        <color theme="3" tint="-0.249977111117893"/>
      </top>
      <bottom/>
      <diagonal/>
    </border>
    <border>
      <left/>
      <right style="thin">
        <color indexed="64"/>
      </right>
      <top style="thick">
        <color theme="3" tint="-0.249977111117893"/>
      </top>
      <bottom/>
      <diagonal/>
    </border>
    <border>
      <left style="thick">
        <color theme="3" tint="-0.249977111117893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3" tint="-0.249977111117893"/>
      </right>
      <top/>
      <bottom style="thin">
        <color indexed="64"/>
      </bottom>
      <diagonal/>
    </border>
    <border>
      <left style="thick">
        <color theme="3" tint="-0.249977111117893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3" tint="-0.249977111117893"/>
      </right>
      <top style="thin">
        <color indexed="64"/>
      </top>
      <bottom/>
      <diagonal/>
    </border>
    <border>
      <left style="thick">
        <color theme="3" tint="-0.249977111117893"/>
      </left>
      <right style="thin">
        <color indexed="64"/>
      </right>
      <top/>
      <bottom/>
      <diagonal/>
    </border>
    <border>
      <left style="thick">
        <color theme="3" tint="-0.249977111117893"/>
      </left>
      <right style="thin">
        <color indexed="64"/>
      </right>
      <top/>
      <bottom style="thick">
        <color theme="3" tint="-0.249977111117893"/>
      </bottom>
      <diagonal/>
    </border>
    <border>
      <left/>
      <right style="thin">
        <color indexed="64"/>
      </right>
      <top/>
      <bottom style="thick">
        <color theme="3" tint="-0.249977111117893"/>
      </bottom>
      <diagonal/>
    </border>
    <border>
      <left style="thick">
        <color theme="3" tint="-0.249977111117893"/>
      </left>
      <right style="thin">
        <color indexed="64"/>
      </right>
      <top style="thick">
        <color theme="3" tint="-0.249977111117893"/>
      </top>
      <bottom style="thick">
        <color theme="3" tint="-0.249977111117893"/>
      </bottom>
      <diagonal/>
    </border>
    <border>
      <left/>
      <right style="thin">
        <color indexed="64"/>
      </right>
      <top style="thick">
        <color theme="3" tint="-0.249977111117893"/>
      </top>
      <bottom style="thick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ck">
        <color theme="3" tint="-0.249977111117893"/>
      </top>
      <bottom style="thick">
        <color theme="3" tint="-0.249977111117893"/>
      </bottom>
      <diagonal/>
    </border>
    <border>
      <left style="thin">
        <color indexed="64"/>
      </left>
      <right style="thick">
        <color theme="3" tint="-0.249977111117893"/>
      </right>
      <top style="thick">
        <color theme="3" tint="-0.249977111117893"/>
      </top>
      <bottom style="thick">
        <color theme="3" tint="-0.249977111117893"/>
      </bottom>
      <diagonal/>
    </border>
    <border>
      <left style="thin">
        <color indexed="64"/>
      </left>
      <right style="thin">
        <color indexed="64"/>
      </right>
      <top/>
      <bottom style="thick">
        <color theme="3" tint="-0.249977111117893"/>
      </bottom>
      <diagonal/>
    </border>
    <border>
      <left style="thin">
        <color indexed="64"/>
      </left>
      <right style="thick">
        <color theme="3" tint="-0.249977111117893"/>
      </right>
      <top style="thick">
        <color theme="3" tint="-0.249977111117893"/>
      </top>
      <bottom/>
      <diagonal/>
    </border>
    <border>
      <left style="thin">
        <color indexed="64"/>
      </left>
      <right style="thin">
        <color indexed="64"/>
      </right>
      <top style="thick">
        <color theme="3" tint="-0.249977111117893"/>
      </top>
      <bottom/>
      <diagonal/>
    </border>
    <border>
      <left style="thin">
        <color indexed="64"/>
      </left>
      <right style="thick">
        <color theme="3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13" xfId="0" applyBorder="1"/>
    <xf numFmtId="0" fontId="0" fillId="4" borderId="14" xfId="0" applyFill="1" applyBorder="1"/>
    <xf numFmtId="0" fontId="0" fillId="0" borderId="16" xfId="0" applyBorder="1"/>
    <xf numFmtId="0" fontId="0" fillId="0" borderId="17" xfId="0" applyBorder="1"/>
    <xf numFmtId="165" fontId="0" fillId="0" borderId="17" xfId="0" applyNumberFormat="1" applyBorder="1"/>
    <xf numFmtId="0" fontId="0" fillId="4" borderId="7" xfId="0" applyFill="1" applyBorder="1"/>
    <xf numFmtId="0" fontId="0" fillId="4" borderId="15" xfId="0" applyFill="1" applyBorder="1"/>
    <xf numFmtId="0" fontId="0" fillId="0" borderId="18" xfId="0" applyBorder="1"/>
    <xf numFmtId="0" fontId="0" fillId="0" borderId="21" xfId="0" applyBorder="1"/>
    <xf numFmtId="0" fontId="0" fillId="3" borderId="20" xfId="0" applyFill="1" applyBorder="1"/>
    <xf numFmtId="44" fontId="0" fillId="0" borderId="17" xfId="1" applyFont="1" applyBorder="1"/>
    <xf numFmtId="0" fontId="0" fillId="3" borderId="19" xfId="0" applyFill="1" applyBorder="1"/>
    <xf numFmtId="166" fontId="0" fillId="3" borderId="20" xfId="0" applyNumberFormat="1" applyFill="1" applyBorder="1"/>
    <xf numFmtId="44" fontId="0" fillId="3" borderId="20" xfId="1" applyFont="1" applyFill="1" applyBorder="1"/>
    <xf numFmtId="2" fontId="5" fillId="0" borderId="22" xfId="0" applyNumberFormat="1" applyFont="1" applyBorder="1"/>
    <xf numFmtId="2" fontId="5" fillId="0" borderId="23" xfId="3" applyNumberFormat="1" applyFont="1" applyBorder="1"/>
    <xf numFmtId="0" fontId="5" fillId="0" borderId="22" xfId="0" applyFont="1" applyBorder="1" applyAlignment="1">
      <alignment horizontal="center"/>
    </xf>
    <xf numFmtId="2" fontId="5" fillId="0" borderId="23" xfId="0" applyNumberFormat="1" applyFont="1" applyBorder="1"/>
    <xf numFmtId="0" fontId="5" fillId="0" borderId="23" xfId="0" applyFont="1" applyBorder="1" applyAlignment="1">
      <alignment horizontal="center"/>
    </xf>
    <xf numFmtId="0" fontId="5" fillId="0" borderId="23" xfId="0" quotePrefix="1" applyFont="1" applyBorder="1" applyAlignment="1">
      <alignment horizontal="center"/>
    </xf>
    <xf numFmtId="0" fontId="0" fillId="0" borderId="23" xfId="0" applyBorder="1"/>
    <xf numFmtId="2" fontId="5" fillId="0" borderId="23" xfId="0" applyNumberFormat="1" applyFont="1" applyBorder="1" applyAlignment="1">
      <alignment horizontal="right"/>
    </xf>
    <xf numFmtId="0" fontId="5" fillId="0" borderId="23" xfId="0" applyFont="1" applyBorder="1" applyAlignment="1"/>
    <xf numFmtId="2" fontId="5" fillId="0" borderId="24" xfId="0" applyNumberFormat="1" applyFont="1" applyBorder="1"/>
    <xf numFmtId="2" fontId="5" fillId="0" borderId="24" xfId="3" applyNumberFormat="1" applyFont="1" applyBorder="1"/>
    <xf numFmtId="0" fontId="5" fillId="0" borderId="24" xfId="0" applyFont="1" applyBorder="1" applyAlignment="1"/>
    <xf numFmtId="0" fontId="5" fillId="0" borderId="30" xfId="0" quotePrefix="1" applyFont="1" applyBorder="1" applyAlignment="1">
      <alignment horizontal="left"/>
    </xf>
    <xf numFmtId="164" fontId="5" fillId="0" borderId="31" xfId="3" applyNumberFormat="1" applyFont="1" applyBorder="1"/>
    <xf numFmtId="0" fontId="5" fillId="0" borderId="32" xfId="0" quotePrefix="1" applyFont="1" applyBorder="1" applyAlignment="1">
      <alignment horizontal="left"/>
    </xf>
    <xf numFmtId="164" fontId="5" fillId="0" borderId="1" xfId="3" applyNumberFormat="1" applyFont="1" applyBorder="1"/>
    <xf numFmtId="0" fontId="5" fillId="0" borderId="32" xfId="0" applyFont="1" applyBorder="1"/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2" fontId="5" fillId="0" borderId="34" xfId="3" applyNumberFormat="1" applyFont="1" applyBorder="1"/>
    <xf numFmtId="2" fontId="5" fillId="0" borderId="34" xfId="0" applyNumberFormat="1" applyFont="1" applyBorder="1"/>
    <xf numFmtId="164" fontId="5" fillId="0" borderId="11" xfId="3" applyNumberFormat="1" applyFont="1" applyBorder="1"/>
    <xf numFmtId="0" fontId="5" fillId="0" borderId="26" xfId="0" quotePrefix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2" fontId="5" fillId="0" borderId="27" xfId="3" applyNumberFormat="1" applyFont="1" applyBorder="1"/>
    <xf numFmtId="2" fontId="5" fillId="0" borderId="27" xfId="0" applyNumberFormat="1" applyFont="1" applyBorder="1"/>
    <xf numFmtId="164" fontId="5" fillId="0" borderId="8" xfId="3" applyNumberFormat="1" applyFont="1" applyBorder="1"/>
    <xf numFmtId="0" fontId="5" fillId="0" borderId="33" xfId="0" applyFont="1" applyBorder="1" applyAlignment="1">
      <alignment horizontal="left"/>
    </xf>
    <xf numFmtId="0" fontId="5" fillId="0" borderId="33" xfId="0" quotePrefix="1" applyFont="1" applyBorder="1" applyAlignment="1">
      <alignment horizontal="left"/>
    </xf>
    <xf numFmtId="164" fontId="0" fillId="0" borderId="1" xfId="3" applyNumberFormat="1" applyFont="1" applyBorder="1"/>
    <xf numFmtId="164" fontId="4" fillId="0" borderId="1" xfId="3" applyNumberFormat="1" applyFont="1" applyBorder="1"/>
    <xf numFmtId="2" fontId="5" fillId="0" borderId="1" xfId="3" applyNumberFormat="1" applyFont="1" applyBorder="1" applyAlignment="1"/>
    <xf numFmtId="0" fontId="5" fillId="0" borderId="10" xfId="0" applyFont="1" applyBorder="1"/>
    <xf numFmtId="0" fontId="5" fillId="0" borderId="39" xfId="0" applyFont="1" applyBorder="1" applyAlignment="1">
      <alignment horizontal="centerContinuous"/>
    </xf>
    <xf numFmtId="2" fontId="5" fillId="0" borderId="4" xfId="3" applyNumberFormat="1" applyFont="1" applyBorder="1"/>
    <xf numFmtId="2" fontId="5" fillId="0" borderId="39" xfId="0" applyNumberFormat="1" applyFont="1" applyBorder="1"/>
    <xf numFmtId="2" fontId="4" fillId="0" borderId="11" xfId="3" applyNumberFormat="1" applyFont="1" applyBorder="1"/>
    <xf numFmtId="0" fontId="5" fillId="0" borderId="34" xfId="0" quotePrefix="1" applyFont="1" applyBorder="1" applyAlignment="1">
      <alignment horizontal="center"/>
    </xf>
    <xf numFmtId="0" fontId="5" fillId="0" borderId="23" xfId="0" quotePrefix="1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6" fillId="0" borderId="32" xfId="0" quotePrefix="1" applyFont="1" applyBorder="1" applyAlignment="1">
      <alignment horizontal="left"/>
    </xf>
    <xf numFmtId="0" fontId="6" fillId="3" borderId="35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2" fontId="6" fillId="3" borderId="37" xfId="3" applyNumberFormat="1" applyFont="1" applyFill="1" applyBorder="1"/>
    <xf numFmtId="2" fontId="6" fillId="3" borderId="37" xfId="0" applyNumberFormat="1" applyFont="1" applyFill="1" applyBorder="1"/>
    <xf numFmtId="164" fontId="6" fillId="3" borderId="38" xfId="3" applyNumberFormat="1" applyFont="1" applyFill="1" applyBorder="1"/>
    <xf numFmtId="0" fontId="6" fillId="3" borderId="33" xfId="0" quotePrefix="1" applyFont="1" applyFill="1" applyBorder="1" applyAlignment="1">
      <alignment horizontal="left"/>
    </xf>
    <xf numFmtId="0" fontId="6" fillId="3" borderId="34" xfId="0" applyFont="1" applyFill="1" applyBorder="1" applyAlignment="1">
      <alignment horizontal="center"/>
    </xf>
    <xf numFmtId="2" fontId="6" fillId="3" borderId="34" xfId="3" applyNumberFormat="1" applyFont="1" applyFill="1" applyBorder="1"/>
    <xf numFmtId="2" fontId="6" fillId="3" borderId="34" xfId="0" applyNumberFormat="1" applyFont="1" applyFill="1" applyBorder="1"/>
    <xf numFmtId="164" fontId="6" fillId="3" borderId="11" xfId="3" applyNumberFormat="1" applyFont="1" applyFill="1" applyBorder="1"/>
    <xf numFmtId="0" fontId="6" fillId="3" borderId="34" xfId="0" quotePrefix="1" applyFont="1" applyFill="1" applyBorder="1" applyAlignment="1">
      <alignment horizontal="left"/>
    </xf>
    <xf numFmtId="0" fontId="6" fillId="3" borderId="35" xfId="0" quotePrefix="1" applyFont="1" applyFill="1" applyBorder="1" applyAlignment="1">
      <alignment horizontal="left"/>
    </xf>
    <xf numFmtId="0" fontId="6" fillId="3" borderId="36" xfId="0" applyFont="1" applyFill="1" applyBorder="1" applyAlignment="1">
      <alignment horizontal="center"/>
    </xf>
    <xf numFmtId="2" fontId="6" fillId="3" borderId="36" xfId="3" applyNumberFormat="1" applyFont="1" applyFill="1" applyBorder="1"/>
    <xf numFmtId="2" fontId="6" fillId="3" borderId="36" xfId="0" applyNumberFormat="1" applyFont="1" applyFill="1" applyBorder="1"/>
    <xf numFmtId="164" fontId="6" fillId="3" borderId="2" xfId="3" applyNumberFormat="1" applyFont="1" applyFill="1" applyBorder="1"/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/>
    <xf numFmtId="2" fontId="6" fillId="3" borderId="27" xfId="3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/>
    </xf>
    <xf numFmtId="164" fontId="6" fillId="3" borderId="40" xfId="3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5" xfId="0" applyFont="1" applyFill="1" applyBorder="1" applyAlignment="1"/>
    <xf numFmtId="2" fontId="6" fillId="3" borderId="25" xfId="3" applyNumberFormat="1" applyFont="1" applyFill="1" applyBorder="1" applyAlignment="1">
      <alignment horizontal="center"/>
    </xf>
    <xf numFmtId="2" fontId="6" fillId="3" borderId="25" xfId="0" applyNumberFormat="1" applyFont="1" applyFill="1" applyBorder="1" applyAlignment="1">
      <alignment horizontal="center"/>
    </xf>
    <xf numFmtId="164" fontId="6" fillId="3" borderId="29" xfId="3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quotePrefix="1" applyFont="1" applyBorder="1" applyAlignment="1">
      <alignment horizontal="center"/>
    </xf>
    <xf numFmtId="2" fontId="5" fillId="0" borderId="36" xfId="3" applyNumberFormat="1" applyFont="1" applyBorder="1"/>
    <xf numFmtId="2" fontId="5" fillId="0" borderId="36" xfId="0" applyNumberFormat="1" applyFont="1" applyBorder="1"/>
    <xf numFmtId="164" fontId="5" fillId="0" borderId="2" xfId="3" applyNumberFormat="1" applyFont="1" applyBorder="1"/>
    <xf numFmtId="0" fontId="5" fillId="0" borderId="33" xfId="0" applyFont="1" applyBorder="1"/>
    <xf numFmtId="0" fontId="5" fillId="0" borderId="32" xfId="0" quotePrefix="1" applyFont="1" applyFill="1" applyBorder="1" applyAlignment="1">
      <alignment horizontal="left"/>
    </xf>
    <xf numFmtId="0" fontId="5" fillId="0" borderId="32" xfId="0" quotePrefix="1" applyFont="1" applyBorder="1" applyAlignment="1">
      <alignment horizontal="left" indent="3"/>
    </xf>
    <xf numFmtId="0" fontId="5" fillId="0" borderId="32" xfId="0" quotePrefix="1" applyFont="1" applyBorder="1" applyAlignment="1">
      <alignment horizontal="left" indent="4"/>
    </xf>
    <xf numFmtId="0" fontId="5" fillId="0" borderId="32" xfId="0" quotePrefix="1" applyFont="1" applyBorder="1" applyAlignment="1">
      <alignment horizontal="left" indent="7"/>
    </xf>
    <xf numFmtId="0" fontId="6" fillId="0" borderId="32" xfId="0" quotePrefix="1" applyFont="1" applyBorder="1" applyAlignment="1">
      <alignment horizontal="left" indent="3"/>
    </xf>
    <xf numFmtId="0" fontId="5" fillId="0" borderId="32" xfId="0" applyFont="1" applyBorder="1" applyAlignment="1">
      <alignment horizontal="left" indent="3"/>
    </xf>
    <xf numFmtId="0" fontId="5" fillId="0" borderId="32" xfId="0" applyFont="1" applyBorder="1" applyAlignment="1">
      <alignment horizontal="left" indent="7"/>
    </xf>
    <xf numFmtId="0" fontId="6" fillId="0" borderId="32" xfId="0" applyFont="1" applyBorder="1"/>
    <xf numFmtId="0" fontId="5" fillId="0" borderId="32" xfId="0" applyFont="1" applyBorder="1" applyAlignment="1">
      <alignment horizontal="left" indent="15"/>
    </xf>
    <xf numFmtId="0" fontId="5" fillId="0" borderId="32" xfId="0" quotePrefix="1" applyFont="1" applyBorder="1" applyAlignment="1">
      <alignment horizontal="left" indent="19"/>
    </xf>
    <xf numFmtId="0" fontId="7" fillId="0" borderId="0" xfId="0" applyFont="1" applyAlignment="1">
      <alignment horizontal="center"/>
    </xf>
    <xf numFmtId="0" fontId="8" fillId="0" borderId="0" xfId="0" applyFont="1"/>
    <xf numFmtId="4" fontId="0" fillId="0" borderId="0" xfId="0" applyNumberForma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9" fontId="5" fillId="0" borderId="23" xfId="2" applyFont="1" applyBorder="1"/>
    <xf numFmtId="0" fontId="5" fillId="0" borderId="41" xfId="0" applyFont="1" applyBorder="1" applyAlignment="1">
      <alignment horizontal="center"/>
    </xf>
    <xf numFmtId="2" fontId="5" fillId="0" borderId="41" xfId="3" applyNumberFormat="1" applyFont="1" applyBorder="1"/>
    <xf numFmtId="2" fontId="5" fillId="0" borderId="41" xfId="0" applyNumberFormat="1" applyFont="1" applyBorder="1"/>
    <xf numFmtId="164" fontId="5" fillId="0" borderId="42" xfId="3" applyNumberFormat="1" applyFont="1" applyBorder="1"/>
    <xf numFmtId="0" fontId="5" fillId="0" borderId="32" xfId="0" quotePrefix="1" applyFont="1" applyBorder="1" applyAlignment="1">
      <alignment horizontal="center" wrapText="1"/>
    </xf>
    <xf numFmtId="0" fontId="9" fillId="0" borderId="0" xfId="0" applyFont="1"/>
    <xf numFmtId="0" fontId="10" fillId="5" borderId="43" xfId="0" applyFont="1" applyFill="1" applyBorder="1" applyAlignment="1">
      <alignment horizontal="centerContinuous"/>
    </xf>
    <xf numFmtId="0" fontId="0" fillId="5" borderId="44" xfId="0" applyFill="1" applyBorder="1" applyAlignment="1">
      <alignment horizontal="centerContinuous"/>
    </xf>
    <xf numFmtId="0" fontId="0" fillId="5" borderId="45" xfId="0" applyFill="1" applyBorder="1" applyAlignment="1">
      <alignment horizontal="centerContinuous"/>
    </xf>
    <xf numFmtId="0" fontId="7" fillId="5" borderId="4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7" fillId="0" borderId="0" xfId="0" applyFont="1"/>
    <xf numFmtId="39" fontId="11" fillId="0" borderId="47" xfId="0" applyNumberFormat="1" applyFont="1" applyBorder="1" applyAlignment="1">
      <alignment horizontal="right"/>
    </xf>
    <xf numFmtId="39" fontId="12" fillId="0" borderId="49" xfId="0" applyNumberFormat="1" applyFont="1" applyBorder="1" applyAlignment="1">
      <alignment horizontal="right"/>
    </xf>
    <xf numFmtId="39" fontId="8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9" fontId="8" fillId="0" borderId="47" xfId="0" applyNumberFormat="1" applyFont="1" applyBorder="1" applyAlignment="1">
      <alignment horizontal="right"/>
    </xf>
    <xf numFmtId="39" fontId="7" fillId="0" borderId="49" xfId="0" applyNumberFormat="1" applyFont="1" applyBorder="1" applyAlignment="1">
      <alignment horizontal="right"/>
    </xf>
    <xf numFmtId="0" fontId="7" fillId="5" borderId="49" xfId="0" quotePrefix="1" applyFont="1" applyFill="1" applyBorder="1" applyAlignment="1">
      <alignment horizontal="center"/>
    </xf>
    <xf numFmtId="39" fontId="8" fillId="0" borderId="46" xfId="0" applyNumberFormat="1" applyFont="1" applyBorder="1" applyAlignment="1">
      <alignment horizontal="right"/>
    </xf>
    <xf numFmtId="39" fontId="8" fillId="0" borderId="48" xfId="0" applyNumberFormat="1" applyFont="1" applyBorder="1" applyAlignment="1">
      <alignment horizontal="right"/>
    </xf>
    <xf numFmtId="39" fontId="11" fillId="0" borderId="46" xfId="0" applyNumberFormat="1" applyFont="1" applyBorder="1"/>
    <xf numFmtId="39" fontId="11" fillId="0" borderId="48" xfId="0" applyNumberFormat="1" applyFont="1" applyBorder="1"/>
    <xf numFmtId="39" fontId="12" fillId="0" borderId="49" xfId="0" applyNumberFormat="1" applyFont="1" applyBorder="1"/>
    <xf numFmtId="39" fontId="8" fillId="0" borderId="0" xfId="0" applyNumberFormat="1" applyFont="1" applyBorder="1" applyAlignment="1">
      <alignment horizontal="right"/>
    </xf>
    <xf numFmtId="39" fontId="11" fillId="0" borderId="45" xfId="0" applyNumberFormat="1" applyFont="1" applyBorder="1"/>
    <xf numFmtId="4" fontId="13" fillId="0" borderId="0" xfId="0" applyNumberFormat="1" applyFont="1"/>
    <xf numFmtId="4" fontId="6" fillId="3" borderId="27" xfId="0" applyNumberFormat="1" applyFont="1" applyFill="1" applyBorder="1" applyAlignment="1">
      <alignment horizontal="center"/>
    </xf>
    <xf numFmtId="4" fontId="6" fillId="3" borderId="25" xfId="0" applyNumberFormat="1" applyFont="1" applyFill="1" applyBorder="1" applyAlignment="1">
      <alignment horizontal="center"/>
    </xf>
    <xf numFmtId="4" fontId="5" fillId="0" borderId="24" xfId="0" applyNumberFormat="1" applyFont="1" applyBorder="1"/>
    <xf numFmtId="4" fontId="5" fillId="0" borderId="23" xfId="0" applyNumberFormat="1" applyFont="1" applyBorder="1"/>
    <xf numFmtId="4" fontId="6" fillId="3" borderId="36" xfId="0" applyNumberFormat="1" applyFont="1" applyFill="1" applyBorder="1"/>
    <xf numFmtId="4" fontId="5" fillId="0" borderId="34" xfId="0" applyNumberFormat="1" applyFont="1" applyBorder="1"/>
    <xf numFmtId="4" fontId="6" fillId="3" borderId="34" xfId="0" applyNumberFormat="1" applyFont="1" applyFill="1" applyBorder="1"/>
    <xf numFmtId="4" fontId="5" fillId="0" borderId="23" xfId="0" applyNumberFormat="1" applyFont="1" applyBorder="1" applyAlignment="1">
      <alignment horizontal="right"/>
    </xf>
    <xf numFmtId="4" fontId="5" fillId="0" borderId="41" xfId="0" applyNumberFormat="1" applyFont="1" applyBorder="1"/>
    <xf numFmtId="4" fontId="6" fillId="3" borderId="37" xfId="0" applyNumberFormat="1" applyFont="1" applyFill="1" applyBorder="1"/>
    <xf numFmtId="4" fontId="5" fillId="0" borderId="27" xfId="0" applyNumberFormat="1" applyFont="1" applyBorder="1"/>
    <xf numFmtId="4" fontId="5" fillId="0" borderId="36" xfId="0" applyNumberFormat="1" applyFont="1" applyBorder="1"/>
    <xf numFmtId="4" fontId="5" fillId="0" borderId="22" xfId="0" applyNumberFormat="1" applyFont="1" applyBorder="1"/>
    <xf numFmtId="4" fontId="5" fillId="0" borderId="39" xfId="0" applyNumberFormat="1" applyFont="1" applyBorder="1"/>
    <xf numFmtId="4" fontId="6" fillId="3" borderId="40" xfId="3" applyNumberFormat="1" applyFont="1" applyFill="1" applyBorder="1" applyAlignment="1">
      <alignment horizontal="center"/>
    </xf>
    <xf numFmtId="4" fontId="6" fillId="3" borderId="29" xfId="3" applyNumberFormat="1" applyFont="1" applyFill="1" applyBorder="1" applyAlignment="1">
      <alignment horizontal="center"/>
    </xf>
    <xf numFmtId="4" fontId="5" fillId="0" borderId="31" xfId="3" applyNumberFormat="1" applyFont="1" applyBorder="1"/>
    <xf numFmtId="4" fontId="5" fillId="0" borderId="1" xfId="3" applyNumberFormat="1" applyFont="1" applyBorder="1"/>
    <xf numFmtId="4" fontId="6" fillId="3" borderId="2" xfId="3" applyNumberFormat="1" applyFont="1" applyFill="1" applyBorder="1"/>
    <xf numFmtId="4" fontId="5" fillId="0" borderId="11" xfId="3" applyNumberFormat="1" applyFont="1" applyBorder="1"/>
    <xf numFmtId="4" fontId="6" fillId="3" borderId="11" xfId="3" applyNumberFormat="1" applyFont="1" applyFill="1" applyBorder="1"/>
    <xf numFmtId="4" fontId="5" fillId="0" borderId="42" xfId="3" applyNumberFormat="1" applyFont="1" applyBorder="1"/>
    <xf numFmtId="4" fontId="6" fillId="3" borderId="38" xfId="3" applyNumberFormat="1" applyFont="1" applyFill="1" applyBorder="1"/>
    <xf numFmtId="4" fontId="5" fillId="0" borderId="8" xfId="3" applyNumberFormat="1" applyFont="1" applyBorder="1"/>
    <xf numFmtId="4" fontId="0" fillId="0" borderId="1" xfId="3" applyNumberFormat="1" applyFont="1" applyBorder="1"/>
    <xf numFmtId="4" fontId="5" fillId="0" borderId="2" xfId="3" applyNumberFormat="1" applyFont="1" applyBorder="1"/>
    <xf numFmtId="4" fontId="4" fillId="0" borderId="1" xfId="3" applyNumberFormat="1" applyFont="1" applyBorder="1"/>
    <xf numFmtId="4" fontId="5" fillId="0" borderId="1" xfId="3" applyNumberFormat="1" applyFont="1" applyBorder="1" applyAlignment="1"/>
    <xf numFmtId="4" fontId="4" fillId="0" borderId="11" xfId="3" applyNumberFormat="1" applyFont="1" applyBorder="1"/>
    <xf numFmtId="4" fontId="5" fillId="6" borderId="23" xfId="0" applyNumberFormat="1" applyFont="1" applyFill="1" applyBorder="1"/>
    <xf numFmtId="2" fontId="5" fillId="6" borderId="23" xfId="0" applyNumberFormat="1" applyFont="1" applyFill="1" applyBorder="1"/>
    <xf numFmtId="0" fontId="7" fillId="0" borderId="45" xfId="0" applyFont="1" applyFill="1" applyBorder="1" applyAlignment="1">
      <alignment horizontal="center"/>
    </xf>
    <xf numFmtId="39" fontId="8" fillId="0" borderId="50" xfId="0" applyNumberFormat="1" applyFont="1" applyBorder="1" applyAlignment="1">
      <alignment horizontal="right"/>
    </xf>
    <xf numFmtId="39" fontId="8" fillId="0" borderId="51" xfId="0" applyNumberFormat="1" applyFont="1" applyBorder="1" applyAlignment="1">
      <alignment horizontal="right"/>
    </xf>
    <xf numFmtId="39" fontId="8" fillId="0" borderId="44" xfId="0" applyNumberFormat="1" applyFont="1" applyBorder="1" applyAlignment="1">
      <alignment horizontal="right"/>
    </xf>
    <xf numFmtId="0" fontId="7" fillId="5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39" fontId="7" fillId="0" borderId="43" xfId="0" applyNumberFormat="1" applyFont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0" borderId="32" xfId="0" quotePrefix="1" applyFont="1" applyBorder="1" applyAlignment="1">
      <alignment horizont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152400</xdr:rowOff>
    </xdr:from>
    <xdr:to>
      <xdr:col>13</xdr:col>
      <xdr:colOff>56467</xdr:colOff>
      <xdr:row>5</xdr:row>
      <xdr:rowOff>11070</xdr:rowOff>
    </xdr:to>
    <xdr:grpSp>
      <xdr:nvGrpSpPr>
        <xdr:cNvPr id="2" name="Grupo 5">
          <a:extLst>
            <a:ext uri="{FF2B5EF4-FFF2-40B4-BE49-F238E27FC236}">
              <a16:creationId xmlns:a16="http://schemas.microsoft.com/office/drawing/2014/main" id="{ED563106-CBAE-4472-BDFF-65AA02BAFA6D}"/>
            </a:ext>
          </a:extLst>
        </xdr:cNvPr>
        <xdr:cNvGrpSpPr/>
      </xdr:nvGrpSpPr>
      <xdr:grpSpPr>
        <a:xfrm>
          <a:off x="85725" y="152400"/>
          <a:ext cx="12029392" cy="811170"/>
          <a:chOff x="89584" y="65130"/>
          <a:chExt cx="7530417" cy="811170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2A95E7C1-8E74-4B61-8AD4-CA6F6735850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4548" t="2992" r="13903" b="3419"/>
          <a:stretch/>
        </xdr:blipFill>
        <xdr:spPr>
          <a:xfrm>
            <a:off x="89584" y="65130"/>
            <a:ext cx="833203" cy="81117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DD3C4FB1-A2CE-4470-A9FF-2FBF6A851CB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43167" b="43591"/>
          <a:stretch/>
        </xdr:blipFill>
        <xdr:spPr>
          <a:xfrm>
            <a:off x="1067461" y="147101"/>
            <a:ext cx="6552540" cy="64722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12398-E3E4-42D9-AF5D-1E713A2CC2A3}">
  <dimension ref="A1:R34"/>
  <sheetViews>
    <sheetView topLeftCell="A13" workbookViewId="0">
      <selection activeCell="R27" sqref="R27"/>
    </sheetView>
  </sheetViews>
  <sheetFormatPr defaultRowHeight="15" x14ac:dyDescent="0.25"/>
  <cols>
    <col min="2" max="2" width="0" hidden="1" customWidth="1"/>
    <col min="3" max="3" width="15.5703125" hidden="1" customWidth="1"/>
    <col min="4" max="4" width="13.28515625" hidden="1" customWidth="1"/>
    <col min="5" max="6" width="0" hidden="1" customWidth="1"/>
    <col min="7" max="7" width="13.5703125" hidden="1" customWidth="1"/>
    <col min="8" max="8" width="0" hidden="1" customWidth="1"/>
    <col min="11" max="11" width="31.140625" bestFit="1" customWidth="1"/>
    <col min="12" max="12" width="8.5703125" bestFit="1" customWidth="1"/>
    <col min="13" max="13" width="11.5703125" bestFit="1" customWidth="1"/>
    <col min="14" max="14" width="20.7109375" bestFit="1" customWidth="1"/>
    <col min="15" max="16" width="11" bestFit="1" customWidth="1"/>
    <col min="17" max="17" width="20.28515625" bestFit="1" customWidth="1"/>
  </cols>
  <sheetData>
    <row r="1" spans="1:18" ht="19.5" thickBot="1" x14ac:dyDescent="0.35">
      <c r="A1" s="1"/>
      <c r="B1" s="1"/>
      <c r="C1" s="1"/>
      <c r="D1" s="1"/>
      <c r="F1" s="2"/>
      <c r="G1" s="2"/>
      <c r="H1" s="2"/>
      <c r="I1" s="2"/>
      <c r="J1" s="2"/>
    </row>
    <row r="2" spans="1:18" ht="19.5" thickTop="1" x14ac:dyDescent="0.3">
      <c r="A2" s="4"/>
      <c r="B2" s="177" t="s">
        <v>2</v>
      </c>
      <c r="C2" s="178"/>
      <c r="D2" s="178"/>
      <c r="E2" s="178"/>
      <c r="F2" s="178"/>
      <c r="G2" s="178"/>
      <c r="H2" s="179"/>
      <c r="I2" s="2"/>
      <c r="J2" s="2"/>
    </row>
    <row r="3" spans="1:18" ht="18.75" x14ac:dyDescent="0.3">
      <c r="A3" s="4"/>
      <c r="B3" s="6" t="s">
        <v>0</v>
      </c>
      <c r="C3" s="10" t="s">
        <v>1</v>
      </c>
      <c r="D3" s="10" t="s">
        <v>3</v>
      </c>
      <c r="E3" s="10" t="s">
        <v>4</v>
      </c>
      <c r="F3" s="10" t="s">
        <v>5</v>
      </c>
      <c r="G3" s="10" t="s">
        <v>6</v>
      </c>
      <c r="H3" s="11" t="s">
        <v>0</v>
      </c>
      <c r="I3" s="2"/>
      <c r="J3" s="2"/>
    </row>
    <row r="4" spans="1:18" ht="18.75" x14ac:dyDescent="0.3">
      <c r="A4" s="4"/>
      <c r="B4" s="7">
        <v>1</v>
      </c>
      <c r="C4" s="8" t="s">
        <v>15</v>
      </c>
      <c r="D4" s="9">
        <v>3225</v>
      </c>
      <c r="E4" s="9">
        <v>0</v>
      </c>
      <c r="F4" s="8">
        <v>10</v>
      </c>
      <c r="G4" s="15">
        <f t="shared" ref="G4:G11" si="0">(D4-E4)/F4</f>
        <v>322.5</v>
      </c>
      <c r="H4" s="12"/>
      <c r="I4" s="2"/>
      <c r="J4" s="2"/>
    </row>
    <row r="5" spans="1:18" x14ac:dyDescent="0.25">
      <c r="A5" s="4"/>
      <c r="B5" s="7">
        <v>2</v>
      </c>
      <c r="C5" s="8" t="s">
        <v>16</v>
      </c>
      <c r="D5" s="9">
        <v>5600</v>
      </c>
      <c r="E5" s="9">
        <v>0</v>
      </c>
      <c r="F5" s="8">
        <v>10</v>
      </c>
      <c r="G5" s="15">
        <f t="shared" si="0"/>
        <v>560</v>
      </c>
      <c r="H5" s="12"/>
      <c r="I5" s="5"/>
    </row>
    <row r="6" spans="1:18" x14ac:dyDescent="0.25">
      <c r="A6" s="4"/>
      <c r="B6" s="7">
        <v>3</v>
      </c>
      <c r="C6" s="8" t="s">
        <v>14</v>
      </c>
      <c r="D6" s="9">
        <v>168</v>
      </c>
      <c r="E6" s="9">
        <v>0</v>
      </c>
      <c r="F6" s="8">
        <v>10</v>
      </c>
      <c r="G6" s="15">
        <f t="shared" si="0"/>
        <v>16.8</v>
      </c>
      <c r="H6" s="12"/>
      <c r="I6" s="5"/>
      <c r="J6" s="104" t="s">
        <v>118</v>
      </c>
      <c r="K6" s="104" t="s">
        <v>119</v>
      </c>
      <c r="L6" s="104" t="s">
        <v>67</v>
      </c>
      <c r="M6" s="104" t="s">
        <v>66</v>
      </c>
      <c r="N6" s="104" t="s">
        <v>120</v>
      </c>
      <c r="O6" s="104" t="s">
        <v>121</v>
      </c>
      <c r="P6" s="104" t="s">
        <v>122</v>
      </c>
      <c r="Q6" s="104" t="s">
        <v>123</v>
      </c>
      <c r="R6" s="104" t="s">
        <v>124</v>
      </c>
    </row>
    <row r="7" spans="1:18" x14ac:dyDescent="0.25">
      <c r="A7" s="4"/>
      <c r="B7" s="7">
        <v>4</v>
      </c>
      <c r="C7" s="8" t="s">
        <v>17</v>
      </c>
      <c r="D7" s="9">
        <v>146</v>
      </c>
      <c r="E7" s="9">
        <v>0</v>
      </c>
      <c r="F7" s="8">
        <v>5</v>
      </c>
      <c r="G7" s="15">
        <f t="shared" si="0"/>
        <v>29.2</v>
      </c>
      <c r="H7" s="12"/>
      <c r="I7" s="5"/>
      <c r="J7" s="105"/>
      <c r="K7" s="180" t="s">
        <v>125</v>
      </c>
      <c r="L7" s="180"/>
      <c r="M7" s="180"/>
      <c r="N7" s="180"/>
      <c r="O7" s="180"/>
      <c r="P7" s="180"/>
      <c r="Q7" s="180"/>
      <c r="R7" s="180"/>
    </row>
    <row r="8" spans="1:18" x14ac:dyDescent="0.25">
      <c r="A8" s="4"/>
      <c r="B8" s="7">
        <v>5</v>
      </c>
      <c r="C8" s="8" t="s">
        <v>18</v>
      </c>
      <c r="D8" s="9">
        <v>40</v>
      </c>
      <c r="E8" s="9">
        <v>0</v>
      </c>
      <c r="F8" s="8">
        <v>5</v>
      </c>
      <c r="G8" s="15">
        <f t="shared" si="0"/>
        <v>8</v>
      </c>
      <c r="H8" s="12"/>
      <c r="I8" s="5"/>
      <c r="J8" s="107"/>
      <c r="K8" t="s">
        <v>15</v>
      </c>
      <c r="L8" t="s">
        <v>67</v>
      </c>
      <c r="M8">
        <v>11</v>
      </c>
      <c r="N8" s="106">
        <v>230</v>
      </c>
      <c r="O8" s="106">
        <f>$N8*$M8</f>
        <v>2530</v>
      </c>
      <c r="P8" s="106">
        <v>0</v>
      </c>
      <c r="Q8" s="106">
        <v>10</v>
      </c>
      <c r="R8" s="106">
        <f>(O8-P8)/Q8</f>
        <v>253</v>
      </c>
    </row>
    <row r="9" spans="1:18" x14ac:dyDescent="0.25">
      <c r="A9" s="4"/>
      <c r="B9" s="7">
        <v>6</v>
      </c>
      <c r="C9" s="8" t="s">
        <v>11</v>
      </c>
      <c r="D9" s="9">
        <v>14.8</v>
      </c>
      <c r="E9" s="9">
        <v>0</v>
      </c>
      <c r="F9" s="8">
        <v>3</v>
      </c>
      <c r="G9" s="15">
        <f t="shared" si="0"/>
        <v>4.9333333333333336</v>
      </c>
      <c r="H9" s="12"/>
      <c r="I9" s="5"/>
      <c r="J9" s="107"/>
      <c r="K9" t="s">
        <v>126</v>
      </c>
      <c r="L9" t="s">
        <v>67</v>
      </c>
      <c r="M9">
        <v>1</v>
      </c>
      <c r="N9" s="106">
        <v>934</v>
      </c>
      <c r="O9" s="106">
        <f t="shared" ref="O9:O26" si="1">$N9*$M9</f>
        <v>934</v>
      </c>
      <c r="P9" s="106">
        <v>0</v>
      </c>
      <c r="Q9" s="106">
        <v>10</v>
      </c>
      <c r="R9" s="106">
        <f t="shared" ref="R9:R26" si="2">(O9-P9)/Q9</f>
        <v>93.4</v>
      </c>
    </row>
    <row r="10" spans="1:18" x14ac:dyDescent="0.25">
      <c r="A10" s="4"/>
      <c r="B10" s="7">
        <v>7</v>
      </c>
      <c r="C10" s="8" t="s">
        <v>13</v>
      </c>
      <c r="D10" s="9">
        <v>80</v>
      </c>
      <c r="E10" s="9">
        <v>0</v>
      </c>
      <c r="F10" s="8">
        <v>10</v>
      </c>
      <c r="G10" s="15">
        <f t="shared" si="0"/>
        <v>8</v>
      </c>
      <c r="H10" s="12"/>
      <c r="I10" s="5"/>
      <c r="K10" t="s">
        <v>16</v>
      </c>
      <c r="L10" t="s">
        <v>67</v>
      </c>
      <c r="M10">
        <v>20</v>
      </c>
      <c r="N10" s="106">
        <v>350</v>
      </c>
      <c r="O10" s="106">
        <f t="shared" si="1"/>
        <v>7000</v>
      </c>
      <c r="P10" s="106">
        <v>0</v>
      </c>
      <c r="Q10" s="106">
        <v>10</v>
      </c>
      <c r="R10" s="106">
        <f t="shared" si="2"/>
        <v>700</v>
      </c>
    </row>
    <row r="11" spans="1:18" x14ac:dyDescent="0.25">
      <c r="A11" s="4"/>
      <c r="B11" s="7">
        <v>8</v>
      </c>
      <c r="C11" s="8" t="s">
        <v>12</v>
      </c>
      <c r="D11" s="9">
        <v>100</v>
      </c>
      <c r="E11" s="9">
        <v>0</v>
      </c>
      <c r="F11" s="8">
        <v>10</v>
      </c>
      <c r="G11" s="15">
        <f t="shared" si="0"/>
        <v>10</v>
      </c>
      <c r="H11" s="12"/>
      <c r="I11" s="5"/>
      <c r="K11" t="s">
        <v>14</v>
      </c>
      <c r="L11" t="s">
        <v>67</v>
      </c>
      <c r="M11">
        <v>9</v>
      </c>
      <c r="N11" s="106">
        <v>12</v>
      </c>
      <c r="O11" s="106">
        <f t="shared" si="1"/>
        <v>108</v>
      </c>
      <c r="P11" s="106">
        <v>0</v>
      </c>
      <c r="Q11" s="106">
        <v>5</v>
      </c>
      <c r="R11" s="106">
        <f t="shared" si="2"/>
        <v>21.6</v>
      </c>
    </row>
    <row r="12" spans="1:18" x14ac:dyDescent="0.25">
      <c r="A12" s="4"/>
      <c r="B12" s="7">
        <v>9</v>
      </c>
      <c r="C12" s="8" t="s">
        <v>19</v>
      </c>
      <c r="D12" s="9">
        <v>1329</v>
      </c>
      <c r="E12" s="9">
        <v>0</v>
      </c>
      <c r="F12" s="8">
        <v>7</v>
      </c>
      <c r="G12" s="15">
        <f>(D12-E12)/F12</f>
        <v>189.85714285714286</v>
      </c>
      <c r="H12" s="12"/>
      <c r="I12" s="5"/>
      <c r="K12" t="s">
        <v>17</v>
      </c>
      <c r="L12" t="s">
        <v>67</v>
      </c>
      <c r="M12">
        <v>9</v>
      </c>
      <c r="N12" s="106">
        <v>27</v>
      </c>
      <c r="O12" s="106">
        <f t="shared" si="1"/>
        <v>243</v>
      </c>
      <c r="P12" s="106">
        <v>0</v>
      </c>
      <c r="Q12" s="106">
        <v>5</v>
      </c>
      <c r="R12" s="106">
        <f t="shared" si="2"/>
        <v>48.6</v>
      </c>
    </row>
    <row r="13" spans="1:18" x14ac:dyDescent="0.25">
      <c r="A13" s="4"/>
      <c r="B13" s="7">
        <v>10</v>
      </c>
      <c r="C13" s="8" t="s">
        <v>20</v>
      </c>
      <c r="D13" s="9">
        <v>66.400000000000006</v>
      </c>
      <c r="E13" s="9">
        <v>0</v>
      </c>
      <c r="F13" s="8">
        <v>10</v>
      </c>
      <c r="G13" s="15">
        <f t="shared" ref="G13:G31" si="3">(D13-E13)/F13</f>
        <v>6.6400000000000006</v>
      </c>
      <c r="H13" s="12"/>
      <c r="I13" s="5"/>
      <c r="K13" t="s">
        <v>127</v>
      </c>
      <c r="L13" t="s">
        <v>67</v>
      </c>
      <c r="M13">
        <v>2</v>
      </c>
      <c r="N13" s="106">
        <v>56</v>
      </c>
      <c r="O13" s="106">
        <f t="shared" si="1"/>
        <v>112</v>
      </c>
      <c r="P13" s="106">
        <v>0</v>
      </c>
      <c r="Q13" s="106">
        <v>3</v>
      </c>
      <c r="R13" s="106">
        <f t="shared" si="2"/>
        <v>37.333333333333336</v>
      </c>
    </row>
    <row r="14" spans="1:18" x14ac:dyDescent="0.25">
      <c r="A14" s="4"/>
      <c r="B14" s="7">
        <v>11</v>
      </c>
      <c r="C14" s="8" t="s">
        <v>21</v>
      </c>
      <c r="D14" s="9">
        <v>299</v>
      </c>
      <c r="E14" s="9">
        <v>0</v>
      </c>
      <c r="F14" s="8">
        <v>10</v>
      </c>
      <c r="G14" s="15">
        <f t="shared" si="3"/>
        <v>29.9</v>
      </c>
      <c r="H14" s="12"/>
      <c r="I14" s="5"/>
      <c r="K14" t="s">
        <v>11</v>
      </c>
      <c r="L14" t="s">
        <v>67</v>
      </c>
      <c r="M14">
        <v>18</v>
      </c>
      <c r="N14" s="106">
        <v>14</v>
      </c>
      <c r="O14" s="106">
        <f t="shared" si="1"/>
        <v>252</v>
      </c>
      <c r="P14" s="106">
        <v>0</v>
      </c>
      <c r="Q14" s="106">
        <v>10</v>
      </c>
      <c r="R14" s="106">
        <f t="shared" si="2"/>
        <v>25.2</v>
      </c>
    </row>
    <row r="15" spans="1:18" x14ac:dyDescent="0.25">
      <c r="A15" s="4"/>
      <c r="B15" s="7">
        <v>12</v>
      </c>
      <c r="C15" s="8" t="s">
        <v>22</v>
      </c>
      <c r="D15" s="9">
        <v>476</v>
      </c>
      <c r="E15" s="9">
        <v>0</v>
      </c>
      <c r="F15" s="8">
        <v>5</v>
      </c>
      <c r="G15" s="15">
        <f t="shared" si="3"/>
        <v>95.2</v>
      </c>
      <c r="H15" s="12"/>
      <c r="I15" s="5"/>
      <c r="K15" t="s">
        <v>13</v>
      </c>
      <c r="L15" t="s">
        <v>106</v>
      </c>
      <c r="M15">
        <v>2</v>
      </c>
      <c r="N15" s="106">
        <v>40.9</v>
      </c>
      <c r="O15" s="106">
        <f t="shared" si="1"/>
        <v>81.8</v>
      </c>
      <c r="P15" s="106">
        <v>0</v>
      </c>
      <c r="Q15" s="106">
        <v>10</v>
      </c>
      <c r="R15" s="106">
        <f t="shared" si="2"/>
        <v>8.18</v>
      </c>
    </row>
    <row r="16" spans="1:18" x14ac:dyDescent="0.25">
      <c r="A16" s="4"/>
      <c r="B16" s="7">
        <v>13</v>
      </c>
      <c r="C16" s="8" t="s">
        <v>23</v>
      </c>
      <c r="D16" s="9">
        <v>36000</v>
      </c>
      <c r="E16" s="9">
        <v>0</v>
      </c>
      <c r="F16" s="8">
        <v>5</v>
      </c>
      <c r="G16" s="15">
        <f t="shared" si="3"/>
        <v>7200</v>
      </c>
      <c r="H16" s="12"/>
      <c r="I16" s="5"/>
      <c r="K16" t="s">
        <v>12</v>
      </c>
      <c r="L16" t="s">
        <v>67</v>
      </c>
      <c r="M16">
        <v>18</v>
      </c>
      <c r="N16" s="106">
        <v>8.5</v>
      </c>
      <c r="O16" s="106">
        <f t="shared" si="1"/>
        <v>153</v>
      </c>
      <c r="P16" s="106">
        <v>0</v>
      </c>
      <c r="Q16" s="106">
        <v>7</v>
      </c>
      <c r="R16" s="106">
        <f t="shared" si="2"/>
        <v>21.857142857142858</v>
      </c>
    </row>
    <row r="17" spans="1:18" x14ac:dyDescent="0.25">
      <c r="A17" s="4"/>
      <c r="B17" s="7">
        <v>14</v>
      </c>
      <c r="C17" s="8" t="s">
        <v>24</v>
      </c>
      <c r="D17" s="9">
        <v>6080</v>
      </c>
      <c r="E17" s="9">
        <v>0</v>
      </c>
      <c r="F17" s="8">
        <v>5</v>
      </c>
      <c r="G17" s="15">
        <f t="shared" si="3"/>
        <v>1216</v>
      </c>
      <c r="H17" s="12"/>
      <c r="I17" s="5"/>
      <c r="K17" s="105" t="s">
        <v>19</v>
      </c>
      <c r="L17" t="s">
        <v>67</v>
      </c>
      <c r="M17">
        <v>1</v>
      </c>
      <c r="N17" s="106">
        <v>1329</v>
      </c>
      <c r="O17" s="106">
        <f t="shared" si="1"/>
        <v>1329</v>
      </c>
      <c r="P17" s="106">
        <v>0</v>
      </c>
      <c r="Q17" s="106">
        <v>10</v>
      </c>
      <c r="R17" s="106">
        <f t="shared" si="2"/>
        <v>132.9</v>
      </c>
    </row>
    <row r="18" spans="1:18" x14ac:dyDescent="0.25">
      <c r="A18" s="4"/>
      <c r="B18" s="7">
        <v>15</v>
      </c>
      <c r="C18" s="8" t="s">
        <v>25</v>
      </c>
      <c r="D18" s="9">
        <v>1400</v>
      </c>
      <c r="E18" s="9">
        <v>0</v>
      </c>
      <c r="F18" s="8">
        <v>5</v>
      </c>
      <c r="G18" s="15">
        <f t="shared" si="3"/>
        <v>280</v>
      </c>
      <c r="H18" s="12"/>
      <c r="I18" s="5"/>
      <c r="K18" s="105" t="s">
        <v>20</v>
      </c>
      <c r="L18" t="s">
        <v>67</v>
      </c>
      <c r="M18">
        <v>1</v>
      </c>
      <c r="N18" s="106">
        <v>66.400000000000006</v>
      </c>
      <c r="O18" s="106">
        <f t="shared" si="1"/>
        <v>66.400000000000006</v>
      </c>
      <c r="P18" s="106">
        <v>0</v>
      </c>
      <c r="Q18" s="106">
        <v>10</v>
      </c>
      <c r="R18" s="106">
        <f t="shared" si="2"/>
        <v>6.6400000000000006</v>
      </c>
    </row>
    <row r="19" spans="1:18" x14ac:dyDescent="0.25">
      <c r="A19" s="4"/>
      <c r="B19" s="7">
        <v>16</v>
      </c>
      <c r="C19" s="8" t="s">
        <v>117</v>
      </c>
      <c r="D19" s="9">
        <v>39568</v>
      </c>
      <c r="E19" s="9">
        <v>0</v>
      </c>
      <c r="F19" s="8">
        <v>7</v>
      </c>
      <c r="G19" s="15">
        <f t="shared" si="3"/>
        <v>5652.5714285714284</v>
      </c>
      <c r="H19" s="12"/>
      <c r="I19" s="5"/>
      <c r="K19" s="105" t="s">
        <v>128</v>
      </c>
      <c r="L19" t="s">
        <v>67</v>
      </c>
      <c r="M19">
        <v>1</v>
      </c>
      <c r="N19" s="106">
        <v>299</v>
      </c>
      <c r="O19" s="106">
        <f t="shared" si="1"/>
        <v>299</v>
      </c>
      <c r="P19" s="106">
        <v>0</v>
      </c>
      <c r="Q19" s="106">
        <v>5</v>
      </c>
      <c r="R19" s="106">
        <f t="shared" si="2"/>
        <v>59.8</v>
      </c>
    </row>
    <row r="20" spans="1:18" x14ac:dyDescent="0.25">
      <c r="A20" s="4"/>
      <c r="B20" s="7">
        <v>17</v>
      </c>
      <c r="C20" s="8"/>
      <c r="D20" s="9"/>
      <c r="E20" s="9"/>
      <c r="F20" s="8">
        <v>1</v>
      </c>
      <c r="G20" s="15">
        <f t="shared" si="3"/>
        <v>0</v>
      </c>
      <c r="H20" s="12"/>
      <c r="I20" s="5"/>
      <c r="K20" s="105" t="s">
        <v>22</v>
      </c>
      <c r="L20" t="s">
        <v>67</v>
      </c>
      <c r="M20">
        <v>9</v>
      </c>
      <c r="N20" s="106">
        <v>29.75</v>
      </c>
      <c r="O20" s="106">
        <f t="shared" si="1"/>
        <v>267.75</v>
      </c>
      <c r="P20" s="106">
        <v>0</v>
      </c>
      <c r="Q20" s="106">
        <v>5</v>
      </c>
      <c r="R20" s="106">
        <f t="shared" si="2"/>
        <v>53.55</v>
      </c>
    </row>
    <row r="21" spans="1:18" x14ac:dyDescent="0.25">
      <c r="A21" s="4"/>
      <c r="B21" s="7">
        <v>18</v>
      </c>
      <c r="C21" s="8"/>
      <c r="D21" s="9"/>
      <c r="E21" s="9"/>
      <c r="F21" s="8">
        <v>1</v>
      </c>
      <c r="G21" s="15">
        <f t="shared" si="3"/>
        <v>0</v>
      </c>
      <c r="H21" s="12"/>
      <c r="I21" s="5"/>
      <c r="K21" s="105" t="s">
        <v>23</v>
      </c>
      <c r="L21" t="s">
        <v>67</v>
      </c>
      <c r="M21">
        <v>9</v>
      </c>
      <c r="N21" s="106">
        <v>2571</v>
      </c>
      <c r="O21" s="106">
        <f t="shared" si="1"/>
        <v>23139</v>
      </c>
      <c r="P21" s="106">
        <v>0</v>
      </c>
      <c r="Q21" s="106">
        <v>5</v>
      </c>
      <c r="R21" s="106">
        <f t="shared" si="2"/>
        <v>4627.8</v>
      </c>
    </row>
    <row r="22" spans="1:18" x14ac:dyDescent="0.25">
      <c r="A22" s="4"/>
      <c r="B22" s="7">
        <v>19</v>
      </c>
      <c r="C22" s="8"/>
      <c r="D22" s="9"/>
      <c r="E22" s="9"/>
      <c r="F22" s="8">
        <v>1</v>
      </c>
      <c r="G22" s="15">
        <f t="shared" si="3"/>
        <v>0</v>
      </c>
      <c r="H22" s="12"/>
      <c r="I22" s="5"/>
      <c r="K22" s="105" t="s">
        <v>24</v>
      </c>
      <c r="L22" t="s">
        <v>67</v>
      </c>
      <c r="M22">
        <v>9</v>
      </c>
      <c r="N22" s="106">
        <v>434.28</v>
      </c>
      <c r="O22" s="106">
        <f t="shared" si="1"/>
        <v>3908.5199999999995</v>
      </c>
      <c r="P22" s="106">
        <v>0</v>
      </c>
      <c r="Q22" s="106">
        <v>5</v>
      </c>
      <c r="R22" s="106">
        <f t="shared" si="2"/>
        <v>781.70399999999995</v>
      </c>
    </row>
    <row r="23" spans="1:18" x14ac:dyDescent="0.25">
      <c r="A23" s="4"/>
      <c r="B23" s="7">
        <v>20</v>
      </c>
      <c r="C23" s="8"/>
      <c r="D23" s="9"/>
      <c r="E23" s="9"/>
      <c r="F23" s="8">
        <v>1</v>
      </c>
      <c r="G23" s="15">
        <f t="shared" si="3"/>
        <v>0</v>
      </c>
      <c r="H23" s="12"/>
      <c r="I23" s="5"/>
      <c r="K23" s="105" t="s">
        <v>129</v>
      </c>
      <c r="L23" t="s">
        <v>67</v>
      </c>
      <c r="M23">
        <v>1</v>
      </c>
      <c r="N23" s="106">
        <v>4598</v>
      </c>
      <c r="O23" s="106">
        <f t="shared" si="1"/>
        <v>4598</v>
      </c>
      <c r="P23" s="106">
        <v>0</v>
      </c>
      <c r="Q23" s="106">
        <v>5</v>
      </c>
      <c r="R23" s="106">
        <f t="shared" si="2"/>
        <v>919.6</v>
      </c>
    </row>
    <row r="24" spans="1:18" x14ac:dyDescent="0.25">
      <c r="A24" s="4"/>
      <c r="B24" s="7">
        <v>21</v>
      </c>
      <c r="C24" s="8"/>
      <c r="D24" s="9"/>
      <c r="E24" s="9"/>
      <c r="F24" s="8">
        <v>1</v>
      </c>
      <c r="G24" s="15">
        <f t="shared" si="3"/>
        <v>0</v>
      </c>
      <c r="H24" s="12"/>
      <c r="I24" s="5"/>
      <c r="K24" s="105" t="s">
        <v>130</v>
      </c>
      <c r="L24" t="s">
        <v>67</v>
      </c>
      <c r="M24">
        <v>2</v>
      </c>
      <c r="N24" s="106">
        <v>699.99</v>
      </c>
      <c r="O24" s="106">
        <f t="shared" si="1"/>
        <v>1399.98</v>
      </c>
      <c r="P24" s="106">
        <v>0</v>
      </c>
      <c r="Q24" s="106">
        <v>5</v>
      </c>
      <c r="R24" s="106">
        <f t="shared" si="2"/>
        <v>279.99599999999998</v>
      </c>
    </row>
    <row r="25" spans="1:18" x14ac:dyDescent="0.25">
      <c r="A25" s="4"/>
      <c r="B25" s="7">
        <v>22</v>
      </c>
      <c r="C25" s="8"/>
      <c r="D25" s="9"/>
      <c r="E25" s="9"/>
      <c r="F25" s="8">
        <v>1</v>
      </c>
      <c r="G25" s="15">
        <f t="shared" si="3"/>
        <v>0</v>
      </c>
      <c r="H25" s="12"/>
      <c r="I25" s="5"/>
      <c r="K25" s="105" t="s">
        <v>117</v>
      </c>
      <c r="L25" t="s">
        <v>67</v>
      </c>
      <c r="M25">
        <v>1</v>
      </c>
      <c r="N25" s="106">
        <v>39568</v>
      </c>
      <c r="O25" s="106">
        <f t="shared" si="1"/>
        <v>39568</v>
      </c>
      <c r="P25" s="106">
        <v>18000</v>
      </c>
      <c r="Q25" s="106">
        <v>7</v>
      </c>
      <c r="R25" s="106">
        <f t="shared" si="2"/>
        <v>3081.1428571428573</v>
      </c>
    </row>
    <row r="26" spans="1:18" x14ac:dyDescent="0.25">
      <c r="A26" s="4"/>
      <c r="B26" s="7"/>
      <c r="C26" s="8"/>
      <c r="D26" s="9"/>
      <c r="E26" s="9"/>
      <c r="F26" s="8"/>
      <c r="G26" s="15"/>
      <c r="H26" s="12"/>
      <c r="I26" s="5"/>
      <c r="K26" s="105" t="s">
        <v>133</v>
      </c>
      <c r="L26" t="s">
        <v>81</v>
      </c>
      <c r="M26">
        <v>1</v>
      </c>
      <c r="N26" s="106">
        <v>250000</v>
      </c>
      <c r="O26" s="106">
        <f t="shared" si="1"/>
        <v>250000</v>
      </c>
      <c r="P26" s="106">
        <v>0</v>
      </c>
      <c r="Q26" s="106">
        <v>5</v>
      </c>
      <c r="R26" s="106">
        <f t="shared" si="2"/>
        <v>50000</v>
      </c>
    </row>
    <row r="27" spans="1:18" x14ac:dyDescent="0.25">
      <c r="A27" s="4"/>
      <c r="B27" s="7">
        <v>23</v>
      </c>
      <c r="C27" s="8"/>
      <c r="D27" s="9"/>
      <c r="E27" s="9"/>
      <c r="F27" s="8">
        <v>1</v>
      </c>
      <c r="G27" s="15">
        <f t="shared" si="3"/>
        <v>0</v>
      </c>
      <c r="H27" s="12"/>
      <c r="I27" s="5"/>
      <c r="N27" t="s">
        <v>131</v>
      </c>
      <c r="O27" s="138">
        <f>SUM(O8:O25,O26)</f>
        <v>335989.45</v>
      </c>
      <c r="Q27" t="s">
        <v>132</v>
      </c>
      <c r="R27" s="138">
        <f>SUM(R8:R26)</f>
        <v>61152.30333333333</v>
      </c>
    </row>
    <row r="28" spans="1:18" x14ac:dyDescent="0.25">
      <c r="A28" s="4"/>
      <c r="B28" s="7">
        <v>24</v>
      </c>
      <c r="C28" s="8"/>
      <c r="D28" s="9"/>
      <c r="E28" s="9"/>
      <c r="F28" s="8">
        <v>1</v>
      </c>
      <c r="G28" s="15">
        <f t="shared" si="3"/>
        <v>0</v>
      </c>
      <c r="H28" s="12"/>
      <c r="I28" s="5"/>
    </row>
    <row r="29" spans="1:18" x14ac:dyDescent="0.25">
      <c r="A29" s="4"/>
      <c r="B29" s="7">
        <v>25</v>
      </c>
      <c r="C29" s="8"/>
      <c r="D29" s="9"/>
      <c r="E29" s="9"/>
      <c r="F29" s="8">
        <v>1</v>
      </c>
      <c r="G29" s="15">
        <f t="shared" si="3"/>
        <v>0</v>
      </c>
      <c r="H29" s="12"/>
      <c r="I29" s="5"/>
    </row>
    <row r="30" spans="1:18" x14ac:dyDescent="0.25">
      <c r="A30" s="4"/>
      <c r="B30" s="7">
        <v>26</v>
      </c>
      <c r="C30" s="8"/>
      <c r="D30" s="9"/>
      <c r="E30" s="9"/>
      <c r="F30" s="8">
        <v>1</v>
      </c>
      <c r="G30" s="15">
        <f t="shared" si="3"/>
        <v>0</v>
      </c>
      <c r="H30" s="12"/>
      <c r="I30" s="5"/>
    </row>
    <row r="31" spans="1:18" x14ac:dyDescent="0.25">
      <c r="A31" s="4"/>
      <c r="B31" s="7">
        <v>27</v>
      </c>
      <c r="C31" s="8"/>
      <c r="D31" s="9"/>
      <c r="E31" s="9"/>
      <c r="F31" s="8">
        <v>1</v>
      </c>
      <c r="G31" s="15">
        <f t="shared" si="3"/>
        <v>0</v>
      </c>
      <c r="H31" s="12"/>
      <c r="I31" s="5"/>
    </row>
    <row r="32" spans="1:18" ht="15.75" thickBot="1" x14ac:dyDescent="0.3">
      <c r="A32" s="4"/>
      <c r="B32" s="16" t="s">
        <v>7</v>
      </c>
      <c r="C32" s="14"/>
      <c r="D32" s="17">
        <f>SUM(D4:D19)</f>
        <v>94592.2</v>
      </c>
      <c r="E32" s="18"/>
      <c r="F32" s="14">
        <v>1</v>
      </c>
      <c r="G32" s="18">
        <f>SUM(G4:G31)</f>
        <v>15629.601904761905</v>
      </c>
      <c r="H32" s="13"/>
      <c r="I32" s="5"/>
    </row>
    <row r="33" spans="1:5" ht="15.75" thickTop="1" x14ac:dyDescent="0.25">
      <c r="A33" s="1"/>
      <c r="B33" s="1"/>
      <c r="C33" s="1"/>
      <c r="D33" s="1"/>
    </row>
    <row r="34" spans="1:5" x14ac:dyDescent="0.25">
      <c r="A34" s="1"/>
      <c r="B34" s="1"/>
      <c r="C34" s="1"/>
      <c r="D34" s="1"/>
      <c r="E34" s="1"/>
    </row>
  </sheetData>
  <mergeCells count="2">
    <mergeCell ref="B2:H2"/>
    <mergeCell ref="K7:R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5C9F7-4885-4E1E-BFDA-79DA28C99CA6}">
  <dimension ref="A7:J108"/>
  <sheetViews>
    <sheetView showGridLines="0" topLeftCell="A91" workbookViewId="0">
      <selection activeCell="E86" sqref="E86"/>
    </sheetView>
  </sheetViews>
  <sheetFormatPr defaultRowHeight="15" x14ac:dyDescent="0.25"/>
  <cols>
    <col min="2" max="2" width="43.28515625" bestFit="1" customWidth="1"/>
    <col min="3" max="3" width="11.42578125" bestFit="1" customWidth="1"/>
    <col min="4" max="4" width="9.85546875" bestFit="1" customWidth="1"/>
    <col min="5" max="5" width="11.7109375" style="106" bestFit="1" customWidth="1"/>
    <col min="6" max="6" width="12" style="106" bestFit="1" customWidth="1"/>
    <col min="9" max="9" width="28.5703125" bestFit="1" customWidth="1"/>
  </cols>
  <sheetData>
    <row r="7" spans="2:10" ht="15.75" thickBot="1" x14ac:dyDescent="0.3"/>
    <row r="8" spans="2:10" ht="16.5" thickTop="1" thickBot="1" x14ac:dyDescent="0.3">
      <c r="B8" s="181" t="s">
        <v>69</v>
      </c>
      <c r="C8" s="182"/>
      <c r="D8" s="182"/>
      <c r="E8" s="182"/>
      <c r="F8" s="183"/>
    </row>
    <row r="9" spans="2:10" ht="15.75" thickTop="1" x14ac:dyDescent="0.25">
      <c r="B9" s="78" t="s">
        <v>68</v>
      </c>
      <c r="C9" s="79" t="s">
        <v>67</v>
      </c>
      <c r="D9" s="80" t="s">
        <v>66</v>
      </c>
      <c r="E9" s="139" t="s">
        <v>65</v>
      </c>
      <c r="F9" s="153" t="s">
        <v>64</v>
      </c>
    </row>
    <row r="10" spans="2:10" x14ac:dyDescent="0.25">
      <c r="B10" s="83"/>
      <c r="C10" s="84"/>
      <c r="D10" s="85" t="s">
        <v>63</v>
      </c>
      <c r="E10" s="140" t="s">
        <v>62</v>
      </c>
      <c r="F10" s="154" t="s">
        <v>62</v>
      </c>
    </row>
    <row r="11" spans="2:10" x14ac:dyDescent="0.25">
      <c r="B11" s="31" t="s">
        <v>61</v>
      </c>
      <c r="C11" s="30"/>
      <c r="D11" s="29"/>
      <c r="E11" s="141"/>
      <c r="F11" s="155"/>
    </row>
    <row r="12" spans="2:10" x14ac:dyDescent="0.25">
      <c r="B12" s="33" t="s">
        <v>60</v>
      </c>
      <c r="C12" s="27"/>
      <c r="D12" s="20"/>
      <c r="E12" s="142"/>
      <c r="F12" s="156"/>
      <c r="J12" t="s">
        <v>26</v>
      </c>
    </row>
    <row r="13" spans="2:10" x14ac:dyDescent="0.25">
      <c r="B13" s="35" t="s">
        <v>70</v>
      </c>
      <c r="C13" s="27"/>
      <c r="D13" s="20"/>
      <c r="E13" s="142"/>
      <c r="F13" s="156"/>
    </row>
    <row r="14" spans="2:10" x14ac:dyDescent="0.25">
      <c r="B14" s="33" t="s">
        <v>71</v>
      </c>
      <c r="C14" s="23"/>
      <c r="D14" s="20"/>
      <c r="E14" s="142"/>
      <c r="F14" s="156">
        <f>+D14*E14</f>
        <v>0</v>
      </c>
    </row>
    <row r="15" spans="2:10" x14ac:dyDescent="0.25">
      <c r="B15" s="33" t="s">
        <v>72</v>
      </c>
      <c r="C15" s="23" t="s">
        <v>82</v>
      </c>
      <c r="D15" s="20">
        <v>12</v>
      </c>
      <c r="E15" s="142">
        <v>3500</v>
      </c>
      <c r="F15" s="156">
        <f>E15*D15</f>
        <v>42000</v>
      </c>
    </row>
    <row r="16" spans="2:10" x14ac:dyDescent="0.25">
      <c r="B16" s="33" t="s">
        <v>73</v>
      </c>
      <c r="C16" s="23" t="s">
        <v>82</v>
      </c>
      <c r="D16" s="20">
        <v>12</v>
      </c>
      <c r="E16" s="142">
        <v>3500</v>
      </c>
      <c r="F16" s="156">
        <f t="shared" ref="F16:F25" si="0">E16*D16</f>
        <v>42000</v>
      </c>
    </row>
    <row r="17" spans="2:6" x14ac:dyDescent="0.25">
      <c r="B17" s="33" t="s">
        <v>74</v>
      </c>
      <c r="C17" s="23" t="s">
        <v>82</v>
      </c>
      <c r="D17" s="20">
        <v>12</v>
      </c>
      <c r="E17" s="142">
        <v>3500</v>
      </c>
      <c r="F17" s="156">
        <f t="shared" si="0"/>
        <v>42000</v>
      </c>
    </row>
    <row r="18" spans="2:6" x14ac:dyDescent="0.25">
      <c r="B18" s="33" t="s">
        <v>77</v>
      </c>
      <c r="C18" s="23" t="s">
        <v>82</v>
      </c>
      <c r="D18" s="20">
        <v>12</v>
      </c>
      <c r="E18" s="142">
        <v>1200</v>
      </c>
      <c r="F18" s="156">
        <f t="shared" si="0"/>
        <v>14400</v>
      </c>
    </row>
    <row r="19" spans="2:6" x14ac:dyDescent="0.25">
      <c r="B19" s="33" t="s">
        <v>75</v>
      </c>
      <c r="C19" s="23" t="s">
        <v>82</v>
      </c>
      <c r="D19" s="20">
        <v>12</v>
      </c>
      <c r="E19" s="142">
        <f>$E$17</f>
        <v>3500</v>
      </c>
      <c r="F19" s="156">
        <f t="shared" si="0"/>
        <v>42000</v>
      </c>
    </row>
    <row r="20" spans="2:6" x14ac:dyDescent="0.25">
      <c r="B20" s="33" t="s">
        <v>78</v>
      </c>
      <c r="C20" s="23" t="s">
        <v>82</v>
      </c>
      <c r="D20" s="20">
        <v>12</v>
      </c>
      <c r="E20" s="142">
        <v>1200</v>
      </c>
      <c r="F20" s="156">
        <f t="shared" si="0"/>
        <v>14400</v>
      </c>
    </row>
    <row r="21" spans="2:6" x14ac:dyDescent="0.25">
      <c r="B21" s="94" t="s">
        <v>76</v>
      </c>
      <c r="C21" s="23" t="s">
        <v>82</v>
      </c>
      <c r="D21" s="20">
        <v>12</v>
      </c>
      <c r="E21" s="142">
        <v>2700</v>
      </c>
      <c r="F21" s="156">
        <f t="shared" si="0"/>
        <v>32400</v>
      </c>
    </row>
    <row r="22" spans="2:6" x14ac:dyDescent="0.25">
      <c r="B22" s="94" t="s">
        <v>80</v>
      </c>
      <c r="C22" s="23" t="s">
        <v>81</v>
      </c>
      <c r="D22" s="20">
        <v>1</v>
      </c>
      <c r="E22" s="142">
        <f>SUM($F$15:$F$21,$F$25,$F$24)</f>
        <v>273576</v>
      </c>
      <c r="F22" s="156">
        <f t="shared" si="0"/>
        <v>273576</v>
      </c>
    </row>
    <row r="23" spans="2:6" x14ac:dyDescent="0.25">
      <c r="B23" s="61" t="s">
        <v>59</v>
      </c>
      <c r="C23" s="23"/>
      <c r="D23" s="20"/>
      <c r="E23" s="142"/>
      <c r="F23" s="156">
        <f t="shared" si="0"/>
        <v>0</v>
      </c>
    </row>
    <row r="24" spans="2:6" x14ac:dyDescent="0.25">
      <c r="B24" s="61" t="s">
        <v>79</v>
      </c>
      <c r="C24" s="23" t="s">
        <v>82</v>
      </c>
      <c r="D24" s="20">
        <v>12</v>
      </c>
      <c r="E24" s="142">
        <v>1173</v>
      </c>
      <c r="F24" s="156">
        <f t="shared" si="0"/>
        <v>14076</v>
      </c>
    </row>
    <row r="25" spans="2:6" x14ac:dyDescent="0.25">
      <c r="B25" s="33" t="s">
        <v>83</v>
      </c>
      <c r="C25" s="23" t="s">
        <v>82</v>
      </c>
      <c r="D25" s="20">
        <v>12</v>
      </c>
      <c r="E25" s="142">
        <v>2525</v>
      </c>
      <c r="F25" s="156">
        <f t="shared" si="0"/>
        <v>30300</v>
      </c>
    </row>
    <row r="26" spans="2:6" x14ac:dyDescent="0.25">
      <c r="B26" s="36" t="s">
        <v>45</v>
      </c>
      <c r="C26" s="23"/>
      <c r="D26" s="20"/>
      <c r="E26" s="142"/>
      <c r="F26" s="156">
        <f>SUM(F15:F22,F24:F25)</f>
        <v>547152</v>
      </c>
    </row>
    <row r="27" spans="2:6" x14ac:dyDescent="0.25">
      <c r="B27" s="37" t="s">
        <v>100</v>
      </c>
      <c r="C27" s="23"/>
      <c r="D27" s="20"/>
      <c r="E27" s="142"/>
      <c r="F27" s="156"/>
    </row>
    <row r="28" spans="2:6" x14ac:dyDescent="0.25">
      <c r="B28" s="33" t="s">
        <v>92</v>
      </c>
      <c r="C28" s="23" t="s">
        <v>104</v>
      </c>
      <c r="D28" s="20">
        <v>4</v>
      </c>
      <c r="E28" s="142">
        <v>41.3</v>
      </c>
      <c r="F28" s="156">
        <f>D28*E28</f>
        <v>165.2</v>
      </c>
    </row>
    <row r="29" spans="2:6" x14ac:dyDescent="0.25">
      <c r="B29" s="33" t="s">
        <v>93</v>
      </c>
      <c r="C29" s="23" t="s">
        <v>104</v>
      </c>
      <c r="D29" s="20">
        <v>4</v>
      </c>
      <c r="E29" s="142">
        <v>29.9</v>
      </c>
      <c r="F29" s="156">
        <f t="shared" ref="F29:F35" si="1">D29*E29</f>
        <v>119.6</v>
      </c>
    </row>
    <row r="30" spans="2:6" x14ac:dyDescent="0.25">
      <c r="B30" s="33" t="s">
        <v>94</v>
      </c>
      <c r="C30" s="23" t="s">
        <v>104</v>
      </c>
      <c r="D30" s="20">
        <v>2</v>
      </c>
      <c r="E30" s="142">
        <v>7</v>
      </c>
      <c r="F30" s="156">
        <f t="shared" si="1"/>
        <v>14</v>
      </c>
    </row>
    <row r="31" spans="2:6" x14ac:dyDescent="0.25">
      <c r="B31" s="33" t="s">
        <v>95</v>
      </c>
      <c r="C31" s="23" t="s">
        <v>104</v>
      </c>
      <c r="D31" s="20">
        <v>4</v>
      </c>
      <c r="E31" s="142">
        <v>6.8</v>
      </c>
      <c r="F31" s="156">
        <f t="shared" si="1"/>
        <v>27.2</v>
      </c>
    </row>
    <row r="32" spans="2:6" x14ac:dyDescent="0.25">
      <c r="B32" s="33" t="s">
        <v>96</v>
      </c>
      <c r="C32" s="23" t="s">
        <v>104</v>
      </c>
      <c r="D32" s="20">
        <v>5</v>
      </c>
      <c r="E32" s="142">
        <v>6</v>
      </c>
      <c r="F32" s="156">
        <f t="shared" si="1"/>
        <v>30</v>
      </c>
    </row>
    <row r="33" spans="2:6" x14ac:dyDescent="0.25">
      <c r="B33" s="33" t="s">
        <v>97</v>
      </c>
      <c r="C33" s="23" t="s">
        <v>67</v>
      </c>
      <c r="D33" s="20">
        <v>50</v>
      </c>
      <c r="E33" s="142">
        <v>21.9</v>
      </c>
      <c r="F33" s="156">
        <f t="shared" si="1"/>
        <v>1095</v>
      </c>
    </row>
    <row r="34" spans="2:6" x14ac:dyDescent="0.25">
      <c r="B34" s="33" t="s">
        <v>98</v>
      </c>
      <c r="C34" s="23" t="s">
        <v>104</v>
      </c>
      <c r="D34" s="20">
        <v>1</v>
      </c>
      <c r="E34" s="142">
        <v>16.899999999999999</v>
      </c>
      <c r="F34" s="156">
        <f t="shared" si="1"/>
        <v>16.899999999999999</v>
      </c>
    </row>
    <row r="35" spans="2:6" x14ac:dyDescent="0.25">
      <c r="B35" s="33" t="s">
        <v>99</v>
      </c>
      <c r="C35" s="23" t="s">
        <v>67</v>
      </c>
      <c r="D35" s="20">
        <v>4</v>
      </c>
      <c r="E35" s="142">
        <v>30.9</v>
      </c>
      <c r="F35" s="156">
        <f t="shared" si="1"/>
        <v>123.6</v>
      </c>
    </row>
    <row r="36" spans="2:6" x14ac:dyDescent="0.25">
      <c r="B36" s="96" t="s">
        <v>45</v>
      </c>
      <c r="C36" s="23"/>
      <c r="D36" s="20"/>
      <c r="E36" s="142"/>
      <c r="F36" s="156">
        <f>SUM(F28:F35)</f>
        <v>1591.5</v>
      </c>
    </row>
    <row r="37" spans="2:6" x14ac:dyDescent="0.25">
      <c r="B37" s="95" t="s">
        <v>101</v>
      </c>
      <c r="C37" s="23"/>
      <c r="D37" s="20"/>
      <c r="E37" s="142"/>
      <c r="F37" s="156">
        <f t="shared" ref="F37:F50" si="2">$D37*$E37</f>
        <v>0</v>
      </c>
    </row>
    <row r="38" spans="2:6" x14ac:dyDescent="0.25">
      <c r="B38" s="97" t="s">
        <v>84</v>
      </c>
      <c r="C38" s="23" t="s">
        <v>105</v>
      </c>
      <c r="D38" s="20">
        <v>6</v>
      </c>
      <c r="E38" s="142">
        <v>49</v>
      </c>
      <c r="F38" s="156">
        <f>D38*E38</f>
        <v>294</v>
      </c>
    </row>
    <row r="39" spans="2:6" x14ac:dyDescent="0.25">
      <c r="B39" s="97" t="s">
        <v>85</v>
      </c>
      <c r="C39" s="23" t="s">
        <v>105</v>
      </c>
      <c r="D39" s="20">
        <v>6</v>
      </c>
      <c r="E39" s="142">
        <v>59.9</v>
      </c>
      <c r="F39" s="156">
        <f t="shared" ref="F39:F45" si="3">D39*E39</f>
        <v>359.4</v>
      </c>
    </row>
    <row r="40" spans="2:6" x14ac:dyDescent="0.25">
      <c r="B40" s="97" t="s">
        <v>86</v>
      </c>
      <c r="C40" s="23" t="s">
        <v>104</v>
      </c>
      <c r="D40" s="20">
        <v>30</v>
      </c>
      <c r="E40" s="142">
        <v>11.76</v>
      </c>
      <c r="F40" s="156">
        <f t="shared" si="3"/>
        <v>352.8</v>
      </c>
    </row>
    <row r="41" spans="2:6" x14ac:dyDescent="0.25">
      <c r="B41" s="97" t="s">
        <v>87</v>
      </c>
      <c r="C41" s="23" t="s">
        <v>67</v>
      </c>
      <c r="D41" s="20">
        <v>12</v>
      </c>
      <c r="E41" s="142">
        <v>14</v>
      </c>
      <c r="F41" s="156">
        <f t="shared" si="3"/>
        <v>168</v>
      </c>
    </row>
    <row r="42" spans="2:6" x14ac:dyDescent="0.25">
      <c r="B42" s="97" t="s">
        <v>88</v>
      </c>
      <c r="C42" s="23" t="s">
        <v>67</v>
      </c>
      <c r="D42" s="20">
        <v>3</v>
      </c>
      <c r="E42" s="142">
        <v>20</v>
      </c>
      <c r="F42" s="156">
        <f t="shared" si="3"/>
        <v>60</v>
      </c>
    </row>
    <row r="43" spans="2:6" x14ac:dyDescent="0.25">
      <c r="B43" s="97" t="s">
        <v>89</v>
      </c>
      <c r="C43" s="23" t="s">
        <v>67</v>
      </c>
      <c r="D43" s="20">
        <v>3</v>
      </c>
      <c r="E43" s="142">
        <v>17.899999999999999</v>
      </c>
      <c r="F43" s="156">
        <f t="shared" si="3"/>
        <v>53.699999999999996</v>
      </c>
    </row>
    <row r="44" spans="2:6" x14ac:dyDescent="0.25">
      <c r="B44" s="97" t="s">
        <v>90</v>
      </c>
      <c r="C44" s="23" t="s">
        <v>67</v>
      </c>
      <c r="D44" s="20">
        <v>4</v>
      </c>
      <c r="E44" s="142">
        <v>15</v>
      </c>
      <c r="F44" s="156">
        <f t="shared" si="3"/>
        <v>60</v>
      </c>
    </row>
    <row r="45" spans="2:6" x14ac:dyDescent="0.25">
      <c r="B45" s="97" t="s">
        <v>91</v>
      </c>
      <c r="C45" s="23" t="s">
        <v>67</v>
      </c>
      <c r="D45" s="20">
        <v>48</v>
      </c>
      <c r="E45" s="142">
        <v>4.99</v>
      </c>
      <c r="F45" s="156">
        <f t="shared" si="3"/>
        <v>239.52</v>
      </c>
    </row>
    <row r="46" spans="2:6" x14ac:dyDescent="0.25">
      <c r="B46" s="103" t="s">
        <v>45</v>
      </c>
      <c r="C46" s="23"/>
      <c r="D46" s="20"/>
      <c r="E46" s="142"/>
      <c r="F46" s="156">
        <f>SUM(F38:F45)</f>
        <v>1587.42</v>
      </c>
    </row>
    <row r="47" spans="2:6" x14ac:dyDescent="0.25">
      <c r="B47" s="98" t="s">
        <v>102</v>
      </c>
      <c r="C47" s="23"/>
      <c r="D47" s="20"/>
      <c r="E47" s="142"/>
      <c r="F47" s="156">
        <f t="shared" si="2"/>
        <v>0</v>
      </c>
    </row>
    <row r="48" spans="2:6" x14ac:dyDescent="0.25">
      <c r="B48" s="97" t="s">
        <v>103</v>
      </c>
      <c r="C48" s="23" t="s">
        <v>106</v>
      </c>
      <c r="D48" s="20">
        <v>1</v>
      </c>
      <c r="E48" s="142">
        <v>567</v>
      </c>
      <c r="F48" s="156">
        <f>D48*E48</f>
        <v>567</v>
      </c>
    </row>
    <row r="49" spans="2:7" x14ac:dyDescent="0.25">
      <c r="B49" s="36" t="s">
        <v>45</v>
      </c>
      <c r="C49" s="23"/>
      <c r="D49" s="20"/>
      <c r="E49" s="142"/>
      <c r="F49" s="156">
        <f>F48</f>
        <v>567</v>
      </c>
    </row>
    <row r="50" spans="2:7" x14ac:dyDescent="0.25">
      <c r="B50" s="35" t="s">
        <v>107</v>
      </c>
      <c r="C50" s="23"/>
      <c r="D50" s="20"/>
      <c r="E50" s="142"/>
      <c r="F50" s="156">
        <f t="shared" si="2"/>
        <v>0</v>
      </c>
    </row>
    <row r="51" spans="2:7" x14ac:dyDescent="0.25">
      <c r="B51" s="33" t="s">
        <v>108</v>
      </c>
      <c r="C51" s="23" t="s">
        <v>82</v>
      </c>
      <c r="D51" s="20">
        <v>12</v>
      </c>
      <c r="E51" s="142">
        <v>5503.8</v>
      </c>
      <c r="F51" s="156">
        <f>D51*E51</f>
        <v>66045.600000000006</v>
      </c>
    </row>
    <row r="52" spans="2:7" x14ac:dyDescent="0.25">
      <c r="B52" s="33" t="s">
        <v>109</v>
      </c>
      <c r="C52" s="23" t="s">
        <v>137</v>
      </c>
      <c r="D52" s="20">
        <v>12</v>
      </c>
      <c r="E52" s="142">
        <v>1001.77</v>
      </c>
      <c r="F52" s="156">
        <f t="shared" ref="F52:F55" si="4">D52*E52</f>
        <v>12021.24</v>
      </c>
    </row>
    <row r="53" spans="2:7" x14ac:dyDescent="0.25">
      <c r="B53" s="33" t="s">
        <v>110</v>
      </c>
      <c r="C53" s="23" t="s">
        <v>138</v>
      </c>
      <c r="D53" s="20">
        <v>12</v>
      </c>
      <c r="E53" s="142">
        <v>140.18</v>
      </c>
      <c r="F53" s="156">
        <f t="shared" si="4"/>
        <v>1682.16</v>
      </c>
    </row>
    <row r="54" spans="2:7" x14ac:dyDescent="0.25">
      <c r="B54" s="33" t="s">
        <v>111</v>
      </c>
      <c r="C54" s="23" t="s">
        <v>114</v>
      </c>
      <c r="D54" s="20">
        <v>32140</v>
      </c>
      <c r="E54" s="142">
        <v>4.38</v>
      </c>
      <c r="F54" s="156">
        <f t="shared" si="4"/>
        <v>140773.19999999998</v>
      </c>
    </row>
    <row r="55" spans="2:7" x14ac:dyDescent="0.25">
      <c r="B55" s="100" t="s">
        <v>113</v>
      </c>
      <c r="C55" s="23" t="s">
        <v>82</v>
      </c>
      <c r="D55" s="20">
        <v>12</v>
      </c>
      <c r="E55" s="142">
        <v>250</v>
      </c>
      <c r="F55" s="156">
        <f t="shared" si="4"/>
        <v>3000</v>
      </c>
    </row>
    <row r="56" spans="2:7" x14ac:dyDescent="0.25">
      <c r="B56" s="102" t="s">
        <v>45</v>
      </c>
      <c r="C56" s="23"/>
      <c r="D56" s="20"/>
      <c r="E56" s="142"/>
      <c r="F56" s="156">
        <f>SUM(F51:F55)</f>
        <v>223522.2</v>
      </c>
    </row>
    <row r="57" spans="2:7" x14ac:dyDescent="0.25">
      <c r="B57" s="99" t="s">
        <v>135</v>
      </c>
      <c r="C57" s="23"/>
      <c r="D57" s="20"/>
      <c r="E57" s="142"/>
      <c r="F57" s="156"/>
    </row>
    <row r="58" spans="2:7" x14ac:dyDescent="0.25">
      <c r="B58" s="100" t="s">
        <v>136</v>
      </c>
      <c r="C58" s="23" t="s">
        <v>81</v>
      </c>
      <c r="D58" s="20">
        <v>8</v>
      </c>
      <c r="E58" s="142">
        <v>120000</v>
      </c>
      <c r="F58" s="156">
        <f>D58*E58</f>
        <v>960000</v>
      </c>
    </row>
    <row r="59" spans="2:7" x14ac:dyDescent="0.25">
      <c r="B59" s="100" t="s">
        <v>140</v>
      </c>
      <c r="C59" s="23" t="s">
        <v>81</v>
      </c>
      <c r="D59" s="20">
        <v>8</v>
      </c>
      <c r="E59" s="142">
        <v>100000</v>
      </c>
      <c r="F59" s="156">
        <f>D59*E59</f>
        <v>800000</v>
      </c>
    </row>
    <row r="60" spans="2:7" x14ac:dyDescent="0.25">
      <c r="B60" s="102" t="s">
        <v>45</v>
      </c>
      <c r="C60" s="23"/>
      <c r="D60" s="20"/>
      <c r="E60" s="142">
        <f>SUM($E$58:$E$59)</f>
        <v>220000</v>
      </c>
      <c r="F60" s="156">
        <f>SUM(F58,F59)</f>
        <v>1760000</v>
      </c>
    </row>
    <row r="61" spans="2:7" x14ac:dyDescent="0.25">
      <c r="B61" s="101" t="s">
        <v>134</v>
      </c>
      <c r="C61" s="23"/>
      <c r="D61" s="20"/>
      <c r="E61" s="142"/>
      <c r="F61" s="156"/>
    </row>
    <row r="62" spans="2:7" x14ac:dyDescent="0.25">
      <c r="B62" s="97" t="s">
        <v>116</v>
      </c>
      <c r="C62" s="23" t="s">
        <v>81</v>
      </c>
      <c r="D62" s="20">
        <v>1</v>
      </c>
      <c r="E62" s="142">
        <f>F88</f>
        <v>4425216</v>
      </c>
      <c r="F62" s="156">
        <f>E62*0.05</f>
        <v>221260.80000000002</v>
      </c>
    </row>
    <row r="63" spans="2:7" x14ac:dyDescent="0.25">
      <c r="B63" s="97" t="s">
        <v>112</v>
      </c>
      <c r="C63" s="23" t="s">
        <v>81</v>
      </c>
      <c r="D63" s="20">
        <v>1</v>
      </c>
      <c r="E63" s="142">
        <v>1200</v>
      </c>
      <c r="F63" s="156">
        <f>D63*E63</f>
        <v>1200</v>
      </c>
      <c r="G63">
        <v>316800</v>
      </c>
    </row>
    <row r="64" spans="2:7" x14ac:dyDescent="0.25">
      <c r="B64" s="97" t="s">
        <v>139</v>
      </c>
      <c r="C64" s="23" t="s">
        <v>81</v>
      </c>
      <c r="D64" s="109">
        <v>0.18</v>
      </c>
      <c r="E64" s="142">
        <f>$E$60*8</f>
        <v>1760000</v>
      </c>
      <c r="F64" s="156">
        <f>E64*D64</f>
        <v>316800</v>
      </c>
    </row>
    <row r="65" spans="1:6" x14ac:dyDescent="0.25">
      <c r="B65" s="36" t="s">
        <v>115</v>
      </c>
      <c r="C65" s="23" t="s">
        <v>81</v>
      </c>
      <c r="D65" s="20">
        <v>1</v>
      </c>
      <c r="E65" s="142">
        <v>5000</v>
      </c>
      <c r="F65" s="156">
        <f>D65*E65</f>
        <v>5000</v>
      </c>
    </row>
    <row r="66" spans="1:6" ht="15.75" thickBot="1" x14ac:dyDescent="0.3">
      <c r="B66" s="36" t="s">
        <v>45</v>
      </c>
      <c r="C66" s="23"/>
      <c r="D66" s="20"/>
      <c r="E66" s="142"/>
      <c r="F66" s="156">
        <f>SUM(F62:F65)</f>
        <v>544260.80000000005</v>
      </c>
    </row>
    <row r="67" spans="1:6" ht="16.5" thickTop="1" thickBot="1" x14ac:dyDescent="0.3">
      <c r="B67" s="73" t="s">
        <v>58</v>
      </c>
      <c r="C67" s="74" t="s">
        <v>29</v>
      </c>
      <c r="D67" s="75"/>
      <c r="E67" s="143"/>
      <c r="F67" s="157">
        <f>SUM(F26,F36,F46,F49,F56,F66,F60)</f>
        <v>3078680.92</v>
      </c>
    </row>
    <row r="68" spans="1:6" ht="16.5" thickTop="1" thickBot="1" x14ac:dyDescent="0.3">
      <c r="B68" s="184"/>
      <c r="C68" s="185"/>
      <c r="D68" s="185"/>
      <c r="E68" s="185"/>
      <c r="F68" s="186"/>
    </row>
    <row r="69" spans="1:6" ht="15.75" thickTop="1" x14ac:dyDescent="0.25">
      <c r="B69" s="59" t="s">
        <v>57</v>
      </c>
      <c r="C69" s="23"/>
      <c r="D69" s="20"/>
      <c r="E69" s="142"/>
      <c r="F69" s="156"/>
    </row>
    <row r="70" spans="1:6" x14ac:dyDescent="0.25">
      <c r="B70" s="59" t="s">
        <v>56</v>
      </c>
      <c r="C70" s="23" t="s">
        <v>29</v>
      </c>
      <c r="D70" s="20"/>
      <c r="E70" s="142"/>
      <c r="F70" s="156">
        <f>F67</f>
        <v>3078680.92</v>
      </c>
    </row>
    <row r="71" spans="1:6" x14ac:dyDescent="0.25">
      <c r="A71" s="3"/>
      <c r="B71" s="59" t="s">
        <v>55</v>
      </c>
      <c r="C71" s="23"/>
      <c r="D71" s="22">
        <v>1</v>
      </c>
      <c r="E71" s="142">
        <f>INVESTIMENTOS!$R$27</f>
        <v>61152.30333333333</v>
      </c>
      <c r="F71" s="156">
        <f>D71*E71</f>
        <v>61152.30333333333</v>
      </c>
    </row>
    <row r="72" spans="1:6" ht="15.75" thickBot="1" x14ac:dyDescent="0.3">
      <c r="A72" s="3"/>
      <c r="B72" s="60" t="s">
        <v>54</v>
      </c>
      <c r="C72" s="39" t="s">
        <v>29</v>
      </c>
      <c r="D72" s="41">
        <v>12</v>
      </c>
      <c r="E72" s="144">
        <v>6000</v>
      </c>
      <c r="F72" s="158">
        <f>+D72*E72</f>
        <v>72000</v>
      </c>
    </row>
    <row r="73" spans="1:6" ht="16.5" thickTop="1" thickBot="1" x14ac:dyDescent="0.3">
      <c r="A73" s="3"/>
      <c r="B73" s="72" t="s">
        <v>53</v>
      </c>
      <c r="C73" s="68" t="s">
        <v>29</v>
      </c>
      <c r="D73" s="69"/>
      <c r="E73" s="145"/>
      <c r="F73" s="159">
        <f>SUM(F70:F72)</f>
        <v>3211833.2233333332</v>
      </c>
    </row>
    <row r="74" spans="1:6" ht="16.5" thickTop="1" thickBot="1" x14ac:dyDescent="0.3">
      <c r="A74" s="3"/>
      <c r="B74" s="185"/>
      <c r="C74" s="185"/>
      <c r="D74" s="185"/>
      <c r="E74" s="185"/>
      <c r="F74" s="186"/>
    </row>
    <row r="75" spans="1:6" ht="15.75" thickTop="1" x14ac:dyDescent="0.25">
      <c r="A75" s="3"/>
      <c r="B75" s="59" t="s">
        <v>52</v>
      </c>
      <c r="C75" s="23"/>
      <c r="D75" s="20"/>
      <c r="E75" s="142"/>
      <c r="F75" s="156"/>
    </row>
    <row r="76" spans="1:6" x14ac:dyDescent="0.25">
      <c r="A76" s="3"/>
      <c r="B76" s="33" t="s">
        <v>51</v>
      </c>
      <c r="C76" s="23" t="s">
        <v>29</v>
      </c>
      <c r="D76" s="20"/>
      <c r="E76" s="142"/>
      <c r="F76" s="156">
        <f>F73</f>
        <v>3211833.2233333332</v>
      </c>
    </row>
    <row r="77" spans="1:6" x14ac:dyDescent="0.25">
      <c r="A77" s="3"/>
      <c r="B77" s="33" t="s">
        <v>50</v>
      </c>
      <c r="C77" s="23" t="s">
        <v>29</v>
      </c>
      <c r="D77" s="20">
        <f>(F67*F107)/100</f>
        <v>554162.56559999997</v>
      </c>
      <c r="E77" s="146">
        <v>1</v>
      </c>
      <c r="F77" s="156">
        <f>+D77*E77</f>
        <v>554162.56559999997</v>
      </c>
    </row>
    <row r="78" spans="1:6" ht="15.75" thickBot="1" x14ac:dyDescent="0.3">
      <c r="A78" s="3"/>
      <c r="B78" s="49" t="s">
        <v>49</v>
      </c>
      <c r="C78" s="39"/>
      <c r="D78" s="40">
        <f>INVESTIMENTOS!O27</f>
        <v>335989.45</v>
      </c>
      <c r="E78" s="144">
        <v>1</v>
      </c>
      <c r="F78" s="158">
        <f>(D78*F107)/100</f>
        <v>60478.101000000002</v>
      </c>
    </row>
    <row r="79" spans="1:6" ht="16.5" thickTop="1" thickBot="1" x14ac:dyDescent="0.3">
      <c r="B79" s="67" t="s">
        <v>48</v>
      </c>
      <c r="C79" s="68" t="s">
        <v>29</v>
      </c>
      <c r="D79" s="69"/>
      <c r="E79" s="145"/>
      <c r="F79" s="159">
        <f>SUM(F76:F78)</f>
        <v>3826473.8899333328</v>
      </c>
    </row>
    <row r="80" spans="1:6" ht="16.5" thickTop="1" thickBot="1" x14ac:dyDescent="0.3">
      <c r="A80" s="3"/>
      <c r="B80" s="184"/>
      <c r="C80" s="185"/>
      <c r="D80" s="185"/>
      <c r="E80" s="185"/>
      <c r="F80" s="186"/>
    </row>
    <row r="81" spans="1:9" ht="15.75" thickTop="1" x14ac:dyDescent="0.25">
      <c r="A81" s="3"/>
      <c r="B81" s="35" t="s">
        <v>47</v>
      </c>
      <c r="C81" s="110"/>
      <c r="D81" s="111"/>
      <c r="E81" s="147"/>
      <c r="F81" s="156"/>
    </row>
    <row r="82" spans="1:9" x14ac:dyDescent="0.25">
      <c r="A82" s="3"/>
      <c r="B82" s="33" t="s">
        <v>46</v>
      </c>
      <c r="C82" s="21"/>
      <c r="D82" s="20"/>
      <c r="E82" s="142"/>
      <c r="F82" s="160">
        <f>D82*E82</f>
        <v>0</v>
      </c>
    </row>
    <row r="83" spans="1:9" x14ac:dyDescent="0.25">
      <c r="A83" s="3"/>
      <c r="B83" s="187" t="s">
        <v>146</v>
      </c>
      <c r="C83" s="23"/>
      <c r="D83" s="20"/>
      <c r="E83" s="142"/>
      <c r="F83" s="156"/>
    </row>
    <row r="84" spans="1:9" x14ac:dyDescent="0.25">
      <c r="A84" s="3"/>
      <c r="B84" s="187"/>
      <c r="C84" s="23"/>
      <c r="D84" s="20"/>
      <c r="E84" s="142"/>
      <c r="F84" s="156"/>
    </row>
    <row r="85" spans="1:9" x14ac:dyDescent="0.25">
      <c r="A85" s="3"/>
      <c r="B85" s="114" t="s">
        <v>144</v>
      </c>
      <c r="C85" s="23" t="s">
        <v>147</v>
      </c>
      <c r="D85" s="20">
        <v>12</v>
      </c>
      <c r="E85" s="142">
        <v>350000</v>
      </c>
      <c r="F85" s="156">
        <f>(D85*E85)</f>
        <v>4200000</v>
      </c>
    </row>
    <row r="86" spans="1:9" x14ac:dyDescent="0.25">
      <c r="A86" s="3"/>
      <c r="B86" s="114" t="s">
        <v>145</v>
      </c>
      <c r="C86" s="23" t="s">
        <v>148</v>
      </c>
      <c r="D86" s="20">
        <v>12</v>
      </c>
      <c r="E86" s="168">
        <v>1564</v>
      </c>
      <c r="F86" s="156">
        <f>(D86*E86)*D85</f>
        <v>225216</v>
      </c>
    </row>
    <row r="87" spans="1:9" ht="15.75" thickBot="1" x14ac:dyDescent="0.3">
      <c r="A87" s="3"/>
      <c r="B87" s="38" t="s">
        <v>45</v>
      </c>
      <c r="C87" s="39"/>
      <c r="D87" s="40"/>
      <c r="E87" s="144">
        <f>SUM(E85:E86)</f>
        <v>351564</v>
      </c>
      <c r="F87" s="158">
        <f>SUM(F85:F86)</f>
        <v>4425216</v>
      </c>
    </row>
    <row r="88" spans="1:9" ht="16.5" thickTop="1" thickBot="1" x14ac:dyDescent="0.3">
      <c r="A88" s="3"/>
      <c r="B88" s="62" t="s">
        <v>44</v>
      </c>
      <c r="C88" s="63" t="s">
        <v>29</v>
      </c>
      <c r="D88" s="64"/>
      <c r="E88" s="148"/>
      <c r="F88" s="161">
        <f>SUM(F87)</f>
        <v>4425216</v>
      </c>
    </row>
    <row r="89" spans="1:9" ht="15.75" thickTop="1" x14ac:dyDescent="0.25">
      <c r="A89" s="3"/>
      <c r="B89" s="43" t="s">
        <v>43</v>
      </c>
      <c r="C89" s="44" t="s">
        <v>29</v>
      </c>
      <c r="D89" s="45"/>
      <c r="E89" s="149"/>
      <c r="F89" s="162">
        <f>+F88-F67</f>
        <v>1346535.08</v>
      </c>
    </row>
    <row r="90" spans="1:9" ht="15.75" thickBot="1" x14ac:dyDescent="0.3">
      <c r="B90" s="93"/>
      <c r="C90" s="39"/>
      <c r="D90" s="40"/>
      <c r="E90" s="144"/>
      <c r="F90" s="158"/>
    </row>
    <row r="91" spans="1:9" ht="15.75" thickTop="1" x14ac:dyDescent="0.25">
      <c r="B91" s="33" t="s">
        <v>42</v>
      </c>
      <c r="C91" s="23" t="s">
        <v>29</v>
      </c>
      <c r="D91" s="20"/>
      <c r="E91" s="142"/>
      <c r="F91" s="156">
        <f>+F88-F73</f>
        <v>1213382.7766666668</v>
      </c>
    </row>
    <row r="92" spans="1:9" ht="15.75" thickBot="1" x14ac:dyDescent="0.3">
      <c r="B92" s="35"/>
      <c r="C92" s="23"/>
      <c r="D92" s="20"/>
      <c r="E92" s="142"/>
      <c r="F92" s="156"/>
      <c r="H92">
        <v>200</v>
      </c>
      <c r="I92">
        <v>40</v>
      </c>
    </row>
    <row r="93" spans="1:9" ht="15.75" thickTop="1" x14ac:dyDescent="0.25">
      <c r="B93" s="43" t="s">
        <v>41</v>
      </c>
      <c r="C93" s="44" t="s">
        <v>29</v>
      </c>
      <c r="D93" s="45"/>
      <c r="E93" s="149"/>
      <c r="F93" s="162">
        <f>+F88-F79</f>
        <v>598742.1100666672</v>
      </c>
      <c r="H93">
        <v>220</v>
      </c>
      <c r="I93" t="s">
        <v>141</v>
      </c>
    </row>
    <row r="94" spans="1:9" ht="15.75" thickBot="1" x14ac:dyDescent="0.3">
      <c r="B94" s="93"/>
      <c r="C94" s="39"/>
      <c r="D94" s="40"/>
      <c r="E94" s="144"/>
      <c r="F94" s="158"/>
    </row>
    <row r="95" spans="1:9" ht="15.75" thickTop="1" x14ac:dyDescent="0.25">
      <c r="A95" s="3"/>
      <c r="B95" s="33" t="s">
        <v>40</v>
      </c>
      <c r="C95" s="25"/>
      <c r="D95" s="20"/>
      <c r="E95" s="142"/>
      <c r="F95" s="163"/>
      <c r="I95" t="s">
        <v>142</v>
      </c>
    </row>
    <row r="96" spans="1:9" x14ac:dyDescent="0.25">
      <c r="B96" s="37" t="s">
        <v>39</v>
      </c>
      <c r="C96" s="24" t="s">
        <v>36</v>
      </c>
      <c r="D96" s="20"/>
      <c r="E96" s="142"/>
      <c r="F96" s="156">
        <f>(F91/F104)*100</f>
        <v>39.412423963268886</v>
      </c>
    </row>
    <row r="97" spans="2:9" ht="15.75" thickBot="1" x14ac:dyDescent="0.3">
      <c r="B97" s="33"/>
      <c r="C97" s="23"/>
      <c r="D97" s="20"/>
      <c r="E97" s="142"/>
      <c r="F97" s="156"/>
      <c r="I97" t="s">
        <v>143</v>
      </c>
    </row>
    <row r="98" spans="2:9" ht="15.75" thickTop="1" x14ac:dyDescent="0.25">
      <c r="B98" s="43" t="s">
        <v>38</v>
      </c>
      <c r="C98" s="44" t="s">
        <v>26</v>
      </c>
      <c r="D98" s="45"/>
      <c r="E98" s="149"/>
      <c r="F98" s="162"/>
    </row>
    <row r="99" spans="2:9" x14ac:dyDescent="0.25">
      <c r="B99" s="37" t="s">
        <v>37</v>
      </c>
      <c r="C99" s="24" t="s">
        <v>36</v>
      </c>
      <c r="D99" s="20"/>
      <c r="E99" s="142"/>
      <c r="F99" s="156">
        <f>(F91/(F104+F105))*100</f>
        <v>35.534404355014416</v>
      </c>
    </row>
    <row r="100" spans="2:9" ht="15.75" thickBot="1" x14ac:dyDescent="0.3">
      <c r="B100" s="48"/>
      <c r="C100" s="58"/>
      <c r="D100" s="40"/>
      <c r="E100" s="144"/>
      <c r="F100" s="158"/>
    </row>
    <row r="101" spans="2:9" ht="16.5" thickTop="1" thickBot="1" x14ac:dyDescent="0.3">
      <c r="B101" s="88" t="s">
        <v>34</v>
      </c>
      <c r="C101" s="89"/>
      <c r="D101" s="90"/>
      <c r="E101" s="150"/>
      <c r="F101" s="164">
        <f>F91/F88</f>
        <v>0.27419741243515949</v>
      </c>
    </row>
    <row r="102" spans="2:9" ht="15.75" thickTop="1" x14ac:dyDescent="0.25">
      <c r="B102" s="33" t="s">
        <v>33</v>
      </c>
      <c r="C102" s="23"/>
      <c r="D102" s="20"/>
      <c r="E102" s="142"/>
      <c r="F102" s="156"/>
    </row>
    <row r="103" spans="2:9" x14ac:dyDescent="0.25">
      <c r="B103" s="33" t="s">
        <v>149</v>
      </c>
      <c r="C103" s="23" t="s">
        <v>81</v>
      </c>
      <c r="D103" s="20">
        <f>D85</f>
        <v>12</v>
      </c>
      <c r="E103" s="142">
        <f>270000+(998*12)</f>
        <v>281976</v>
      </c>
      <c r="F103" s="165">
        <f>D103*E103</f>
        <v>3383712</v>
      </c>
    </row>
    <row r="104" spans="2:9" x14ac:dyDescent="0.25">
      <c r="B104" s="37" t="s">
        <v>32</v>
      </c>
      <c r="C104" s="23" t="s">
        <v>29</v>
      </c>
      <c r="D104" s="20"/>
      <c r="E104" s="142"/>
      <c r="F104" s="156">
        <f>F67</f>
        <v>3078680.92</v>
      </c>
    </row>
    <row r="105" spans="2:9" x14ac:dyDescent="0.25">
      <c r="B105" s="37" t="s">
        <v>31</v>
      </c>
      <c r="C105" s="23" t="s">
        <v>29</v>
      </c>
      <c r="D105" s="20">
        <v>1</v>
      </c>
      <c r="E105" s="142">
        <f>INVESTIMENTOS!O27</f>
        <v>335989.45</v>
      </c>
      <c r="F105" s="156">
        <f>D105*E105</f>
        <v>335989.45</v>
      </c>
    </row>
    <row r="106" spans="2:9" x14ac:dyDescent="0.25">
      <c r="B106" s="33" t="s">
        <v>30</v>
      </c>
      <c r="C106" s="21" t="s">
        <v>29</v>
      </c>
      <c r="D106" s="20"/>
      <c r="E106" s="151"/>
      <c r="F106" s="166">
        <f>F79/D103</f>
        <v>318872.82416111109</v>
      </c>
    </row>
    <row r="107" spans="2:9" ht="15.75" thickBot="1" x14ac:dyDescent="0.3">
      <c r="B107" s="53" t="s">
        <v>28</v>
      </c>
      <c r="C107" s="54" t="s">
        <v>27</v>
      </c>
      <c r="D107" s="55"/>
      <c r="E107" s="152"/>
      <c r="F107" s="167">
        <v>18</v>
      </c>
    </row>
    <row r="108" spans="2:9" ht="15.75" thickTop="1" x14ac:dyDescent="0.25"/>
  </sheetData>
  <mergeCells count="5">
    <mergeCell ref="B8:F8"/>
    <mergeCell ref="B68:F68"/>
    <mergeCell ref="B74:F74"/>
    <mergeCell ref="B80:F80"/>
    <mergeCell ref="B83:B8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841F7-2035-4279-98E7-3306A50F318E}">
  <dimension ref="A7:F110"/>
  <sheetViews>
    <sheetView topLeftCell="A91" workbookViewId="0">
      <selection activeCell="F79" sqref="F79"/>
    </sheetView>
  </sheetViews>
  <sheetFormatPr defaultRowHeight="15" x14ac:dyDescent="0.25"/>
  <cols>
    <col min="2" max="2" width="74.7109375" bestFit="1" customWidth="1"/>
    <col min="3" max="3" width="11.42578125" bestFit="1" customWidth="1"/>
    <col min="4" max="4" width="9.85546875" bestFit="1" customWidth="1"/>
    <col min="5" max="5" width="11.7109375" bestFit="1" customWidth="1"/>
    <col min="6" max="6" width="12" bestFit="1" customWidth="1"/>
    <col min="7" max="7" width="7" bestFit="1" customWidth="1"/>
  </cols>
  <sheetData>
    <row r="7" spans="2:6" ht="15.75" thickBot="1" x14ac:dyDescent="0.3"/>
    <row r="8" spans="2:6" ht="16.5" thickTop="1" thickBot="1" x14ac:dyDescent="0.3">
      <c r="B8" s="181" t="s">
        <v>69</v>
      </c>
      <c r="C8" s="182"/>
      <c r="D8" s="182"/>
      <c r="E8" s="182"/>
      <c r="F8" s="183"/>
    </row>
    <row r="9" spans="2:6" ht="15.75" thickTop="1" x14ac:dyDescent="0.25">
      <c r="B9" s="78" t="s">
        <v>68</v>
      </c>
      <c r="C9" s="79" t="s">
        <v>67</v>
      </c>
      <c r="D9" s="80" t="s">
        <v>66</v>
      </c>
      <c r="E9" s="81" t="s">
        <v>65</v>
      </c>
      <c r="F9" s="82" t="s">
        <v>64</v>
      </c>
    </row>
    <row r="10" spans="2:6" x14ac:dyDescent="0.25">
      <c r="B10" s="83"/>
      <c r="C10" s="84"/>
      <c r="D10" s="85" t="s">
        <v>63</v>
      </c>
      <c r="E10" s="86" t="s">
        <v>62</v>
      </c>
      <c r="F10" s="87" t="s">
        <v>62</v>
      </c>
    </row>
    <row r="11" spans="2:6" x14ac:dyDescent="0.25">
      <c r="B11" s="31" t="s">
        <v>61</v>
      </c>
      <c r="C11" s="30"/>
      <c r="D11" s="29"/>
      <c r="E11" s="28"/>
      <c r="F11" s="32"/>
    </row>
    <row r="12" spans="2:6" x14ac:dyDescent="0.25">
      <c r="B12" s="33" t="s">
        <v>60</v>
      </c>
      <c r="C12" s="27"/>
      <c r="D12" s="20"/>
      <c r="E12" s="22"/>
      <c r="F12" s="34"/>
    </row>
    <row r="13" spans="2:6" x14ac:dyDescent="0.25">
      <c r="B13" s="35" t="s">
        <v>70</v>
      </c>
      <c r="C13" s="27"/>
      <c r="D13" s="20"/>
      <c r="E13" s="22"/>
      <c r="F13" s="34"/>
    </row>
    <row r="14" spans="2:6" x14ac:dyDescent="0.25">
      <c r="B14" s="33" t="s">
        <v>71</v>
      </c>
      <c r="C14" s="23"/>
      <c r="D14" s="20"/>
      <c r="E14" s="22"/>
      <c r="F14" s="34">
        <f>+D14*E14</f>
        <v>0</v>
      </c>
    </row>
    <row r="15" spans="2:6" x14ac:dyDescent="0.25">
      <c r="B15" s="33" t="s">
        <v>72</v>
      </c>
      <c r="C15" s="23" t="s">
        <v>82</v>
      </c>
      <c r="D15" s="20">
        <v>12</v>
      </c>
      <c r="E15" s="22">
        <v>3000</v>
      </c>
      <c r="F15" s="34">
        <f>E15*D15</f>
        <v>36000</v>
      </c>
    </row>
    <row r="16" spans="2:6" x14ac:dyDescent="0.25">
      <c r="B16" s="33" t="s">
        <v>73</v>
      </c>
      <c r="C16" s="23" t="s">
        <v>82</v>
      </c>
      <c r="D16" s="20">
        <v>12</v>
      </c>
      <c r="E16" s="22">
        <v>3000</v>
      </c>
      <c r="F16" s="34">
        <f t="shared" ref="F16:F25" si="0">E16*D16</f>
        <v>36000</v>
      </c>
    </row>
    <row r="17" spans="2:6" x14ac:dyDescent="0.25">
      <c r="B17" s="33" t="s">
        <v>74</v>
      </c>
      <c r="C17" s="23" t="s">
        <v>82</v>
      </c>
      <c r="D17" s="20">
        <v>6</v>
      </c>
      <c r="E17" s="22">
        <v>3000</v>
      </c>
      <c r="F17" s="34">
        <f t="shared" si="0"/>
        <v>18000</v>
      </c>
    </row>
    <row r="18" spans="2:6" x14ac:dyDescent="0.25">
      <c r="B18" s="33" t="s">
        <v>77</v>
      </c>
      <c r="C18" s="23" t="s">
        <v>82</v>
      </c>
      <c r="D18" s="20">
        <v>0</v>
      </c>
      <c r="E18" s="22">
        <v>0</v>
      </c>
      <c r="F18" s="34">
        <f t="shared" si="0"/>
        <v>0</v>
      </c>
    </row>
    <row r="19" spans="2:6" x14ac:dyDescent="0.25">
      <c r="B19" s="33" t="s">
        <v>75</v>
      </c>
      <c r="C19" s="23" t="s">
        <v>82</v>
      </c>
      <c r="D19" s="20">
        <v>6</v>
      </c>
      <c r="E19" s="22">
        <v>2500</v>
      </c>
      <c r="F19" s="34">
        <f t="shared" si="0"/>
        <v>15000</v>
      </c>
    </row>
    <row r="20" spans="2:6" x14ac:dyDescent="0.25">
      <c r="B20" s="33" t="s">
        <v>78</v>
      </c>
      <c r="C20" s="23" t="s">
        <v>82</v>
      </c>
      <c r="D20" s="20">
        <v>0</v>
      </c>
      <c r="E20" s="22">
        <v>0</v>
      </c>
      <c r="F20" s="34">
        <f t="shared" si="0"/>
        <v>0</v>
      </c>
    </row>
    <row r="21" spans="2:6" x14ac:dyDescent="0.25">
      <c r="B21" s="94" t="s">
        <v>76</v>
      </c>
      <c r="C21" s="23" t="s">
        <v>82</v>
      </c>
      <c r="D21" s="20">
        <v>0</v>
      </c>
      <c r="E21" s="22">
        <v>0</v>
      </c>
      <c r="F21" s="34">
        <f t="shared" si="0"/>
        <v>0</v>
      </c>
    </row>
    <row r="22" spans="2:6" x14ac:dyDescent="0.25">
      <c r="B22" s="94" t="s">
        <v>80</v>
      </c>
      <c r="C22" s="23" t="s">
        <v>81</v>
      </c>
      <c r="D22" s="20">
        <v>1</v>
      </c>
      <c r="E22" s="22">
        <f>SUM($F$15:$F$21,$F$25,$F$24)</f>
        <v>149376</v>
      </c>
      <c r="F22" s="34">
        <f t="shared" si="0"/>
        <v>149376</v>
      </c>
    </row>
    <row r="23" spans="2:6" x14ac:dyDescent="0.25">
      <c r="B23" s="61" t="s">
        <v>59</v>
      </c>
      <c r="C23" s="23"/>
      <c r="D23" s="20"/>
      <c r="E23" s="22"/>
      <c r="F23" s="34">
        <f t="shared" si="0"/>
        <v>0</v>
      </c>
    </row>
    <row r="24" spans="2:6" x14ac:dyDescent="0.25">
      <c r="B24" s="61" t="s">
        <v>79</v>
      </c>
      <c r="C24" s="23" t="s">
        <v>82</v>
      </c>
      <c r="D24" s="20">
        <v>12</v>
      </c>
      <c r="E24" s="22">
        <v>1173</v>
      </c>
      <c r="F24" s="34">
        <f t="shared" si="0"/>
        <v>14076</v>
      </c>
    </row>
    <row r="25" spans="2:6" x14ac:dyDescent="0.25">
      <c r="B25" s="33" t="s">
        <v>83</v>
      </c>
      <c r="C25" s="23" t="s">
        <v>82</v>
      </c>
      <c r="D25" s="20">
        <v>12</v>
      </c>
      <c r="E25" s="22">
        <v>2525</v>
      </c>
      <c r="F25" s="34">
        <f t="shared" si="0"/>
        <v>30300</v>
      </c>
    </row>
    <row r="26" spans="2:6" x14ac:dyDescent="0.25">
      <c r="B26" s="36" t="s">
        <v>45</v>
      </c>
      <c r="C26" s="23"/>
      <c r="D26" s="20"/>
      <c r="E26" s="22"/>
      <c r="F26" s="34">
        <f>SUM(F15:F22,F24:F25)</f>
        <v>298752</v>
      </c>
    </row>
    <row r="27" spans="2:6" x14ac:dyDescent="0.25">
      <c r="B27" s="37" t="s">
        <v>100</v>
      </c>
      <c r="C27" s="23"/>
      <c r="D27" s="20"/>
      <c r="E27" s="22"/>
      <c r="F27" s="34"/>
    </row>
    <row r="28" spans="2:6" x14ac:dyDescent="0.25">
      <c r="B28" s="33" t="s">
        <v>92</v>
      </c>
      <c r="C28" s="23" t="s">
        <v>104</v>
      </c>
      <c r="D28" s="20">
        <v>3</v>
      </c>
      <c r="E28" s="22">
        <v>41.3</v>
      </c>
      <c r="F28" s="34">
        <f>D28*E28</f>
        <v>123.89999999999999</v>
      </c>
    </row>
    <row r="29" spans="2:6" x14ac:dyDescent="0.25">
      <c r="B29" s="33" t="s">
        <v>93</v>
      </c>
      <c r="C29" s="23" t="s">
        <v>104</v>
      </c>
      <c r="D29" s="20">
        <v>3</v>
      </c>
      <c r="E29" s="22">
        <v>29.9</v>
      </c>
      <c r="F29" s="34">
        <f t="shared" ref="F29:F35" si="1">D29*E29</f>
        <v>89.699999999999989</v>
      </c>
    </row>
    <row r="30" spans="2:6" x14ac:dyDescent="0.25">
      <c r="B30" s="33" t="s">
        <v>94</v>
      </c>
      <c r="C30" s="23" t="s">
        <v>104</v>
      </c>
      <c r="D30" s="20">
        <v>1</v>
      </c>
      <c r="E30" s="22">
        <v>7</v>
      </c>
      <c r="F30" s="34">
        <f t="shared" si="1"/>
        <v>7</v>
      </c>
    </row>
    <row r="31" spans="2:6" x14ac:dyDescent="0.25">
      <c r="B31" s="33" t="s">
        <v>95</v>
      </c>
      <c r="C31" s="23" t="s">
        <v>104</v>
      </c>
      <c r="D31" s="20">
        <v>3</v>
      </c>
      <c r="E31" s="22">
        <v>6.8</v>
      </c>
      <c r="F31" s="34">
        <f t="shared" si="1"/>
        <v>20.399999999999999</v>
      </c>
    </row>
    <row r="32" spans="2:6" x14ac:dyDescent="0.25">
      <c r="B32" s="33" t="s">
        <v>96</v>
      </c>
      <c r="C32" s="23" t="s">
        <v>104</v>
      </c>
      <c r="D32" s="20">
        <v>4</v>
      </c>
      <c r="E32" s="22">
        <v>6</v>
      </c>
      <c r="F32" s="34">
        <f t="shared" si="1"/>
        <v>24</v>
      </c>
    </row>
    <row r="33" spans="2:6" x14ac:dyDescent="0.25">
      <c r="B33" s="33" t="s">
        <v>97</v>
      </c>
      <c r="C33" s="23" t="s">
        <v>67</v>
      </c>
      <c r="D33" s="20">
        <v>35</v>
      </c>
      <c r="E33" s="22">
        <v>21.9</v>
      </c>
      <c r="F33" s="34">
        <f t="shared" si="1"/>
        <v>766.5</v>
      </c>
    </row>
    <row r="34" spans="2:6" x14ac:dyDescent="0.25">
      <c r="B34" s="33" t="s">
        <v>98</v>
      </c>
      <c r="C34" s="23" t="s">
        <v>104</v>
      </c>
      <c r="D34" s="20">
        <v>1</v>
      </c>
      <c r="E34" s="22">
        <v>16.899999999999999</v>
      </c>
      <c r="F34" s="34">
        <f t="shared" si="1"/>
        <v>16.899999999999999</v>
      </c>
    </row>
    <row r="35" spans="2:6" x14ac:dyDescent="0.25">
      <c r="B35" s="33" t="s">
        <v>99</v>
      </c>
      <c r="C35" s="23" t="s">
        <v>67</v>
      </c>
      <c r="D35" s="20">
        <v>2</v>
      </c>
      <c r="E35" s="22">
        <v>30.9</v>
      </c>
      <c r="F35" s="34">
        <f t="shared" si="1"/>
        <v>61.8</v>
      </c>
    </row>
    <row r="36" spans="2:6" x14ac:dyDescent="0.25">
      <c r="B36" s="96" t="s">
        <v>45</v>
      </c>
      <c r="C36" s="23"/>
      <c r="D36" s="20"/>
      <c r="E36" s="22"/>
      <c r="F36" s="34">
        <f>SUM(F28:F35)</f>
        <v>1110.2</v>
      </c>
    </row>
    <row r="37" spans="2:6" x14ac:dyDescent="0.25">
      <c r="B37" s="95" t="s">
        <v>101</v>
      </c>
      <c r="C37" s="23"/>
      <c r="D37" s="20"/>
      <c r="E37" s="22"/>
      <c r="F37" s="34">
        <f t="shared" ref="F37:F50" si="2">$D37*$E37</f>
        <v>0</v>
      </c>
    </row>
    <row r="38" spans="2:6" x14ac:dyDescent="0.25">
      <c r="B38" s="97" t="s">
        <v>84</v>
      </c>
      <c r="C38" s="23" t="s">
        <v>105</v>
      </c>
      <c r="D38" s="20">
        <v>4</v>
      </c>
      <c r="E38" s="22">
        <v>49</v>
      </c>
      <c r="F38" s="34">
        <f>D38*E38</f>
        <v>196</v>
      </c>
    </row>
    <row r="39" spans="2:6" x14ac:dyDescent="0.25">
      <c r="B39" s="97" t="s">
        <v>85</v>
      </c>
      <c r="C39" s="23" t="s">
        <v>105</v>
      </c>
      <c r="D39" s="20">
        <v>4</v>
      </c>
      <c r="E39" s="22">
        <v>59.9</v>
      </c>
      <c r="F39" s="34">
        <f t="shared" ref="F39:F45" si="3">D39*E39</f>
        <v>239.6</v>
      </c>
    </row>
    <row r="40" spans="2:6" x14ac:dyDescent="0.25">
      <c r="B40" s="97" t="s">
        <v>86</v>
      </c>
      <c r="C40" s="23" t="s">
        <v>104</v>
      </c>
      <c r="D40" s="20">
        <v>20</v>
      </c>
      <c r="E40" s="22">
        <v>11.76</v>
      </c>
      <c r="F40" s="34">
        <f t="shared" si="3"/>
        <v>235.2</v>
      </c>
    </row>
    <row r="41" spans="2:6" x14ac:dyDescent="0.25">
      <c r="B41" s="97" t="s">
        <v>87</v>
      </c>
      <c r="C41" s="23" t="s">
        <v>67</v>
      </c>
      <c r="D41" s="20">
        <v>12</v>
      </c>
      <c r="E41" s="22">
        <v>14</v>
      </c>
      <c r="F41" s="34">
        <f t="shared" si="3"/>
        <v>168</v>
      </c>
    </row>
    <row r="42" spans="2:6" x14ac:dyDescent="0.25">
      <c r="B42" s="97" t="s">
        <v>88</v>
      </c>
      <c r="C42" s="23" t="s">
        <v>67</v>
      </c>
      <c r="D42" s="20">
        <v>3</v>
      </c>
      <c r="E42" s="22">
        <v>20</v>
      </c>
      <c r="F42" s="34">
        <f t="shared" si="3"/>
        <v>60</v>
      </c>
    </row>
    <row r="43" spans="2:6" x14ac:dyDescent="0.25">
      <c r="B43" s="97" t="s">
        <v>89</v>
      </c>
      <c r="C43" s="23" t="s">
        <v>67</v>
      </c>
      <c r="D43" s="20">
        <v>3</v>
      </c>
      <c r="E43" s="22">
        <v>17.899999999999999</v>
      </c>
      <c r="F43" s="34">
        <f t="shared" si="3"/>
        <v>53.699999999999996</v>
      </c>
    </row>
    <row r="44" spans="2:6" x14ac:dyDescent="0.25">
      <c r="B44" s="97" t="s">
        <v>90</v>
      </c>
      <c r="C44" s="23" t="s">
        <v>67</v>
      </c>
      <c r="D44" s="20">
        <v>4</v>
      </c>
      <c r="E44" s="22">
        <v>15</v>
      </c>
      <c r="F44" s="34">
        <f t="shared" si="3"/>
        <v>60</v>
      </c>
    </row>
    <row r="45" spans="2:6" x14ac:dyDescent="0.25">
      <c r="B45" s="97" t="s">
        <v>91</v>
      </c>
      <c r="C45" s="23" t="s">
        <v>67</v>
      </c>
      <c r="D45" s="20">
        <v>48</v>
      </c>
      <c r="E45" s="22">
        <v>4.99</v>
      </c>
      <c r="F45" s="34">
        <f t="shared" si="3"/>
        <v>239.52</v>
      </c>
    </row>
    <row r="46" spans="2:6" x14ac:dyDescent="0.25">
      <c r="B46" s="103" t="s">
        <v>45</v>
      </c>
      <c r="C46" s="23"/>
      <c r="D46" s="20"/>
      <c r="E46" s="22"/>
      <c r="F46" s="34">
        <f>SUM(F38:F45)</f>
        <v>1252.02</v>
      </c>
    </row>
    <row r="47" spans="2:6" x14ac:dyDescent="0.25">
      <c r="B47" s="98" t="s">
        <v>102</v>
      </c>
      <c r="C47" s="23"/>
      <c r="D47" s="20"/>
      <c r="E47" s="22"/>
      <c r="F47" s="34">
        <f t="shared" si="2"/>
        <v>0</v>
      </c>
    </row>
    <row r="48" spans="2:6" x14ac:dyDescent="0.25">
      <c r="B48" s="97" t="s">
        <v>103</v>
      </c>
      <c r="C48" s="23" t="s">
        <v>106</v>
      </c>
      <c r="D48" s="20">
        <v>1</v>
      </c>
      <c r="E48" s="22">
        <v>567</v>
      </c>
      <c r="F48" s="34">
        <f>D48*E48</f>
        <v>567</v>
      </c>
    </row>
    <row r="49" spans="2:6" x14ac:dyDescent="0.25">
      <c r="B49" s="36" t="s">
        <v>45</v>
      </c>
      <c r="C49" s="23"/>
      <c r="D49" s="20"/>
      <c r="E49" s="22"/>
      <c r="F49" s="34">
        <f>F48</f>
        <v>567</v>
      </c>
    </row>
    <row r="50" spans="2:6" x14ac:dyDescent="0.25">
      <c r="B50" s="35" t="s">
        <v>107</v>
      </c>
      <c r="C50" s="23"/>
      <c r="D50" s="20"/>
      <c r="E50" s="22"/>
      <c r="F50" s="34">
        <f t="shared" si="2"/>
        <v>0</v>
      </c>
    </row>
    <row r="51" spans="2:6" x14ac:dyDescent="0.25">
      <c r="B51" s="33" t="s">
        <v>108</v>
      </c>
      <c r="C51" s="23" t="s">
        <v>82</v>
      </c>
      <c r="D51" s="20">
        <v>12</v>
      </c>
      <c r="E51" s="22">
        <v>5503.8</v>
      </c>
      <c r="F51" s="34">
        <f>D51*E51</f>
        <v>66045.600000000006</v>
      </c>
    </row>
    <row r="52" spans="2:6" x14ac:dyDescent="0.25">
      <c r="B52" s="33" t="s">
        <v>109</v>
      </c>
      <c r="C52" s="23" t="s">
        <v>137</v>
      </c>
      <c r="D52" s="20">
        <v>12</v>
      </c>
      <c r="E52" s="22">
        <v>937.12</v>
      </c>
      <c r="F52" s="34">
        <f t="shared" ref="F52:F55" si="4">D52*E52</f>
        <v>11245.44</v>
      </c>
    </row>
    <row r="53" spans="2:6" x14ac:dyDescent="0.25">
      <c r="B53" s="33" t="s">
        <v>110</v>
      </c>
      <c r="C53" s="23" t="s">
        <v>138</v>
      </c>
      <c r="D53" s="20">
        <v>12</v>
      </c>
      <c r="E53" s="22">
        <v>120.56</v>
      </c>
      <c r="F53" s="34">
        <f t="shared" si="4"/>
        <v>1446.72</v>
      </c>
    </row>
    <row r="54" spans="2:6" x14ac:dyDescent="0.25">
      <c r="B54" s="33" t="s">
        <v>111</v>
      </c>
      <c r="C54" s="23" t="s">
        <v>114</v>
      </c>
      <c r="D54" s="20">
        <v>16000</v>
      </c>
      <c r="E54" s="22">
        <v>4.38</v>
      </c>
      <c r="F54" s="34">
        <f t="shared" si="4"/>
        <v>70080</v>
      </c>
    </row>
    <row r="55" spans="2:6" x14ac:dyDescent="0.25">
      <c r="B55" s="100" t="s">
        <v>113</v>
      </c>
      <c r="C55" s="23" t="s">
        <v>82</v>
      </c>
      <c r="D55" s="20">
        <v>12</v>
      </c>
      <c r="E55" s="22">
        <v>250</v>
      </c>
      <c r="F55" s="34">
        <f t="shared" si="4"/>
        <v>3000</v>
      </c>
    </row>
    <row r="56" spans="2:6" x14ac:dyDescent="0.25">
      <c r="B56" s="102" t="s">
        <v>45</v>
      </c>
      <c r="C56" s="23"/>
      <c r="D56" s="20"/>
      <c r="E56" s="22"/>
      <c r="F56" s="34">
        <f>SUM(F51:F55)</f>
        <v>151817.76</v>
      </c>
    </row>
    <row r="57" spans="2:6" x14ac:dyDescent="0.25">
      <c r="B57" s="99" t="s">
        <v>135</v>
      </c>
      <c r="C57" s="23"/>
      <c r="D57" s="20"/>
      <c r="E57" s="22"/>
      <c r="F57" s="34"/>
    </row>
    <row r="58" spans="2:6" x14ac:dyDescent="0.25">
      <c r="B58" s="100" t="s">
        <v>136</v>
      </c>
      <c r="C58" s="23" t="s">
        <v>81</v>
      </c>
      <c r="D58" s="20">
        <v>0</v>
      </c>
      <c r="E58" s="22">
        <v>120000</v>
      </c>
      <c r="F58" s="34">
        <f>D58*E58</f>
        <v>0</v>
      </c>
    </row>
    <row r="59" spans="2:6" x14ac:dyDescent="0.25">
      <c r="B59" s="100" t="s">
        <v>140</v>
      </c>
      <c r="C59" s="23" t="s">
        <v>81</v>
      </c>
      <c r="D59" s="20">
        <v>0</v>
      </c>
      <c r="E59" s="22">
        <v>100000</v>
      </c>
      <c r="F59" s="34">
        <f>D59*E59</f>
        <v>0</v>
      </c>
    </row>
    <row r="60" spans="2:6" x14ac:dyDescent="0.25">
      <c r="B60" s="102" t="s">
        <v>45</v>
      </c>
      <c r="C60" s="23"/>
      <c r="D60" s="20"/>
      <c r="E60" s="22">
        <f>SUM($E$58:$E$59)</f>
        <v>220000</v>
      </c>
      <c r="F60" s="34">
        <f>SUM(F58,F59)</f>
        <v>0</v>
      </c>
    </row>
    <row r="61" spans="2:6" x14ac:dyDescent="0.25">
      <c r="B61" s="101" t="s">
        <v>134</v>
      </c>
      <c r="C61" s="23"/>
      <c r="D61" s="20"/>
      <c r="E61" s="22"/>
      <c r="F61" s="34"/>
    </row>
    <row r="62" spans="2:6" x14ac:dyDescent="0.25">
      <c r="B62" s="97" t="s">
        <v>116</v>
      </c>
      <c r="C62" s="23" t="s">
        <v>81</v>
      </c>
      <c r="D62" s="20">
        <v>1</v>
      </c>
      <c r="E62" s="22"/>
      <c r="F62" s="34"/>
    </row>
    <row r="63" spans="2:6" x14ac:dyDescent="0.25">
      <c r="B63" s="97" t="s">
        <v>112</v>
      </c>
      <c r="C63" s="23" t="s">
        <v>81</v>
      </c>
      <c r="D63" s="20">
        <v>1</v>
      </c>
      <c r="E63" s="22">
        <v>1200</v>
      </c>
      <c r="F63" s="34">
        <f>D63*E63</f>
        <v>1200</v>
      </c>
    </row>
    <row r="64" spans="2:6" x14ac:dyDescent="0.25">
      <c r="B64" s="97" t="s">
        <v>139</v>
      </c>
      <c r="C64" s="23" t="s">
        <v>81</v>
      </c>
      <c r="D64" s="109">
        <v>0</v>
      </c>
      <c r="E64" s="22">
        <f>$E$60*8</f>
        <v>1760000</v>
      </c>
      <c r="F64" s="34">
        <f>E64*D64</f>
        <v>0</v>
      </c>
    </row>
    <row r="65" spans="1:6" x14ac:dyDescent="0.25">
      <c r="B65" s="36" t="s">
        <v>115</v>
      </c>
      <c r="C65" s="23" t="s">
        <v>81</v>
      </c>
      <c r="D65" s="20">
        <v>1</v>
      </c>
      <c r="E65" s="22">
        <v>5000</v>
      </c>
      <c r="F65" s="34">
        <f>D65*E65</f>
        <v>5000</v>
      </c>
    </row>
    <row r="66" spans="1:6" ht="15.75" thickBot="1" x14ac:dyDescent="0.3">
      <c r="B66" s="36" t="s">
        <v>45</v>
      </c>
      <c r="C66" s="23"/>
      <c r="D66" s="20"/>
      <c r="E66" s="22"/>
      <c r="F66" s="34">
        <f>SUM(F62:F65)</f>
        <v>6200</v>
      </c>
    </row>
    <row r="67" spans="1:6" ht="16.5" thickTop="1" thickBot="1" x14ac:dyDescent="0.3">
      <c r="B67" s="73" t="s">
        <v>58</v>
      </c>
      <c r="C67" s="74" t="s">
        <v>29</v>
      </c>
      <c r="D67" s="75"/>
      <c r="E67" s="76"/>
      <c r="F67" s="77">
        <f>SUM(F26,F36,F46,F49,F56,F66,F60)</f>
        <v>459698.98000000004</v>
      </c>
    </row>
    <row r="68" spans="1:6" ht="16.5" thickTop="1" thickBot="1" x14ac:dyDescent="0.3">
      <c r="B68" s="184"/>
      <c r="C68" s="185"/>
      <c r="D68" s="185"/>
      <c r="E68" s="185"/>
      <c r="F68" s="186"/>
    </row>
    <row r="69" spans="1:6" ht="15.75" thickTop="1" x14ac:dyDescent="0.25">
      <c r="B69" s="59" t="s">
        <v>57</v>
      </c>
      <c r="C69" s="23"/>
      <c r="D69" s="20"/>
      <c r="E69" s="22"/>
      <c r="F69" s="34"/>
    </row>
    <row r="70" spans="1:6" x14ac:dyDescent="0.25">
      <c r="B70" s="59" t="s">
        <v>56</v>
      </c>
      <c r="C70" s="23" t="s">
        <v>29</v>
      </c>
      <c r="D70" s="20"/>
      <c r="E70" s="22"/>
      <c r="F70" s="34">
        <f>F67</f>
        <v>459698.98000000004</v>
      </c>
    </row>
    <row r="71" spans="1:6" x14ac:dyDescent="0.25">
      <c r="A71" s="3"/>
      <c r="B71" s="59" t="s">
        <v>55</v>
      </c>
      <c r="C71" s="23"/>
      <c r="D71" s="22">
        <v>1</v>
      </c>
      <c r="E71" s="22">
        <f>INVESTIMENTOS!$R$27</f>
        <v>61152.30333333333</v>
      </c>
      <c r="F71" s="34">
        <f>D71*E71</f>
        <v>61152.30333333333</v>
      </c>
    </row>
    <row r="72" spans="1:6" ht="15.75" thickBot="1" x14ac:dyDescent="0.3">
      <c r="A72" s="3"/>
      <c r="B72" s="60" t="s">
        <v>54</v>
      </c>
      <c r="C72" s="39" t="s">
        <v>29</v>
      </c>
      <c r="D72" s="41">
        <v>12</v>
      </c>
      <c r="E72" s="41">
        <v>4000</v>
      </c>
      <c r="F72" s="42">
        <f>+D72*E72</f>
        <v>48000</v>
      </c>
    </row>
    <row r="73" spans="1:6" ht="16.5" thickTop="1" thickBot="1" x14ac:dyDescent="0.3">
      <c r="A73" s="3"/>
      <c r="B73" s="72" t="s">
        <v>53</v>
      </c>
      <c r="C73" s="68" t="s">
        <v>29</v>
      </c>
      <c r="D73" s="69"/>
      <c r="E73" s="70"/>
      <c r="F73" s="71">
        <f>SUM(F70:F72)</f>
        <v>568851.28333333344</v>
      </c>
    </row>
    <row r="74" spans="1:6" ht="16.5" thickTop="1" thickBot="1" x14ac:dyDescent="0.3">
      <c r="A74" s="3"/>
      <c r="B74" s="185"/>
      <c r="C74" s="185"/>
      <c r="D74" s="185"/>
      <c r="E74" s="185"/>
      <c r="F74" s="186"/>
    </row>
    <row r="75" spans="1:6" ht="15.75" thickTop="1" x14ac:dyDescent="0.25">
      <c r="A75" s="3"/>
      <c r="B75" s="59" t="s">
        <v>52</v>
      </c>
      <c r="C75" s="23"/>
      <c r="D75" s="20"/>
      <c r="E75" s="22"/>
      <c r="F75" s="34"/>
    </row>
    <row r="76" spans="1:6" x14ac:dyDescent="0.25">
      <c r="A76" s="3"/>
      <c r="B76" s="33" t="s">
        <v>51</v>
      </c>
      <c r="C76" s="23" t="s">
        <v>29</v>
      </c>
      <c r="D76" s="20"/>
      <c r="E76" s="22"/>
      <c r="F76" s="34">
        <f>F73</f>
        <v>568851.28333333344</v>
      </c>
    </row>
    <row r="77" spans="1:6" x14ac:dyDescent="0.25">
      <c r="A77" s="3"/>
      <c r="B77" s="33" t="s">
        <v>50</v>
      </c>
      <c r="C77" s="23" t="s">
        <v>29</v>
      </c>
      <c r="D77" s="20">
        <f>(F67*F109)/100</f>
        <v>55163.877600000007</v>
      </c>
      <c r="E77" s="26">
        <v>1</v>
      </c>
      <c r="F77" s="34">
        <f>+D77*E77</f>
        <v>55163.877600000007</v>
      </c>
    </row>
    <row r="78" spans="1:6" ht="15.75" thickBot="1" x14ac:dyDescent="0.3">
      <c r="A78" s="3"/>
      <c r="B78" s="49" t="s">
        <v>49</v>
      </c>
      <c r="C78" s="39"/>
      <c r="D78" s="40">
        <f>INVESTIMENTOS!O27</f>
        <v>335989.45</v>
      </c>
      <c r="E78" s="41">
        <v>1</v>
      </c>
      <c r="F78" s="42">
        <f>(D78*E78*F109)/100</f>
        <v>40318.734000000004</v>
      </c>
    </row>
    <row r="79" spans="1:6" ht="16.5" thickTop="1" thickBot="1" x14ac:dyDescent="0.3">
      <c r="B79" s="67" t="s">
        <v>48</v>
      </c>
      <c r="C79" s="68" t="s">
        <v>29</v>
      </c>
      <c r="D79" s="69"/>
      <c r="E79" s="70"/>
      <c r="F79" s="71">
        <f>SUM(F76:F78)</f>
        <v>664333.8949333335</v>
      </c>
    </row>
    <row r="80" spans="1:6" ht="16.5" thickTop="1" thickBot="1" x14ac:dyDescent="0.3">
      <c r="A80" s="3"/>
      <c r="B80" s="184"/>
      <c r="C80" s="185"/>
      <c r="D80" s="185"/>
      <c r="E80" s="185"/>
      <c r="F80" s="186"/>
    </row>
    <row r="81" spans="1:6" ht="15.75" thickTop="1" x14ac:dyDescent="0.25">
      <c r="A81" s="3"/>
      <c r="B81" s="35" t="s">
        <v>47</v>
      </c>
      <c r="C81" s="110"/>
      <c r="D81" s="111"/>
      <c r="E81" s="112"/>
      <c r="F81" s="34"/>
    </row>
    <row r="82" spans="1:6" x14ac:dyDescent="0.25">
      <c r="A82" s="3"/>
      <c r="B82" s="33" t="s">
        <v>46</v>
      </c>
      <c r="C82" s="21"/>
      <c r="D82" s="20"/>
      <c r="E82" s="22"/>
      <c r="F82" s="113">
        <f>D82*E82</f>
        <v>0</v>
      </c>
    </row>
    <row r="83" spans="1:6" x14ac:dyDescent="0.25">
      <c r="A83" s="3"/>
      <c r="B83" s="187" t="s">
        <v>146</v>
      </c>
      <c r="C83" s="23"/>
      <c r="D83" s="20"/>
      <c r="E83" s="22"/>
      <c r="F83" s="34"/>
    </row>
    <row r="84" spans="1:6" x14ac:dyDescent="0.25">
      <c r="A84" s="3"/>
      <c r="B84" s="187"/>
      <c r="C84" s="23"/>
      <c r="D84" s="20"/>
      <c r="E84" s="22"/>
      <c r="F84" s="34"/>
    </row>
    <row r="85" spans="1:6" x14ac:dyDescent="0.25">
      <c r="A85" s="3"/>
      <c r="B85" s="114" t="s">
        <v>144</v>
      </c>
      <c r="C85" s="23" t="s">
        <v>147</v>
      </c>
      <c r="D85" s="20">
        <v>0</v>
      </c>
      <c r="E85" s="22">
        <v>270000</v>
      </c>
      <c r="F85" s="34">
        <f>(D85*E85)</f>
        <v>0</v>
      </c>
    </row>
    <row r="86" spans="1:6" x14ac:dyDescent="0.25">
      <c r="A86" s="3"/>
      <c r="B86" s="114" t="s">
        <v>145</v>
      </c>
      <c r="C86" s="23" t="s">
        <v>148</v>
      </c>
      <c r="D86" s="20">
        <v>0</v>
      </c>
      <c r="E86" s="22">
        <v>998</v>
      </c>
      <c r="F86" s="34">
        <f>(D86*E86)*D85</f>
        <v>0</v>
      </c>
    </row>
    <row r="87" spans="1:6" ht="15.75" thickBot="1" x14ac:dyDescent="0.3">
      <c r="A87" s="3"/>
      <c r="B87" s="38" t="s">
        <v>45</v>
      </c>
      <c r="C87" s="39"/>
      <c r="D87" s="40"/>
      <c r="E87" s="41">
        <f>SUM(E85:E86)</f>
        <v>270998</v>
      </c>
      <c r="F87" s="42">
        <f>SUM(F85:F86)</f>
        <v>0</v>
      </c>
    </row>
    <row r="88" spans="1:6" ht="16.5" thickTop="1" thickBot="1" x14ac:dyDescent="0.3">
      <c r="A88" s="3"/>
      <c r="B88" s="62" t="s">
        <v>44</v>
      </c>
      <c r="C88" s="63" t="s">
        <v>29</v>
      </c>
      <c r="D88" s="64"/>
      <c r="E88" s="65"/>
      <c r="F88" s="66">
        <v>0</v>
      </c>
    </row>
    <row r="89" spans="1:6" ht="15.75" thickTop="1" x14ac:dyDescent="0.25">
      <c r="A89" s="3"/>
      <c r="B89" s="43" t="s">
        <v>43</v>
      </c>
      <c r="C89" s="44" t="s">
        <v>29</v>
      </c>
      <c r="D89" s="45"/>
      <c r="E89" s="46"/>
      <c r="F89" s="47">
        <f>+F88-F67</f>
        <v>-459698.98000000004</v>
      </c>
    </row>
    <row r="90" spans="1:6" ht="15.75" thickBot="1" x14ac:dyDescent="0.3">
      <c r="B90" s="93"/>
      <c r="C90" s="39"/>
      <c r="D90" s="40"/>
      <c r="E90" s="41"/>
      <c r="F90" s="42"/>
    </row>
    <row r="91" spans="1:6" ht="15.75" thickTop="1" x14ac:dyDescent="0.25">
      <c r="B91" s="33" t="s">
        <v>42</v>
      </c>
      <c r="C91" s="23" t="s">
        <v>29</v>
      </c>
      <c r="D91" s="20"/>
      <c r="E91" s="22"/>
      <c r="F91" s="34">
        <f>+F88-F73</f>
        <v>-568851.28333333344</v>
      </c>
    </row>
    <row r="92" spans="1:6" ht="15.75" thickBot="1" x14ac:dyDescent="0.3">
      <c r="B92" s="35"/>
      <c r="C92" s="23"/>
      <c r="D92" s="20"/>
      <c r="E92" s="22"/>
      <c r="F92" s="34"/>
    </row>
    <row r="93" spans="1:6" ht="15.75" thickTop="1" x14ac:dyDescent="0.25">
      <c r="B93" s="43" t="s">
        <v>41</v>
      </c>
      <c r="C93" s="44" t="s">
        <v>29</v>
      </c>
      <c r="D93" s="45"/>
      <c r="E93" s="46"/>
      <c r="F93" s="47">
        <f>+F88-F79</f>
        <v>-664333.8949333335</v>
      </c>
    </row>
    <row r="94" spans="1:6" ht="15.75" thickBot="1" x14ac:dyDescent="0.3">
      <c r="B94" s="93"/>
      <c r="C94" s="39"/>
      <c r="D94" s="40"/>
      <c r="E94" s="41"/>
      <c r="F94" s="42"/>
    </row>
    <row r="95" spans="1:6" ht="15.75" thickTop="1" x14ac:dyDescent="0.25">
      <c r="A95" s="3"/>
      <c r="B95" s="33" t="s">
        <v>40</v>
      </c>
      <c r="C95" s="25"/>
      <c r="D95" s="20"/>
      <c r="E95" s="22"/>
      <c r="F95" s="50"/>
    </row>
    <row r="96" spans="1:6" x14ac:dyDescent="0.25">
      <c r="B96" s="37" t="s">
        <v>39</v>
      </c>
      <c r="C96" s="24" t="s">
        <v>36</v>
      </c>
      <c r="D96" s="20"/>
      <c r="E96" s="22"/>
      <c r="F96" s="34">
        <f>(F91/F106)*100</f>
        <v>-123.74429965742657</v>
      </c>
    </row>
    <row r="97" spans="2:6" ht="15.75" thickBot="1" x14ac:dyDescent="0.3">
      <c r="B97" s="33"/>
      <c r="C97" s="23"/>
      <c r="D97" s="20"/>
      <c r="E97" s="22"/>
      <c r="F97" s="34"/>
    </row>
    <row r="98" spans="2:6" ht="15.75" thickTop="1" x14ac:dyDescent="0.25">
      <c r="B98" s="43" t="s">
        <v>38</v>
      </c>
      <c r="C98" s="44" t="s">
        <v>26</v>
      </c>
      <c r="D98" s="45"/>
      <c r="E98" s="46"/>
      <c r="F98" s="47"/>
    </row>
    <row r="99" spans="2:6" x14ac:dyDescent="0.25">
      <c r="B99" s="37" t="s">
        <v>37</v>
      </c>
      <c r="C99" s="24" t="s">
        <v>36</v>
      </c>
      <c r="D99" s="20"/>
      <c r="E99" s="22"/>
      <c r="F99" s="34">
        <f>(F91/(F106+F107))*100</f>
        <v>-71.491712319272182</v>
      </c>
    </row>
    <row r="100" spans="2:6" ht="15.75" thickBot="1" x14ac:dyDescent="0.3">
      <c r="B100" s="48"/>
      <c r="C100" s="58"/>
      <c r="D100" s="40"/>
      <c r="E100" s="41"/>
      <c r="F100" s="42"/>
    </row>
    <row r="101" spans="2:6" ht="16.5" thickTop="1" thickBot="1" x14ac:dyDescent="0.3">
      <c r="B101" s="48" t="s">
        <v>35</v>
      </c>
      <c r="C101" s="58"/>
      <c r="D101" s="40"/>
      <c r="E101" s="41"/>
      <c r="F101" s="42">
        <f>F79/E87</f>
        <v>2.4514346782387082</v>
      </c>
    </row>
    <row r="102" spans="2:6" ht="16.5" thickTop="1" thickBot="1" x14ac:dyDescent="0.3">
      <c r="B102" s="48"/>
      <c r="C102" s="58"/>
      <c r="D102" s="40"/>
      <c r="E102" s="41"/>
      <c r="F102" s="42"/>
    </row>
    <row r="103" spans="2:6" ht="16.5" thickTop="1" thickBot="1" x14ac:dyDescent="0.3">
      <c r="B103" s="88" t="s">
        <v>34</v>
      </c>
      <c r="C103" s="89"/>
      <c r="D103" s="90"/>
      <c r="E103" s="91"/>
      <c r="F103" s="92" t="e">
        <f>F91/F88</f>
        <v>#DIV/0!</v>
      </c>
    </row>
    <row r="104" spans="2:6" ht="15.75" thickTop="1" x14ac:dyDescent="0.25">
      <c r="B104" s="33" t="s">
        <v>33</v>
      </c>
      <c r="C104" s="23"/>
      <c r="D104" s="20"/>
      <c r="E104" s="22"/>
      <c r="F104" s="34"/>
    </row>
    <row r="105" spans="2:6" x14ac:dyDescent="0.25">
      <c r="B105" s="33" t="s">
        <v>149</v>
      </c>
      <c r="C105" s="23" t="s">
        <v>81</v>
      </c>
      <c r="D105" s="20">
        <f>D85</f>
        <v>0</v>
      </c>
      <c r="E105" s="22">
        <f>270000+(998*12)</f>
        <v>281976</v>
      </c>
      <c r="F105" s="51">
        <f>D105*E105</f>
        <v>0</v>
      </c>
    </row>
    <row r="106" spans="2:6" x14ac:dyDescent="0.25">
      <c r="B106" s="37" t="s">
        <v>32</v>
      </c>
      <c r="C106" s="23" t="s">
        <v>29</v>
      </c>
      <c r="D106" s="20"/>
      <c r="E106" s="22"/>
      <c r="F106" s="34">
        <f>F67</f>
        <v>459698.98000000004</v>
      </c>
    </row>
    <row r="107" spans="2:6" x14ac:dyDescent="0.25">
      <c r="B107" s="37" t="s">
        <v>31</v>
      </c>
      <c r="C107" s="23" t="s">
        <v>29</v>
      </c>
      <c r="D107" s="20">
        <v>1</v>
      </c>
      <c r="E107" s="22">
        <f>INVESTIMENTOS!O27</f>
        <v>335989.45</v>
      </c>
      <c r="F107" s="34">
        <f>D107*E107</f>
        <v>335989.45</v>
      </c>
    </row>
    <row r="108" spans="2:6" x14ac:dyDescent="0.25">
      <c r="B108" s="33" t="s">
        <v>30</v>
      </c>
      <c r="C108" s="21" t="s">
        <v>29</v>
      </c>
      <c r="D108" s="20"/>
      <c r="E108" s="19"/>
      <c r="F108" s="52" t="e">
        <f>F79/D105</f>
        <v>#DIV/0!</v>
      </c>
    </row>
    <row r="109" spans="2:6" ht="15.75" thickBot="1" x14ac:dyDescent="0.3">
      <c r="B109" s="53" t="s">
        <v>28</v>
      </c>
      <c r="C109" s="54" t="s">
        <v>27</v>
      </c>
      <c r="D109" s="55"/>
      <c r="E109" s="56"/>
      <c r="F109" s="57">
        <v>12</v>
      </c>
    </row>
    <row r="110" spans="2:6" ht="15.75" thickTop="1" x14ac:dyDescent="0.25"/>
  </sheetData>
  <mergeCells count="5">
    <mergeCell ref="B8:F8"/>
    <mergeCell ref="B68:F68"/>
    <mergeCell ref="B74:F74"/>
    <mergeCell ref="B80:F80"/>
    <mergeCell ref="B83:B8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5931-4E1A-41DF-81B8-40B09B6E5E2B}">
  <dimension ref="A7:F108"/>
  <sheetViews>
    <sheetView topLeftCell="A19" workbookViewId="0">
      <selection activeCell="F86" sqref="F86"/>
    </sheetView>
  </sheetViews>
  <sheetFormatPr defaultRowHeight="15" x14ac:dyDescent="0.25"/>
  <cols>
    <col min="2" max="2" width="74.7109375" bestFit="1" customWidth="1"/>
    <col min="3" max="3" width="11.42578125" bestFit="1" customWidth="1"/>
    <col min="4" max="4" width="9.85546875" bestFit="1" customWidth="1"/>
    <col min="5" max="5" width="11.7109375" bestFit="1" customWidth="1"/>
    <col min="6" max="6" width="11.5703125" bestFit="1" customWidth="1"/>
    <col min="7" max="7" width="7" bestFit="1" customWidth="1"/>
  </cols>
  <sheetData>
    <row r="7" spans="2:6" ht="15.75" thickBot="1" x14ac:dyDescent="0.3"/>
    <row r="8" spans="2:6" ht="16.5" thickTop="1" thickBot="1" x14ac:dyDescent="0.3">
      <c r="B8" s="181" t="s">
        <v>69</v>
      </c>
      <c r="C8" s="182"/>
      <c r="D8" s="182"/>
      <c r="E8" s="182"/>
      <c r="F8" s="183"/>
    </row>
    <row r="9" spans="2:6" ht="15.75" thickTop="1" x14ac:dyDescent="0.25">
      <c r="B9" s="78" t="s">
        <v>68</v>
      </c>
      <c r="C9" s="79" t="s">
        <v>67</v>
      </c>
      <c r="D9" s="80" t="s">
        <v>66</v>
      </c>
      <c r="E9" s="81" t="s">
        <v>65</v>
      </c>
      <c r="F9" s="82" t="s">
        <v>64</v>
      </c>
    </row>
    <row r="10" spans="2:6" x14ac:dyDescent="0.25">
      <c r="B10" s="83"/>
      <c r="C10" s="84"/>
      <c r="D10" s="85" t="s">
        <v>63</v>
      </c>
      <c r="E10" s="86" t="s">
        <v>62</v>
      </c>
      <c r="F10" s="87" t="s">
        <v>62</v>
      </c>
    </row>
    <row r="11" spans="2:6" x14ac:dyDescent="0.25">
      <c r="B11" s="31" t="s">
        <v>61</v>
      </c>
      <c r="C11" s="30"/>
      <c r="D11" s="29"/>
      <c r="E11" s="28"/>
      <c r="F11" s="32"/>
    </row>
    <row r="12" spans="2:6" x14ac:dyDescent="0.25">
      <c r="B12" s="33" t="s">
        <v>60</v>
      </c>
      <c r="C12" s="27"/>
      <c r="D12" s="20"/>
      <c r="E12" s="22"/>
      <c r="F12" s="34"/>
    </row>
    <row r="13" spans="2:6" x14ac:dyDescent="0.25">
      <c r="B13" s="35" t="s">
        <v>70</v>
      </c>
      <c r="C13" s="27"/>
      <c r="D13" s="20"/>
      <c r="E13" s="22"/>
      <c r="F13" s="34"/>
    </row>
    <row r="14" spans="2:6" x14ac:dyDescent="0.25">
      <c r="B14" s="33" t="s">
        <v>71</v>
      </c>
      <c r="C14" s="23"/>
      <c r="D14" s="20"/>
      <c r="E14" s="22"/>
      <c r="F14" s="34">
        <f>+D14*E14</f>
        <v>0</v>
      </c>
    </row>
    <row r="15" spans="2:6" x14ac:dyDescent="0.25">
      <c r="B15" s="33" t="s">
        <v>72</v>
      </c>
      <c r="C15" s="23" t="s">
        <v>82</v>
      </c>
      <c r="D15" s="20">
        <v>12</v>
      </c>
      <c r="E15" s="22">
        <v>3250</v>
      </c>
      <c r="F15" s="34">
        <f>E15*D15</f>
        <v>39000</v>
      </c>
    </row>
    <row r="16" spans="2:6" x14ac:dyDescent="0.25">
      <c r="B16" s="33" t="s">
        <v>73</v>
      </c>
      <c r="C16" s="23" t="s">
        <v>82</v>
      </c>
      <c r="D16" s="20">
        <v>12</v>
      </c>
      <c r="E16" s="22">
        <v>3250</v>
      </c>
      <c r="F16" s="34">
        <f t="shared" ref="F16:F25" si="0">E16*D16</f>
        <v>39000</v>
      </c>
    </row>
    <row r="17" spans="2:6" x14ac:dyDescent="0.25">
      <c r="B17" s="33" t="s">
        <v>74</v>
      </c>
      <c r="C17" s="23" t="s">
        <v>82</v>
      </c>
      <c r="D17" s="20">
        <v>12</v>
      </c>
      <c r="E17" s="22">
        <v>3250</v>
      </c>
      <c r="F17" s="34">
        <f t="shared" si="0"/>
        <v>39000</v>
      </c>
    </row>
    <row r="18" spans="2:6" x14ac:dyDescent="0.25">
      <c r="B18" s="33" t="s">
        <v>77</v>
      </c>
      <c r="C18" s="23" t="s">
        <v>82</v>
      </c>
      <c r="D18" s="20">
        <v>0</v>
      </c>
      <c r="E18" s="22">
        <v>0</v>
      </c>
      <c r="F18" s="34">
        <f t="shared" si="0"/>
        <v>0</v>
      </c>
    </row>
    <row r="19" spans="2:6" x14ac:dyDescent="0.25">
      <c r="B19" s="33" t="s">
        <v>75</v>
      </c>
      <c r="C19" s="23" t="s">
        <v>82</v>
      </c>
      <c r="D19" s="20">
        <v>12</v>
      </c>
      <c r="E19" s="22">
        <f>$E$17</f>
        <v>3250</v>
      </c>
      <c r="F19" s="34">
        <f t="shared" si="0"/>
        <v>39000</v>
      </c>
    </row>
    <row r="20" spans="2:6" x14ac:dyDescent="0.25">
      <c r="B20" s="33" t="s">
        <v>78</v>
      </c>
      <c r="C20" s="23" t="s">
        <v>82</v>
      </c>
      <c r="D20" s="20">
        <v>0</v>
      </c>
      <c r="E20" s="22">
        <v>0</v>
      </c>
      <c r="F20" s="34">
        <f t="shared" si="0"/>
        <v>0</v>
      </c>
    </row>
    <row r="21" spans="2:6" x14ac:dyDescent="0.25">
      <c r="B21" s="94" t="s">
        <v>76</v>
      </c>
      <c r="C21" s="23" t="s">
        <v>82</v>
      </c>
      <c r="D21" s="20">
        <v>0</v>
      </c>
      <c r="E21" s="22">
        <v>0</v>
      </c>
      <c r="F21" s="34">
        <f t="shared" si="0"/>
        <v>0</v>
      </c>
    </row>
    <row r="22" spans="2:6" x14ac:dyDescent="0.25">
      <c r="B22" s="94" t="s">
        <v>80</v>
      </c>
      <c r="C22" s="23" t="s">
        <v>81</v>
      </c>
      <c r="D22" s="20">
        <v>1</v>
      </c>
      <c r="E22" s="22">
        <f>SUM($F$15:$F$21,$F$25,$F$24)</f>
        <v>200376</v>
      </c>
      <c r="F22" s="34">
        <f t="shared" si="0"/>
        <v>200376</v>
      </c>
    </row>
    <row r="23" spans="2:6" x14ac:dyDescent="0.25">
      <c r="B23" s="61" t="s">
        <v>59</v>
      </c>
      <c r="C23" s="23"/>
      <c r="D23" s="20"/>
      <c r="E23" s="22"/>
      <c r="F23" s="34">
        <f t="shared" si="0"/>
        <v>0</v>
      </c>
    </row>
    <row r="24" spans="2:6" x14ac:dyDescent="0.25">
      <c r="B24" s="61" t="s">
        <v>79</v>
      </c>
      <c r="C24" s="23" t="s">
        <v>82</v>
      </c>
      <c r="D24" s="20">
        <v>12</v>
      </c>
      <c r="E24" s="22">
        <v>1173</v>
      </c>
      <c r="F24" s="34">
        <f t="shared" si="0"/>
        <v>14076</v>
      </c>
    </row>
    <row r="25" spans="2:6" x14ac:dyDescent="0.25">
      <c r="B25" s="33" t="s">
        <v>83</v>
      </c>
      <c r="C25" s="23" t="s">
        <v>82</v>
      </c>
      <c r="D25" s="20">
        <v>12</v>
      </c>
      <c r="E25" s="22">
        <v>2525</v>
      </c>
      <c r="F25" s="34">
        <f t="shared" si="0"/>
        <v>30300</v>
      </c>
    </row>
    <row r="26" spans="2:6" x14ac:dyDescent="0.25">
      <c r="B26" s="36" t="s">
        <v>45</v>
      </c>
      <c r="C26" s="23"/>
      <c r="D26" s="20"/>
      <c r="E26" s="22"/>
      <c r="F26" s="34">
        <f>SUM(F15:F22,F24:F25)</f>
        <v>400752</v>
      </c>
    </row>
    <row r="27" spans="2:6" x14ac:dyDescent="0.25">
      <c r="B27" s="37" t="s">
        <v>100</v>
      </c>
      <c r="C27" s="23"/>
      <c r="D27" s="20"/>
      <c r="E27" s="22"/>
      <c r="F27" s="34"/>
    </row>
    <row r="28" spans="2:6" x14ac:dyDescent="0.25">
      <c r="B28" s="33" t="s">
        <v>92</v>
      </c>
      <c r="C28" s="23" t="s">
        <v>104</v>
      </c>
      <c r="D28" s="20">
        <v>3</v>
      </c>
      <c r="E28" s="22">
        <v>41.3</v>
      </c>
      <c r="F28" s="34">
        <f>D28*E28</f>
        <v>123.89999999999999</v>
      </c>
    </row>
    <row r="29" spans="2:6" x14ac:dyDescent="0.25">
      <c r="B29" s="33" t="s">
        <v>93</v>
      </c>
      <c r="C29" s="23" t="s">
        <v>104</v>
      </c>
      <c r="D29" s="20">
        <v>3</v>
      </c>
      <c r="E29" s="22">
        <v>29.9</v>
      </c>
      <c r="F29" s="34">
        <f t="shared" ref="F29:F35" si="1">D29*E29</f>
        <v>89.699999999999989</v>
      </c>
    </row>
    <row r="30" spans="2:6" x14ac:dyDescent="0.25">
      <c r="B30" s="33" t="s">
        <v>94</v>
      </c>
      <c r="C30" s="23" t="s">
        <v>104</v>
      </c>
      <c r="D30" s="20">
        <v>1</v>
      </c>
      <c r="E30" s="22">
        <v>7</v>
      </c>
      <c r="F30" s="34">
        <f t="shared" si="1"/>
        <v>7</v>
      </c>
    </row>
    <row r="31" spans="2:6" x14ac:dyDescent="0.25">
      <c r="B31" s="33" t="s">
        <v>95</v>
      </c>
      <c r="C31" s="23" t="s">
        <v>104</v>
      </c>
      <c r="D31" s="20">
        <v>3</v>
      </c>
      <c r="E31" s="22">
        <v>6.8</v>
      </c>
      <c r="F31" s="34">
        <f t="shared" si="1"/>
        <v>20.399999999999999</v>
      </c>
    </row>
    <row r="32" spans="2:6" x14ac:dyDescent="0.25">
      <c r="B32" s="33" t="s">
        <v>96</v>
      </c>
      <c r="C32" s="23" t="s">
        <v>104</v>
      </c>
      <c r="D32" s="20">
        <v>4</v>
      </c>
      <c r="E32" s="22">
        <v>6</v>
      </c>
      <c r="F32" s="34">
        <f t="shared" si="1"/>
        <v>24</v>
      </c>
    </row>
    <row r="33" spans="2:6" x14ac:dyDescent="0.25">
      <c r="B33" s="33" t="s">
        <v>97</v>
      </c>
      <c r="C33" s="23" t="s">
        <v>67</v>
      </c>
      <c r="D33" s="20">
        <v>35</v>
      </c>
      <c r="E33" s="22">
        <v>21.9</v>
      </c>
      <c r="F33" s="34">
        <f t="shared" si="1"/>
        <v>766.5</v>
      </c>
    </row>
    <row r="34" spans="2:6" x14ac:dyDescent="0.25">
      <c r="B34" s="33" t="s">
        <v>98</v>
      </c>
      <c r="C34" s="23" t="s">
        <v>104</v>
      </c>
      <c r="D34" s="20">
        <v>1</v>
      </c>
      <c r="E34" s="22">
        <v>16.899999999999999</v>
      </c>
      <c r="F34" s="34">
        <f t="shared" si="1"/>
        <v>16.899999999999999</v>
      </c>
    </row>
    <row r="35" spans="2:6" x14ac:dyDescent="0.25">
      <c r="B35" s="33" t="s">
        <v>99</v>
      </c>
      <c r="C35" s="23" t="s">
        <v>67</v>
      </c>
      <c r="D35" s="20">
        <v>2</v>
      </c>
      <c r="E35" s="22">
        <v>30.9</v>
      </c>
      <c r="F35" s="34">
        <f t="shared" si="1"/>
        <v>61.8</v>
      </c>
    </row>
    <row r="36" spans="2:6" x14ac:dyDescent="0.25">
      <c r="B36" s="96" t="s">
        <v>45</v>
      </c>
      <c r="C36" s="23"/>
      <c r="D36" s="20"/>
      <c r="E36" s="22"/>
      <c r="F36" s="34">
        <f>SUM(F28:F35)</f>
        <v>1110.2</v>
      </c>
    </row>
    <row r="37" spans="2:6" x14ac:dyDescent="0.25">
      <c r="B37" s="95" t="s">
        <v>101</v>
      </c>
      <c r="C37" s="23"/>
      <c r="D37" s="20"/>
      <c r="E37" s="22"/>
      <c r="F37" s="34">
        <f t="shared" ref="F37:F50" si="2">$D37*$E37</f>
        <v>0</v>
      </c>
    </row>
    <row r="38" spans="2:6" x14ac:dyDescent="0.25">
      <c r="B38" s="97" t="s">
        <v>84</v>
      </c>
      <c r="C38" s="23" t="s">
        <v>105</v>
      </c>
      <c r="D38" s="20">
        <v>4</v>
      </c>
      <c r="E38" s="22">
        <v>49</v>
      </c>
      <c r="F38" s="34">
        <f>D38*E38</f>
        <v>196</v>
      </c>
    </row>
    <row r="39" spans="2:6" x14ac:dyDescent="0.25">
      <c r="B39" s="97" t="s">
        <v>85</v>
      </c>
      <c r="C39" s="23" t="s">
        <v>105</v>
      </c>
      <c r="D39" s="20">
        <v>4</v>
      </c>
      <c r="E39" s="22">
        <v>59.9</v>
      </c>
      <c r="F39" s="34">
        <f t="shared" ref="F39:F45" si="3">D39*E39</f>
        <v>239.6</v>
      </c>
    </row>
    <row r="40" spans="2:6" x14ac:dyDescent="0.25">
      <c r="B40" s="97" t="s">
        <v>86</v>
      </c>
      <c r="C40" s="23" t="s">
        <v>104</v>
      </c>
      <c r="D40" s="20">
        <v>20</v>
      </c>
      <c r="E40" s="22">
        <v>11.76</v>
      </c>
      <c r="F40" s="34">
        <f t="shared" si="3"/>
        <v>235.2</v>
      </c>
    </row>
    <row r="41" spans="2:6" x14ac:dyDescent="0.25">
      <c r="B41" s="97" t="s">
        <v>87</v>
      </c>
      <c r="C41" s="23" t="s">
        <v>67</v>
      </c>
      <c r="D41" s="20">
        <v>12</v>
      </c>
      <c r="E41" s="22">
        <v>14</v>
      </c>
      <c r="F41" s="34">
        <f t="shared" si="3"/>
        <v>168</v>
      </c>
    </row>
    <row r="42" spans="2:6" x14ac:dyDescent="0.25">
      <c r="B42" s="97" t="s">
        <v>88</v>
      </c>
      <c r="C42" s="23" t="s">
        <v>67</v>
      </c>
      <c r="D42" s="20">
        <v>3</v>
      </c>
      <c r="E42" s="22">
        <v>20</v>
      </c>
      <c r="F42" s="34">
        <f t="shared" si="3"/>
        <v>60</v>
      </c>
    </row>
    <row r="43" spans="2:6" x14ac:dyDescent="0.25">
      <c r="B43" s="97" t="s">
        <v>89</v>
      </c>
      <c r="C43" s="23" t="s">
        <v>67</v>
      </c>
      <c r="D43" s="20">
        <v>3</v>
      </c>
      <c r="E43" s="22">
        <v>17.899999999999999</v>
      </c>
      <c r="F43" s="34">
        <f t="shared" si="3"/>
        <v>53.699999999999996</v>
      </c>
    </row>
    <row r="44" spans="2:6" x14ac:dyDescent="0.25">
      <c r="B44" s="97" t="s">
        <v>90</v>
      </c>
      <c r="C44" s="23" t="s">
        <v>67</v>
      </c>
      <c r="D44" s="20">
        <v>4</v>
      </c>
      <c r="E44" s="22">
        <v>15</v>
      </c>
      <c r="F44" s="34">
        <f t="shared" si="3"/>
        <v>60</v>
      </c>
    </row>
    <row r="45" spans="2:6" x14ac:dyDescent="0.25">
      <c r="B45" s="97" t="s">
        <v>91</v>
      </c>
      <c r="C45" s="23" t="s">
        <v>67</v>
      </c>
      <c r="D45" s="20">
        <v>48</v>
      </c>
      <c r="E45" s="22">
        <v>4.99</v>
      </c>
      <c r="F45" s="34">
        <f t="shared" si="3"/>
        <v>239.52</v>
      </c>
    </row>
    <row r="46" spans="2:6" x14ac:dyDescent="0.25">
      <c r="B46" s="103" t="s">
        <v>45</v>
      </c>
      <c r="C46" s="23"/>
      <c r="D46" s="20"/>
      <c r="E46" s="22"/>
      <c r="F46" s="34">
        <f>SUM(F38:F45)</f>
        <v>1252.02</v>
      </c>
    </row>
    <row r="47" spans="2:6" x14ac:dyDescent="0.25">
      <c r="B47" s="98" t="s">
        <v>102</v>
      </c>
      <c r="C47" s="23"/>
      <c r="D47" s="20"/>
      <c r="E47" s="22"/>
      <c r="F47" s="34">
        <f t="shared" si="2"/>
        <v>0</v>
      </c>
    </row>
    <row r="48" spans="2:6" x14ac:dyDescent="0.25">
      <c r="B48" s="97" t="s">
        <v>103</v>
      </c>
      <c r="C48" s="23" t="s">
        <v>106</v>
      </c>
      <c r="D48" s="20">
        <v>1</v>
      </c>
      <c r="E48" s="22">
        <v>567</v>
      </c>
      <c r="F48" s="34">
        <f>D48*E48</f>
        <v>567</v>
      </c>
    </row>
    <row r="49" spans="2:6" x14ac:dyDescent="0.25">
      <c r="B49" s="36" t="s">
        <v>45</v>
      </c>
      <c r="C49" s="23"/>
      <c r="D49" s="20"/>
      <c r="E49" s="22"/>
      <c r="F49" s="34">
        <f>F48</f>
        <v>567</v>
      </c>
    </row>
    <row r="50" spans="2:6" x14ac:dyDescent="0.25">
      <c r="B50" s="35" t="s">
        <v>107</v>
      </c>
      <c r="C50" s="23"/>
      <c r="D50" s="20"/>
      <c r="E50" s="22"/>
      <c r="F50" s="34">
        <f t="shared" si="2"/>
        <v>0</v>
      </c>
    </row>
    <row r="51" spans="2:6" x14ac:dyDescent="0.25">
      <c r="B51" s="33" t="s">
        <v>108</v>
      </c>
      <c r="C51" s="23" t="s">
        <v>82</v>
      </c>
      <c r="D51" s="20">
        <v>12</v>
      </c>
      <c r="E51" s="22">
        <v>5503.8</v>
      </c>
      <c r="F51" s="34">
        <f>D51*E51</f>
        <v>66045.600000000006</v>
      </c>
    </row>
    <row r="52" spans="2:6" x14ac:dyDescent="0.25">
      <c r="B52" s="33" t="s">
        <v>109</v>
      </c>
      <c r="C52" s="23" t="s">
        <v>137</v>
      </c>
      <c r="D52" s="20">
        <v>12</v>
      </c>
      <c r="E52" s="22">
        <v>937.12</v>
      </c>
      <c r="F52" s="34">
        <f t="shared" ref="F52:F55" si="4">D52*E52</f>
        <v>11245.44</v>
      </c>
    </row>
    <row r="53" spans="2:6" x14ac:dyDescent="0.25">
      <c r="B53" s="33" t="s">
        <v>110</v>
      </c>
      <c r="C53" s="23" t="s">
        <v>138</v>
      </c>
      <c r="D53" s="20">
        <v>12</v>
      </c>
      <c r="E53" s="22">
        <v>120.56</v>
      </c>
      <c r="F53" s="34">
        <f t="shared" si="4"/>
        <v>1446.72</v>
      </c>
    </row>
    <row r="54" spans="2:6" x14ac:dyDescent="0.25">
      <c r="B54" s="33" t="s">
        <v>111</v>
      </c>
      <c r="C54" s="23" t="s">
        <v>114</v>
      </c>
      <c r="D54" s="20">
        <v>32140</v>
      </c>
      <c r="E54" s="22">
        <v>4.38</v>
      </c>
      <c r="F54" s="34">
        <f t="shared" si="4"/>
        <v>140773.19999999998</v>
      </c>
    </row>
    <row r="55" spans="2:6" x14ac:dyDescent="0.25">
      <c r="B55" s="100" t="s">
        <v>113</v>
      </c>
      <c r="C55" s="23" t="s">
        <v>82</v>
      </c>
      <c r="D55" s="20">
        <v>12</v>
      </c>
      <c r="E55" s="22">
        <v>250</v>
      </c>
      <c r="F55" s="34">
        <f t="shared" si="4"/>
        <v>3000</v>
      </c>
    </row>
    <row r="56" spans="2:6" x14ac:dyDescent="0.25">
      <c r="B56" s="102" t="s">
        <v>45</v>
      </c>
      <c r="C56" s="23"/>
      <c r="D56" s="20"/>
      <c r="E56" s="22"/>
      <c r="F56" s="34">
        <f>SUM(F51:F55)</f>
        <v>222510.96</v>
      </c>
    </row>
    <row r="57" spans="2:6" x14ac:dyDescent="0.25">
      <c r="B57" s="99" t="s">
        <v>135</v>
      </c>
      <c r="C57" s="23"/>
      <c r="D57" s="20"/>
      <c r="E57" s="22"/>
      <c r="F57" s="34"/>
    </row>
    <row r="58" spans="2:6" x14ac:dyDescent="0.25">
      <c r="B58" s="100" t="s">
        <v>136</v>
      </c>
      <c r="C58" s="23" t="s">
        <v>81</v>
      </c>
      <c r="D58" s="20">
        <v>4</v>
      </c>
      <c r="E58" s="22">
        <v>120000</v>
      </c>
      <c r="F58" s="34">
        <f>D58*E58</f>
        <v>480000</v>
      </c>
    </row>
    <row r="59" spans="2:6" x14ac:dyDescent="0.25">
      <c r="B59" s="100" t="s">
        <v>140</v>
      </c>
      <c r="C59" s="23" t="s">
        <v>81</v>
      </c>
      <c r="D59" s="20">
        <v>4</v>
      </c>
      <c r="E59" s="22">
        <v>100000</v>
      </c>
      <c r="F59" s="34">
        <f>D59*E59</f>
        <v>400000</v>
      </c>
    </row>
    <row r="60" spans="2:6" x14ac:dyDescent="0.25">
      <c r="B60" s="102" t="s">
        <v>45</v>
      </c>
      <c r="C60" s="23"/>
      <c r="D60" s="20"/>
      <c r="E60" s="22">
        <f>SUM($E$58:$E$59)</f>
        <v>220000</v>
      </c>
      <c r="F60" s="34">
        <f>SUM(F58,F59)</f>
        <v>880000</v>
      </c>
    </row>
    <row r="61" spans="2:6" x14ac:dyDescent="0.25">
      <c r="B61" s="101" t="s">
        <v>134</v>
      </c>
      <c r="C61" s="23"/>
      <c r="D61" s="20"/>
      <c r="E61" s="22"/>
      <c r="F61" s="34"/>
    </row>
    <row r="62" spans="2:6" x14ac:dyDescent="0.25">
      <c r="B62" s="97" t="s">
        <v>116</v>
      </c>
      <c r="C62" s="23" t="s">
        <v>81</v>
      </c>
      <c r="D62" s="20">
        <v>1</v>
      </c>
      <c r="E62" s="22"/>
      <c r="F62" s="34"/>
    </row>
    <row r="63" spans="2:6" x14ac:dyDescent="0.25">
      <c r="B63" s="97" t="s">
        <v>112</v>
      </c>
      <c r="C63" s="23" t="s">
        <v>81</v>
      </c>
      <c r="D63" s="20">
        <v>1</v>
      </c>
      <c r="E63" s="22">
        <v>1200</v>
      </c>
      <c r="F63" s="34">
        <f>D63*E63</f>
        <v>1200</v>
      </c>
    </row>
    <row r="64" spans="2:6" x14ac:dyDescent="0.25">
      <c r="B64" s="97" t="s">
        <v>139</v>
      </c>
      <c r="C64" s="23" t="s">
        <v>81</v>
      </c>
      <c r="D64" s="109">
        <v>0.18</v>
      </c>
      <c r="E64" s="22">
        <f>$E$60*8</f>
        <v>1760000</v>
      </c>
      <c r="F64" s="34">
        <f>E64*D64</f>
        <v>316800</v>
      </c>
    </row>
    <row r="65" spans="1:6" x14ac:dyDescent="0.25">
      <c r="B65" s="36" t="s">
        <v>115</v>
      </c>
      <c r="C65" s="23" t="s">
        <v>81</v>
      </c>
      <c r="D65" s="20">
        <v>1</v>
      </c>
      <c r="E65" s="22">
        <v>5000</v>
      </c>
      <c r="F65" s="34">
        <f>D65*E65</f>
        <v>5000</v>
      </c>
    </row>
    <row r="66" spans="1:6" ht="15.75" thickBot="1" x14ac:dyDescent="0.3">
      <c r="B66" s="36" t="s">
        <v>45</v>
      </c>
      <c r="C66" s="23"/>
      <c r="D66" s="20"/>
      <c r="E66" s="22"/>
      <c r="F66" s="34">
        <f>SUM(F62:F65)</f>
        <v>323000</v>
      </c>
    </row>
    <row r="67" spans="1:6" ht="16.5" thickTop="1" thickBot="1" x14ac:dyDescent="0.3">
      <c r="B67" s="73" t="s">
        <v>58</v>
      </c>
      <c r="C67" s="74" t="s">
        <v>29</v>
      </c>
      <c r="D67" s="75"/>
      <c r="E67" s="76"/>
      <c r="F67" s="77">
        <f>SUM(F26,F36,F46,F49,F56,F66,F60)</f>
        <v>1829192.1800000002</v>
      </c>
    </row>
    <row r="68" spans="1:6" ht="16.5" thickTop="1" thickBot="1" x14ac:dyDescent="0.3">
      <c r="B68" s="184"/>
      <c r="C68" s="185"/>
      <c r="D68" s="185"/>
      <c r="E68" s="185"/>
      <c r="F68" s="186"/>
    </row>
    <row r="69" spans="1:6" ht="15.75" thickTop="1" x14ac:dyDescent="0.25">
      <c r="B69" s="59" t="s">
        <v>57</v>
      </c>
      <c r="C69" s="23"/>
      <c r="D69" s="20"/>
      <c r="E69" s="22"/>
      <c r="F69" s="34"/>
    </row>
    <row r="70" spans="1:6" x14ac:dyDescent="0.25">
      <c r="B70" s="59" t="s">
        <v>56</v>
      </c>
      <c r="C70" s="23" t="s">
        <v>29</v>
      </c>
      <c r="D70" s="20"/>
      <c r="E70" s="22"/>
      <c r="F70" s="34">
        <f>F67</f>
        <v>1829192.1800000002</v>
      </c>
    </row>
    <row r="71" spans="1:6" x14ac:dyDescent="0.25">
      <c r="A71" s="3"/>
      <c r="B71" s="59" t="s">
        <v>55</v>
      </c>
      <c r="C71" s="23"/>
      <c r="D71" s="22">
        <v>1</v>
      </c>
      <c r="E71" s="22">
        <f>INVESTIMENTOS!$R$27</f>
        <v>61152.30333333333</v>
      </c>
      <c r="F71" s="34">
        <f>D71*E71</f>
        <v>61152.30333333333</v>
      </c>
    </row>
    <row r="72" spans="1:6" ht="15.75" thickBot="1" x14ac:dyDescent="0.3">
      <c r="A72" s="3"/>
      <c r="B72" s="60" t="s">
        <v>54</v>
      </c>
      <c r="C72" s="39" t="s">
        <v>29</v>
      </c>
      <c r="D72" s="41">
        <v>12</v>
      </c>
      <c r="E72" s="41">
        <v>6000</v>
      </c>
      <c r="F72" s="42">
        <f>+D72*E72</f>
        <v>72000</v>
      </c>
    </row>
    <row r="73" spans="1:6" ht="16.5" thickTop="1" thickBot="1" x14ac:dyDescent="0.3">
      <c r="A73" s="3"/>
      <c r="B73" s="72" t="s">
        <v>53</v>
      </c>
      <c r="C73" s="68" t="s">
        <v>29</v>
      </c>
      <c r="D73" s="69"/>
      <c r="E73" s="70"/>
      <c r="F73" s="71">
        <f>SUM(F70:F72)</f>
        <v>1962344.4833333334</v>
      </c>
    </row>
    <row r="74" spans="1:6" ht="16.5" thickTop="1" thickBot="1" x14ac:dyDescent="0.3">
      <c r="A74" s="3"/>
      <c r="B74" s="185"/>
      <c r="C74" s="185"/>
      <c r="D74" s="185"/>
      <c r="E74" s="185"/>
      <c r="F74" s="186"/>
    </row>
    <row r="75" spans="1:6" ht="15.75" thickTop="1" x14ac:dyDescent="0.25">
      <c r="A75" s="3"/>
      <c r="B75" s="59" t="s">
        <v>52</v>
      </c>
      <c r="C75" s="23"/>
      <c r="D75" s="20"/>
      <c r="E75" s="22"/>
      <c r="F75" s="34"/>
    </row>
    <row r="76" spans="1:6" x14ac:dyDescent="0.25">
      <c r="A76" s="3"/>
      <c r="B76" s="33" t="s">
        <v>51</v>
      </c>
      <c r="C76" s="23" t="s">
        <v>29</v>
      </c>
      <c r="D76" s="20"/>
      <c r="E76" s="22"/>
      <c r="F76" s="34">
        <f>F73</f>
        <v>1962344.4833333334</v>
      </c>
    </row>
    <row r="77" spans="1:6" x14ac:dyDescent="0.25">
      <c r="A77" s="3"/>
      <c r="B77" s="33" t="s">
        <v>50</v>
      </c>
      <c r="C77" s="23" t="s">
        <v>29</v>
      </c>
      <c r="D77" s="20">
        <f>(F67*F107)/100</f>
        <v>256086.90520000004</v>
      </c>
      <c r="E77" s="26">
        <v>1</v>
      </c>
      <c r="F77" s="34">
        <f>+D77*E77</f>
        <v>256086.90520000004</v>
      </c>
    </row>
    <row r="78" spans="1:6" ht="15.75" thickBot="1" x14ac:dyDescent="0.3">
      <c r="A78" s="3"/>
      <c r="B78" s="49" t="s">
        <v>49</v>
      </c>
      <c r="C78" s="39"/>
      <c r="D78" s="40">
        <f>(INVESTIMENTOS!$O$27*F107)/100</f>
        <v>47038.523000000001</v>
      </c>
      <c r="E78" s="41">
        <v>1</v>
      </c>
      <c r="F78" s="42">
        <f>D78*E78</f>
        <v>47038.523000000001</v>
      </c>
    </row>
    <row r="79" spans="1:6" ht="16.5" thickTop="1" thickBot="1" x14ac:dyDescent="0.3">
      <c r="B79" s="67" t="s">
        <v>48</v>
      </c>
      <c r="C79" s="68" t="s">
        <v>29</v>
      </c>
      <c r="D79" s="69"/>
      <c r="E79" s="70"/>
      <c r="F79" s="71">
        <f>SUM(F76:F78)</f>
        <v>2265469.9115333334</v>
      </c>
    </row>
    <row r="80" spans="1:6" ht="16.5" thickTop="1" thickBot="1" x14ac:dyDescent="0.3">
      <c r="A80" s="3"/>
      <c r="B80" s="184"/>
      <c r="C80" s="185"/>
      <c r="D80" s="185"/>
      <c r="E80" s="185"/>
      <c r="F80" s="186"/>
    </row>
    <row r="81" spans="1:6" ht="15.75" thickTop="1" x14ac:dyDescent="0.25">
      <c r="A81" s="3"/>
      <c r="B81" s="35" t="s">
        <v>47</v>
      </c>
      <c r="C81" s="110"/>
      <c r="D81" s="111"/>
      <c r="E81" s="112"/>
      <c r="F81" s="34"/>
    </row>
    <row r="82" spans="1:6" x14ac:dyDescent="0.25">
      <c r="A82" s="3"/>
      <c r="B82" s="33" t="s">
        <v>46</v>
      </c>
      <c r="C82" s="21"/>
      <c r="D82" s="20"/>
      <c r="E82" s="22"/>
      <c r="F82" s="113">
        <f>D82*E82</f>
        <v>0</v>
      </c>
    </row>
    <row r="83" spans="1:6" x14ac:dyDescent="0.25">
      <c r="A83" s="3"/>
      <c r="B83" s="187" t="s">
        <v>146</v>
      </c>
      <c r="C83" s="23"/>
      <c r="D83" s="20"/>
      <c r="E83" s="22"/>
      <c r="F83" s="34"/>
    </row>
    <row r="84" spans="1:6" x14ac:dyDescent="0.25">
      <c r="A84" s="3"/>
      <c r="B84" s="187"/>
      <c r="C84" s="23"/>
      <c r="D84" s="20"/>
      <c r="E84" s="22"/>
      <c r="F84" s="34"/>
    </row>
    <row r="85" spans="1:6" x14ac:dyDescent="0.25">
      <c r="A85" s="3"/>
      <c r="B85" s="114" t="s">
        <v>144</v>
      </c>
      <c r="C85" s="23" t="s">
        <v>147</v>
      </c>
      <c r="D85" s="20">
        <v>8</v>
      </c>
      <c r="E85" s="22">
        <v>270000</v>
      </c>
      <c r="F85" s="34">
        <f>(D85*E85)</f>
        <v>2160000</v>
      </c>
    </row>
    <row r="86" spans="1:6" x14ac:dyDescent="0.25">
      <c r="A86" s="3"/>
      <c r="B86" s="114" t="s">
        <v>145</v>
      </c>
      <c r="C86" s="23" t="s">
        <v>148</v>
      </c>
      <c r="D86" s="20">
        <v>12</v>
      </c>
      <c r="E86" s="169">
        <v>998</v>
      </c>
      <c r="F86" s="34">
        <f>(D86*E86)*D85</f>
        <v>95808</v>
      </c>
    </row>
    <row r="87" spans="1:6" ht="15.75" thickBot="1" x14ac:dyDescent="0.3">
      <c r="A87" s="3"/>
      <c r="B87" s="38" t="s">
        <v>45</v>
      </c>
      <c r="C87" s="39"/>
      <c r="D87" s="40"/>
      <c r="E87" s="41">
        <f>SUM(E85:E86)</f>
        <v>270998</v>
      </c>
      <c r="F87" s="42">
        <f>SUM(F85:F86)</f>
        <v>2255808</v>
      </c>
    </row>
    <row r="88" spans="1:6" ht="16.5" thickTop="1" thickBot="1" x14ac:dyDescent="0.3">
      <c r="A88" s="3"/>
      <c r="B88" s="62" t="s">
        <v>44</v>
      </c>
      <c r="C88" s="63" t="s">
        <v>29</v>
      </c>
      <c r="D88" s="64"/>
      <c r="E88" s="65"/>
      <c r="F88" s="66">
        <f>SUM(F87)</f>
        <v>2255808</v>
      </c>
    </row>
    <row r="89" spans="1:6" ht="15.75" thickTop="1" x14ac:dyDescent="0.25">
      <c r="A89" s="3"/>
      <c r="B89" s="43" t="s">
        <v>43</v>
      </c>
      <c r="C89" s="44" t="s">
        <v>29</v>
      </c>
      <c r="D89" s="45"/>
      <c r="E89" s="46"/>
      <c r="F89" s="47">
        <f>+F88-F67</f>
        <v>426615.81999999983</v>
      </c>
    </row>
    <row r="90" spans="1:6" ht="15.75" thickBot="1" x14ac:dyDescent="0.3">
      <c r="B90" s="93"/>
      <c r="C90" s="39"/>
      <c r="D90" s="40"/>
      <c r="E90" s="41"/>
      <c r="F90" s="42"/>
    </row>
    <row r="91" spans="1:6" ht="15.75" thickTop="1" x14ac:dyDescent="0.25">
      <c r="B91" s="33" t="s">
        <v>42</v>
      </c>
      <c r="C91" s="23" t="s">
        <v>29</v>
      </c>
      <c r="D91" s="20"/>
      <c r="E91" s="22"/>
      <c r="F91" s="34">
        <f>+F88-F73</f>
        <v>293463.5166666666</v>
      </c>
    </row>
    <row r="92" spans="1:6" ht="15.75" thickBot="1" x14ac:dyDescent="0.3">
      <c r="B92" s="35"/>
      <c r="C92" s="23"/>
      <c r="D92" s="20"/>
      <c r="E92" s="22"/>
      <c r="F92" s="34"/>
    </row>
    <row r="93" spans="1:6" ht="15.75" thickTop="1" x14ac:dyDescent="0.25">
      <c r="B93" s="43" t="s">
        <v>41</v>
      </c>
      <c r="C93" s="44" t="s">
        <v>29</v>
      </c>
      <c r="D93" s="45"/>
      <c r="E93" s="46"/>
      <c r="F93" s="47">
        <f>+F88-F79</f>
        <v>-9661.9115333333611</v>
      </c>
    </row>
    <row r="94" spans="1:6" ht="15.75" thickBot="1" x14ac:dyDescent="0.3">
      <c r="B94" s="93"/>
      <c r="C94" s="39"/>
      <c r="D94" s="40"/>
      <c r="E94" s="41"/>
      <c r="F94" s="42"/>
    </row>
    <row r="95" spans="1:6" ht="15.75" thickTop="1" x14ac:dyDescent="0.25">
      <c r="A95" s="3"/>
      <c r="B95" s="33" t="s">
        <v>40</v>
      </c>
      <c r="C95" s="25"/>
      <c r="D95" s="20"/>
      <c r="E95" s="22"/>
      <c r="F95" s="50"/>
    </row>
    <row r="96" spans="1:6" x14ac:dyDescent="0.25">
      <c r="B96" s="37" t="s">
        <v>39</v>
      </c>
      <c r="C96" s="24" t="s">
        <v>36</v>
      </c>
      <c r="D96" s="20"/>
      <c r="E96" s="22"/>
      <c r="F96" s="34">
        <f>(F91/F104)*100</f>
        <v>16.043339780004228</v>
      </c>
    </row>
    <row r="97" spans="2:6" ht="15.75" thickBot="1" x14ac:dyDescent="0.3">
      <c r="B97" s="33"/>
      <c r="C97" s="23"/>
      <c r="D97" s="20"/>
      <c r="E97" s="22"/>
      <c r="F97" s="34"/>
    </row>
    <row r="98" spans="2:6" ht="15.75" thickTop="1" x14ac:dyDescent="0.25">
      <c r="B98" s="43" t="s">
        <v>38</v>
      </c>
      <c r="C98" s="44" t="s">
        <v>26</v>
      </c>
      <c r="D98" s="45"/>
      <c r="E98" s="46"/>
      <c r="F98" s="47"/>
    </row>
    <row r="99" spans="2:6" x14ac:dyDescent="0.25">
      <c r="B99" s="37" t="s">
        <v>37</v>
      </c>
      <c r="C99" s="24" t="s">
        <v>36</v>
      </c>
      <c r="D99" s="20"/>
      <c r="E99" s="22"/>
      <c r="F99" s="34">
        <f>(F91/(F104+F105))*100</f>
        <v>13.55375976779678</v>
      </c>
    </row>
    <row r="100" spans="2:6" ht="15.75" thickBot="1" x14ac:dyDescent="0.3">
      <c r="B100" s="48"/>
      <c r="C100" s="58"/>
      <c r="D100" s="40"/>
      <c r="E100" s="41"/>
      <c r="F100" s="42"/>
    </row>
    <row r="101" spans="2:6" ht="16.5" thickTop="1" thickBot="1" x14ac:dyDescent="0.3">
      <c r="B101" s="88" t="s">
        <v>34</v>
      </c>
      <c r="C101" s="89"/>
      <c r="D101" s="90"/>
      <c r="E101" s="91"/>
      <c r="F101" s="92">
        <f>F91/F88</f>
        <v>0.13009241773531552</v>
      </c>
    </row>
    <row r="102" spans="2:6" ht="15.75" thickTop="1" x14ac:dyDescent="0.25">
      <c r="B102" s="33" t="s">
        <v>33</v>
      </c>
      <c r="C102" s="23"/>
      <c r="D102" s="20"/>
      <c r="E102" s="22"/>
      <c r="F102" s="34"/>
    </row>
    <row r="103" spans="2:6" x14ac:dyDescent="0.25">
      <c r="B103" s="33" t="s">
        <v>149</v>
      </c>
      <c r="C103" s="23" t="s">
        <v>81</v>
      </c>
      <c r="D103" s="20">
        <f>D85</f>
        <v>8</v>
      </c>
      <c r="E103" s="22">
        <f>270000+(998*12)</f>
        <v>281976</v>
      </c>
      <c r="F103" s="51">
        <f>D103*E103</f>
        <v>2255808</v>
      </c>
    </row>
    <row r="104" spans="2:6" x14ac:dyDescent="0.25">
      <c r="B104" s="37" t="s">
        <v>32</v>
      </c>
      <c r="C104" s="23" t="s">
        <v>29</v>
      </c>
      <c r="D104" s="20"/>
      <c r="E104" s="22"/>
      <c r="F104" s="34">
        <f>F67</f>
        <v>1829192.1800000002</v>
      </c>
    </row>
    <row r="105" spans="2:6" x14ac:dyDescent="0.25">
      <c r="B105" s="37" t="s">
        <v>31</v>
      </c>
      <c r="C105" s="23" t="s">
        <v>29</v>
      </c>
      <c r="D105" s="20">
        <v>1</v>
      </c>
      <c r="E105" s="22">
        <f>INVESTIMENTOS!O27</f>
        <v>335989.45</v>
      </c>
      <c r="F105" s="34">
        <f>D105*E105</f>
        <v>335989.45</v>
      </c>
    </row>
    <row r="106" spans="2:6" x14ac:dyDescent="0.25">
      <c r="B106" s="33" t="s">
        <v>30</v>
      </c>
      <c r="C106" s="21" t="s">
        <v>29</v>
      </c>
      <c r="D106" s="20"/>
      <c r="E106" s="19"/>
      <c r="F106" s="52">
        <f>F79/D103</f>
        <v>283183.73894166667</v>
      </c>
    </row>
    <row r="107" spans="2:6" ht="15.75" thickBot="1" x14ac:dyDescent="0.3">
      <c r="B107" s="53" t="s">
        <v>28</v>
      </c>
      <c r="C107" s="54" t="s">
        <v>27</v>
      </c>
      <c r="D107" s="55"/>
      <c r="E107" s="56"/>
      <c r="F107" s="57">
        <v>14</v>
      </c>
    </row>
    <row r="108" spans="2:6" ht="15.75" thickTop="1" x14ac:dyDescent="0.25"/>
  </sheetData>
  <mergeCells count="5">
    <mergeCell ref="B8:F8"/>
    <mergeCell ref="B68:F68"/>
    <mergeCell ref="B74:F74"/>
    <mergeCell ref="B80:F80"/>
    <mergeCell ref="B83:B8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04C9-AB14-4AAE-81F7-EA9979B4CE4C}">
  <dimension ref="A7:F23"/>
  <sheetViews>
    <sheetView tabSelected="1" workbookViewId="0">
      <selection activeCell="G25" sqref="G25"/>
    </sheetView>
  </sheetViews>
  <sheetFormatPr defaultRowHeight="15" x14ac:dyDescent="0.25"/>
  <cols>
    <col min="2" max="2" width="47.140625" bestFit="1" customWidth="1"/>
    <col min="3" max="3" width="14.28515625" customWidth="1"/>
    <col min="4" max="6" width="13.42578125" bestFit="1" customWidth="1"/>
  </cols>
  <sheetData>
    <row r="7" spans="2:6" ht="15.75" x14ac:dyDescent="0.25">
      <c r="B7" s="115"/>
    </row>
    <row r="8" spans="2:6" ht="15.75" thickBot="1" x14ac:dyDescent="0.3"/>
    <row r="9" spans="2:6" ht="18.75" thickBot="1" x14ac:dyDescent="0.3">
      <c r="B9" s="116" t="s">
        <v>150</v>
      </c>
      <c r="C9" s="117"/>
      <c r="D9" s="117"/>
      <c r="E9" s="117"/>
      <c r="F9" s="118"/>
    </row>
    <row r="10" spans="2:6" ht="15.75" thickBot="1" x14ac:dyDescent="0.3"/>
    <row r="11" spans="2:6" ht="15.75" thickBot="1" x14ac:dyDescent="0.3">
      <c r="B11" s="105"/>
      <c r="C11" s="119" t="s">
        <v>10</v>
      </c>
      <c r="D11" s="121" t="s">
        <v>8</v>
      </c>
      <c r="E11" s="120" t="s">
        <v>9</v>
      </c>
      <c r="F11" s="122" t="s">
        <v>7</v>
      </c>
    </row>
    <row r="12" spans="2:6" ht="15.75" thickBot="1" x14ac:dyDescent="0.3">
      <c r="B12" s="105"/>
      <c r="C12" s="105"/>
      <c r="D12" s="105"/>
      <c r="E12" s="105"/>
      <c r="F12" s="123"/>
    </row>
    <row r="13" spans="2:6" ht="15.75" thickBot="1" x14ac:dyDescent="0.3">
      <c r="B13" s="122" t="s">
        <v>151</v>
      </c>
      <c r="C13" s="124">
        <f>'CUSTO INICIAL'!F79</f>
        <v>664333.8949333335</v>
      </c>
      <c r="D13" s="124">
        <f>'CUSTO FINAL'!$F$76</f>
        <v>3211833.2233333332</v>
      </c>
      <c r="E13" s="124">
        <f>'CUSTO FINAL'!$F$76</f>
        <v>3211833.2233333332</v>
      </c>
      <c r="F13" s="125">
        <f>SUM(C13:E13)</f>
        <v>7088000.3415999999</v>
      </c>
    </row>
    <row r="14" spans="2:6" ht="15.75" thickBot="1" x14ac:dyDescent="0.3">
      <c r="B14" s="108"/>
      <c r="C14" s="126"/>
      <c r="D14" s="126"/>
      <c r="E14" s="126"/>
      <c r="F14" s="125">
        <f>SUM(C14:E14)</f>
        <v>0</v>
      </c>
    </row>
    <row r="15" spans="2:6" ht="15.75" thickBot="1" x14ac:dyDescent="0.3">
      <c r="B15" s="122" t="s">
        <v>152</v>
      </c>
      <c r="C15" s="128">
        <v>0</v>
      </c>
      <c r="D15" s="128">
        <f>'CUSTO FINAL'!$F$88</f>
        <v>4425216</v>
      </c>
      <c r="E15" s="128">
        <f>'CUSTO FINAL'!$F$88</f>
        <v>4425216</v>
      </c>
      <c r="F15" s="125">
        <f>SUM(C15:E15)</f>
        <v>8850432</v>
      </c>
    </row>
    <row r="16" spans="2:6" ht="15.75" thickBot="1" x14ac:dyDescent="0.3">
      <c r="B16" s="175"/>
      <c r="C16" s="171"/>
      <c r="D16" s="172"/>
      <c r="E16" s="173"/>
      <c r="F16" s="125"/>
    </row>
    <row r="17" spans="1:6" ht="15.75" thickBot="1" x14ac:dyDescent="0.3">
      <c r="B17" s="174" t="s">
        <v>154</v>
      </c>
      <c r="C17" s="133">
        <f>INVESTIMENTOS!O27</f>
        <v>335989.45</v>
      </c>
      <c r="D17" s="134">
        <v>0</v>
      </c>
      <c r="E17" s="137">
        <v>0</v>
      </c>
      <c r="F17" s="135">
        <f>SUM(C17:D17)</f>
        <v>335989.45</v>
      </c>
    </row>
    <row r="18" spans="1:6" ht="15.75" thickBot="1" x14ac:dyDescent="0.3">
      <c r="A18" s="1"/>
      <c r="B18" s="170"/>
      <c r="C18" s="133"/>
      <c r="D18" s="134"/>
      <c r="E18" s="137"/>
      <c r="F18" s="135"/>
    </row>
    <row r="19" spans="1:6" ht="15.75" thickBot="1" x14ac:dyDescent="0.3">
      <c r="B19" s="130" t="s">
        <v>153</v>
      </c>
      <c r="C19" s="131">
        <f>-C13-C17</f>
        <v>-1000323.3449333336</v>
      </c>
      <c r="D19" s="132">
        <f>D15-D13</f>
        <v>1213382.7766666668</v>
      </c>
      <c r="E19" s="132">
        <f t="shared" ref="E19" si="0">E15-E13</f>
        <v>1213382.7766666668</v>
      </c>
      <c r="F19" s="125">
        <f>SUM(C19:E19)</f>
        <v>1426442.2084000001</v>
      </c>
    </row>
    <row r="20" spans="1:6" ht="15.75" thickBot="1" x14ac:dyDescent="0.3">
      <c r="B20" s="105"/>
      <c r="C20" s="126"/>
      <c r="D20" s="126"/>
      <c r="E20" s="126"/>
      <c r="F20" s="127"/>
    </row>
    <row r="21" spans="1:6" ht="15.75" thickBot="1" x14ac:dyDescent="0.3">
      <c r="B21" s="130" t="s">
        <v>155</v>
      </c>
      <c r="C21" s="128">
        <v>0</v>
      </c>
      <c r="D21" s="128">
        <f>D19*0.65</f>
        <v>788698.80483333347</v>
      </c>
      <c r="E21" s="128">
        <f>E19*0.65</f>
        <v>788698.80483333347</v>
      </c>
      <c r="F21" s="136" t="s">
        <v>26</v>
      </c>
    </row>
    <row r="22" spans="1:6" ht="15.75" thickBot="1" x14ac:dyDescent="0.3">
      <c r="C22" s="136"/>
      <c r="D22" s="136"/>
      <c r="E22" s="136"/>
      <c r="F22" s="136"/>
    </row>
    <row r="23" spans="1:6" ht="15.75" thickBot="1" x14ac:dyDescent="0.3">
      <c r="B23" s="122" t="s">
        <v>156</v>
      </c>
      <c r="C23" s="176">
        <f>C19</f>
        <v>-1000323.3449333336</v>
      </c>
      <c r="D23" s="129">
        <f>D21+C23</f>
        <v>-211624.5401000001</v>
      </c>
      <c r="E23" s="129">
        <f>E21+D23</f>
        <v>577074.26473333337</v>
      </c>
      <c r="F23" s="13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INVESTIMENTOS</vt:lpstr>
      <vt:lpstr>CUSTO FINAL</vt:lpstr>
      <vt:lpstr>CUSTO INICIAL</vt:lpstr>
      <vt:lpstr>CUSTO INTERMEDIÁRIO</vt:lpstr>
      <vt:lpstr>FLUXO DE CAIXA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Gomes</dc:creator>
  <cp:lastModifiedBy>Celso Carrer</cp:lastModifiedBy>
  <dcterms:created xsi:type="dcterms:W3CDTF">2019-05-11T14:42:23Z</dcterms:created>
  <dcterms:modified xsi:type="dcterms:W3CDTF">2020-04-25T01:48:24Z</dcterms:modified>
</cp:coreProperties>
</file>