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516"/>
  <workbookPr showInkAnnotation="0" autoCompressPictures="0"/>
  <bookViews>
    <workbookView xWindow="0" yWindow="0" windowWidth="25600" windowHeight="16060" tabRatio="916" activeTab="13"/>
  </bookViews>
  <sheets>
    <sheet name="acomp" sheetId="1" r:id="rId1"/>
    <sheet name="resolvido" sheetId="2" r:id="rId2"/>
    <sheet name="Questoes" sheetId="3" r:id="rId3"/>
    <sheet name="aplica" sheetId="4" r:id="rId4"/>
    <sheet name="8.1" sheetId="5" r:id="rId5"/>
    <sheet name="8.2" sheetId="6" r:id="rId6"/>
    <sheet name="8.3" sheetId="7" r:id="rId7"/>
    <sheet name="8.4" sheetId="8" r:id="rId8"/>
    <sheet name="8.5" sheetId="9" r:id="rId9"/>
    <sheet name="8.6" sheetId="10" r:id="rId10"/>
    <sheet name="8.7" sheetId="11" r:id="rId11"/>
    <sheet name="8.8" sheetId="12" r:id="rId12"/>
    <sheet name="8.9" sheetId="13" r:id="rId13"/>
    <sheet name="8.10" sheetId="14" r:id="rId14"/>
    <sheet name="8.11" sheetId="15" r:id="rId15"/>
    <sheet name="8.12" sheetId="16" r:id="rId16"/>
    <sheet name="8.13" sheetId="17" r:id="rId17"/>
    <sheet name="8.14" sheetId="18" r:id="rId18"/>
    <sheet name="8.15" sheetId="19" r:id="rId19"/>
    <sheet name="8.16" sheetId="20" r:id="rId20"/>
    <sheet name="8.17" sheetId="21" r:id="rId21"/>
    <sheet name="8.18" sheetId="22" r:id="rId22"/>
    <sheet name="8.19" sheetId="23" r:id="rId23"/>
    <sheet name="8.20" sheetId="24" r:id="rId24"/>
    <sheet name="8.21" sheetId="25" r:id="rId25"/>
    <sheet name="8.22" sheetId="26" r:id="rId26"/>
    <sheet name="8.23" sheetId="27" r:id="rId27"/>
    <sheet name="8.24" sheetId="28" r:id="rId28"/>
    <sheet name="8.25" sheetId="29" r:id="rId29"/>
    <sheet name="8.26" sheetId="30" r:id="rId30"/>
    <sheet name="8.27" sheetId="31" r:id="rId31"/>
    <sheet name="8.28" sheetId="32" r:id="rId32"/>
    <sheet name="8.29" sheetId="33" r:id="rId3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168" i="1" l="1"/>
  <c r="D185" i="1"/>
  <c r="D187" i="1"/>
  <c r="D184" i="1"/>
  <c r="D181" i="1"/>
  <c r="D176" i="1"/>
  <c r="D174" i="1"/>
  <c r="D173" i="1"/>
  <c r="D172" i="1"/>
  <c r="D169" i="1"/>
  <c r="D167" i="1"/>
  <c r="D166" i="1"/>
  <c r="C187" i="1"/>
  <c r="C176" i="1"/>
  <c r="G44" i="1"/>
  <c r="D31" i="1"/>
  <c r="C32" i="1"/>
  <c r="C31" i="1"/>
  <c r="C33" i="1"/>
  <c r="C35" i="1"/>
  <c r="C41" i="1"/>
  <c r="E31" i="1"/>
  <c r="D32" i="1"/>
  <c r="D33" i="1"/>
  <c r="D34" i="1"/>
  <c r="D35" i="1"/>
  <c r="D41" i="1"/>
  <c r="F31" i="1"/>
  <c r="E32" i="1"/>
  <c r="E33" i="1"/>
  <c r="E34" i="1"/>
  <c r="E35" i="1"/>
  <c r="E41" i="1"/>
  <c r="F33" i="1"/>
  <c r="F34" i="1"/>
  <c r="F35" i="1"/>
  <c r="F41" i="1"/>
  <c r="G41" i="1"/>
  <c r="G43" i="1"/>
  <c r="G45" i="1"/>
  <c r="L151" i="33"/>
  <c r="N61" i="33"/>
  <c r="O61" i="33"/>
  <c r="P61" i="33"/>
  <c r="Q61" i="33"/>
  <c r="Q62" i="33"/>
  <c r="Q63" i="33"/>
  <c r="M126" i="33"/>
  <c r="M127" i="33"/>
  <c r="M128" i="33"/>
  <c r="L105" i="33"/>
  <c r="M105" i="33"/>
  <c r="N105" i="33"/>
  <c r="O105" i="33"/>
  <c r="L130" i="33"/>
  <c r="L106" i="33"/>
  <c r="M106" i="33"/>
  <c r="N106" i="33"/>
  <c r="O106" i="33"/>
  <c r="L131" i="33"/>
  <c r="L107" i="33"/>
  <c r="M107" i="33"/>
  <c r="N107" i="33"/>
  <c r="O107" i="33"/>
  <c r="L132" i="33"/>
  <c r="L133" i="33"/>
  <c r="L134" i="33"/>
  <c r="L108" i="33"/>
  <c r="M108" i="33"/>
  <c r="N108" i="33"/>
  <c r="O108" i="33"/>
  <c r="L135" i="33"/>
  <c r="M135" i="33"/>
  <c r="M136" i="33"/>
  <c r="N118" i="33"/>
  <c r="O118" i="33"/>
  <c r="M137" i="33"/>
  <c r="M138" i="33"/>
  <c r="L153" i="33"/>
  <c r="N78" i="33"/>
  <c r="R61" i="33"/>
  <c r="P78" i="33"/>
  <c r="N79" i="33"/>
  <c r="N80" i="33"/>
  <c r="M79" i="33"/>
  <c r="N81" i="33"/>
  <c r="N82" i="33"/>
  <c r="N83" i="33"/>
  <c r="N84" i="33"/>
  <c r="L149" i="33"/>
  <c r="L146" i="33"/>
  <c r="L145" i="33"/>
  <c r="O79" i="33"/>
  <c r="L144" i="33"/>
  <c r="P62" i="33"/>
  <c r="P63" i="33"/>
  <c r="O62" i="33"/>
  <c r="O63" i="33"/>
  <c r="L143" i="33"/>
  <c r="L99" i="33"/>
  <c r="O99" i="33"/>
  <c r="L61" i="33"/>
  <c r="L62" i="33"/>
  <c r="L63" i="33"/>
  <c r="L67" i="33"/>
  <c r="M61" i="33"/>
  <c r="M62" i="33"/>
  <c r="M63" i="33"/>
  <c r="L68" i="33"/>
  <c r="N62" i="33"/>
  <c r="N63" i="33"/>
  <c r="L69" i="33"/>
  <c r="L72" i="33"/>
  <c r="L100" i="33"/>
  <c r="M68" i="33"/>
  <c r="M69" i="33"/>
  <c r="M70" i="33"/>
  <c r="M72" i="33"/>
  <c r="M100" i="33"/>
  <c r="N69" i="33"/>
  <c r="N70" i="33"/>
  <c r="N71" i="33"/>
  <c r="N72" i="33"/>
  <c r="N100" i="33"/>
  <c r="O100" i="33"/>
  <c r="O101" i="33"/>
  <c r="L89" i="33"/>
  <c r="L78" i="33"/>
  <c r="M78" i="33"/>
  <c r="L79" i="33"/>
  <c r="L80" i="33"/>
  <c r="L81" i="33"/>
  <c r="L82" i="33"/>
  <c r="L83" i="33"/>
  <c r="L84" i="33"/>
  <c r="L90" i="33"/>
  <c r="L93" i="33"/>
  <c r="L104" i="33"/>
  <c r="M90" i="33"/>
  <c r="M80" i="33"/>
  <c r="M81" i="33"/>
  <c r="M82" i="33"/>
  <c r="M83" i="33"/>
  <c r="M84" i="33"/>
  <c r="M91" i="33"/>
  <c r="M93" i="33"/>
  <c r="M104" i="33"/>
  <c r="N91" i="33"/>
  <c r="N92" i="33"/>
  <c r="N93" i="33"/>
  <c r="N104" i="33"/>
  <c r="O104" i="33"/>
  <c r="M109" i="33"/>
  <c r="O109" i="33"/>
  <c r="L110" i="33"/>
  <c r="O110" i="33"/>
  <c r="O111" i="33"/>
  <c r="O113" i="33"/>
  <c r="O116" i="33"/>
  <c r="O117" i="33"/>
  <c r="O119" i="33"/>
  <c r="O121" i="33"/>
  <c r="L142" i="33"/>
  <c r="L154" i="33"/>
  <c r="L147" i="33"/>
  <c r="N119" i="33"/>
  <c r="M119" i="33"/>
  <c r="L101" i="33"/>
  <c r="L111" i="33"/>
  <c r="L113" i="33"/>
  <c r="L119" i="33"/>
  <c r="L121" i="33"/>
  <c r="M99" i="33"/>
  <c r="M101" i="33"/>
  <c r="M111" i="33"/>
  <c r="M113" i="33"/>
  <c r="M121" i="33"/>
  <c r="N99" i="33"/>
  <c r="N101" i="33"/>
  <c r="N111" i="33"/>
  <c r="N113" i="33"/>
  <c r="K108" i="33"/>
  <c r="K106" i="33"/>
  <c r="K107" i="33"/>
  <c r="K105" i="33"/>
  <c r="N121" i="33"/>
  <c r="O89" i="33"/>
  <c r="O90" i="33"/>
  <c r="O91" i="33"/>
  <c r="O92" i="33"/>
  <c r="O93" i="33"/>
  <c r="O78" i="33"/>
  <c r="O80" i="33"/>
  <c r="O81" i="33"/>
  <c r="O82" i="33"/>
  <c r="O83" i="33"/>
  <c r="O84" i="33"/>
  <c r="S61" i="33"/>
  <c r="Q78" i="33"/>
  <c r="P79" i="33"/>
  <c r="P80" i="33"/>
  <c r="O67" i="33"/>
  <c r="O68" i="33"/>
  <c r="O69" i="33"/>
  <c r="O70" i="33"/>
  <c r="O71" i="33"/>
  <c r="O72" i="33"/>
  <c r="R62" i="33"/>
  <c r="R63" i="33"/>
  <c r="S62" i="33"/>
  <c r="S63" i="33"/>
  <c r="L49" i="33"/>
  <c r="L43" i="33"/>
  <c r="K145" i="31"/>
  <c r="K144" i="31"/>
  <c r="M64" i="31"/>
  <c r="O64" i="31"/>
  <c r="M65" i="31"/>
  <c r="M66" i="31"/>
  <c r="L65" i="31"/>
  <c r="M67" i="31"/>
  <c r="M68" i="31"/>
  <c r="K143" i="31"/>
  <c r="K140" i="31"/>
  <c r="K138" i="31"/>
  <c r="K94" i="31"/>
  <c r="N94" i="31"/>
  <c r="K57" i="31"/>
  <c r="K58" i="31"/>
  <c r="K59" i="31"/>
  <c r="K95" i="31"/>
  <c r="L57" i="31"/>
  <c r="L58" i="31"/>
  <c r="L59" i="31"/>
  <c r="L95" i="31"/>
  <c r="M57" i="31"/>
  <c r="M58" i="31"/>
  <c r="M59" i="31"/>
  <c r="M95" i="31"/>
  <c r="N95" i="31"/>
  <c r="N96" i="31"/>
  <c r="K74" i="31"/>
  <c r="K64" i="31"/>
  <c r="L64" i="31"/>
  <c r="K65" i="31"/>
  <c r="K66" i="31"/>
  <c r="K67" i="31"/>
  <c r="K68" i="31"/>
  <c r="K75" i="31"/>
  <c r="K78" i="31"/>
  <c r="K99" i="31"/>
  <c r="L75" i="31"/>
  <c r="L66" i="31"/>
  <c r="L67" i="31"/>
  <c r="L68" i="31"/>
  <c r="L76" i="31"/>
  <c r="L78" i="31"/>
  <c r="L99" i="31"/>
  <c r="M76" i="31"/>
  <c r="M77" i="31"/>
  <c r="M78" i="31"/>
  <c r="M99" i="31"/>
  <c r="N99" i="31"/>
  <c r="K84" i="31"/>
  <c r="K100" i="31"/>
  <c r="L84" i="31"/>
  <c r="L100" i="31"/>
  <c r="M84" i="31"/>
  <c r="M100" i="31"/>
  <c r="N100" i="31"/>
  <c r="K85" i="31"/>
  <c r="K101" i="31"/>
  <c r="L85" i="31"/>
  <c r="L101" i="31"/>
  <c r="M85" i="31"/>
  <c r="M101" i="31"/>
  <c r="N101" i="31"/>
  <c r="K86" i="31"/>
  <c r="K102" i="31"/>
  <c r="L86" i="31"/>
  <c r="L102" i="31"/>
  <c r="M86" i="31"/>
  <c r="M102" i="31"/>
  <c r="N102" i="31"/>
  <c r="K87" i="31"/>
  <c r="K103" i="31"/>
  <c r="L87" i="31"/>
  <c r="L103" i="31"/>
  <c r="M87" i="31"/>
  <c r="M103" i="31"/>
  <c r="N103" i="31"/>
  <c r="K104" i="31"/>
  <c r="L104" i="31"/>
  <c r="N104" i="31"/>
  <c r="M105" i="31"/>
  <c r="N105" i="31"/>
  <c r="N106" i="31"/>
  <c r="N108" i="31"/>
  <c r="N111" i="31"/>
  <c r="M112" i="31"/>
  <c r="N112" i="31"/>
  <c r="M113" i="31"/>
  <c r="N113" i="31"/>
  <c r="N114" i="31"/>
  <c r="N116" i="31"/>
  <c r="K137" i="31"/>
  <c r="L121" i="31"/>
  <c r="L122" i="31"/>
  <c r="L123" i="31"/>
  <c r="K125" i="31"/>
  <c r="K126" i="31"/>
  <c r="K127" i="31"/>
  <c r="K128" i="31"/>
  <c r="K129" i="31"/>
  <c r="L129" i="31"/>
  <c r="L130" i="31"/>
  <c r="L114" i="31"/>
  <c r="M114" i="31"/>
  <c r="K96" i="31"/>
  <c r="K106" i="31"/>
  <c r="K108" i="31"/>
  <c r="K114" i="31"/>
  <c r="K116" i="31"/>
  <c r="L94" i="31"/>
  <c r="L96" i="31"/>
  <c r="L106" i="31"/>
  <c r="L108" i="31"/>
  <c r="L116" i="31"/>
  <c r="M94" i="31"/>
  <c r="M96" i="31"/>
  <c r="M106" i="31"/>
  <c r="M108" i="31"/>
  <c r="M116" i="31"/>
  <c r="J105" i="31"/>
  <c r="J103" i="31"/>
  <c r="J102" i="31"/>
  <c r="J101" i="31"/>
  <c r="J100" i="31"/>
  <c r="N86" i="31"/>
  <c r="N64" i="31"/>
  <c r="N65" i="31"/>
  <c r="N66" i="31"/>
  <c r="N67" i="31"/>
  <c r="N68" i="31"/>
  <c r="L131" i="31"/>
  <c r="L132" i="31"/>
  <c r="K146" i="31"/>
  <c r="K88" i="31"/>
  <c r="L88" i="31"/>
  <c r="M88" i="31"/>
  <c r="K139" i="31"/>
  <c r="K141" i="31"/>
  <c r="N84" i="31"/>
  <c r="N85" i="31"/>
  <c r="N87" i="31"/>
  <c r="N88" i="31"/>
  <c r="N74" i="31"/>
  <c r="N75" i="31"/>
  <c r="N76" i="31"/>
  <c r="N77" i="31"/>
  <c r="N78" i="31"/>
  <c r="N57" i="31"/>
  <c r="N58" i="31"/>
  <c r="N59" i="31"/>
  <c r="K12" i="31"/>
  <c r="K7" i="31"/>
  <c r="K139" i="30"/>
  <c r="K137" i="30"/>
  <c r="M63" i="30"/>
  <c r="O63" i="30"/>
  <c r="M64" i="30"/>
  <c r="M65" i="30"/>
  <c r="L64" i="30"/>
  <c r="M66" i="30"/>
  <c r="M67" i="30"/>
  <c r="K136" i="30"/>
  <c r="K133" i="30"/>
  <c r="N64" i="30"/>
  <c r="K132" i="30"/>
  <c r="K131" i="30"/>
  <c r="K92" i="30"/>
  <c r="N92" i="30"/>
  <c r="K56" i="30"/>
  <c r="K57" i="30"/>
  <c r="K58" i="30"/>
  <c r="K93" i="30"/>
  <c r="L56" i="30"/>
  <c r="L57" i="30"/>
  <c r="L58" i="30"/>
  <c r="L93" i="30"/>
  <c r="M56" i="30"/>
  <c r="M57" i="30"/>
  <c r="M58" i="30"/>
  <c r="M93" i="30"/>
  <c r="N93" i="30"/>
  <c r="N94" i="30"/>
  <c r="K73" i="30"/>
  <c r="K63" i="30"/>
  <c r="L63" i="30"/>
  <c r="K64" i="30"/>
  <c r="K65" i="30"/>
  <c r="K66" i="30"/>
  <c r="K67" i="30"/>
  <c r="K74" i="30"/>
  <c r="K77" i="30"/>
  <c r="K97" i="30"/>
  <c r="K83" i="30"/>
  <c r="K84" i="30"/>
  <c r="K85" i="30"/>
  <c r="K86" i="30"/>
  <c r="K98" i="30"/>
  <c r="K99" i="30"/>
  <c r="K100" i="30"/>
  <c r="L74" i="30"/>
  <c r="L65" i="30"/>
  <c r="L66" i="30"/>
  <c r="L67" i="30"/>
  <c r="L75" i="30"/>
  <c r="L77" i="30"/>
  <c r="L97" i="30"/>
  <c r="L83" i="30"/>
  <c r="L84" i="30"/>
  <c r="L85" i="30"/>
  <c r="L86" i="30"/>
  <c r="L98" i="30"/>
  <c r="L99" i="30"/>
  <c r="L100" i="30"/>
  <c r="M75" i="30"/>
  <c r="M76" i="30"/>
  <c r="M77" i="30"/>
  <c r="M97" i="30"/>
  <c r="M83" i="30"/>
  <c r="M84" i="30"/>
  <c r="M85" i="30"/>
  <c r="M86" i="30"/>
  <c r="M98" i="30"/>
  <c r="M100" i="30"/>
  <c r="N100" i="30"/>
  <c r="N102" i="30"/>
  <c r="K108" i="30"/>
  <c r="L108" i="30"/>
  <c r="M107" i="30"/>
  <c r="M108" i="30"/>
  <c r="N108" i="30"/>
  <c r="N110" i="30"/>
  <c r="K130" i="30"/>
  <c r="K140" i="30"/>
  <c r="K134" i="30"/>
  <c r="L115" i="30"/>
  <c r="L116" i="30"/>
  <c r="L117" i="30"/>
  <c r="K119" i="30"/>
  <c r="K120" i="30"/>
  <c r="K121" i="30"/>
  <c r="K122" i="30"/>
  <c r="L122" i="30"/>
  <c r="L123" i="30"/>
  <c r="N107" i="30"/>
  <c r="L124" i="30"/>
  <c r="L125" i="30"/>
  <c r="N106" i="30"/>
  <c r="N105" i="30"/>
  <c r="N98" i="30"/>
  <c r="N99" i="30"/>
  <c r="N97" i="30"/>
  <c r="K94" i="30"/>
  <c r="K102" i="30"/>
  <c r="K110" i="30"/>
  <c r="L92" i="30"/>
  <c r="L94" i="30"/>
  <c r="L102" i="30"/>
  <c r="L110" i="30"/>
  <c r="M92" i="30"/>
  <c r="M94" i="30"/>
  <c r="M102" i="30"/>
  <c r="M110" i="30"/>
  <c r="N85" i="30"/>
  <c r="N83" i="30"/>
  <c r="N84" i="30"/>
  <c r="N86" i="30"/>
  <c r="N74" i="30"/>
  <c r="N75" i="30"/>
  <c r="N76" i="30"/>
  <c r="N73" i="30"/>
  <c r="N77" i="30"/>
  <c r="N63" i="30"/>
  <c r="N65" i="30"/>
  <c r="N66" i="30"/>
  <c r="N67" i="30"/>
  <c r="N57" i="30"/>
  <c r="N56" i="30"/>
  <c r="N58" i="30"/>
  <c r="K13" i="30"/>
  <c r="K8" i="30"/>
  <c r="P86" i="28"/>
  <c r="P87" i="28"/>
  <c r="P89" i="28"/>
  <c r="P85" i="28"/>
  <c r="P84" i="28"/>
  <c r="O89" i="28"/>
  <c r="O86" i="28"/>
  <c r="O85" i="28"/>
  <c r="N89" i="28"/>
  <c r="M87" i="28"/>
  <c r="M89" i="28"/>
  <c r="N87" i="28"/>
  <c r="O87" i="28"/>
  <c r="M81" i="28"/>
  <c r="N70" i="28"/>
  <c r="N72" i="28"/>
  <c r="N81" i="28"/>
  <c r="O70" i="28"/>
  <c r="O72" i="28"/>
  <c r="O81" i="28"/>
  <c r="P81" i="28"/>
  <c r="P72" i="28"/>
  <c r="P71" i="28"/>
  <c r="P70" i="28"/>
  <c r="M71" i="28"/>
  <c r="N71" i="28"/>
  <c r="O71" i="28"/>
  <c r="M72" i="28"/>
  <c r="M70" i="28"/>
  <c r="P75" i="28"/>
  <c r="P76" i="28"/>
  <c r="M76" i="28"/>
  <c r="N76" i="28"/>
  <c r="O76" i="28"/>
  <c r="M75" i="28"/>
  <c r="N75" i="28"/>
  <c r="O75" i="28"/>
  <c r="M79" i="28"/>
  <c r="N79" i="28"/>
  <c r="O79" i="28"/>
  <c r="P79" i="28"/>
  <c r="L79" i="28"/>
  <c r="L76" i="28"/>
  <c r="L75" i="28"/>
  <c r="M78" i="28"/>
  <c r="N78" i="28"/>
  <c r="P78" i="28"/>
  <c r="L77" i="28"/>
  <c r="M77" i="28"/>
  <c r="N77" i="28"/>
  <c r="O77" i="28"/>
  <c r="P77" i="28"/>
  <c r="L40" i="28"/>
  <c r="L41" i="28"/>
  <c r="L45" i="28"/>
  <c r="L71" i="28"/>
  <c r="L70" i="28"/>
  <c r="L72" i="28"/>
  <c r="L50" i="28"/>
  <c r="L51" i="28"/>
  <c r="L55" i="28"/>
  <c r="L81" i="28"/>
  <c r="L84" i="28"/>
  <c r="L87" i="28"/>
  <c r="L89" i="28"/>
  <c r="M60" i="28"/>
  <c r="M61" i="28"/>
  <c r="M62" i="28"/>
  <c r="M63" i="28"/>
  <c r="M64" i="28"/>
  <c r="N60" i="28"/>
  <c r="N61" i="28"/>
  <c r="N62" i="28"/>
  <c r="N63" i="28"/>
  <c r="N64" i="28"/>
  <c r="O60" i="28"/>
  <c r="O61" i="28"/>
  <c r="O62" i="28"/>
  <c r="O63" i="28"/>
  <c r="O64" i="28"/>
  <c r="L60" i="28"/>
  <c r="P60" i="28"/>
  <c r="P61" i="28"/>
  <c r="P62" i="28"/>
  <c r="L63" i="28"/>
  <c r="P63" i="28"/>
  <c r="P64" i="28"/>
  <c r="L61" i="28"/>
  <c r="L62" i="28"/>
  <c r="L64" i="28"/>
  <c r="N52" i="28"/>
  <c r="M52" i="28"/>
  <c r="O54" i="28"/>
  <c r="O53" i="28"/>
  <c r="N53" i="28"/>
  <c r="M51" i="28"/>
  <c r="P50" i="28"/>
  <c r="P51" i="28"/>
  <c r="P52" i="28"/>
  <c r="P53" i="28"/>
  <c r="P54" i="28"/>
  <c r="P55" i="28"/>
  <c r="O55" i="28"/>
  <c r="N55" i="28"/>
  <c r="M55" i="28"/>
  <c r="M41" i="28"/>
  <c r="P41" i="28"/>
  <c r="M42" i="28"/>
  <c r="N42" i="28"/>
  <c r="P42" i="28"/>
  <c r="N43" i="28"/>
  <c r="O43" i="28"/>
  <c r="P43" i="28"/>
  <c r="O44" i="28"/>
  <c r="P44" i="28"/>
  <c r="P40" i="28"/>
  <c r="M45" i="28"/>
  <c r="N45" i="28"/>
  <c r="O45" i="28"/>
  <c r="P45" i="28"/>
  <c r="N62" i="27"/>
  <c r="L60" i="27"/>
  <c r="M36" i="27"/>
  <c r="L36" i="27"/>
  <c r="M54" i="27"/>
  <c r="N54" i="27"/>
  <c r="L54" i="27"/>
  <c r="L51" i="27"/>
  <c r="M51" i="27"/>
  <c r="N51" i="27"/>
  <c r="L52" i="27"/>
  <c r="M52" i="27"/>
  <c r="N52" i="27"/>
  <c r="L53" i="27"/>
  <c r="M53" i="27"/>
  <c r="N53" i="27"/>
  <c r="N50" i="27"/>
  <c r="M50" i="27"/>
  <c r="L50" i="27"/>
  <c r="K51" i="27"/>
  <c r="K52" i="27"/>
  <c r="K53" i="27"/>
  <c r="K54" i="27"/>
  <c r="K50" i="27"/>
  <c r="M40" i="27"/>
  <c r="M46" i="27"/>
  <c r="N46" i="27"/>
  <c r="L40" i="27"/>
  <c r="L46" i="27"/>
  <c r="L45" i="27"/>
  <c r="L47" i="27"/>
  <c r="L55" i="27"/>
  <c r="L57" i="27"/>
  <c r="L63" i="27"/>
  <c r="L65" i="27"/>
  <c r="M45" i="27"/>
  <c r="M47" i="27"/>
  <c r="M55" i="27"/>
  <c r="M57" i="27"/>
  <c r="M63" i="27"/>
  <c r="M65" i="27"/>
  <c r="N45" i="27"/>
  <c r="N47" i="27"/>
  <c r="N55" i="27"/>
  <c r="N57" i="27"/>
  <c r="N61" i="27"/>
  <c r="N63" i="27"/>
  <c r="N65" i="27"/>
  <c r="O65" i="27"/>
  <c r="O63" i="27"/>
  <c r="O62" i="27"/>
  <c r="O61" i="27"/>
  <c r="O60" i="27"/>
  <c r="O57" i="27"/>
  <c r="O55" i="27"/>
  <c r="O54" i="27"/>
  <c r="O53" i="27"/>
  <c r="O52" i="27"/>
  <c r="O51" i="27"/>
  <c r="O50" i="27"/>
  <c r="O46" i="27"/>
  <c r="O45" i="27"/>
  <c r="O47" i="27"/>
  <c r="N39" i="27"/>
  <c r="N38" i="27"/>
  <c r="M38" i="27"/>
  <c r="N37" i="27"/>
  <c r="M37" i="27"/>
  <c r="L37" i="27"/>
  <c r="N40" i="27"/>
  <c r="O40" i="27"/>
  <c r="O39" i="27"/>
  <c r="O38" i="27"/>
  <c r="O37" i="27"/>
  <c r="O36" i="27"/>
  <c r="L12" i="27"/>
  <c r="N62" i="25"/>
  <c r="N46" i="25"/>
  <c r="M46" i="25"/>
  <c r="O54" i="25"/>
  <c r="M54" i="25"/>
  <c r="N54" i="25"/>
  <c r="L55" i="25"/>
  <c r="L54" i="25"/>
  <c r="M51" i="25"/>
  <c r="N51" i="25"/>
  <c r="M52" i="25"/>
  <c r="N52" i="25"/>
  <c r="M53" i="25"/>
  <c r="N53" i="25"/>
  <c r="L52" i="25"/>
  <c r="L53" i="25"/>
  <c r="L51" i="25"/>
  <c r="N50" i="25"/>
  <c r="M50" i="25"/>
  <c r="L50" i="25"/>
  <c r="K51" i="25"/>
  <c r="K52" i="25"/>
  <c r="K53" i="25"/>
  <c r="K50" i="25"/>
  <c r="L36" i="25"/>
  <c r="L37" i="25"/>
  <c r="L38" i="25"/>
  <c r="L41" i="25"/>
  <c r="L46" i="25"/>
  <c r="L45" i="25"/>
  <c r="L47" i="25"/>
  <c r="L57" i="25"/>
  <c r="L63" i="25"/>
  <c r="L65" i="25"/>
  <c r="M45" i="25"/>
  <c r="M47" i="25"/>
  <c r="M55" i="25"/>
  <c r="M57" i="25"/>
  <c r="M63" i="25"/>
  <c r="M65" i="25"/>
  <c r="N45" i="25"/>
  <c r="N47" i="25"/>
  <c r="N55" i="25"/>
  <c r="N57" i="25"/>
  <c r="N61" i="25"/>
  <c r="N63" i="25"/>
  <c r="N65" i="25"/>
  <c r="O65" i="25"/>
  <c r="O63" i="25"/>
  <c r="O62" i="25"/>
  <c r="O61" i="25"/>
  <c r="O60" i="25"/>
  <c r="O57" i="25"/>
  <c r="O55" i="25"/>
  <c r="O53" i="25"/>
  <c r="O52" i="25"/>
  <c r="O51" i="25"/>
  <c r="O50" i="25"/>
  <c r="O46" i="25"/>
  <c r="O45" i="25"/>
  <c r="O47" i="25"/>
  <c r="M37" i="25"/>
  <c r="M38" i="25"/>
  <c r="M39" i="25"/>
  <c r="M41" i="25"/>
  <c r="N38" i="25"/>
  <c r="N39" i="25"/>
  <c r="N40" i="25"/>
  <c r="N41" i="25"/>
  <c r="O41" i="25"/>
  <c r="O36" i="25"/>
  <c r="O37" i="25"/>
  <c r="O38" i="25"/>
  <c r="O39" i="25"/>
  <c r="O40" i="25"/>
  <c r="L11" i="25"/>
  <c r="L97" i="24"/>
  <c r="L95" i="24"/>
  <c r="L94" i="24"/>
  <c r="L91" i="24"/>
  <c r="L88" i="24"/>
  <c r="L90" i="24"/>
  <c r="L89" i="24"/>
  <c r="L98" i="24"/>
  <c r="L92" i="24"/>
  <c r="L84" i="24"/>
  <c r="L83" i="24"/>
  <c r="L82" i="24"/>
  <c r="L81" i="24"/>
  <c r="L80" i="24"/>
  <c r="L79" i="24"/>
  <c r="L71" i="24"/>
  <c r="L72" i="24"/>
  <c r="L73" i="24"/>
  <c r="L74" i="24"/>
  <c r="L59" i="24"/>
  <c r="L46" i="24"/>
  <c r="L47" i="24"/>
  <c r="L48" i="24"/>
  <c r="L49" i="24"/>
  <c r="L60" i="24"/>
  <c r="L61" i="24"/>
  <c r="L52" i="24"/>
  <c r="L53" i="24"/>
  <c r="L54" i="24"/>
  <c r="L63" i="24"/>
  <c r="L64" i="24"/>
  <c r="L65" i="24"/>
  <c r="L66" i="24"/>
  <c r="L68" i="24"/>
  <c r="L76" i="24"/>
  <c r="L20" i="24"/>
  <c r="L13" i="24"/>
  <c r="L7" i="24"/>
  <c r="N72" i="23"/>
  <c r="N71" i="23"/>
  <c r="M71" i="23"/>
  <c r="M70" i="23"/>
  <c r="L70" i="23"/>
  <c r="L69" i="23"/>
  <c r="O69" i="23"/>
  <c r="O70" i="23"/>
  <c r="O71" i="23"/>
  <c r="O72" i="23"/>
  <c r="O73" i="23"/>
  <c r="N73" i="23"/>
  <c r="M73" i="23"/>
  <c r="L73" i="23"/>
  <c r="M60" i="23"/>
  <c r="N60" i="23"/>
  <c r="O60" i="23"/>
  <c r="P60" i="23"/>
  <c r="L60" i="23"/>
  <c r="P56" i="23"/>
  <c r="Q56" i="23"/>
  <c r="P57" i="23"/>
  <c r="Q57" i="23"/>
  <c r="P58" i="23"/>
  <c r="Q58" i="23"/>
  <c r="P59" i="23"/>
  <c r="O51" i="23"/>
  <c r="M56" i="23"/>
  <c r="N56" i="23"/>
  <c r="O56" i="23"/>
  <c r="L56" i="23"/>
  <c r="P50" i="23"/>
  <c r="P51" i="23"/>
  <c r="M51" i="23"/>
  <c r="N51" i="23"/>
  <c r="L51" i="23"/>
  <c r="O50" i="23"/>
  <c r="N50" i="23"/>
  <c r="M50" i="23"/>
  <c r="L50" i="23"/>
  <c r="P33" i="23"/>
  <c r="P47" i="23"/>
  <c r="N48" i="23"/>
  <c r="M33" i="23"/>
  <c r="M47" i="23"/>
  <c r="L48" i="23"/>
  <c r="O48" i="23"/>
  <c r="N33" i="23"/>
  <c r="N47" i="23"/>
  <c r="M48" i="23"/>
  <c r="Q47" i="23"/>
  <c r="P48" i="23"/>
  <c r="L33" i="23"/>
  <c r="L47" i="23"/>
  <c r="O47" i="23"/>
  <c r="P49" i="23"/>
  <c r="O49" i="23"/>
  <c r="N49" i="23"/>
  <c r="M49" i="23"/>
  <c r="L49" i="23"/>
  <c r="N34" i="23"/>
  <c r="N35" i="23"/>
  <c r="N42" i="23"/>
  <c r="M34" i="23"/>
  <c r="M35" i="23"/>
  <c r="N41" i="23"/>
  <c r="M41" i="23"/>
  <c r="L34" i="23"/>
  <c r="L35" i="23"/>
  <c r="M40" i="23"/>
  <c r="L40" i="23"/>
  <c r="L39" i="23"/>
  <c r="O39" i="23"/>
  <c r="O40" i="23"/>
  <c r="O41" i="23"/>
  <c r="O42" i="23"/>
  <c r="O43" i="23"/>
  <c r="N43" i="23"/>
  <c r="M43" i="23"/>
  <c r="L43" i="23"/>
  <c r="M57" i="23"/>
  <c r="M58" i="23"/>
  <c r="N57" i="23"/>
  <c r="N58" i="23"/>
  <c r="M59" i="23"/>
  <c r="L59" i="23"/>
  <c r="M61" i="23"/>
  <c r="M62" i="23"/>
  <c r="M63" i="23"/>
  <c r="M64" i="23"/>
  <c r="N59" i="23"/>
  <c r="N61" i="23"/>
  <c r="N62" i="23"/>
  <c r="N63" i="23"/>
  <c r="N64" i="23"/>
  <c r="O57" i="23"/>
  <c r="O58" i="23"/>
  <c r="O59" i="23"/>
  <c r="L61" i="23"/>
  <c r="O61" i="23"/>
  <c r="O62" i="23"/>
  <c r="O63" i="23"/>
  <c r="O64" i="23"/>
  <c r="L63" i="23"/>
  <c r="L57" i="23"/>
  <c r="L58" i="23"/>
  <c r="L62" i="23"/>
  <c r="L64" i="23"/>
  <c r="Q34" i="23"/>
  <c r="Q35" i="23"/>
  <c r="P34" i="23"/>
  <c r="P35" i="23"/>
  <c r="O34" i="23"/>
  <c r="O33" i="23"/>
  <c r="O35" i="23"/>
  <c r="L45" i="22"/>
  <c r="M46" i="22"/>
  <c r="L46" i="22"/>
  <c r="N14" i="22"/>
  <c r="N47" i="22"/>
  <c r="N48" i="22"/>
  <c r="N49" i="22"/>
  <c r="N50" i="22"/>
  <c r="N51" i="22"/>
  <c r="N74" i="22"/>
  <c r="M14" i="22"/>
  <c r="M47" i="22"/>
  <c r="M48" i="22"/>
  <c r="M49" i="22"/>
  <c r="M51" i="22"/>
  <c r="M74" i="22"/>
  <c r="L14" i="22"/>
  <c r="L47" i="22"/>
  <c r="L48" i="22"/>
  <c r="L51" i="22"/>
  <c r="L74" i="22"/>
  <c r="L73" i="22"/>
  <c r="L75" i="22"/>
  <c r="L65" i="22"/>
  <c r="L57" i="22"/>
  <c r="L56" i="22"/>
  <c r="L58" i="22"/>
  <c r="L59" i="22"/>
  <c r="L60" i="22"/>
  <c r="L66" i="22"/>
  <c r="L69" i="22"/>
  <c r="L78" i="22"/>
  <c r="L79" i="22"/>
  <c r="L80" i="22"/>
  <c r="L81" i="22"/>
  <c r="L83" i="22"/>
  <c r="L85" i="22"/>
  <c r="L91" i="22"/>
  <c r="L93" i="22"/>
  <c r="M73" i="22"/>
  <c r="M75" i="22"/>
  <c r="M66" i="22"/>
  <c r="M57" i="22"/>
  <c r="M56" i="22"/>
  <c r="M58" i="22"/>
  <c r="M59" i="22"/>
  <c r="M60" i="22"/>
  <c r="M67" i="22"/>
  <c r="M69" i="22"/>
  <c r="M78" i="22"/>
  <c r="M79" i="22"/>
  <c r="M80" i="22"/>
  <c r="M83" i="22"/>
  <c r="M85" i="22"/>
  <c r="M91" i="22"/>
  <c r="M93" i="22"/>
  <c r="N73" i="22"/>
  <c r="N75" i="22"/>
  <c r="N67" i="22"/>
  <c r="N57" i="22"/>
  <c r="N56" i="22"/>
  <c r="N58" i="22"/>
  <c r="N59" i="22"/>
  <c r="N60" i="22"/>
  <c r="N68" i="22"/>
  <c r="N69" i="22"/>
  <c r="N78" i="22"/>
  <c r="N79" i="22"/>
  <c r="N80" i="22"/>
  <c r="N82" i="22"/>
  <c r="N83" i="22"/>
  <c r="N85" i="22"/>
  <c r="N90" i="22"/>
  <c r="N89" i="22"/>
  <c r="N91" i="22"/>
  <c r="N93" i="22"/>
  <c r="O93" i="22"/>
  <c r="O91" i="22"/>
  <c r="O90" i="22"/>
  <c r="O89" i="22"/>
  <c r="O88" i="22"/>
  <c r="O85" i="22"/>
  <c r="O83" i="22"/>
  <c r="O82" i="22"/>
  <c r="O81" i="22"/>
  <c r="O80" i="22"/>
  <c r="O79" i="22"/>
  <c r="O78" i="22"/>
  <c r="O74" i="22"/>
  <c r="O73" i="22"/>
  <c r="O75" i="22"/>
  <c r="O72" i="22"/>
  <c r="N72" i="22"/>
  <c r="M72" i="22"/>
  <c r="L72" i="22"/>
  <c r="O65" i="22"/>
  <c r="O66" i="22"/>
  <c r="O67" i="22"/>
  <c r="O68" i="22"/>
  <c r="O69" i="22"/>
  <c r="O57" i="22"/>
  <c r="O56" i="22"/>
  <c r="O58" i="22"/>
  <c r="O59" i="22"/>
  <c r="O60" i="22"/>
  <c r="O45" i="22"/>
  <c r="O46" i="22"/>
  <c r="O47" i="22"/>
  <c r="O48" i="22"/>
  <c r="O49" i="22"/>
  <c r="O50" i="22"/>
  <c r="O51" i="22"/>
  <c r="O14" i="22"/>
  <c r="O4" i="22"/>
  <c r="O8" i="22"/>
  <c r="O9" i="22"/>
  <c r="N4" i="22"/>
  <c r="N8" i="22"/>
  <c r="N9" i="22"/>
  <c r="M4" i="22"/>
  <c r="M8" i="22"/>
  <c r="M9" i="22"/>
  <c r="L4" i="22"/>
  <c r="L8" i="22"/>
  <c r="L9" i="22"/>
  <c r="O93" i="21"/>
  <c r="N90" i="21"/>
  <c r="L81" i="21"/>
  <c r="L83" i="21"/>
  <c r="L85" i="21"/>
  <c r="L91" i="21"/>
  <c r="L93" i="21"/>
  <c r="M73" i="21"/>
  <c r="M75" i="21"/>
  <c r="M85" i="21"/>
  <c r="M93" i="21"/>
  <c r="N73" i="21"/>
  <c r="N75" i="21"/>
  <c r="N85" i="21"/>
  <c r="O85" i="21"/>
  <c r="N89" i="21"/>
  <c r="N91" i="21"/>
  <c r="N93" i="21"/>
  <c r="N83" i="21"/>
  <c r="N78" i="21"/>
  <c r="N79" i="21"/>
  <c r="N80" i="21"/>
  <c r="N74" i="21"/>
  <c r="M83" i="21"/>
  <c r="M91" i="21"/>
  <c r="M80" i="21"/>
  <c r="M79" i="21"/>
  <c r="M78" i="21"/>
  <c r="M74" i="21"/>
  <c r="L45" i="21"/>
  <c r="L46" i="21"/>
  <c r="L14" i="21"/>
  <c r="L47" i="21"/>
  <c r="L48" i="21"/>
  <c r="L51" i="21"/>
  <c r="L74" i="21"/>
  <c r="L73" i="21"/>
  <c r="L75" i="21"/>
  <c r="L65" i="21"/>
  <c r="L57" i="21"/>
  <c r="L56" i="21"/>
  <c r="L58" i="21"/>
  <c r="L59" i="21"/>
  <c r="L60" i="21"/>
  <c r="L66" i="21"/>
  <c r="L69" i="21"/>
  <c r="L78" i="21"/>
  <c r="L79" i="21"/>
  <c r="L80" i="21"/>
  <c r="N82" i="21"/>
  <c r="O72" i="21"/>
  <c r="N72" i="21"/>
  <c r="M72" i="21"/>
  <c r="L72" i="21"/>
  <c r="M57" i="21"/>
  <c r="M56" i="21"/>
  <c r="M58" i="21"/>
  <c r="M59" i="21"/>
  <c r="M60" i="21"/>
  <c r="M67" i="21"/>
  <c r="N67" i="21"/>
  <c r="O91" i="21"/>
  <c r="O90" i="21"/>
  <c r="O89" i="21"/>
  <c r="O88" i="21"/>
  <c r="O78" i="21"/>
  <c r="O79" i="21"/>
  <c r="O80" i="21"/>
  <c r="O81" i="21"/>
  <c r="O82" i="21"/>
  <c r="O83" i="21"/>
  <c r="O74" i="21"/>
  <c r="O73" i="21"/>
  <c r="O75" i="21"/>
  <c r="O67" i="21"/>
  <c r="N57" i="21"/>
  <c r="N56" i="21"/>
  <c r="N58" i="21"/>
  <c r="N59" i="21"/>
  <c r="N60" i="21"/>
  <c r="N68" i="21"/>
  <c r="M66" i="21"/>
  <c r="O65" i="21"/>
  <c r="O66" i="21"/>
  <c r="O68" i="21"/>
  <c r="O69" i="21"/>
  <c r="N69" i="21"/>
  <c r="M69" i="21"/>
  <c r="O57" i="21"/>
  <c r="O56" i="21"/>
  <c r="O58" i="21"/>
  <c r="O59" i="21"/>
  <c r="O60" i="21"/>
  <c r="M46" i="21"/>
  <c r="M14" i="21"/>
  <c r="M47" i="21"/>
  <c r="M48" i="21"/>
  <c r="M49" i="21"/>
  <c r="M51" i="21"/>
  <c r="N14" i="21"/>
  <c r="N47" i="21"/>
  <c r="N48" i="21"/>
  <c r="N49" i="21"/>
  <c r="N50" i="21"/>
  <c r="N51" i="21"/>
  <c r="O45" i="21"/>
  <c r="O46" i="21"/>
  <c r="O47" i="21"/>
  <c r="O48" i="21"/>
  <c r="O49" i="21"/>
  <c r="O50" i="21"/>
  <c r="O51" i="21"/>
  <c r="O14" i="21"/>
  <c r="M4" i="21"/>
  <c r="N4" i="21"/>
  <c r="O4" i="21"/>
  <c r="M8" i="21"/>
  <c r="N8" i="21"/>
  <c r="O8" i="21"/>
  <c r="M9" i="21"/>
  <c r="N9" i="21"/>
  <c r="O9" i="21"/>
  <c r="L4" i="21"/>
  <c r="L8" i="21"/>
  <c r="L9" i="21"/>
  <c r="J58" i="20"/>
  <c r="J60" i="20"/>
  <c r="J56" i="20"/>
  <c r="J55" i="20"/>
  <c r="J54" i="20"/>
  <c r="J53" i="20"/>
  <c r="J52" i="20"/>
  <c r="J51" i="20"/>
  <c r="J50" i="20"/>
  <c r="J48" i="20"/>
  <c r="J47" i="20"/>
  <c r="J46" i="20"/>
  <c r="J42" i="20"/>
  <c r="J41" i="20"/>
  <c r="J40" i="20"/>
  <c r="J32" i="20"/>
  <c r="J34" i="20"/>
  <c r="J35" i="20"/>
  <c r="J36" i="20"/>
  <c r="J37" i="20"/>
  <c r="K7" i="20"/>
  <c r="L7" i="20"/>
  <c r="J7" i="20"/>
  <c r="O18" i="19"/>
  <c r="O16" i="19"/>
  <c r="O17" i="19"/>
  <c r="O15" i="19"/>
  <c r="O13" i="19"/>
  <c r="N18" i="19"/>
  <c r="N13" i="19"/>
  <c r="N6" i="19"/>
  <c r="N5" i="19"/>
  <c r="O6" i="19"/>
  <c r="O4" i="19"/>
  <c r="O12" i="19"/>
  <c r="O8" i="19"/>
  <c r="O11" i="19"/>
  <c r="N12" i="19"/>
  <c r="N10" i="19"/>
  <c r="N9" i="19"/>
  <c r="N17" i="19"/>
  <c r="N4" i="19"/>
  <c r="M8" i="19"/>
  <c r="M17" i="19"/>
  <c r="M6" i="19"/>
  <c r="M4" i="19"/>
  <c r="L17" i="19"/>
  <c r="L12" i="19"/>
  <c r="L4" i="19"/>
  <c r="K17" i="19"/>
  <c r="K15" i="19"/>
  <c r="K12" i="19"/>
  <c r="K9" i="19"/>
  <c r="K5" i="19"/>
  <c r="K62" i="18"/>
  <c r="K42" i="18"/>
  <c r="L42" i="18"/>
  <c r="M42" i="18"/>
  <c r="K60" i="18"/>
  <c r="K59" i="18"/>
  <c r="K61" i="18"/>
  <c r="K63" i="18"/>
  <c r="K77" i="18"/>
  <c r="K76" i="18"/>
  <c r="M43" i="18"/>
  <c r="M44" i="18"/>
  <c r="L43" i="18"/>
  <c r="M45" i="18"/>
  <c r="M46" i="18"/>
  <c r="K75" i="18"/>
  <c r="K72" i="18"/>
  <c r="K71" i="18"/>
  <c r="K70" i="18"/>
  <c r="K34" i="18"/>
  <c r="N34" i="18"/>
  <c r="K35" i="18"/>
  <c r="L35" i="18"/>
  <c r="N35" i="18"/>
  <c r="L36" i="18"/>
  <c r="M36" i="18"/>
  <c r="N36" i="18"/>
  <c r="M37" i="18"/>
  <c r="N37" i="18"/>
  <c r="N38" i="18"/>
  <c r="K51" i="18"/>
  <c r="N51" i="18"/>
  <c r="K43" i="18"/>
  <c r="K44" i="18"/>
  <c r="K45" i="18"/>
  <c r="K46" i="18"/>
  <c r="K52" i="18"/>
  <c r="L52" i="18"/>
  <c r="N52" i="18"/>
  <c r="L44" i="18"/>
  <c r="L45" i="18"/>
  <c r="L46" i="18"/>
  <c r="L53" i="18"/>
  <c r="M53" i="18"/>
  <c r="N53" i="18"/>
  <c r="M54" i="18"/>
  <c r="N54" i="18"/>
  <c r="N55" i="18"/>
  <c r="K69" i="18"/>
  <c r="K78" i="18"/>
  <c r="K73" i="18"/>
  <c r="M55" i="18"/>
  <c r="L55" i="18"/>
  <c r="K55" i="18"/>
  <c r="N43" i="18"/>
  <c r="N42" i="18"/>
  <c r="N44" i="18"/>
  <c r="N45" i="18"/>
  <c r="N46" i="18"/>
  <c r="L38" i="18"/>
  <c r="M38" i="18"/>
  <c r="K38" i="18"/>
  <c r="K11" i="18"/>
  <c r="K6" i="18"/>
  <c r="Q38" i="17"/>
  <c r="O41" i="17"/>
  <c r="P41" i="17"/>
  <c r="Q39" i="17"/>
  <c r="Q41" i="17"/>
  <c r="Q40" i="17"/>
  <c r="P38" i="17"/>
  <c r="Q37" i="17"/>
  <c r="R37" i="17"/>
  <c r="Q36" i="17"/>
  <c r="R36" i="17"/>
  <c r="R35" i="17"/>
  <c r="Q35" i="17"/>
  <c r="S21" i="17"/>
  <c r="S22" i="17"/>
  <c r="Q21" i="17"/>
  <c r="S23" i="17"/>
  <c r="S24" i="17"/>
  <c r="P20" i="17"/>
  <c r="O21" i="17"/>
  <c r="O20" i="17"/>
  <c r="O22" i="17"/>
  <c r="N21" i="17"/>
  <c r="O23" i="17"/>
  <c r="O24" i="17"/>
  <c r="O35" i="17"/>
  <c r="Q20" i="17"/>
  <c r="P21" i="17"/>
  <c r="P22" i="17"/>
  <c r="P23" i="17"/>
  <c r="P24" i="17"/>
  <c r="P35" i="17"/>
  <c r="Q22" i="17"/>
  <c r="Q23" i="17"/>
  <c r="Q24" i="17"/>
  <c r="N20" i="17"/>
  <c r="N22" i="17"/>
  <c r="N23" i="17"/>
  <c r="N24" i="17"/>
  <c r="N35" i="17"/>
  <c r="N40" i="17"/>
  <c r="P36" i="17"/>
  <c r="P37" i="17"/>
  <c r="O38" i="17"/>
  <c r="O36" i="17"/>
  <c r="O37" i="17"/>
  <c r="N38" i="17"/>
  <c r="N36" i="17"/>
  <c r="P39" i="17"/>
  <c r="P40" i="17"/>
  <c r="O39" i="17"/>
  <c r="O40" i="17"/>
  <c r="N37" i="17"/>
  <c r="N39" i="17"/>
  <c r="N41" i="17"/>
  <c r="R21" i="17"/>
  <c r="R20" i="17"/>
  <c r="R22" i="17"/>
  <c r="R23" i="17"/>
  <c r="R24" i="17"/>
  <c r="O32" i="16"/>
  <c r="P32" i="16"/>
  <c r="Q32" i="16"/>
  <c r="N32" i="16"/>
  <c r="O30" i="16"/>
  <c r="P30" i="16"/>
  <c r="Q30" i="16"/>
  <c r="N30" i="16"/>
  <c r="R30" i="16"/>
  <c r="O28" i="16"/>
  <c r="P28" i="16"/>
  <c r="Q28" i="16"/>
  <c r="R28" i="16"/>
  <c r="N28" i="16"/>
  <c r="O17" i="16"/>
  <c r="O16" i="16"/>
  <c r="O18" i="16"/>
  <c r="O27" i="16"/>
  <c r="P17" i="16"/>
  <c r="P16" i="16"/>
  <c r="P18" i="16"/>
  <c r="P27" i="16"/>
  <c r="Q17" i="16"/>
  <c r="Q16" i="16"/>
  <c r="Q18" i="16"/>
  <c r="Q27" i="16"/>
  <c r="N17" i="16"/>
  <c r="N16" i="16"/>
  <c r="N18" i="16"/>
  <c r="N27" i="16"/>
  <c r="N29" i="16"/>
  <c r="N31" i="16"/>
  <c r="N33" i="16"/>
  <c r="O29" i="16"/>
  <c r="O31" i="16"/>
  <c r="O33" i="16"/>
  <c r="P29" i="16"/>
  <c r="P31" i="16"/>
  <c r="P33" i="16"/>
  <c r="Q29" i="16"/>
  <c r="Q31" i="16"/>
  <c r="Q33" i="16"/>
  <c r="R33" i="16"/>
  <c r="R32" i="16"/>
  <c r="R31" i="16"/>
  <c r="R27" i="16"/>
  <c r="R29" i="16"/>
  <c r="Q26" i="16"/>
  <c r="P26" i="16"/>
  <c r="O26" i="16"/>
  <c r="N26" i="16"/>
  <c r="O19" i="16"/>
  <c r="P19" i="16"/>
  <c r="Q19" i="16"/>
  <c r="R19" i="16"/>
  <c r="N19" i="16"/>
  <c r="R17" i="16"/>
  <c r="R16" i="16"/>
  <c r="O45" i="15"/>
  <c r="P45" i="15"/>
  <c r="Q45" i="15"/>
  <c r="R45" i="15"/>
  <c r="N45" i="15"/>
  <c r="O43" i="15"/>
  <c r="O42" i="15"/>
  <c r="O44" i="15"/>
  <c r="P43" i="15"/>
  <c r="P42" i="15"/>
  <c r="P44" i="15"/>
  <c r="Q43" i="15"/>
  <c r="Q42" i="15"/>
  <c r="Q44" i="15"/>
  <c r="R43" i="15"/>
  <c r="N42" i="15"/>
  <c r="R42" i="15"/>
  <c r="R44" i="15"/>
  <c r="N43" i="15"/>
  <c r="R46" i="15"/>
  <c r="Q46" i="15"/>
  <c r="P46" i="15"/>
  <c r="O46" i="15"/>
  <c r="N44" i="15"/>
  <c r="N46" i="15"/>
  <c r="P27" i="15"/>
  <c r="P26" i="15"/>
  <c r="P28" i="15"/>
  <c r="O29" i="15"/>
  <c r="O27" i="15"/>
  <c r="O26" i="15"/>
  <c r="O28" i="15"/>
  <c r="O30" i="15"/>
  <c r="N29" i="15"/>
  <c r="O31" i="15"/>
  <c r="O32" i="15"/>
  <c r="O33" i="15"/>
  <c r="O34" i="15"/>
  <c r="Q27" i="15"/>
  <c r="Q26" i="15"/>
  <c r="Q28" i="15"/>
  <c r="P29" i="15"/>
  <c r="P30" i="15"/>
  <c r="P31" i="15"/>
  <c r="P32" i="15"/>
  <c r="P33" i="15"/>
  <c r="P34" i="15"/>
  <c r="Q29" i="15"/>
  <c r="Q30" i="15"/>
  <c r="Q31" i="15"/>
  <c r="Q32" i="15"/>
  <c r="Q33" i="15"/>
  <c r="Q34" i="15"/>
  <c r="R29" i="15"/>
  <c r="R27" i="15"/>
  <c r="N26" i="15"/>
  <c r="R26" i="15"/>
  <c r="R28" i="15"/>
  <c r="R30" i="15"/>
  <c r="N31" i="15"/>
  <c r="R31" i="15"/>
  <c r="R32" i="15"/>
  <c r="R33" i="15"/>
  <c r="R34" i="15"/>
  <c r="N27" i="15"/>
  <c r="N28" i="15"/>
  <c r="N30" i="15"/>
  <c r="N32" i="15"/>
  <c r="N33" i="15"/>
  <c r="N34" i="15"/>
  <c r="N39" i="14"/>
  <c r="R39" i="14"/>
  <c r="Q37" i="14"/>
  <c r="R37" i="14"/>
  <c r="N36" i="14"/>
  <c r="O36" i="14"/>
  <c r="P36" i="14"/>
  <c r="Q36" i="14"/>
  <c r="R36" i="14"/>
  <c r="R38" i="14"/>
  <c r="R40" i="14"/>
  <c r="O37" i="14"/>
  <c r="O38" i="14"/>
  <c r="N37" i="14"/>
  <c r="O39" i="14"/>
  <c r="O40" i="14"/>
  <c r="P37" i="14"/>
  <c r="P38" i="14"/>
  <c r="P39" i="14"/>
  <c r="P40" i="14"/>
  <c r="Q38" i="14"/>
  <c r="Q39" i="14"/>
  <c r="Q40" i="14"/>
  <c r="N38" i="14"/>
  <c r="N40" i="14"/>
  <c r="Q19" i="14"/>
  <c r="Q20" i="14"/>
  <c r="Q21" i="14"/>
  <c r="Q30" i="14"/>
  <c r="P19" i="14"/>
  <c r="P20" i="14"/>
  <c r="P21" i="14"/>
  <c r="Q29" i="14"/>
  <c r="P29" i="14"/>
  <c r="N19" i="14"/>
  <c r="N20" i="14"/>
  <c r="N21" i="14"/>
  <c r="O27" i="14"/>
  <c r="O19" i="14"/>
  <c r="O20" i="14"/>
  <c r="O21" i="14"/>
  <c r="P28" i="14"/>
  <c r="O28" i="14"/>
  <c r="N27" i="14"/>
  <c r="R21" i="14"/>
  <c r="R19" i="14"/>
  <c r="O31" i="14"/>
  <c r="P31" i="14"/>
  <c r="Q31" i="14"/>
  <c r="N26" i="14"/>
  <c r="R26" i="14"/>
  <c r="R27" i="14"/>
  <c r="R28" i="14"/>
  <c r="R29" i="14"/>
  <c r="R30" i="14"/>
  <c r="R31" i="14"/>
  <c r="N31" i="14"/>
  <c r="O25" i="14"/>
  <c r="P25" i="14"/>
  <c r="Q25" i="14"/>
  <c r="N25" i="14"/>
  <c r="O6" i="13"/>
  <c r="O26" i="13"/>
  <c r="O27" i="13"/>
  <c r="N18" i="12"/>
  <c r="N16" i="12"/>
  <c r="N14" i="12"/>
  <c r="N13" i="12"/>
  <c r="N15" i="12"/>
  <c r="N17" i="12"/>
  <c r="N19" i="12"/>
  <c r="N17" i="11"/>
  <c r="N16" i="11"/>
  <c r="N18" i="11"/>
  <c r="N19" i="11"/>
  <c r="N20" i="11"/>
  <c r="N22" i="11"/>
  <c r="O24" i="11"/>
  <c r="O23" i="11"/>
  <c r="O17" i="11"/>
  <c r="N25" i="11"/>
  <c r="N26" i="11"/>
  <c r="O16" i="11"/>
  <c r="O18" i="11"/>
  <c r="O19" i="11"/>
  <c r="O20" i="11"/>
  <c r="O25" i="11"/>
  <c r="O26" i="11"/>
  <c r="P16" i="11"/>
  <c r="P17" i="11"/>
  <c r="P18" i="11"/>
  <c r="P19" i="11"/>
  <c r="P20" i="11"/>
  <c r="P25" i="11"/>
  <c r="P26" i="11"/>
  <c r="Q16" i="11"/>
  <c r="Q17" i="11"/>
  <c r="Q18" i="11"/>
  <c r="Q19" i="11"/>
  <c r="Q20" i="11"/>
  <c r="Q25" i="11"/>
  <c r="Q26" i="11"/>
  <c r="R26" i="11"/>
  <c r="R25" i="11"/>
  <c r="R24" i="11"/>
  <c r="R23" i="11"/>
  <c r="R22" i="11"/>
  <c r="R17" i="11"/>
  <c r="R16" i="11"/>
  <c r="R18" i="11"/>
  <c r="O22" i="10"/>
  <c r="O23" i="10"/>
  <c r="O24" i="10"/>
  <c r="O25" i="10"/>
  <c r="O27" i="10"/>
  <c r="O19" i="10"/>
  <c r="O18" i="10"/>
  <c r="O20" i="10"/>
  <c r="O28" i="10"/>
  <c r="O29" i="10"/>
  <c r="O30" i="10"/>
  <c r="P22" i="10"/>
  <c r="P23" i="10"/>
  <c r="P24" i="10"/>
  <c r="P25" i="10"/>
  <c r="P27" i="10"/>
  <c r="P19" i="10"/>
  <c r="P18" i="10"/>
  <c r="P20" i="10"/>
  <c r="P28" i="10"/>
  <c r="P29" i="10"/>
  <c r="P30" i="10"/>
  <c r="Q22" i="10"/>
  <c r="Q23" i="10"/>
  <c r="Q24" i="10"/>
  <c r="Q26" i="10"/>
  <c r="Q27" i="10"/>
  <c r="Q19" i="10"/>
  <c r="Q18" i="10"/>
  <c r="Q20" i="10"/>
  <c r="Q28" i="10"/>
  <c r="Q29" i="10"/>
  <c r="Q30" i="10"/>
  <c r="N22" i="10"/>
  <c r="R22" i="10"/>
  <c r="N23" i="10"/>
  <c r="R23" i="10"/>
  <c r="N24" i="10"/>
  <c r="R24" i="10"/>
  <c r="R25" i="10"/>
  <c r="R26" i="10"/>
  <c r="R27" i="10"/>
  <c r="R19" i="10"/>
  <c r="N18" i="10"/>
  <c r="R18" i="10"/>
  <c r="R20" i="10"/>
  <c r="R28" i="10"/>
  <c r="N29" i="10"/>
  <c r="R29" i="10"/>
  <c r="R30" i="10"/>
  <c r="N27" i="10"/>
  <c r="N19" i="10"/>
  <c r="N20" i="10"/>
  <c r="N28" i="10"/>
  <c r="N30" i="10"/>
  <c r="M23" i="10"/>
  <c r="M24" i="10"/>
  <c r="M25" i="10"/>
  <c r="M26" i="10"/>
  <c r="M22" i="10"/>
  <c r="N18" i="9"/>
  <c r="N16" i="9"/>
  <c r="N15" i="9"/>
  <c r="N17" i="9"/>
  <c r="N19" i="9"/>
  <c r="O18" i="9"/>
  <c r="O16" i="9"/>
  <c r="O15" i="9"/>
  <c r="O17" i="9"/>
  <c r="O19" i="9"/>
  <c r="P18" i="9"/>
  <c r="P16" i="9"/>
  <c r="P15" i="9"/>
  <c r="P17" i="9"/>
  <c r="P19" i="9"/>
  <c r="Q18" i="9"/>
  <c r="Q16" i="9"/>
  <c r="Q15" i="9"/>
  <c r="Q17" i="9"/>
  <c r="Q19" i="9"/>
  <c r="R19" i="9"/>
  <c r="N26" i="9"/>
  <c r="R15" i="9"/>
  <c r="N27" i="9"/>
  <c r="N28" i="9"/>
  <c r="N20" i="9"/>
  <c r="N21" i="9"/>
  <c r="O20" i="9"/>
  <c r="O21" i="9"/>
  <c r="P20" i="9"/>
  <c r="P21" i="9"/>
  <c r="Q20" i="9"/>
  <c r="Q21" i="9"/>
  <c r="R21" i="9"/>
  <c r="O14" i="9"/>
  <c r="P14" i="9"/>
  <c r="Q14" i="9"/>
  <c r="N14" i="9"/>
  <c r="R18" i="9"/>
  <c r="R17" i="9"/>
  <c r="R20" i="9"/>
  <c r="N28" i="8"/>
  <c r="N27" i="8"/>
  <c r="N29" i="8"/>
  <c r="N31" i="8"/>
  <c r="N33" i="8"/>
  <c r="N32" i="8"/>
  <c r="N34" i="8"/>
  <c r="O28" i="8"/>
  <c r="O27" i="8"/>
  <c r="O29" i="8"/>
  <c r="O31" i="8"/>
  <c r="O33" i="8"/>
  <c r="O32" i="8"/>
  <c r="O34" i="8"/>
  <c r="P28" i="8"/>
  <c r="P27" i="8"/>
  <c r="P29" i="8"/>
  <c r="P31" i="8"/>
  <c r="P33" i="8"/>
  <c r="P32" i="8"/>
  <c r="P34" i="8"/>
  <c r="Q28" i="8"/>
  <c r="Q27" i="8"/>
  <c r="Q29" i="8"/>
  <c r="Q31" i="8"/>
  <c r="Q33" i="8"/>
  <c r="Q32" i="8"/>
  <c r="Q34" i="8"/>
  <c r="R34" i="8"/>
  <c r="R32" i="8"/>
  <c r="R33" i="8"/>
  <c r="R31" i="8"/>
  <c r="R30" i="8"/>
  <c r="R28" i="8"/>
  <c r="R27" i="8"/>
  <c r="R29" i="8"/>
  <c r="O16" i="8"/>
  <c r="O26" i="8"/>
  <c r="P16" i="8"/>
  <c r="P26" i="8"/>
  <c r="Q16" i="8"/>
  <c r="Q26" i="8"/>
  <c r="N16" i="8"/>
  <c r="N26" i="8"/>
  <c r="O20" i="8"/>
  <c r="P20" i="8"/>
  <c r="Q20" i="8"/>
  <c r="R20" i="8"/>
  <c r="N20" i="8"/>
  <c r="O18" i="8"/>
  <c r="P18" i="8"/>
  <c r="Q18" i="8"/>
  <c r="R18" i="8"/>
  <c r="N18" i="8"/>
  <c r="O17" i="8"/>
  <c r="P17" i="8"/>
  <c r="Q17" i="8"/>
  <c r="N17" i="8"/>
  <c r="N19" i="8"/>
  <c r="O19" i="8"/>
  <c r="P19" i="8"/>
  <c r="Q19" i="8"/>
  <c r="R17" i="8"/>
  <c r="R19" i="8"/>
  <c r="R21" i="8"/>
  <c r="Q21" i="8"/>
  <c r="P21" i="8"/>
  <c r="O21" i="8"/>
  <c r="N21" i="8"/>
  <c r="O22" i="7"/>
  <c r="P22" i="7"/>
  <c r="Q22" i="7"/>
  <c r="R22" i="7"/>
  <c r="N22" i="7"/>
  <c r="N20" i="7"/>
  <c r="S15" i="7"/>
  <c r="S16" i="7"/>
  <c r="S17" i="7"/>
  <c r="Q18" i="7"/>
  <c r="P15" i="7"/>
  <c r="P16" i="7"/>
  <c r="P17" i="7"/>
  <c r="O18" i="7"/>
  <c r="Q15" i="7"/>
  <c r="Q16" i="7"/>
  <c r="Q17" i="7"/>
  <c r="P18" i="7"/>
  <c r="O15" i="7"/>
  <c r="O16" i="7"/>
  <c r="O17" i="7"/>
  <c r="N18" i="7"/>
  <c r="R16" i="7"/>
  <c r="N16" i="7"/>
  <c r="N15" i="7"/>
  <c r="R15" i="7"/>
  <c r="R17" i="7"/>
  <c r="R18" i="7"/>
  <c r="R19" i="7"/>
  <c r="R20" i="7"/>
  <c r="R21" i="7"/>
  <c r="R23" i="7"/>
  <c r="Q19" i="7"/>
  <c r="Q20" i="7"/>
  <c r="Q21" i="7"/>
  <c r="Q23" i="7"/>
  <c r="P19" i="7"/>
  <c r="P20" i="7"/>
  <c r="P21" i="7"/>
  <c r="P23" i="7"/>
  <c r="O19" i="7"/>
  <c r="O20" i="7"/>
  <c r="O21" i="7"/>
  <c r="O23" i="7"/>
  <c r="N17" i="7"/>
  <c r="N19" i="7"/>
  <c r="N21" i="7"/>
  <c r="N23" i="7"/>
  <c r="N14" i="6"/>
  <c r="M15" i="6"/>
  <c r="M14" i="6"/>
  <c r="M16" i="6"/>
  <c r="L15" i="6"/>
  <c r="M17" i="6"/>
  <c r="M18" i="6"/>
  <c r="O14" i="6"/>
  <c r="N15" i="6"/>
  <c r="N16" i="6"/>
  <c r="N17" i="6"/>
  <c r="N18" i="6"/>
  <c r="L14" i="6"/>
  <c r="L16" i="6"/>
  <c r="L17" i="6"/>
  <c r="L18" i="6"/>
  <c r="M13" i="6"/>
  <c r="N13" i="6"/>
  <c r="O13" i="6"/>
  <c r="L13" i="6"/>
  <c r="P29" i="5"/>
  <c r="P20" i="5"/>
  <c r="S20" i="5"/>
  <c r="P21" i="5"/>
  <c r="Q21" i="5"/>
  <c r="S21" i="5"/>
  <c r="P22" i="5"/>
  <c r="Q22" i="5"/>
  <c r="R22" i="5"/>
  <c r="S22" i="5"/>
  <c r="Q23" i="5"/>
  <c r="R23" i="5"/>
  <c r="S23" i="5"/>
  <c r="R24" i="5"/>
  <c r="S24" i="5"/>
  <c r="S25" i="5"/>
  <c r="R25" i="5"/>
  <c r="Q25" i="5"/>
  <c r="P25" i="5"/>
  <c r="S5" i="5"/>
  <c r="AN27" i="4"/>
  <c r="AO27" i="4"/>
  <c r="AP27" i="4"/>
  <c r="AQ27" i="4"/>
  <c r="AR27" i="4"/>
  <c r="AM27" i="4"/>
  <c r="AM61" i="4"/>
  <c r="AQ61" i="4"/>
  <c r="AM26" i="4"/>
  <c r="AM41" i="4"/>
  <c r="AN26" i="4"/>
  <c r="AN41" i="4"/>
  <c r="AM42" i="4"/>
  <c r="AM43" i="4"/>
  <c r="AM44" i="4"/>
  <c r="AM45" i="4"/>
  <c r="AM49" i="4"/>
  <c r="AM50" i="4"/>
  <c r="AM51" i="4"/>
  <c r="AO26" i="4"/>
  <c r="AO41" i="4"/>
  <c r="AN42" i="4"/>
  <c r="AN43" i="4"/>
  <c r="AN44" i="4"/>
  <c r="AN45" i="4"/>
  <c r="AN49" i="4"/>
  <c r="AM52" i="4"/>
  <c r="AM53" i="4"/>
  <c r="AM54" i="4"/>
  <c r="AM55" i="4"/>
  <c r="AM56" i="4"/>
  <c r="AM57" i="4"/>
  <c r="AM62" i="4"/>
  <c r="AN62" i="4"/>
  <c r="AQ62" i="4"/>
  <c r="AN50" i="4"/>
  <c r="AN51" i="4"/>
  <c r="AP26" i="4"/>
  <c r="AP41" i="4"/>
  <c r="AO42" i="4"/>
  <c r="AO43" i="4"/>
  <c r="AO44" i="4"/>
  <c r="AO45" i="4"/>
  <c r="AO49" i="4"/>
  <c r="AN52" i="4"/>
  <c r="AN53" i="4"/>
  <c r="AN54" i="4"/>
  <c r="AN55" i="4"/>
  <c r="AN56" i="4"/>
  <c r="AN57" i="4"/>
  <c r="AN63" i="4"/>
  <c r="AO63" i="4"/>
  <c r="AQ63" i="4"/>
  <c r="AO50" i="4"/>
  <c r="AO51" i="4"/>
  <c r="AQ26" i="4"/>
  <c r="AR41" i="4"/>
  <c r="AP42" i="4"/>
  <c r="AP43" i="4"/>
  <c r="AP44" i="4"/>
  <c r="AP45" i="4"/>
  <c r="AP49" i="4"/>
  <c r="AO52" i="4"/>
  <c r="AO53" i="4"/>
  <c r="AO54" i="4"/>
  <c r="AO55" i="4"/>
  <c r="AO56" i="4"/>
  <c r="AO57" i="4"/>
  <c r="AO64" i="4"/>
  <c r="AP64" i="4"/>
  <c r="AQ64" i="4"/>
  <c r="AP50" i="4"/>
  <c r="AP51" i="4"/>
  <c r="AR26" i="4"/>
  <c r="AS41" i="4"/>
  <c r="AR42" i="4"/>
  <c r="AR43" i="4"/>
  <c r="AQ42" i="4"/>
  <c r="AR44" i="4"/>
  <c r="AR45" i="4"/>
  <c r="AR49" i="4"/>
  <c r="AP52" i="4"/>
  <c r="AP53" i="4"/>
  <c r="AP54" i="4"/>
  <c r="AP55" i="4"/>
  <c r="AP56" i="4"/>
  <c r="AP57" i="4"/>
  <c r="AP65" i="4"/>
  <c r="AQ65" i="4"/>
  <c r="AQ66" i="4"/>
  <c r="AP66" i="4"/>
  <c r="AO66" i="4"/>
  <c r="AN66" i="4"/>
  <c r="AM66" i="4"/>
  <c r="AQ41" i="4"/>
  <c r="AQ43" i="4"/>
  <c r="AQ44" i="4"/>
  <c r="AQ45" i="4"/>
  <c r="AQ49" i="4"/>
  <c r="AQ50" i="4"/>
  <c r="AQ51" i="4"/>
  <c r="AQ52" i="4"/>
  <c r="AQ53" i="4"/>
  <c r="AQ54" i="4"/>
  <c r="AQ55" i="4"/>
  <c r="AQ56" i="4"/>
  <c r="AQ57" i="4"/>
  <c r="AR50" i="4"/>
  <c r="AR51" i="4"/>
  <c r="AM32" i="4"/>
  <c r="AQ32" i="4"/>
  <c r="AM28" i="4"/>
  <c r="AM33" i="4"/>
  <c r="AN33" i="4"/>
  <c r="AQ33" i="4"/>
  <c r="AN28" i="4"/>
  <c r="AN34" i="4"/>
  <c r="AO34" i="4"/>
  <c r="AQ34" i="4"/>
  <c r="AO28" i="4"/>
  <c r="AO35" i="4"/>
  <c r="AP35" i="4"/>
  <c r="AQ35" i="4"/>
  <c r="AP28" i="4"/>
  <c r="AP36" i="4"/>
  <c r="AQ36" i="4"/>
  <c r="AQ37" i="4"/>
  <c r="AP37" i="4"/>
  <c r="AO37" i="4"/>
  <c r="AN37" i="4"/>
  <c r="AM37" i="4"/>
  <c r="AR28" i="4"/>
  <c r="AQ28" i="4"/>
  <c r="AC61" i="4"/>
  <c r="AG61" i="4"/>
  <c r="AC26" i="4"/>
  <c r="AC41" i="4"/>
  <c r="AD26" i="4"/>
  <c r="AD41" i="4"/>
  <c r="AC42" i="4"/>
  <c r="AC43" i="4"/>
  <c r="AC44" i="4"/>
  <c r="AC45" i="4"/>
  <c r="AC49" i="4"/>
  <c r="AC50" i="4"/>
  <c r="AC51" i="4"/>
  <c r="AE26" i="4"/>
  <c r="AE41" i="4"/>
  <c r="AD42" i="4"/>
  <c r="AD43" i="4"/>
  <c r="AD44" i="4"/>
  <c r="AD45" i="4"/>
  <c r="AD49" i="4"/>
  <c r="AC52" i="4"/>
  <c r="AC53" i="4"/>
  <c r="AC54" i="4"/>
  <c r="AC55" i="4"/>
  <c r="AC56" i="4"/>
  <c r="AC57" i="4"/>
  <c r="AC62" i="4"/>
  <c r="AD62" i="4"/>
  <c r="AG62" i="4"/>
  <c r="AD50" i="4"/>
  <c r="AD51" i="4"/>
  <c r="AF26" i="4"/>
  <c r="AF41" i="4"/>
  <c r="AE42" i="4"/>
  <c r="AE43" i="4"/>
  <c r="AE44" i="4"/>
  <c r="AE45" i="4"/>
  <c r="AE49" i="4"/>
  <c r="AD52" i="4"/>
  <c r="AD53" i="4"/>
  <c r="AD54" i="4"/>
  <c r="AD55" i="4"/>
  <c r="AD56" i="4"/>
  <c r="AD57" i="4"/>
  <c r="AD63" i="4"/>
  <c r="AE63" i="4"/>
  <c r="AG63" i="4"/>
  <c r="AE50" i="4"/>
  <c r="AE51" i="4"/>
  <c r="AG26" i="4"/>
  <c r="AH41" i="4"/>
  <c r="AF42" i="4"/>
  <c r="AF43" i="4"/>
  <c r="AF44" i="4"/>
  <c r="AF45" i="4"/>
  <c r="AF49" i="4"/>
  <c r="AE52" i="4"/>
  <c r="AE53" i="4"/>
  <c r="AE54" i="4"/>
  <c r="AE55" i="4"/>
  <c r="AE56" i="4"/>
  <c r="AE57" i="4"/>
  <c r="AE64" i="4"/>
  <c r="AF64" i="4"/>
  <c r="AG64" i="4"/>
  <c r="AF50" i="4"/>
  <c r="AF51" i="4"/>
  <c r="AH26" i="4"/>
  <c r="AI41" i="4"/>
  <c r="AH42" i="4"/>
  <c r="AH43" i="4"/>
  <c r="AG42" i="4"/>
  <c r="AH44" i="4"/>
  <c r="AH45" i="4"/>
  <c r="AH49" i="4"/>
  <c r="AF52" i="4"/>
  <c r="AF53" i="4"/>
  <c r="AF54" i="4"/>
  <c r="AF55" i="4"/>
  <c r="AF56" i="4"/>
  <c r="AF57" i="4"/>
  <c r="AF65" i="4"/>
  <c r="AG65" i="4"/>
  <c r="AG66" i="4"/>
  <c r="AF66" i="4"/>
  <c r="AE66" i="4"/>
  <c r="AD66" i="4"/>
  <c r="AC66" i="4"/>
  <c r="AG41" i="4"/>
  <c r="AG43" i="4"/>
  <c r="AG44" i="4"/>
  <c r="AG45" i="4"/>
  <c r="AG49" i="4"/>
  <c r="AG50" i="4"/>
  <c r="AG51" i="4"/>
  <c r="AG52" i="4"/>
  <c r="AG53" i="4"/>
  <c r="AG54" i="4"/>
  <c r="AG55" i="4"/>
  <c r="AG56" i="4"/>
  <c r="AG57" i="4"/>
  <c r="AH50" i="4"/>
  <c r="AH51" i="4"/>
  <c r="AC32" i="4"/>
  <c r="AG32" i="4"/>
  <c r="AC27" i="4"/>
  <c r="AC28" i="4"/>
  <c r="AC33" i="4"/>
  <c r="AD33" i="4"/>
  <c r="AG33" i="4"/>
  <c r="AD27" i="4"/>
  <c r="AD28" i="4"/>
  <c r="AD34" i="4"/>
  <c r="AE34" i="4"/>
  <c r="AG34" i="4"/>
  <c r="AE27" i="4"/>
  <c r="AE28" i="4"/>
  <c r="AE35" i="4"/>
  <c r="AF35" i="4"/>
  <c r="AG35" i="4"/>
  <c r="AF27" i="4"/>
  <c r="AF28" i="4"/>
  <c r="AF36" i="4"/>
  <c r="AG36" i="4"/>
  <c r="AG37" i="4"/>
  <c r="AF37" i="4"/>
  <c r="AE37" i="4"/>
  <c r="AD37" i="4"/>
  <c r="AC37" i="4"/>
  <c r="AH27" i="4"/>
  <c r="AH28" i="4"/>
  <c r="AG27" i="4"/>
  <c r="AG28" i="4"/>
  <c r="V26" i="4"/>
  <c r="W41" i="4"/>
  <c r="W26" i="4"/>
  <c r="X41" i="4"/>
  <c r="W42" i="4"/>
  <c r="W43" i="4"/>
  <c r="U42" i="4"/>
  <c r="V42" i="4"/>
  <c r="W44" i="4"/>
  <c r="W45" i="4"/>
  <c r="W49" i="4"/>
  <c r="U52" i="4"/>
  <c r="T26" i="4"/>
  <c r="T41" i="4"/>
  <c r="U26" i="4"/>
  <c r="U41" i="4"/>
  <c r="T42" i="4"/>
  <c r="T43" i="4"/>
  <c r="S42" i="4"/>
  <c r="T44" i="4"/>
  <c r="T45" i="4"/>
  <c r="T49" i="4"/>
  <c r="S52" i="4"/>
  <c r="U43" i="4"/>
  <c r="U44" i="4"/>
  <c r="U45" i="4"/>
  <c r="U49" i="4"/>
  <c r="T52" i="4"/>
  <c r="S26" i="4"/>
  <c r="S41" i="4"/>
  <c r="S43" i="4"/>
  <c r="R42" i="4"/>
  <c r="S44" i="4"/>
  <c r="S45" i="4"/>
  <c r="S49" i="4"/>
  <c r="R52" i="4"/>
  <c r="R26" i="4"/>
  <c r="R41" i="4"/>
  <c r="R43" i="4"/>
  <c r="R44" i="4"/>
  <c r="R45" i="4"/>
  <c r="R49" i="4"/>
  <c r="R50" i="4"/>
  <c r="R51" i="4"/>
  <c r="R53" i="4"/>
  <c r="R54" i="4"/>
  <c r="R55" i="4"/>
  <c r="R56" i="4"/>
  <c r="R57" i="4"/>
  <c r="S62" i="4"/>
  <c r="S54" i="4"/>
  <c r="S50" i="4"/>
  <c r="S51" i="4"/>
  <c r="S53" i="4"/>
  <c r="S55" i="4"/>
  <c r="S56" i="4"/>
  <c r="S57" i="4"/>
  <c r="S63" i="4"/>
  <c r="S66" i="4"/>
  <c r="T63" i="4"/>
  <c r="T50" i="4"/>
  <c r="T51" i="4"/>
  <c r="T53" i="4"/>
  <c r="T54" i="4"/>
  <c r="T55" i="4"/>
  <c r="T56" i="4"/>
  <c r="T57" i="4"/>
  <c r="T64" i="4"/>
  <c r="T66" i="4"/>
  <c r="U64" i="4"/>
  <c r="U50" i="4"/>
  <c r="U51" i="4"/>
  <c r="U53" i="4"/>
  <c r="U54" i="4"/>
  <c r="U55" i="4"/>
  <c r="U56" i="4"/>
  <c r="U57" i="4"/>
  <c r="U65" i="4"/>
  <c r="U66" i="4"/>
  <c r="R62" i="4"/>
  <c r="V62" i="4"/>
  <c r="V63" i="4"/>
  <c r="V64" i="4"/>
  <c r="V65" i="4"/>
  <c r="R61" i="4"/>
  <c r="V61" i="4"/>
  <c r="V66" i="4"/>
  <c r="R66" i="4"/>
  <c r="V52" i="4"/>
  <c r="V41" i="4"/>
  <c r="V43" i="4"/>
  <c r="V44" i="4"/>
  <c r="V45" i="4"/>
  <c r="V49" i="4"/>
  <c r="V50" i="4"/>
  <c r="V51" i="4"/>
  <c r="V53" i="4"/>
  <c r="V54" i="4"/>
  <c r="V55" i="4"/>
  <c r="V56" i="4"/>
  <c r="V57" i="4"/>
  <c r="W50" i="4"/>
  <c r="W51" i="4"/>
  <c r="R27" i="4"/>
  <c r="R28" i="4"/>
  <c r="S33" i="4"/>
  <c r="S27" i="4"/>
  <c r="S28" i="4"/>
  <c r="S34" i="4"/>
  <c r="S37" i="4"/>
  <c r="T34" i="4"/>
  <c r="T27" i="4"/>
  <c r="T28" i="4"/>
  <c r="T35" i="4"/>
  <c r="T37" i="4"/>
  <c r="U35" i="4"/>
  <c r="U27" i="4"/>
  <c r="U28" i="4"/>
  <c r="U36" i="4"/>
  <c r="U37" i="4"/>
  <c r="R32" i="4"/>
  <c r="V32" i="4"/>
  <c r="R33" i="4"/>
  <c r="V33" i="4"/>
  <c r="V34" i="4"/>
  <c r="V35" i="4"/>
  <c r="V36" i="4"/>
  <c r="V37" i="4"/>
  <c r="R37" i="4"/>
  <c r="V27" i="4"/>
  <c r="V28" i="4"/>
  <c r="W27" i="4"/>
  <c r="W28" i="4"/>
  <c r="Q62" i="2"/>
  <c r="N32" i="2"/>
  <c r="M33" i="2"/>
  <c r="M32" i="2"/>
  <c r="M34" i="2"/>
  <c r="M36" i="2"/>
  <c r="M46" i="2"/>
  <c r="M48" i="2"/>
  <c r="O32" i="2"/>
  <c r="N33" i="2"/>
  <c r="N34" i="2"/>
  <c r="N35" i="2"/>
  <c r="N36" i="2"/>
  <c r="N46" i="2"/>
  <c r="M49" i="2"/>
  <c r="M50" i="2"/>
  <c r="M52" i="2"/>
  <c r="M54" i="2"/>
  <c r="M63" i="2"/>
  <c r="N63" i="2"/>
  <c r="Q63" i="2"/>
  <c r="N48" i="2"/>
  <c r="P32" i="2"/>
  <c r="O33" i="2"/>
  <c r="O34" i="2"/>
  <c r="O35" i="2"/>
  <c r="O36" i="2"/>
  <c r="O46" i="2"/>
  <c r="N49" i="2"/>
  <c r="N50" i="2"/>
  <c r="N51" i="2"/>
  <c r="N52" i="2"/>
  <c r="N54" i="2"/>
  <c r="N64" i="2"/>
  <c r="O64" i="2"/>
  <c r="Q64" i="2"/>
  <c r="O48" i="2"/>
  <c r="P33" i="2"/>
  <c r="P34" i="2"/>
  <c r="P35" i="2"/>
  <c r="P36" i="2"/>
  <c r="P46" i="2"/>
  <c r="O49" i="2"/>
  <c r="O50" i="2"/>
  <c r="O51" i="2"/>
  <c r="O52" i="2"/>
  <c r="O54" i="2"/>
  <c r="O65" i="2"/>
  <c r="P65" i="2"/>
  <c r="Q65" i="2"/>
  <c r="P48" i="2"/>
  <c r="R33" i="2"/>
  <c r="R34" i="2"/>
  <c r="R35" i="2"/>
  <c r="R36" i="2"/>
  <c r="R46" i="2"/>
  <c r="P49" i="2"/>
  <c r="P50" i="2"/>
  <c r="P51" i="2"/>
  <c r="P52" i="2"/>
  <c r="P54" i="2"/>
  <c r="P66" i="2"/>
  <c r="Q66" i="2"/>
  <c r="Q67" i="2"/>
  <c r="P67" i="2"/>
  <c r="O67" i="2"/>
  <c r="N67" i="2"/>
  <c r="M67" i="2"/>
  <c r="Q49" i="2"/>
  <c r="Q46" i="2"/>
  <c r="Q48" i="2"/>
  <c r="Q50" i="2"/>
  <c r="Q51" i="2"/>
  <c r="Q52" i="2"/>
  <c r="Q54" i="2"/>
  <c r="R48" i="2"/>
  <c r="Q35" i="2"/>
  <c r="Q33" i="2"/>
  <c r="Q32" i="2"/>
  <c r="Q34" i="2"/>
  <c r="Q36" i="2"/>
  <c r="Q17" i="2"/>
  <c r="M9" i="2"/>
  <c r="M18" i="2"/>
  <c r="N18" i="2"/>
  <c r="Q18" i="2"/>
  <c r="N9" i="2"/>
  <c r="N19" i="2"/>
  <c r="O19" i="2"/>
  <c r="Q19" i="2"/>
  <c r="O9" i="2"/>
  <c r="O20" i="2"/>
  <c r="P20" i="2"/>
  <c r="Q20" i="2"/>
  <c r="P9" i="2"/>
  <c r="P21" i="2"/>
  <c r="Q21" i="2"/>
  <c r="Q22" i="2"/>
  <c r="P22" i="2"/>
  <c r="O22" i="2"/>
  <c r="N22" i="2"/>
  <c r="M22" i="2"/>
  <c r="Q9" i="2"/>
  <c r="Q8" i="2"/>
  <c r="S9" i="2"/>
  <c r="T9" i="2"/>
  <c r="C146" i="1"/>
  <c r="D146" i="1"/>
  <c r="E146" i="1"/>
  <c r="F145" i="1"/>
  <c r="F146" i="1"/>
  <c r="G146" i="1"/>
  <c r="C156" i="1"/>
  <c r="G116" i="1"/>
  <c r="G117" i="1"/>
  <c r="G118" i="1"/>
  <c r="G119" i="1"/>
  <c r="G120" i="1"/>
  <c r="G121" i="1"/>
  <c r="G112" i="1"/>
  <c r="G114" i="1"/>
  <c r="G122" i="1"/>
  <c r="C154" i="1"/>
  <c r="G6" i="1"/>
  <c r="D98" i="1"/>
  <c r="C98" i="1"/>
  <c r="E98" i="1"/>
  <c r="D99" i="1"/>
  <c r="C99" i="1"/>
  <c r="E99" i="1"/>
  <c r="G85" i="1"/>
  <c r="C71" i="1"/>
  <c r="C73" i="1"/>
  <c r="C82" i="1"/>
  <c r="D71" i="1"/>
  <c r="D73" i="1"/>
  <c r="D82" i="1"/>
  <c r="E71" i="1"/>
  <c r="E73" i="1"/>
  <c r="E82" i="1"/>
  <c r="F71" i="1"/>
  <c r="F73" i="1"/>
  <c r="F82" i="1"/>
  <c r="G82" i="1"/>
  <c r="G84" i="1"/>
  <c r="G86" i="1"/>
  <c r="C91" i="1"/>
  <c r="C92" i="1"/>
  <c r="C93" i="1"/>
  <c r="D100" i="1"/>
  <c r="C100" i="1"/>
  <c r="E100" i="1"/>
  <c r="E101" i="1"/>
  <c r="C152" i="1"/>
  <c r="C8" i="1"/>
  <c r="D8" i="1"/>
  <c r="E8" i="1"/>
  <c r="F8" i="1"/>
  <c r="G8" i="1"/>
  <c r="C151" i="1"/>
  <c r="C153" i="1"/>
  <c r="C155" i="1"/>
  <c r="C157" i="1"/>
  <c r="G139" i="1"/>
  <c r="F43" i="1"/>
  <c r="E44" i="1"/>
  <c r="F46" i="1"/>
  <c r="F45" i="1"/>
  <c r="F47" i="1"/>
  <c r="F49" i="1"/>
  <c r="F63" i="1"/>
  <c r="G87" i="1"/>
  <c r="G138" i="1"/>
  <c r="C105" i="1"/>
  <c r="G32" i="1"/>
  <c r="C104" i="1"/>
  <c r="C106" i="1"/>
  <c r="F20" i="1"/>
  <c r="D123" i="1"/>
  <c r="D121" i="1"/>
  <c r="D114" i="1"/>
  <c r="D122" i="1"/>
  <c r="D124" i="1"/>
  <c r="D137" i="1"/>
  <c r="D43" i="1"/>
  <c r="C44" i="1"/>
  <c r="C43" i="1"/>
  <c r="C45" i="1"/>
  <c r="C47" i="1"/>
  <c r="C49" i="1"/>
  <c r="D60" i="1"/>
  <c r="D46" i="1"/>
  <c r="E43" i="1"/>
  <c r="D44" i="1"/>
  <c r="D45" i="1"/>
  <c r="D47" i="1"/>
  <c r="D49" i="1"/>
  <c r="D61" i="1"/>
  <c r="D64" i="1"/>
  <c r="D134" i="1"/>
  <c r="D75" i="1"/>
  <c r="D135" i="1"/>
  <c r="D84" i="1"/>
  <c r="D86" i="1"/>
  <c r="D88" i="1"/>
  <c r="D136" i="1"/>
  <c r="D140" i="1"/>
  <c r="D17" i="1"/>
  <c r="D18" i="1"/>
  <c r="D21" i="1"/>
  <c r="D131" i="1"/>
  <c r="C17" i="1"/>
  <c r="C21" i="1"/>
  <c r="C131" i="1"/>
  <c r="C132" i="1"/>
  <c r="C60" i="1"/>
  <c r="C64" i="1"/>
  <c r="C134" i="1"/>
  <c r="C75" i="1"/>
  <c r="C135" i="1"/>
  <c r="C84" i="1"/>
  <c r="C86" i="1"/>
  <c r="C88" i="1"/>
  <c r="C136" i="1"/>
  <c r="C123" i="1"/>
  <c r="C121" i="1"/>
  <c r="C114" i="1"/>
  <c r="C122" i="1"/>
  <c r="C124" i="1"/>
  <c r="C137" i="1"/>
  <c r="C140" i="1"/>
  <c r="C141" i="1"/>
  <c r="C147" i="1"/>
  <c r="D130" i="1"/>
  <c r="D132" i="1"/>
  <c r="D141" i="1"/>
  <c r="D147" i="1"/>
  <c r="E130" i="1"/>
  <c r="E18" i="1"/>
  <c r="E19" i="1"/>
  <c r="E21" i="1"/>
  <c r="E131" i="1"/>
  <c r="E132" i="1"/>
  <c r="E123" i="1"/>
  <c r="E121" i="1"/>
  <c r="E114" i="1"/>
  <c r="E122" i="1"/>
  <c r="E124" i="1"/>
  <c r="E137" i="1"/>
  <c r="E61" i="1"/>
  <c r="E46" i="1"/>
  <c r="E45" i="1"/>
  <c r="E47" i="1"/>
  <c r="E49" i="1"/>
  <c r="E62" i="1"/>
  <c r="E64" i="1"/>
  <c r="E134" i="1"/>
  <c r="E75" i="1"/>
  <c r="E135" i="1"/>
  <c r="E84" i="1"/>
  <c r="E86" i="1"/>
  <c r="E88" i="1"/>
  <c r="E136" i="1"/>
  <c r="E140" i="1"/>
  <c r="E141" i="1"/>
  <c r="E147" i="1"/>
  <c r="F130" i="1"/>
  <c r="F19" i="1"/>
  <c r="F21" i="1"/>
  <c r="F131" i="1"/>
  <c r="F132" i="1"/>
  <c r="F123" i="1"/>
  <c r="F121" i="1"/>
  <c r="F114" i="1"/>
  <c r="F122" i="1"/>
  <c r="F124" i="1"/>
  <c r="F137" i="1"/>
  <c r="F62" i="1"/>
  <c r="F64" i="1"/>
  <c r="F134" i="1"/>
  <c r="F75" i="1"/>
  <c r="F135" i="1"/>
  <c r="F84" i="1"/>
  <c r="F86" i="1"/>
  <c r="F88" i="1"/>
  <c r="F136" i="1"/>
  <c r="F140" i="1"/>
  <c r="F141" i="1"/>
  <c r="F147" i="1"/>
  <c r="G147" i="1"/>
  <c r="G123" i="1"/>
  <c r="G124" i="1"/>
  <c r="G131" i="1"/>
  <c r="G145" i="1"/>
  <c r="G144" i="1"/>
  <c r="G143" i="1"/>
  <c r="G137" i="1"/>
  <c r="G134" i="1"/>
  <c r="G135" i="1"/>
  <c r="G136" i="1"/>
  <c r="G140" i="1"/>
  <c r="G130" i="1"/>
  <c r="G132" i="1"/>
  <c r="G88" i="1"/>
  <c r="G71" i="1"/>
  <c r="G73" i="1"/>
  <c r="G75" i="1"/>
  <c r="G59" i="1"/>
  <c r="G60" i="1"/>
  <c r="G61" i="1"/>
  <c r="G62" i="1"/>
  <c r="G63" i="1"/>
  <c r="G64" i="1"/>
  <c r="G46" i="1"/>
  <c r="G47" i="1"/>
  <c r="G49" i="1"/>
  <c r="G31" i="1"/>
  <c r="G33" i="1"/>
  <c r="G34" i="1"/>
  <c r="G35" i="1"/>
  <c r="G16" i="1"/>
  <c r="G17" i="1"/>
  <c r="G18" i="1"/>
  <c r="G19" i="1"/>
  <c r="G20" i="1"/>
  <c r="G21" i="1"/>
  <c r="O22" i="13"/>
  <c r="O9" i="13"/>
  <c r="R18" i="16"/>
  <c r="R20" i="16"/>
  <c r="Q20" i="16"/>
  <c r="P20" i="16"/>
  <c r="O20" i="16"/>
  <c r="N20" i="16"/>
</calcChain>
</file>

<file path=xl/sharedStrings.xml><?xml version="1.0" encoding="utf-8"?>
<sst xmlns="http://schemas.openxmlformats.org/spreadsheetml/2006/main" count="1885" uniqueCount="620">
  <si>
    <t>Preco orçado</t>
  </si>
  <si>
    <t>Vendas Totais</t>
  </si>
  <si>
    <t>Percentual de vendas reunidas no periodo orçado</t>
  </si>
  <si>
    <t>Percentual de vendas reunidas no periodo posterior</t>
  </si>
  <si>
    <t>Orcamento de Recebimento em Numerários Esperados</t>
  </si>
  <si>
    <t>Contas a Receber - SI</t>
  </si>
  <si>
    <t>Vendas no 1º Trimestre</t>
  </si>
  <si>
    <t>Vendas no 2º Trimestre</t>
  </si>
  <si>
    <t>Vendas no 3º Trimestre</t>
  </si>
  <si>
    <t>Vendas no 4º Trimestre</t>
  </si>
  <si>
    <t>Total de Recebimentos</t>
  </si>
  <si>
    <t>Total</t>
  </si>
  <si>
    <t>Ano</t>
  </si>
  <si>
    <t>Trimestre</t>
  </si>
  <si>
    <t>120.000 a receber após o trimestre entram no BP como contas a receber</t>
  </si>
  <si>
    <t>Necessidades Totais</t>
  </si>
  <si>
    <t>(-) EPAC inicial</t>
  </si>
  <si>
    <t>(+) EAPC final desejado</t>
  </si>
  <si>
    <t>Producao Necessária</t>
  </si>
  <si>
    <t>Vendas orçadas (Volume)</t>
  </si>
  <si>
    <t>MP</t>
  </si>
  <si>
    <t>MP Necessaria</t>
  </si>
  <si>
    <t>MP Necessaria por unidade de produto</t>
  </si>
  <si>
    <t>MP Necessaria - Total</t>
  </si>
  <si>
    <t>(+) Estoque Final MP - desejado</t>
  </si>
  <si>
    <t>(-) Estoque Incial MP</t>
  </si>
  <si>
    <t>Compras MP</t>
  </si>
  <si>
    <t>Custo MP(kg)</t>
  </si>
  <si>
    <t>Custo Total MP</t>
  </si>
  <si>
    <t>Cronograma de Desembolso - MP</t>
  </si>
  <si>
    <t>Percentual de compras pagas no periodo da compra</t>
  </si>
  <si>
    <t>Percentual de compras pagas no periodo posterior</t>
  </si>
  <si>
    <t>Compras no 1º Trimestre</t>
  </si>
  <si>
    <t>Compras no 2º Trimestre</t>
  </si>
  <si>
    <t>Compras no 3º Trimestre</t>
  </si>
  <si>
    <t>Compras no 4º Trimestre</t>
  </si>
  <si>
    <t>Desembolso Total</t>
  </si>
  <si>
    <t>Fornecedores (Contas a Pagar) - SI</t>
  </si>
  <si>
    <t>HMOD Necessária por unidade de produto</t>
  </si>
  <si>
    <t>HMOD Total Necessaria</t>
  </si>
  <si>
    <t>Custo Unitário HMOD</t>
  </si>
  <si>
    <t>Custo Total HMOD</t>
  </si>
  <si>
    <t>HMOD Orçadas</t>
  </si>
  <si>
    <t>Taxa varaivel CIP</t>
  </si>
  <si>
    <t>CIP Fixos</t>
  </si>
  <si>
    <t>CIP Variaveis</t>
  </si>
  <si>
    <t>CIP Totais</t>
  </si>
  <si>
    <t>(-) Não Caixa  (depreciacao)</t>
  </si>
  <si>
    <t>Tx CIP</t>
  </si>
  <si>
    <t>Custo Unitário</t>
  </si>
  <si>
    <t>MD</t>
  </si>
  <si>
    <t>MOD</t>
  </si>
  <si>
    <t>CIP</t>
  </si>
  <si>
    <t>Quantidade</t>
  </si>
  <si>
    <t xml:space="preserve">EPAC </t>
  </si>
  <si>
    <t>EPAC Final</t>
  </si>
  <si>
    <t>EPAF Fianl - $</t>
  </si>
  <si>
    <t>Despesas Adm/Com Variaveis Unitárias</t>
  </si>
  <si>
    <t>Despesas Adm/Com Variaveis</t>
  </si>
  <si>
    <t>Despesas Adm/Com Fixas</t>
  </si>
  <si>
    <t>Propaganda</t>
  </si>
  <si>
    <t>Salários Adm</t>
  </si>
  <si>
    <t>Seguros</t>
  </si>
  <si>
    <t>Impostos s/ Móveis</t>
  </si>
  <si>
    <t>Depreciacao</t>
  </si>
  <si>
    <t>Despesas Adm/Com Totais</t>
  </si>
  <si>
    <t>Despesas Adm/Com Fixas Totais</t>
  </si>
  <si>
    <t>Desembolsos com Despesas Adm/Com</t>
  </si>
  <si>
    <t>Caixa - SI</t>
  </si>
  <si>
    <t>(+) Recebimento de Clientes</t>
  </si>
  <si>
    <t>Caixa Disponivel Total</t>
  </si>
  <si>
    <t>(-) Desembolsos</t>
  </si>
  <si>
    <t>Despesas Adm/Com</t>
  </si>
  <si>
    <t>Compra de Equipamentos</t>
  </si>
  <si>
    <t>Dividendos</t>
  </si>
  <si>
    <t>Desembolsos Totais</t>
  </si>
  <si>
    <t>Saldo de Caixa</t>
  </si>
  <si>
    <t>Financiamento</t>
  </si>
  <si>
    <t>Emprestimos</t>
  </si>
  <si>
    <t>Amortização de Principal (inicio de trimestre)</t>
  </si>
  <si>
    <t>Pagament de Juros (final do ano)</t>
  </si>
  <si>
    <t>Financiamento Total</t>
  </si>
  <si>
    <t>Superavit/Deficit</t>
  </si>
  <si>
    <t>Vendas</t>
  </si>
  <si>
    <t>(-) CPV</t>
  </si>
  <si>
    <t>Margem Bruta</t>
  </si>
  <si>
    <t>ROL</t>
  </si>
  <si>
    <t>Despesas Financeiras</t>
  </si>
  <si>
    <t>Lucro Líquida</t>
  </si>
  <si>
    <t>Caixa</t>
  </si>
  <si>
    <t>Clientes</t>
  </si>
  <si>
    <t>Terrenos</t>
  </si>
  <si>
    <t>Depreciacao Acumulada</t>
  </si>
  <si>
    <t>Ativo Total</t>
  </si>
  <si>
    <t>Vendas orçadas - unidades</t>
  </si>
  <si>
    <t>Passivo Circulante</t>
  </si>
  <si>
    <t>Fornecedores</t>
  </si>
  <si>
    <t>Lucros Retidos</t>
  </si>
  <si>
    <t>Capital</t>
  </si>
  <si>
    <t>Passivo Total</t>
  </si>
  <si>
    <t>Preco</t>
  </si>
  <si>
    <t>Vendas Unitárias Orçadas</t>
  </si>
  <si>
    <t>Ano 2</t>
  </si>
  <si>
    <t>Ano 3</t>
  </si>
  <si>
    <t>Receita</t>
  </si>
  <si>
    <t>Orcamento de Vendas
Cronograma 1 - Faturamento</t>
  </si>
  <si>
    <t>Orcamento de Vendas
Cronograma 2 - EPAC</t>
  </si>
  <si>
    <t>EPAC Final em relação as vendas orçadas do próximo trimestre</t>
  </si>
  <si>
    <t>ORÇAMENTO DE PRODUCAO</t>
  </si>
  <si>
    <t>ORÇAMENTO DE VENDAS</t>
  </si>
  <si>
    <t>ORÇAMENTO DE MATERIAIS DIRETOS</t>
  </si>
  <si>
    <t>Estoque MD Final em relação a producao orçada próximo trimestre</t>
  </si>
  <si>
    <r>
      <t>1.</t>
    </r>
    <r>
      <rPr>
        <sz val="7"/>
        <color theme="1"/>
        <rFont val="Times New Roman"/>
        <family val="1"/>
      </rPr>
      <t xml:space="preserve">      </t>
    </r>
    <r>
      <rPr>
        <sz val="12"/>
        <color theme="1"/>
        <rFont val="Times New Roman"/>
        <family val="1"/>
      </rPr>
      <t>O que é um orçamento? O que é controle orçamentário?</t>
    </r>
  </si>
  <si>
    <r>
      <t>R:</t>
    </r>
    <r>
      <rPr>
        <sz val="12"/>
        <color theme="1"/>
        <rFont val="Cambria"/>
        <family val="1"/>
      </rPr>
      <t xml:space="preserve"> </t>
    </r>
    <r>
      <rPr>
        <sz val="12"/>
        <color theme="1"/>
        <rFont val="Times New Roman"/>
        <family val="1"/>
      </rPr>
      <t>Um orçamento é um plano quantitativo detalhado para a aquisição e utilização de recursos financeiros e não financeiros ao longo de um determinado período de tempo. O controle orçamentário envolve o uso de orçamentos para aumentar a probabilidade de que todas as partes de uma organização estão trabalhando em conjunto para alcançar as metas estabelecidas na fase de planejamento.</t>
    </r>
  </si>
  <si>
    <r>
      <t>2.</t>
    </r>
    <r>
      <rPr>
        <sz val="7"/>
        <color theme="1"/>
        <rFont val="Times New Roman"/>
        <family val="1"/>
      </rPr>
      <t xml:space="preserve">      </t>
    </r>
    <r>
      <rPr>
        <sz val="12"/>
        <color theme="1"/>
        <rFont val="Times New Roman"/>
        <family val="1"/>
      </rPr>
      <t>Discuta alguns dos principais benefícios obtidos com a criação de orçamentos.</t>
    </r>
  </si>
  <si>
    <t>R:</t>
  </si>
  <si>
    <r>
      <t>a)</t>
    </r>
    <r>
      <rPr>
        <sz val="7"/>
        <color theme="1"/>
        <rFont val="Times New Roman"/>
        <family val="1"/>
      </rPr>
      <t xml:space="preserve">     </t>
    </r>
    <r>
      <rPr>
        <sz val="12"/>
        <color theme="1"/>
        <rFont val="Times New Roman"/>
        <family val="1"/>
      </rPr>
      <t>Os orçamentos comunica os planos da gestão de toda a organização.</t>
    </r>
  </si>
  <si>
    <r>
      <t>b)</t>
    </r>
    <r>
      <rPr>
        <sz val="7"/>
        <color theme="1"/>
        <rFont val="Times New Roman"/>
        <family val="1"/>
      </rPr>
      <t xml:space="preserve">     </t>
    </r>
    <r>
      <rPr>
        <sz val="12"/>
        <color theme="1"/>
        <rFont val="Times New Roman"/>
        <family val="1"/>
      </rPr>
      <t>O orçamento força o gestor a pensar e planejar o futuro. Na ausência da necessidade de preparar um orçamento, muitos gestores iriam gastar todo o seu tempo lidando com as emergências do dia-a-dia.</t>
    </r>
  </si>
  <si>
    <r>
      <t>c)</t>
    </r>
    <r>
      <rPr>
        <sz val="7"/>
        <color theme="1"/>
        <rFont val="Times New Roman"/>
        <family val="1"/>
      </rPr>
      <t xml:space="preserve">      </t>
    </r>
    <r>
      <rPr>
        <sz val="12"/>
        <color theme="1"/>
        <rFont val="Times New Roman"/>
        <family val="1"/>
      </rPr>
      <t>O processo de orçamentação fornece um meio de alocação de recursos para as partes da organização, podendo ser usados de forma mais eficaz.</t>
    </r>
  </si>
  <si>
    <r>
      <t>d)</t>
    </r>
    <r>
      <rPr>
        <sz val="7"/>
        <color theme="1"/>
        <rFont val="Times New Roman"/>
        <family val="1"/>
      </rPr>
      <t xml:space="preserve">     </t>
    </r>
    <r>
      <rPr>
        <sz val="12"/>
        <color theme="1"/>
        <rFont val="Times New Roman"/>
        <family val="1"/>
      </rPr>
      <t>O processo orçamentário pode descobrir possíveis gargalos antes que eles ocorram.</t>
    </r>
  </si>
  <si>
    <r>
      <t>e)</t>
    </r>
    <r>
      <rPr>
        <sz val="7"/>
        <color theme="1"/>
        <rFont val="Times New Roman"/>
        <family val="1"/>
      </rPr>
      <t xml:space="preserve">     </t>
    </r>
    <r>
      <rPr>
        <sz val="12"/>
        <color theme="1"/>
        <rFont val="Times New Roman"/>
        <family val="1"/>
      </rPr>
      <t>Orçamentos coordenam as atividades de toda a organização, integrando os planos das diversas partes. Orçamentos ajudam a garantir que todos na organização estão alinhados na mesma direção.</t>
    </r>
  </si>
  <si>
    <r>
      <t>f)</t>
    </r>
    <r>
      <rPr>
        <sz val="7"/>
        <color theme="1"/>
        <rFont val="Times New Roman"/>
        <family val="1"/>
      </rPr>
      <t xml:space="preserve">       </t>
    </r>
    <r>
      <rPr>
        <sz val="12"/>
        <color theme="1"/>
        <rFont val="Times New Roman"/>
        <family val="1"/>
      </rPr>
      <t>Orçamentos definem metas e objetivos que podem servir de referência para avaliar o desempenho subsequente.</t>
    </r>
  </si>
  <si>
    <r>
      <t>3.</t>
    </r>
    <r>
      <rPr>
        <sz val="7"/>
        <color theme="1"/>
        <rFont val="Times New Roman"/>
        <family val="1"/>
      </rPr>
      <t xml:space="preserve">      </t>
    </r>
    <r>
      <rPr>
        <sz val="12"/>
        <color theme="1"/>
        <rFont val="Times New Roman"/>
        <family val="1"/>
      </rPr>
      <t>O que significa o termo contabilidade por responsabilidade?</t>
    </r>
  </si>
  <si>
    <r>
      <t>R:</t>
    </r>
    <r>
      <rPr>
        <sz val="12"/>
        <color theme="1"/>
        <rFont val="Cambria"/>
        <family val="1"/>
      </rPr>
      <t xml:space="preserve"> </t>
    </r>
    <r>
      <rPr>
        <sz val="12"/>
        <color theme="1"/>
        <rFont val="Times New Roman"/>
        <family val="1"/>
      </rPr>
      <t>É um sistema em que um gerente é responsável apenas pelos itens de receitas e despesas que efetivamente pode controlar de forma significativa. Cada linha no orçamento é de responsabilidade de um gerente o qual é, então, responsável por diferenças entre resultados previstos e reais.</t>
    </r>
  </si>
  <si>
    <r>
      <t>4.</t>
    </r>
    <r>
      <rPr>
        <sz val="7"/>
        <color theme="1"/>
        <rFont val="Times New Roman"/>
        <family val="1"/>
      </rPr>
      <t xml:space="preserve">      </t>
    </r>
    <r>
      <rPr>
        <sz val="12"/>
        <color theme="1"/>
        <rFont val="Times New Roman"/>
        <family val="1"/>
      </rPr>
      <t>O que é um orçamento-mestre? Resuma seu conteúdo.</t>
    </r>
  </si>
  <si>
    <r>
      <t>R:</t>
    </r>
    <r>
      <rPr>
        <sz val="12"/>
        <color theme="1"/>
        <rFont val="Cambria"/>
        <family val="1"/>
      </rPr>
      <t xml:space="preserve"> </t>
    </r>
    <r>
      <rPr>
        <sz val="12"/>
        <color theme="1"/>
        <rFont val="Times New Roman"/>
        <family val="1"/>
      </rPr>
      <t>Um orçamento mestre representa um resumo de todos os planos e metas da administração para o futuro e delineia a maneira pela qual estes planos serão realizados. O orçamento mestre é composto por vários orçamentos menores específicos englobando vendas, produção, matérias-primas, mão de obra das áreas, despesas administrativas e comerciais e estoques. O orçamento mestre geralmente contém também DRE, fluxo de caixa e balanço patrimonial orçados.</t>
    </r>
  </si>
  <si>
    <r>
      <t>5.</t>
    </r>
    <r>
      <rPr>
        <sz val="7"/>
        <color theme="1"/>
        <rFont val="Times New Roman"/>
        <family val="1"/>
      </rPr>
      <t xml:space="preserve">      </t>
    </r>
    <r>
      <rPr>
        <sz val="12"/>
        <color theme="1"/>
        <rFont val="Times New Roman"/>
        <family val="1"/>
      </rPr>
      <t>Por que a previsão de vendas é o ponto de partida da criação de orçamentos?</t>
    </r>
  </si>
  <si>
    <r>
      <t>R:</t>
    </r>
    <r>
      <rPr>
        <sz val="12"/>
        <color theme="1"/>
        <rFont val="Cambria"/>
        <family val="1"/>
      </rPr>
      <t xml:space="preserve"> </t>
    </r>
    <r>
      <rPr>
        <sz val="12"/>
        <color theme="1"/>
        <rFont val="Times New Roman"/>
        <family val="1"/>
      </rPr>
      <t>O nível de vendas impacta praticamente todos os outros aspectos das atividades da empresa. Ele determina o orçamento de produção, gestão de caixa, desembolsos de caixa, e venda e orçamento administrativo que, por sua vez determinar o orçamento de caixa e orçado demonstração de resultados e balanço patrimonial.</t>
    </r>
  </si>
  <si>
    <r>
      <t>6.</t>
    </r>
    <r>
      <rPr>
        <sz val="7"/>
        <color theme="1"/>
        <rFont val="Times New Roman"/>
        <family val="1"/>
      </rPr>
      <t xml:space="preserve">      </t>
    </r>
    <r>
      <rPr>
        <sz val="12"/>
        <color theme="1"/>
        <rFont val="Times New Roman"/>
        <family val="1"/>
      </rPr>
      <t>Em termos práticos, planejamento e controle significam exatamente a mesma coisa. Você̂ concorda? Explique.</t>
    </r>
  </si>
  <si>
    <r>
      <t>R:</t>
    </r>
    <r>
      <rPr>
        <sz val="12"/>
        <color theme="1"/>
        <rFont val="Cambria"/>
        <family val="1"/>
      </rPr>
      <t xml:space="preserve"> </t>
    </r>
    <r>
      <rPr>
        <sz val="12"/>
        <color theme="1"/>
        <rFont val="Times New Roman"/>
        <family val="1"/>
      </rPr>
      <t>Não. Planejamento e controle são conceitos diferentes, embora relacionados. O planejamento envolve o desenvolvimento de metas e orçamentos para atingir esses objetivos. Controle, pelo contrário, envolve os meios pelos quais a administração tenta assegurar que as metas estabelecidas na fase de planejamento sejam atingidas.</t>
    </r>
  </si>
  <si>
    <r>
      <t>7.</t>
    </r>
    <r>
      <rPr>
        <sz val="7"/>
        <color theme="1"/>
        <rFont val="Times New Roman"/>
        <family val="1"/>
      </rPr>
      <t xml:space="preserve">      </t>
    </r>
    <r>
      <rPr>
        <sz val="12"/>
        <color theme="1"/>
        <rFont val="Times New Roman"/>
        <family val="1"/>
      </rPr>
      <t>Descreva o fluxo de dados orçamentários em uma organização. Quem são os participantes do processo orçamentário, e como eles participam?</t>
    </r>
  </si>
  <si>
    <r>
      <t>R:</t>
    </r>
    <r>
      <rPr>
        <sz val="12"/>
        <color theme="1"/>
        <rFont val="Cambria"/>
        <family val="1"/>
      </rPr>
      <t xml:space="preserve"> </t>
    </r>
    <r>
      <rPr>
        <sz val="12"/>
        <color theme="1"/>
        <rFont val="Times New Roman"/>
        <family val="1"/>
      </rPr>
      <t>O fluxo de informações do orçamento se move em duas direções: ascendente e descendente. O fluxo inicial deve subir verticalmente. Cada pessoa que tem responsabilidade sobre receitas ou custos deve preparar os dados do orçamento em relação a como seu desempenho posterior será medido. Na medida em que os dados do orçamento são comunicadas para cima, gerentes de nível superior devem rever os orçamentos para consistência com os objetivos gerais da organização e os planos de outras unidades. Qualquer problema deve ser resolvido em discussões entre os indivíduos que prepararam os orçamentos e seus gestores.</t>
    </r>
  </si>
  <si>
    <r>
      <t>8.</t>
    </r>
    <r>
      <rPr>
        <sz val="7"/>
        <color theme="1"/>
        <rFont val="Times New Roman"/>
        <family val="1"/>
      </rPr>
      <t xml:space="preserve">      </t>
    </r>
    <r>
      <rPr>
        <sz val="12"/>
        <color theme="1"/>
        <rFont val="Times New Roman"/>
        <family val="1"/>
      </rPr>
      <t>O que é um orçamento auto imposto? Quais são as principais vantagens dos orçamentos auto impostos? Quais cuidados devem ser tomados em seu uso?</t>
    </r>
  </si>
  <si>
    <r>
      <t>R:</t>
    </r>
    <r>
      <rPr>
        <sz val="12"/>
        <color theme="1"/>
        <rFont val="Cambria"/>
        <family val="1"/>
      </rPr>
      <t xml:space="preserve"> </t>
    </r>
    <r>
      <rPr>
        <sz val="12"/>
        <color theme="1"/>
        <rFont val="Times New Roman"/>
        <family val="1"/>
      </rPr>
      <t>Todos os níveis de uma organização devem participar do processo – não apenas a alta gerência e a contabilidade. Geralmente, os níveis mais baixos estarão mais familiarizados com os dados operacionais detalhados do dia-a-dia e, por este motivo, será a principal responsável pelo desenvolvimento das especificidades no orçamento. Níveis mais altos de gestão devem ter uma perspectiva melhor para a estratégia da empresa.</t>
    </r>
  </si>
  <si>
    <r>
      <t>9.</t>
    </r>
    <r>
      <rPr>
        <sz val="7"/>
        <color theme="1"/>
        <rFont val="Times New Roman"/>
        <family val="1"/>
      </rPr>
      <t xml:space="preserve">      </t>
    </r>
    <r>
      <rPr>
        <sz val="12"/>
        <color theme="1"/>
        <rFont val="Times New Roman"/>
        <family val="1"/>
      </rPr>
      <t>Como a criação de orçamentos pode auxiliar uma empresa a planejar quantos colaboradores ter na força de trabalho?</t>
    </r>
  </si>
  <si>
    <r>
      <t>R:</t>
    </r>
    <r>
      <rPr>
        <sz val="12"/>
        <color theme="1"/>
        <rFont val="Cambria"/>
        <family val="1"/>
      </rPr>
      <t xml:space="preserve"> </t>
    </r>
    <r>
      <rPr>
        <sz val="12"/>
        <color theme="1"/>
        <rFont val="Times New Roman"/>
        <family val="1"/>
      </rPr>
      <t>Um orçamento auto imposto é aquele em que as pessoas com responsabilidade sobre o controle de custos preparar seus próprios orçamentos. Isto está em contraste com um orçamento que é imposta a partir de cima. As principais vantagens de um orçamento auto-imposto são: (1) As pessoas em todos os níveis da organização são reconhecidos como membros da equipe de cujas opiniões e julgamentos são valorizados. (2) as previsões orçamentais preparadas pelos gerentes de linha de frente são muitas vezes mais preciso e confiável do que as estimativas elaboradas por gestores de topo que têm menos conhecimento íntimo dos mercados e das operações do dia-a-dia. (3) A motivação é geralmente mais elevado quando as pessoas participam da definição das suas próprias metas do que quando as metas são impostas de cima. Orçamentos auto-impostas criar compromisso. (4) Um gerente que não é capaz de atender a um orçamento que tenha sido imposta de cima pode sempre dizer que o orçamento era irreal e impossível de cumprir. Com um orçamento auto-imposta, essa desculpa não está disponível.</t>
    </r>
  </si>
  <si>
    <t>Orçamentos auto-impostas que carregam com eles o risco de folga orçamental. Os orçamentos elaborados pelos gerentes de nível mais baixo devem ser cuidadosamente revistos para evitar muita folga.</t>
  </si>
  <si>
    <r>
      <t>10.</t>
    </r>
    <r>
      <rPr>
        <sz val="7"/>
        <color theme="1"/>
        <rFont val="Times New Roman"/>
        <family val="1"/>
      </rPr>
      <t xml:space="preserve">  </t>
    </r>
    <r>
      <rPr>
        <sz val="12"/>
        <color theme="1"/>
        <rFont val="Times New Roman"/>
        <family val="1"/>
      </rPr>
      <t>A principal finalidade do orçamento de caixa é ver quanto dinheiro a empresa terá́ no banco no final do ano. Você concorda? Explique.</t>
    </r>
  </si>
  <si>
    <t>R: O principal propósito do orçamento de caixa não é para ver quanto dinheiro a empresa terá no banco no final do ano. Embora este seja um dos efeitos do orçamento de caixa, o objectivo principal é fornecer informações sobre as necessidades de caixa prováveis durante o período orçamental, de modo que os empréstimos bancários e outras fontes de financiamento podem ser antecipados e bem organizado com antecedência.</t>
  </si>
  <si>
    <t>Capítulo 8: Aplicação em Excel</t>
  </si>
  <si>
    <t>Dados</t>
  </si>
  <si>
    <t>Ano 2 Trimestre</t>
  </si>
  <si>
    <t>Ano 3 Trimestre</t>
  </si>
  <si>
    <t>Vendas unitárias orçadas</t>
  </si>
  <si>
    <r>
      <rPr>
        <sz val="10"/>
        <color theme="1"/>
        <rFont val="Wingdings"/>
        <charset val="2"/>
      </rPr>
      <t></t>
    </r>
    <r>
      <rPr>
        <sz val="10"/>
        <color theme="1"/>
        <rFont val="Helvetica"/>
        <family val="2"/>
      </rPr>
      <t xml:space="preserve"> Preço de venda por unidade</t>
    </r>
  </si>
  <si>
    <t>por unidade</t>
  </si>
  <si>
    <r>
      <t></t>
    </r>
    <r>
      <rPr>
        <sz val="10"/>
        <color theme="1"/>
        <rFont val="Wingdings"/>
        <charset val="2"/>
      </rPr>
      <t></t>
    </r>
    <r>
      <rPr>
        <sz val="10"/>
        <color theme="1"/>
        <rFont val="Helvetica"/>
        <family val="2"/>
      </rPr>
      <t xml:space="preserve"> Contas a receber, saldo inicial</t>
    </r>
  </si>
  <si>
    <r>
      <rPr>
        <sz val="10"/>
        <color theme="1"/>
        <rFont val="Wingdings"/>
        <charset val="2"/>
      </rPr>
      <t></t>
    </r>
    <r>
      <rPr>
        <sz val="10"/>
        <color theme="1"/>
        <rFont val="Helvetica"/>
        <family val="2"/>
      </rPr>
      <t xml:space="preserve"> Vendas recebidas no trimestre em que elas são feitas</t>
    </r>
  </si>
  <si>
    <r>
      <rPr>
        <sz val="10"/>
        <color theme="1"/>
        <rFont val="Wingdings"/>
        <charset val="2"/>
      </rPr>
      <t></t>
    </r>
    <r>
      <rPr>
        <sz val="10"/>
        <color theme="1"/>
        <rFont val="Arial"/>
        <family val="2"/>
      </rPr>
      <t xml:space="preserve"> </t>
    </r>
    <r>
      <rPr>
        <sz val="10"/>
        <color theme="1"/>
        <rFont val="Helvetica"/>
        <family val="2"/>
      </rPr>
      <t>Vendas recebidas no trimestre posterior ao que elas são feitas</t>
    </r>
  </si>
  <si>
    <r>
      <rPr>
        <sz val="10"/>
        <color theme="1"/>
        <rFont val="Wingdings"/>
        <charset val="2"/>
      </rPr>
      <t></t>
    </r>
    <r>
      <rPr>
        <sz val="10"/>
        <color theme="1"/>
        <rFont val="Arial"/>
        <family val="2"/>
      </rPr>
      <t xml:space="preserve"> </t>
    </r>
    <r>
      <rPr>
        <sz val="10"/>
        <color theme="1"/>
        <rFont val="Helvetica"/>
        <family val="2"/>
      </rPr>
      <t>Estoques finais desejados de produtos concluídos são</t>
    </r>
  </si>
  <si>
    <t>das vendas unitárias orçadas do trimestre seguinte</t>
  </si>
  <si>
    <r>
      <rPr>
        <sz val="10"/>
        <color theme="1"/>
        <rFont val="Wingdings"/>
        <charset val="2"/>
      </rPr>
      <t></t>
    </r>
    <r>
      <rPr>
        <sz val="10"/>
        <color theme="1"/>
        <rFont val="Arial"/>
        <family val="2"/>
      </rPr>
      <t xml:space="preserve"> </t>
    </r>
    <r>
      <rPr>
        <sz val="10"/>
        <color theme="1"/>
        <rFont val="Helvetica"/>
        <family val="2"/>
      </rPr>
      <t>Estoques iniciais de produtos concluídos</t>
    </r>
  </si>
  <si>
    <t>unidades</t>
  </si>
  <si>
    <r>
      <rPr>
        <sz val="10"/>
        <color theme="1"/>
        <rFont val="Wingdings"/>
        <charset val="2"/>
      </rPr>
      <t></t>
    </r>
    <r>
      <rPr>
        <sz val="10"/>
        <color theme="1"/>
        <rFont val="Arial"/>
        <family val="2"/>
      </rPr>
      <t xml:space="preserve"> </t>
    </r>
    <r>
      <rPr>
        <sz val="10"/>
        <color theme="1"/>
        <rFont val="Helvetica"/>
        <family val="2"/>
      </rPr>
      <t>Matérias-primas adquiridas para produzir uma unidade</t>
    </r>
  </si>
  <si>
    <t>libras</t>
  </si>
  <si>
    <r>
      <rPr>
        <sz val="10"/>
        <color theme="1"/>
        <rFont val="Wingdings"/>
        <charset val="2"/>
      </rPr>
      <t></t>
    </r>
    <r>
      <rPr>
        <sz val="10"/>
        <color theme="1"/>
        <rFont val="Arial"/>
        <family val="2"/>
      </rPr>
      <t xml:space="preserve"> </t>
    </r>
    <r>
      <rPr>
        <sz val="10"/>
        <color theme="1"/>
        <rFont val="Helvetica"/>
        <family val="2"/>
      </rPr>
      <t>Estoques finais desejados de matérias-primas são</t>
    </r>
  </si>
  <si>
    <t>das necessidades de produção do trimestre seguinte</t>
  </si>
  <si>
    <r>
      <rPr>
        <sz val="10"/>
        <color theme="1"/>
        <rFont val="Wingdings"/>
        <charset val="2"/>
      </rPr>
      <t></t>
    </r>
    <r>
      <rPr>
        <sz val="10"/>
        <color theme="1"/>
        <rFont val="Arial"/>
        <family val="2"/>
      </rPr>
      <t xml:space="preserve"> </t>
    </r>
    <r>
      <rPr>
        <sz val="10"/>
        <color theme="1"/>
        <rFont val="Helvetica"/>
        <family val="2"/>
      </rPr>
      <t>Estoques iniciais de matérias-primas</t>
    </r>
  </si>
  <si>
    <r>
      <rPr>
        <sz val="10"/>
        <color theme="1"/>
        <rFont val="Wingdings"/>
        <charset val="2"/>
      </rPr>
      <t></t>
    </r>
    <r>
      <rPr>
        <sz val="10"/>
        <color theme="1"/>
        <rFont val="Arial"/>
        <family val="2"/>
      </rPr>
      <t xml:space="preserve"> </t>
    </r>
    <r>
      <rPr>
        <sz val="10"/>
        <color theme="1"/>
        <rFont val="Helvetica"/>
        <family val="2"/>
      </rPr>
      <t>Custos das matérias-primas</t>
    </r>
  </si>
  <si>
    <t>por libra</t>
  </si>
  <si>
    <r>
      <t></t>
    </r>
    <r>
      <rPr>
        <sz val="10"/>
        <color theme="1"/>
        <rFont val="Wingdings"/>
        <charset val="2"/>
      </rPr>
      <t></t>
    </r>
    <r>
      <rPr>
        <sz val="10"/>
        <color theme="1"/>
        <rFont val="Arial"/>
        <family val="2"/>
      </rPr>
      <t xml:space="preserve"> </t>
    </r>
    <r>
      <rPr>
        <sz val="10"/>
        <color theme="1"/>
        <rFont val="Helvetica"/>
        <family val="2"/>
      </rPr>
      <t>Compras de matérias-primas são pagas</t>
    </r>
  </si>
  <si>
    <t>no trimestre em que as compras são feitas</t>
  </si>
  <si>
    <t>e</t>
  </si>
  <si>
    <t xml:space="preserve"> no trimestre seguinte às compras</t>
  </si>
  <si>
    <r>
      <rPr>
        <sz val="10"/>
        <color theme="1"/>
        <rFont val="Wingdings"/>
        <charset val="2"/>
      </rPr>
      <t></t>
    </r>
    <r>
      <rPr>
        <sz val="10"/>
        <color theme="1"/>
        <rFont val="Arial"/>
        <family val="2"/>
      </rPr>
      <t xml:space="preserve"> </t>
    </r>
    <r>
      <rPr>
        <sz val="10"/>
        <color theme="1"/>
        <rFont val="Helvetica"/>
        <family val="2"/>
      </rPr>
      <t>Contas a pagar relativas a matérias-primas, saldo inicial</t>
    </r>
  </si>
  <si>
    <t>Digite uma fórmula em cada uma das células marcadas com um ? abaixo</t>
  </si>
  <si>
    <t>Problema de revisão: cronogramas orçamentários</t>
  </si>
  <si>
    <t>Construa o orçamento de vendas</t>
  </si>
  <si>
    <t>Preço de venda por unidade</t>
  </si>
  <si>
    <t>Vendas totais</t>
  </si>
  <si>
    <t>Construa o orçamento de recebimentos em numerários esperados</t>
  </si>
  <si>
    <t>Contas a receber, saldo inicial</t>
  </si>
  <si>
    <t>Vendas do primeiro trimestre</t>
  </si>
  <si>
    <t>Vendas do segundo trimestre</t>
  </si>
  <si>
    <t>Vendas do terceiro trimestre</t>
  </si>
  <si>
    <t>Vendas do quarto trimestre</t>
  </si>
  <si>
    <t>Total de recebimentos</t>
  </si>
  <si>
    <t>Construa o orçamento de produção</t>
  </si>
  <si>
    <t>Mais estoques desejados de produtos concluídos</t>
  </si>
  <si>
    <t>Necessidades totais</t>
  </si>
  <si>
    <t>Menos estoques iniciais</t>
  </si>
  <si>
    <t>Produção necessária</t>
  </si>
  <si>
    <t>Construa o orçamento de compras de matérias-primas</t>
  </si>
  <si>
    <t>Produção necessária (unidades)</t>
  </si>
  <si>
    <t>Matérias-primas necessárias para produzir uma unidade</t>
  </si>
  <si>
    <t>Necessidades de produção (libras)</t>
  </si>
  <si>
    <t>Mais estoques finais desejados de matérias-primas (libras)</t>
  </si>
  <si>
    <t>Necessidades totais (libras)</t>
  </si>
  <si>
    <t>Menos estoques iniciais de matérias-primas (libras)</t>
  </si>
  <si>
    <t>Matérias-primas a serem compradas</t>
  </si>
  <si>
    <t>Custos das matérias-primas por libra</t>
  </si>
  <si>
    <t>Custos das matérias-primas a serem compradas</t>
  </si>
  <si>
    <t>Construa o orçamento de pagamentos em numerário esperados</t>
  </si>
  <si>
    <t>Contas a pagar, saldo inicial</t>
  </si>
  <si>
    <t>Compras do primeiro trimestre</t>
  </si>
  <si>
    <t>Compras do segundo trimestre</t>
  </si>
  <si>
    <t>Compras do terceiro trimestre</t>
  </si>
  <si>
    <t>Compras do quarto trimestre</t>
  </si>
  <si>
    <t xml:space="preserve">Desembolsos totais de caixa </t>
  </si>
  <si>
    <t>Os desembolsos de caixa para matérias-primas aumentou de US$ 1.035.980 para US$ 1.095.980 porque o aumento nas vendas unitárias no segundo trimestre exigem compras adicionais de matérias-primas.</t>
  </si>
  <si>
    <t>Julho</t>
  </si>
  <si>
    <t>Agosto</t>
  </si>
  <si>
    <t>Setembro</t>
  </si>
  <si>
    <r>
      <rPr>
        <sz val="10"/>
        <color theme="1"/>
        <rFont val="Helvetica"/>
        <family val="2"/>
      </rPr>
      <t>Vendas recebidas no periodo</t>
    </r>
  </si>
  <si>
    <r>
      <rPr>
        <sz val="10"/>
        <color theme="1"/>
        <rFont val="Helvetica"/>
        <family val="2"/>
      </rPr>
      <t>Vendas recebidas com 30 dias</t>
    </r>
  </si>
  <si>
    <r>
      <rPr>
        <sz val="10"/>
        <color theme="1"/>
        <rFont val="Helvetica"/>
        <family val="2"/>
      </rPr>
      <t>Vendas recebidas com 60 dias</t>
    </r>
  </si>
  <si>
    <t>Vendas Maio</t>
  </si>
  <si>
    <t>Vendas Junho</t>
  </si>
  <si>
    <t>Cronograma de Recebimentos</t>
  </si>
  <si>
    <t>Contas a Receber</t>
  </si>
  <si>
    <t>Outubro</t>
  </si>
  <si>
    <t>EPAC final desejado</t>
  </si>
  <si>
    <t>das vendas unitárias orçadas do mes seguinte</t>
  </si>
  <si>
    <t>EAPC Final Junho</t>
  </si>
  <si>
    <t>(+) EPAC Final desejado</t>
  </si>
  <si>
    <t>Custo Chip</t>
  </si>
  <si>
    <t>Chips/ unidade</t>
  </si>
  <si>
    <t>1º</t>
  </si>
  <si>
    <t>2º</t>
  </si>
  <si>
    <t>3º</t>
  </si>
  <si>
    <t>4º</t>
  </si>
  <si>
    <t>Producao</t>
  </si>
  <si>
    <t>Producao trimestre seqguinte</t>
  </si>
  <si>
    <t>Estoque Final MD</t>
  </si>
  <si>
    <t>Estoque Inicial 1º Trimestre</t>
  </si>
  <si>
    <t>Orçamento de compras de matérias-primas</t>
  </si>
  <si>
    <t>MD necessários para produzir uma unidade</t>
  </si>
  <si>
    <t>Necessidades de produção (Chips)</t>
  </si>
  <si>
    <t>Mais estoques finais desejados de matérias-primas (Chips)</t>
  </si>
  <si>
    <t>Necessidades totais (Chips)</t>
  </si>
  <si>
    <t>Menos estoques iniciais de matérias-primas (Chips)</t>
  </si>
  <si>
    <t>MOD/unidade</t>
  </si>
  <si>
    <t>MOD($)</t>
  </si>
  <si>
    <t>HMOD regular</t>
  </si>
  <si>
    <t>Horas Extras Necessárias</t>
  </si>
  <si>
    <t>HMOD regular ($)</t>
  </si>
  <si>
    <t>Horas Extras Necessárias ($)</t>
  </si>
  <si>
    <t>Custo MOD</t>
  </si>
  <si>
    <t>HMOD Orçada</t>
  </si>
  <si>
    <t>CIP Fixos (trimestre)</t>
  </si>
  <si>
    <t>Depreciacao (trimestre)</t>
  </si>
  <si>
    <t>Tx MOI (p/ HMOD)</t>
  </si>
  <si>
    <t>Desembolso CIP</t>
  </si>
  <si>
    <t>1 Trimestre</t>
  </si>
  <si>
    <t>2 Trimestre</t>
  </si>
  <si>
    <t>3 Trimestre</t>
  </si>
  <si>
    <t>4 Trimestre</t>
  </si>
  <si>
    <t>Salario Executivo</t>
  </si>
  <si>
    <t>Seguros (2º Trimestre)</t>
  </si>
  <si>
    <t>Seguros (4º Trimestre)</t>
  </si>
  <si>
    <t>Impostos (3º Trimestre)</t>
  </si>
  <si>
    <t>Total de Desembolsos</t>
  </si>
  <si>
    <t>Saldo de Caixa Mínimo</t>
  </si>
  <si>
    <t>Taxa de Juros (a/t)</t>
  </si>
  <si>
    <t>Vendas Orçadas</t>
  </si>
  <si>
    <t>Custo Unitario</t>
  </si>
  <si>
    <t>Despesas Varaiaveis</t>
  </si>
  <si>
    <t>Despesas Fixas</t>
  </si>
  <si>
    <t>Estoque Suprimentos</t>
  </si>
  <si>
    <t>Equipamentos</t>
  </si>
  <si>
    <t>Ativo</t>
  </si>
  <si>
    <t>Saldo Inicial Lucros Retidos</t>
  </si>
  <si>
    <t>(+) Lucro Liq. Orçado</t>
  </si>
  <si>
    <t>(-) Dividendos</t>
  </si>
  <si>
    <t>Saldo Final Lucros Retidos</t>
  </si>
  <si>
    <t>Passivo</t>
  </si>
  <si>
    <t>Vendas Orcadas</t>
  </si>
  <si>
    <t>Inadimplencia</t>
  </si>
  <si>
    <t>EPAC Inicial</t>
  </si>
  <si>
    <t>Vendas no trimestre seguinte</t>
  </si>
  <si>
    <t>EPAC Final Trimestre</t>
  </si>
  <si>
    <t>Vendas recebidas no trimestre</t>
  </si>
  <si>
    <t>Vendas recebidas no trimestre seguinte</t>
  </si>
  <si>
    <t>Clientes - SI</t>
  </si>
  <si>
    <t>Orçamento de produção</t>
  </si>
  <si>
    <t>Estoque MD - Inicial (kg)</t>
  </si>
  <si>
    <t>Fornecedores - SI</t>
  </si>
  <si>
    <t>Estoque MD - Final (kg)</t>
  </si>
  <si>
    <t>Necessidades do trimestre seguinte</t>
  </si>
  <si>
    <t>Estoque MD final trimestre (kg)</t>
  </si>
  <si>
    <t>Pagamento Fornecedor no Trimestre</t>
  </si>
  <si>
    <t>Pagamento Fornecedor no Trimestre Seguinte</t>
  </si>
  <si>
    <t>MOD unitária</t>
  </si>
  <si>
    <t>MOD ($)</t>
  </si>
  <si>
    <t>Orçamento MD</t>
  </si>
  <si>
    <t>Necessidades de produção (kg)</t>
  </si>
  <si>
    <t>Mais estoques finais desejados de matérias-primas (kg)</t>
  </si>
  <si>
    <t>Necessidades totais (kg)</t>
  </si>
  <si>
    <t>Menos estoques iniciais de matérias-primas (kg)</t>
  </si>
  <si>
    <t>Custos das matérias-primas por kg</t>
  </si>
  <si>
    <t>Consumo unitário MD (kg)</t>
  </si>
  <si>
    <t>Custo MD/kg</t>
  </si>
  <si>
    <t>Orçamento MOD</t>
  </si>
  <si>
    <t>CIP Var</t>
  </si>
  <si>
    <t>/HMOD</t>
  </si>
  <si>
    <t>CIP Fixo</t>
  </si>
  <si>
    <t>das vendas do mês seguinte</t>
  </si>
  <si>
    <t>EPAC final mês</t>
  </si>
  <si>
    <t>EPAC inicial</t>
  </si>
  <si>
    <t>Estoque MD final mês</t>
  </si>
  <si>
    <t>da producao do mês seguinte</t>
  </si>
  <si>
    <t>Estoque MD inicial</t>
  </si>
  <si>
    <t>Novembro</t>
  </si>
  <si>
    <t>Dezembro</t>
  </si>
  <si>
    <t>Mês</t>
  </si>
  <si>
    <t>Durante julho e agosto a empresa está construindo estoques em antecipação ao pico de vendas em setembro. Portanto, a produção excede as vendas durante esses meses. Em setembro e outubro os estoques estão sendo reduzidos em antecipação a uma queda nas vendas nos últimos meses do ano. Portanto, a produção é menor do que as vendas durante esses meses de cortar em níveis de estoque.</t>
  </si>
  <si>
    <t>TRIMESTRE</t>
  </si>
  <si>
    <t>Estoques</t>
  </si>
  <si>
    <t>Ativos</t>
  </si>
  <si>
    <t>Recebimento no mês</t>
  </si>
  <si>
    <t>Recebimento no mês seguinte</t>
  </si>
  <si>
    <t>* Recebimentos de junho serão recebidas em julho</t>
  </si>
  <si>
    <t>vendas do mês seguinte</t>
  </si>
  <si>
    <t>CPV</t>
  </si>
  <si>
    <t>da receita</t>
  </si>
  <si>
    <t>Pagamento no mês</t>
  </si>
  <si>
    <t>Pagamento no mês seguinte</t>
  </si>
  <si>
    <t>* Pagamentos de junho serão recebidas em julho</t>
  </si>
  <si>
    <t>Vendas Julho</t>
  </si>
  <si>
    <t>Vendas Agosto</t>
  </si>
  <si>
    <t>Vendas Setembro</t>
  </si>
  <si>
    <t>(+) Estoque Mercadorias final desejado</t>
  </si>
  <si>
    <t>DRE Orçada</t>
  </si>
  <si>
    <t>Balanço Orçado</t>
  </si>
  <si>
    <t>Saldo Caixa Inicial</t>
  </si>
  <si>
    <t>Despesas Operacionais</t>
  </si>
  <si>
    <t>Comora Equipamentos</t>
  </si>
  <si>
    <t>Pagamentos (inclui juros)</t>
  </si>
  <si>
    <t>Saldo Caixa Final</t>
  </si>
  <si>
    <t>Tirmestre</t>
  </si>
  <si>
    <t>Caixa Disponivel</t>
  </si>
  <si>
    <t>Desembolsos:</t>
  </si>
  <si>
    <t>Compra de Estoques</t>
  </si>
  <si>
    <t>Financiamentos:</t>
  </si>
  <si>
    <t>Vendas a Vista</t>
  </si>
  <si>
    <t>Vendas a Prazo</t>
  </si>
  <si>
    <t>Recebimento no 1º mês seguinte</t>
  </si>
  <si>
    <t>Recebimento no 2º mês seguinte</t>
  </si>
  <si>
    <t>Não Recebiveis</t>
  </si>
  <si>
    <t>Compras p/ Estoque - setembro</t>
  </si>
  <si>
    <t>Pagamento  - Setembro</t>
  </si>
  <si>
    <t>Contas a Pagar - Agosto</t>
  </si>
  <si>
    <t>* pagas em setembro</t>
  </si>
  <si>
    <t>Despesas pagas em Setembro</t>
  </si>
  <si>
    <t>* Depreciacao</t>
  </si>
  <si>
    <t>Dividendos pagos em setembro</t>
  </si>
  <si>
    <t>Caixa - SF minimo</t>
  </si>
  <si>
    <t>Recebimentos:</t>
  </si>
  <si>
    <t>Equipamentos comprados e pagos em setembro</t>
  </si>
  <si>
    <t>Desembolsos relativos a Estoques</t>
  </si>
  <si>
    <t>Compras no mes</t>
  </si>
  <si>
    <t>Compras de agosto</t>
  </si>
  <si>
    <t>(-) Desembolsos:</t>
  </si>
  <si>
    <t>Compras no Mes</t>
  </si>
  <si>
    <t>Pagamentos Fornecedores</t>
  </si>
  <si>
    <t>Despesas do Mes (liquido depreciacao)</t>
  </si>
  <si>
    <t>Dividendos Pagos</t>
  </si>
  <si>
    <t>Financiamento:</t>
  </si>
  <si>
    <t>Despesas:</t>
  </si>
  <si>
    <t>Com</t>
  </si>
  <si>
    <t>Despesas Totais</t>
  </si>
  <si>
    <t>Vendas a vista</t>
  </si>
  <si>
    <t>Vendas a prazo</t>
  </si>
  <si>
    <t>No mes</t>
  </si>
  <si>
    <t>30 dias</t>
  </si>
  <si>
    <t>60 dias</t>
  </si>
  <si>
    <t>Pagamentos no mes</t>
  </si>
  <si>
    <t>Pagamentos no mes seguinte</t>
  </si>
  <si>
    <t>Pagamentos relativos a junho</t>
  </si>
  <si>
    <t>Estoque - SF</t>
  </si>
  <si>
    <t>Vendas do mes seguinte</t>
  </si>
  <si>
    <t>Estoque SF junho</t>
  </si>
  <si>
    <t>Terrenos comprados - pagamento em julho</t>
  </si>
  <si>
    <t>Dividendos a pagar em setembro</t>
  </si>
  <si>
    <t>* valor mínimo admitido por mes</t>
  </si>
  <si>
    <t>Caixa - SF junho</t>
  </si>
  <si>
    <t>Credito Bancario - incremento</t>
  </si>
  <si>
    <t>Credito Bancario - limite</t>
  </si>
  <si>
    <t>Taxa de juros am</t>
  </si>
  <si>
    <t>Vendas de Maio</t>
  </si>
  <si>
    <t>Vendas de Junho</t>
  </si>
  <si>
    <t>Vendas de Julho</t>
  </si>
  <si>
    <t>Vendas de Agosto</t>
  </si>
  <si>
    <t>Vendas de Setembro</t>
  </si>
  <si>
    <t>Compra de Mercadorias</t>
  </si>
  <si>
    <t>Desp Com</t>
  </si>
  <si>
    <t>Pagamento de Mercadorias</t>
  </si>
  <si>
    <t>Desp Adm</t>
  </si>
  <si>
    <t>Adm (inclui 2.000 de depreciaçào)</t>
  </si>
  <si>
    <t>Pagamento Terrenos</t>
  </si>
  <si>
    <t>Pagamento Dividendos</t>
  </si>
  <si>
    <t>c</t>
  </si>
  <si>
    <t>Antecipar recebiveis e reduzir os níveis de estoque elimina a necessidade da empresa de pedir dinheiro emprestado e pagar juros durante o terceiro trimestre.</t>
  </si>
  <si>
    <t>Vendas (quantidade)</t>
  </si>
  <si>
    <t>Recebimentos no mes</t>
  </si>
  <si>
    <t>Nao recebiveis</t>
  </si>
  <si>
    <t>EPAC final</t>
  </si>
  <si>
    <t>venda orcada para proximo mes</t>
  </si>
  <si>
    <t>EPAC inicial Julho</t>
  </si>
  <si>
    <t>MD/unidade</t>
  </si>
  <si>
    <t>necessidades do mes seguinte</t>
  </si>
  <si>
    <t>Estoque MD final</t>
  </si>
  <si>
    <t>Estoque MD inical julho</t>
  </si>
  <si>
    <t>Custo MD (kg)</t>
  </si>
  <si>
    <t>Pagameto Fornecedor mes</t>
  </si>
  <si>
    <t>Pagameto Fornecedor mes seguinte</t>
  </si>
  <si>
    <t>Fonrcedores - SI julho</t>
  </si>
  <si>
    <t>Imobilizado (liq depreciacao)</t>
  </si>
  <si>
    <t>Duplicatas</t>
  </si>
  <si>
    <t>Vendas orcadas p/ junho</t>
  </si>
  <si>
    <t>A vista</t>
  </si>
  <si>
    <t>A prazo</t>
  </si>
  <si>
    <t>Vendas:</t>
  </si>
  <si>
    <t>* Clientes de maio serao recebidas em junho</t>
  </si>
  <si>
    <t>Compras de estoque</t>
  </si>
  <si>
    <t>Pagamentos em junho</t>
  </si>
  <si>
    <t>Pagamentos em julho</t>
  </si>
  <si>
    <t>* Compras de maio pagas em junho</t>
  </si>
  <si>
    <t>Desp Adm/Com Junho</t>
  </si>
  <si>
    <t>* liquida de depreciacao</t>
  </si>
  <si>
    <t>* Duplicatas de maio pagas em junho</t>
  </si>
  <si>
    <t>Desp Financeiras pagas em junho</t>
  </si>
  <si>
    <t>Compra Equipamentos Junho</t>
  </si>
  <si>
    <t>Emprestimos tomados em junho</t>
  </si>
  <si>
    <t>* pagamento acertado para o próximo ano</t>
  </si>
  <si>
    <t>Junho</t>
  </si>
  <si>
    <t>Recebimentos de Vendas Maio</t>
  </si>
  <si>
    <t>Vendas a prazo recebidas em junho</t>
  </si>
  <si>
    <t>* Vendas a prazo recebidas em junho</t>
  </si>
  <si>
    <t>Cronograma de Pagamentos</t>
  </si>
  <si>
    <t>Compras a vista</t>
  </si>
  <si>
    <t>Compras de maio</t>
  </si>
  <si>
    <t>(+) Recebimentos do mes</t>
  </si>
  <si>
    <t>Emprestimos Tomados</t>
  </si>
  <si>
    <t>Pagamento de Juros</t>
  </si>
  <si>
    <t>Pagamento de emprestimos</t>
  </si>
  <si>
    <t>DRE - Junho</t>
  </si>
  <si>
    <t>(-) Despesas Adm/Com</t>
  </si>
  <si>
    <t>(-) Despesas Comerciais</t>
  </si>
  <si>
    <t>Caixa - SI julho</t>
  </si>
  <si>
    <t>Maio</t>
  </si>
  <si>
    <t>Recebimentos com 30 dias</t>
  </si>
  <si>
    <t>Recebimentos com 60 dias</t>
  </si>
  <si>
    <t>Compras de Mercadorias</t>
  </si>
  <si>
    <t>Salários</t>
  </si>
  <si>
    <t>Aluguel</t>
  </si>
  <si>
    <t>Compras de mercadorias pagas no mes seguinte a compra</t>
  </si>
  <si>
    <t>SI</t>
  </si>
  <si>
    <t>Equipamentos - Junho</t>
  </si>
  <si>
    <t>Emprestimo - Junho</t>
  </si>
  <si>
    <t>* pago em setembro</t>
  </si>
  <si>
    <t>Juros</t>
  </si>
  <si>
    <t>Caixa Minimo exigido</t>
  </si>
  <si>
    <t>Compra Equipamentos</t>
  </si>
  <si>
    <t>Se a empresa precisa de um $20.000 de saldo mínimo de caixa no início de cada mês o empréstimo não pode ser reembolsado na totalidade até Setembro. Se o empréstimo é reembolsado na totalidade, o saldo de caixa vai cair para apenas $ 3.300 em 30 de setembro, como mostrado acima.</t>
  </si>
  <si>
    <t>Stokes está usando o orçamento como ferramenta de pressão sobre funcionários  e como uma maneira de encontrar alguém para culpar e não como um planejamento legítimo e ferramenta de controle. Seu planejamento parece consistir em dizer a todos para aumentar o volume de vendas em 40%. Este tipo de "planejamento" não requer análise, é pouco inteligênte e nao aparenta conhecimento do negócio, e provavelmente é visto com desprezo pelos funcionários da empresa.</t>
  </si>
  <si>
    <t>A forma como o orçamento está sendo usado é suscetível de produzir hostilidade, tensão, desconfiança, falta de respeito e as acções destinadas a cumprir as metas, utilizando quaisquer meios disponíveis. Metas irracionais impostas a partir do topo, juntamente com uma política de "sem desculpas" e da ameaça de ser demitido, criar um terreno ideal para práticas de negócios questionáveis. Gestores que não teria, em circunstâncias normais, fraude ou cortar custos pode fazer isso, se colocar sob esse tipo de pressão.</t>
  </si>
  <si>
    <t>Como diz o velho ditado, Keri Kalani é "entre uma rocha e um lugar duro." A Declaração IMA de prática ética profissional afirma que os contabilistas de gestão têm a responsabilidade de "divulgar todas as informações relevantes que possam potencialmente influenciar a compreensão de um usuário pretendido dos relatórios, análises, ou recomendações. "Assumindo que Keri ajuda a preparar os relatórios do Departamento de Produção para a gestão de topo, colaborando com seu chefe em esconder perdas devido a unidades de disco defeituosos violaria claramente esta norma. Além da deturpação sobre os relatórios contábeis, a política de transporte unidades devolvidas defeituosos para os clientes é obrigado a ter um efeito negativo sobre a reputação da empresa. Se esta política fosse se tornar amplamente conhecido, seria muito provável ter um efeito devastador sobre as vendas futuras da empresa. Além disso, esta prática pode ser ilegal de acordo com leis destinadas a proteger os consumidores.
Tendo confrontado seu chefe sem solução satisfatória para o problema, Keri deve agora decidir o que fazer. A Declaração IMA de prática ética profissional sugere que Keri ir para o próximo nível superior em gestão para apresentar o seu caso. Infelizmente, no clima moral vigente na PrimeDrive, ela é pouco provável que ganhar nenhum fitas azuis para soprar o apito em seu chefe. Todos os gestores abaixo Stokes são provavelmente com medo de perder seus empregos e muitos deles podem ter tomado ações para cumprir as metas de Stokes que não se orgulham de qualquer um. Seria preciso muita coragem para Keri para levar o problema por todo o caminho até Stokes-se especialmente tendo em vista o seu tratamento menos-que-humano dos subordinados. E indo para o Conselho de Administração é improvável que funcione tanto desde Stokes e sua firma de capital de risco aparentemente controlar o Board. Renunciando ao escrever uma carta para a pessoa que é mais provável de se preocupar e capaz de agir pode ser único remanescente curso ético de Keri de ação. Claro, ela deve pagar o aluguel, por isso espero que ela tem boas oportunidades de emprego alternativas.
Nota: Esse problema é muito vagamente baseado no escândalo MiniScribe relatado no dezembro de 1992 emissão de Contabilidade de Gestão, bem como em outras publicações de negócios. Depois de ir à falência, descobriu-se que os gestores de MiniScribe haviam perpetrado fraude maciça, como resultado da pressão implacável para cumprir as metas irrealistas. QT Wiles, o presidente real do MiniScribe, foi relatado para ter-se comportado muito conforme descrito neste problema. Keri Kalani é, infelizmente, uma invenção. Felizmente, havia pessoas como Keri na MiniScribe que tentaram fazer alguma coisa para parar a fraude.</t>
  </si>
  <si>
    <t>* 90 dias</t>
  </si>
  <si>
    <t>Caixa - SI abril</t>
  </si>
  <si>
    <t>Contas a Receber - abril</t>
  </si>
  <si>
    <t>Abril</t>
  </si>
  <si>
    <t>Recebimento no mes</t>
  </si>
  <si>
    <t>Recebimento no mes seguinte</t>
  </si>
  <si>
    <t>Recebimento com 60 dias</t>
  </si>
  <si>
    <t>Vendas (parceladas)</t>
  </si>
  <si>
    <t>Compra Mercadorias</t>
  </si>
  <si>
    <t>Salarios</t>
  </si>
  <si>
    <t>Mercadorias compradas sao pagas no mes seguinte à compra</t>
  </si>
  <si>
    <t>Compras em Abril</t>
  </si>
  <si>
    <t>Emprestimos solicitado (abril)</t>
  </si>
  <si>
    <t>Vendas Março</t>
  </si>
  <si>
    <t>Vendas Abril</t>
  </si>
  <si>
    <t>Caixa minimo exigido SI</t>
  </si>
  <si>
    <t>Se a empresa precisa de um saldo mínimo de caixa de R $ 20.000 para começar o mês, o empréstimo não pode ser reembolsado na totalidade até 30 de junho Alguma parcela do saldo do empréstimo terá que ser transferidos para julho.</t>
  </si>
  <si>
    <t>Quarto Trimestre</t>
  </si>
  <si>
    <t>Ano 1 (real)</t>
  </si>
  <si>
    <t>Ano 2 (orçado)</t>
  </si>
  <si>
    <t>1º Trimestre</t>
  </si>
  <si>
    <t>2º Trimestre</t>
  </si>
  <si>
    <t>3º Trimestre</t>
  </si>
  <si>
    <t>4º Trimestre</t>
  </si>
  <si>
    <t>Recebimento no Trimestre</t>
  </si>
  <si>
    <t>Recebimento no Trimestre Seguinte</t>
  </si>
  <si>
    <t>Pagamento de mercadoris no Trimestre</t>
  </si>
  <si>
    <t>Pagamento de mercadoris no Trimestre Seguinte</t>
  </si>
  <si>
    <t>Desp. Adm/Com</t>
  </si>
  <si>
    <t>das vendas</t>
  </si>
  <si>
    <t>depreciacao</t>
  </si>
  <si>
    <t>Compra terrenos:</t>
  </si>
  <si>
    <t>Caixa SI</t>
  </si>
  <si>
    <t>Saldo minimo de Caixa</t>
  </si>
  <si>
    <t>Emprestimos:</t>
  </si>
  <si>
    <t>Incremento</t>
  </si>
  <si>
    <t>Emprestimo (inicio de trimestre)s:</t>
  </si>
  <si>
    <t>Limite</t>
  </si>
  <si>
    <t>Juros am</t>
  </si>
  <si>
    <t>* liquidacao ate o final do ano</t>
  </si>
  <si>
    <t>Vendas 4º Trimestre - Ano 1</t>
  </si>
  <si>
    <t>Vendas 1º Trimestre</t>
  </si>
  <si>
    <t>Vendas 2º Trimestre</t>
  </si>
  <si>
    <t>Vendas 3º Trimestre</t>
  </si>
  <si>
    <t>Vendas 4º Trimestre</t>
  </si>
  <si>
    <t>Compras 4º Trimestre - Ano 1</t>
  </si>
  <si>
    <t>Compras 1º Trimestre</t>
  </si>
  <si>
    <t>Compras 2º Trimestre</t>
  </si>
  <si>
    <t>Compras 3º Trimestre</t>
  </si>
  <si>
    <t>Compras 4º Trimestre</t>
  </si>
  <si>
    <t>Taxa Despesas Adm/Com Variaveis</t>
  </si>
  <si>
    <t>Total de Desemboldos</t>
  </si>
  <si>
    <t>Total de Despesas Adm/Com</t>
  </si>
  <si>
    <t>Cadence e Cross usaram uma abordagem top-down para preparar o orçamento. Ou seja, eles prepararam o orçamento com pouca ou nenhuma participação dos indivíduos que teriam de executar o orçamento. Em contraste, a abordagem recomendada é de um orçamento participativo em que os indivíduos que têm a responsabilidade de controle de custos iniciar e participar plenamente no processo orçamentário. Orçamentos participativos têm uma série de vantagens, incluindo: 1) aqueles que estão mais próximos da ação são susceptíveis de ter uma melhor informação; 2) os gestores tendem a ser mais comprometido com e entender um orçamento que participou na preparação de um orçamento que é imposta de cima; e 3) os orçamentos participativos ajudar a fomentar um sentimento de que a contribuição de todos é valorizado.
2. Enquanto Cadence e Cross estão, sem dúvida, satisfeitos com seu trabalho, a insatisfação manifestada por alguns funcionários com o processo orçamentário é um sinal de que pode haver nuvens de tempestade pela frente. Se os funcionários se sentem que o orçamento não é realista, o fato de que ela foi imposta pode levar ao ressentimento, raiva e um sentimento de desamparo. Os funcionários podem, consequentemente, gastar seu tempo e energia reclamando sobre o orçamento, em vez de resolver problemas de forma criativa. E se o orçamento é de fato irreal e gerentes são responsáveis pelo cumprimento do orçamento, improdutivo apontar o dedo é provável que resulte como realidade não correspondeu às expectativas.</t>
  </si>
  <si>
    <t>* recebidas no mes seguinte</t>
  </si>
  <si>
    <t>Estoque Finais</t>
  </si>
  <si>
    <t>CPV do mes seguinte</t>
  </si>
  <si>
    <t>Despesas Mensais:</t>
  </si>
  <si>
    <t>Comissoes</t>
  </si>
  <si>
    <t>Outras</t>
  </si>
  <si>
    <t>Outras (liquidas da depreciacao)</t>
  </si>
  <si>
    <t>Depreciacao (inclui das aquisicoes do trimestre)</t>
  </si>
  <si>
    <t>Compra equipamentos a vista</t>
  </si>
  <si>
    <t>Janeiro</t>
  </si>
  <si>
    <t>Fevereiro</t>
  </si>
  <si>
    <t>Caixa minimo</t>
  </si>
  <si>
    <t>* pagamentos (incluindo juos) no fim do trimestre</t>
  </si>
  <si>
    <t>Mes</t>
  </si>
  <si>
    <t>Março</t>
  </si>
  <si>
    <t>CPV orçado</t>
  </si>
  <si>
    <t>(+) Estoque Final desejado</t>
  </si>
  <si>
    <t>Necessidades</t>
  </si>
  <si>
    <t>(-) Estoques iniciais</t>
  </si>
  <si>
    <t>Compras Necessárias</t>
  </si>
  <si>
    <t>Compras Dezembro</t>
  </si>
  <si>
    <t>Compras Janeiro</t>
  </si>
  <si>
    <t>Compras Fevereiro</t>
  </si>
  <si>
    <t>Compras Março</t>
  </si>
  <si>
    <t>Compras Mercadorias:</t>
  </si>
  <si>
    <t>Pagamento no mes</t>
  </si>
  <si>
    <t>Pagamento no mes seguinte</t>
  </si>
  <si>
    <t>Despesas</t>
  </si>
  <si>
    <t>(-) Despesas</t>
  </si>
  <si>
    <t>(-) Despesas Financeiras</t>
  </si>
  <si>
    <t>DRE - Março</t>
  </si>
  <si>
    <t>Margem Liquida</t>
  </si>
  <si>
    <t>Imobilizado (liquidos)</t>
  </si>
  <si>
    <t>Vendas Dezembro (real)</t>
  </si>
  <si>
    <t>Vendas Janeiro (orçado)</t>
  </si>
  <si>
    <t>Vendas fevereiro (orçado)</t>
  </si>
  <si>
    <t>Vendas março (orçado)</t>
  </si>
  <si>
    <t>Vendas abril (orçado)</t>
  </si>
  <si>
    <t>Duplicata Bancos</t>
  </si>
  <si>
    <t>Vendas Março (real)</t>
  </si>
  <si>
    <t>Vendas maio (orçado)</t>
  </si>
  <si>
    <t>Vendas junho (orçado)</t>
  </si>
  <si>
    <t>Vendas julho (orçado)</t>
  </si>
  <si>
    <t>Expedicao</t>
  </si>
  <si>
    <t>Derpeciacao</t>
  </si>
  <si>
    <t>no trimestre</t>
  </si>
  <si>
    <t>Estoques Finais</t>
  </si>
  <si>
    <t>do CPV do mes seguinte</t>
  </si>
  <si>
    <t>Dividendos Junho</t>
  </si>
  <si>
    <t>Taxa de juros</t>
  </si>
  <si>
    <t>am</t>
  </si>
  <si>
    <t>Compras Abril</t>
  </si>
  <si>
    <t>Compras Maio</t>
  </si>
  <si>
    <t>Compras Junho</t>
  </si>
  <si>
    <t>Mercadorias</t>
  </si>
  <si>
    <t>O sistema de controle orçamentario tem várias lacunas importantes que reduzem sua eficácia e podem fazer com que  interfira no bom desempenho. Algumas das deficiências são explicados abaixo:
a) Falta de metas coordenadas. Emory tinha sido levado a acreditar que outputs de alta qualidade são a meta; agora parece que baixo custo é o objetivo. Os funcionários não sabem quais são os objetivos e, portanto, não podem tomar decisões que sirvam a estes objetivos.
b) Influência de fatores incontroláveis. O desempenho real em relação ao orçamento é muito influenciada por fatores nao controlaveis pelo gestor (ou seja, pedidos urgentes e a falta de manutenção de prontidão). Assim, os relatórios de variância de pouco servem para avaliação de desempenho ou para a localização de fatores controláveis para melhorar o desempenho. Como resultado, o sistema não favorece a coordenação entre os departamentos.
c) As perspectivas de curto prazo. Avaliações  e orçamentos mensais rígidos resultados base em uma perspectiva muito curto prazo. Isso resulta em decisões inadequadas (ie, inspecionar empilhadeiras, em vez de reparo de equipamentos inoperantes, deixar de denunciar a utilização de suprimentos).
d. O sistema não motivar. O sistema orçamental parece centrar-se na avaliação de desempenho, embora a maioria dos fatores essenciais para o efeito estão em falta. O foco na avaliação e as fraquezas tirar um benefício importante do sistema orçamental motivação-empregado.</t>
  </si>
  <si>
    <t>As melhorias no sistema de controlo orçamental deve corrigir as deficiências descritas acima. O sistema deve:
um. definir mais claramente os objetivos da empresa.
b. desenvolver um sistema de informação contábil que atenda melhor às fatores controláveis com responsabilidade supervisor e autoridade.
c. estabelecer orçamentos para períodos de tempo apropriados que não mudam mensal simplesmente como resultado de uma mudança no desempenho do mês anterior.
A empresa inteira, de cima para baixo gestão devem ser educados nos procedimentos orçamentais sólidas.</t>
  </si>
  <si>
    <t>Caixa SF minimo</t>
  </si>
  <si>
    <t>Real</t>
  </si>
  <si>
    <t>Orçado</t>
  </si>
  <si>
    <t>Estoque SF</t>
  </si>
  <si>
    <t>das vendas do mes seguinte</t>
  </si>
  <si>
    <t>Compra de Mercadoria:</t>
  </si>
  <si>
    <t>Pagto no mes</t>
  </si>
  <si>
    <t>Pagto no mes seguinte</t>
  </si>
  <si>
    <t>No mes seguinte</t>
  </si>
  <si>
    <t>Com 60 dias</t>
  </si>
  <si>
    <t>Utilidades</t>
  </si>
  <si>
    <t>Diversas</t>
  </si>
  <si>
    <t>Compra Terrenos</t>
  </si>
  <si>
    <t>Compra Terrenos - Maio</t>
  </si>
  <si>
    <t>Dividendos - inicio trimestre</t>
  </si>
  <si>
    <t>Contas a receber</t>
  </si>
  <si>
    <t>Estoues</t>
  </si>
  <si>
    <t>Seguros antecipados</t>
  </si>
  <si>
    <t>Imobilizado (líquido)</t>
  </si>
  <si>
    <t>--&gt;</t>
  </si>
  <si>
    <t>Contas a pagar</t>
  </si>
  <si>
    <t>Dividendos a pagar</t>
  </si>
  <si>
    <t>* juros sao pagos no final do trimestre</t>
  </si>
  <si>
    <t>* parte do principal, em incrementos de 1.000, são pagos no final do trimestre</t>
  </si>
  <si>
    <t>Orçamento de Vendas</t>
  </si>
  <si>
    <t>Orçamento de Compras</t>
  </si>
  <si>
    <t>Vendas Orçadas (volume)</t>
  </si>
  <si>
    <t>(+) Estoque Final</t>
  </si>
  <si>
    <t>(-) Estoque Inicial</t>
  </si>
  <si>
    <t>Compras</t>
  </si>
  <si>
    <t>Custo Unitário Mercadoria</t>
  </si>
  <si>
    <t>Custo Total Compras</t>
  </si>
  <si>
    <t>Cronograma de Desembolsos Mercadorias</t>
  </si>
  <si>
    <t>DRE - 2º Trimestre</t>
  </si>
  <si>
    <t>Duplicata Banco</t>
  </si>
  <si>
    <t>Orcamento de Produção</t>
  </si>
  <si>
    <t>Orcamento CIP</t>
  </si>
  <si>
    <t>Custo Produtos Acabados</t>
  </si>
  <si>
    <t>Elemento de Custo</t>
  </si>
  <si>
    <t>Orcamento de Desepesas</t>
  </si>
  <si>
    <t>Orcamento de Caixa</t>
  </si>
  <si>
    <t>Ativos Circulantes:</t>
  </si>
  <si>
    <t>Estoques Matérias-Primas (21.000 kg)</t>
  </si>
  <si>
    <t>Estoques Produtos Acabados (2.000 caixas)</t>
  </si>
  <si>
    <t>Ativo Imobilizado:</t>
  </si>
  <si>
    <t>Depreciação Acumulada</t>
  </si>
  <si>
    <t>Patrimônio Líquido</t>
  </si>
  <si>
    <t>Imoveis e Equipamentos</t>
  </si>
  <si>
    <t>2011 - REAL</t>
  </si>
  <si>
    <t>2012 - ORÇADO</t>
  </si>
  <si>
    <t>Balanço Patrimonial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</si>
</sst>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00\)"/>
    <numFmt numFmtId="165" formatCode="#,##0;\(#,##0\)"/>
    <numFmt numFmtId="166" formatCode="_-* #,##0_-;\-* #,##0_-;_-* &quot;-&quot;??_-;_-@_-"/>
  </numFmts>
  <fonts count="32" x14ac:knownFonts="1">
    <font>
      <sz val="12"/>
      <color theme="1"/>
      <name val="Calibri"/>
      <family val="2"/>
      <scheme val="minor"/>
    </font>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u/>
      <sz val="12"/>
      <color theme="1"/>
      <name val="Calibri"/>
      <family val="2"/>
      <scheme val="minor"/>
    </font>
    <font>
      <b/>
      <sz val="12"/>
      <color rgb="FFFF0000"/>
      <name val="Calibri"/>
      <family val="2"/>
      <scheme val="minor"/>
    </font>
    <font>
      <sz val="12"/>
      <color theme="1"/>
      <name val="Cambria"/>
      <family val="1"/>
    </font>
    <font>
      <sz val="12"/>
      <color theme="1"/>
      <name val="Times New Roman"/>
      <family val="1"/>
    </font>
    <font>
      <sz val="7"/>
      <color theme="1"/>
      <name val="Times New Roman"/>
      <family val="1"/>
    </font>
    <font>
      <b/>
      <sz val="10"/>
      <name val="Helvetica"/>
      <family val="2"/>
    </font>
    <font>
      <sz val="10"/>
      <color theme="1"/>
      <name val="Arial"/>
      <family val="2"/>
    </font>
    <font>
      <sz val="10"/>
      <color theme="1"/>
      <name val="Helvetica"/>
      <family val="2"/>
    </font>
    <font>
      <b/>
      <sz val="10"/>
      <color theme="1"/>
      <name val="Helvetica"/>
      <family val="2"/>
    </font>
    <font>
      <i/>
      <sz val="10"/>
      <color theme="1"/>
      <name val="Helvetica"/>
      <family val="2"/>
    </font>
    <font>
      <sz val="10"/>
      <color theme="1"/>
      <name val="Wingdings"/>
      <charset val="2"/>
    </font>
    <font>
      <b/>
      <i/>
      <sz val="10"/>
      <color theme="1"/>
      <name val="Helvetica"/>
      <family val="2"/>
    </font>
    <font>
      <sz val="11"/>
      <color theme="1"/>
      <name val="Arial"/>
      <family val="2"/>
    </font>
    <font>
      <sz val="14"/>
      <color theme="1"/>
      <name val="Helvetica"/>
    </font>
    <font>
      <sz val="12"/>
      <color theme="1"/>
      <name val="Calibri (Body)"/>
    </font>
    <font>
      <b/>
      <i/>
      <sz val="12"/>
      <color theme="1"/>
      <name val="Calibri"/>
      <family val="2"/>
      <scheme val="minor"/>
    </font>
    <font>
      <b/>
      <sz val="12"/>
      <color theme="1"/>
      <name val="Calibri (Body)"/>
    </font>
    <font>
      <b/>
      <i/>
      <sz val="12"/>
      <color theme="1"/>
      <name val="Calibri (Body)"/>
    </font>
    <font>
      <i/>
      <sz val="12"/>
      <color theme="1"/>
      <name val="Calibri (Body)"/>
    </font>
    <font>
      <i/>
      <sz val="12"/>
      <color theme="1"/>
      <name val="Calibri"/>
      <family val="2"/>
      <scheme val="minor"/>
    </font>
    <font>
      <b/>
      <sz val="12"/>
      <color rgb="FFFF0000"/>
      <name val="Calibri (Body)"/>
    </font>
    <font>
      <b/>
      <u/>
      <sz val="12"/>
      <color theme="1"/>
      <name val="Calibri"/>
      <scheme val="minor"/>
    </font>
    <font>
      <b/>
      <sz val="12"/>
      <color rgb="FF000000"/>
      <name val="Calibri"/>
      <family val="2"/>
      <scheme val="minor"/>
    </font>
    <font>
      <sz val="14"/>
      <color theme="1"/>
      <name val="Calibri"/>
      <scheme val="minor"/>
    </font>
    <font>
      <sz val="12"/>
      <color rgb="FF000000"/>
      <name val="Calibri"/>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22">
    <border>
      <left/>
      <right/>
      <top/>
      <bottom/>
      <diagonal/>
    </border>
    <border>
      <left/>
      <right/>
      <top style="thin">
        <color auto="1"/>
      </top>
      <bottom style="double">
        <color auto="1"/>
      </bottom>
      <diagonal/>
    </border>
    <border>
      <left/>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double">
        <color auto="1"/>
      </bottom>
      <diagonal/>
    </border>
  </borders>
  <cellStyleXfs count="777">
    <xf numFmtId="0" fontId="0" fillId="0" borderId="0"/>
    <xf numFmtId="9" fontId="2"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3">
    <xf numFmtId="0" fontId="0" fillId="0" borderId="0" xfId="0"/>
    <xf numFmtId="164" fontId="0" fillId="0" borderId="0" xfId="0" applyNumberFormat="1"/>
    <xf numFmtId="165" fontId="0" fillId="0" borderId="0" xfId="0" applyNumberFormat="1"/>
    <xf numFmtId="165" fontId="0" fillId="0" borderId="0" xfId="0" applyNumberFormat="1" applyAlignment="1">
      <alignment horizontal="center"/>
    </xf>
    <xf numFmtId="164" fontId="0" fillId="0" borderId="1" xfId="0" applyNumberFormat="1" applyBorder="1"/>
    <xf numFmtId="164" fontId="0" fillId="0" borderId="0" xfId="0" applyNumberFormat="1" applyAlignment="1">
      <alignment horizontal="center"/>
    </xf>
    <xf numFmtId="9" fontId="0" fillId="0" borderId="0" xfId="1" applyFont="1"/>
    <xf numFmtId="165" fontId="7" fillId="0" borderId="0" xfId="0" applyNumberFormat="1" applyFont="1"/>
    <xf numFmtId="165" fontId="0" fillId="0" borderId="1" xfId="0" applyNumberFormat="1" applyBorder="1"/>
    <xf numFmtId="164" fontId="8" fillId="0" borderId="0" xfId="0" applyNumberFormat="1" applyFont="1" applyAlignment="1">
      <alignment horizontal="center"/>
    </xf>
    <xf numFmtId="164" fontId="7" fillId="0" borderId="0" xfId="0" applyNumberFormat="1" applyFont="1"/>
    <xf numFmtId="164" fontId="0" fillId="0" borderId="0" xfId="0" applyNumberFormat="1" applyBorder="1"/>
    <xf numFmtId="164" fontId="8" fillId="0" borderId="0" xfId="0" applyNumberFormat="1" applyFont="1" applyBorder="1" applyAlignment="1">
      <alignment horizontal="center"/>
    </xf>
    <xf numFmtId="165" fontId="0" fillId="0" borderId="0" xfId="0" applyNumberFormat="1" applyBorder="1" applyAlignment="1">
      <alignment horizontal="center"/>
    </xf>
    <xf numFmtId="164" fontId="0" fillId="0" borderId="0" xfId="0" applyNumberFormat="1" applyBorder="1" applyAlignment="1">
      <alignment horizontal="center"/>
    </xf>
    <xf numFmtId="165" fontId="0" fillId="0" borderId="0" xfId="0" applyNumberFormat="1" applyBorder="1"/>
    <xf numFmtId="164" fontId="7" fillId="0" borderId="0" xfId="0" applyNumberFormat="1" applyFont="1" applyBorder="1"/>
    <xf numFmtId="165" fontId="7" fillId="0" borderId="0" xfId="0" applyNumberFormat="1" applyFont="1" applyBorder="1"/>
    <xf numFmtId="164" fontId="0" fillId="0" borderId="0" xfId="0" applyNumberFormat="1" applyBorder="1" applyAlignment="1"/>
    <xf numFmtId="164" fontId="0" fillId="0" borderId="0" xfId="0" applyNumberFormat="1" applyAlignment="1">
      <alignment horizontal="left" indent="2"/>
    </xf>
    <xf numFmtId="164" fontId="4" fillId="0" borderId="0" xfId="0" applyNumberFormat="1" applyFont="1"/>
    <xf numFmtId="164" fontId="4" fillId="0" borderId="0" xfId="0" applyNumberFormat="1" applyFont="1" applyAlignment="1"/>
    <xf numFmtId="9" fontId="3" fillId="2" borderId="0" xfId="1" applyFont="1" applyFill="1"/>
    <xf numFmtId="164" fontId="4" fillId="0" borderId="0" xfId="0" applyNumberFormat="1" applyFont="1" applyAlignment="1">
      <alignment horizontal="center"/>
    </xf>
    <xf numFmtId="0" fontId="10" fillId="0" borderId="0" xfId="0" applyFont="1" applyAlignment="1">
      <alignment horizontal="justify" vertical="center"/>
    </xf>
    <xf numFmtId="0" fontId="9" fillId="0" borderId="0" xfId="0" applyFont="1" applyAlignment="1">
      <alignment horizontal="justify" vertical="center"/>
    </xf>
    <xf numFmtId="0" fontId="13" fillId="0" borderId="0" xfId="0" applyFont="1" applyAlignment="1">
      <alignment horizontal="right"/>
    </xf>
    <xf numFmtId="0" fontId="14" fillId="0" borderId="0" xfId="0" applyFont="1"/>
    <xf numFmtId="0" fontId="14" fillId="0" borderId="0" xfId="0" applyFont="1" applyAlignment="1">
      <alignment horizontal="right"/>
    </xf>
    <xf numFmtId="0" fontId="15" fillId="0" borderId="0" xfId="0" applyFont="1"/>
    <xf numFmtId="0" fontId="16" fillId="0" borderId="0" xfId="0" applyFont="1" applyAlignment="1">
      <alignment horizontal="center"/>
    </xf>
    <xf numFmtId="3" fontId="14" fillId="0" borderId="0" xfId="0" applyNumberFormat="1" applyFont="1" applyAlignment="1">
      <alignment horizontal="right"/>
    </xf>
    <xf numFmtId="0" fontId="13" fillId="0" borderId="0" xfId="0" applyFont="1"/>
    <xf numFmtId="0" fontId="14" fillId="0" borderId="0" xfId="0" applyFont="1" applyAlignment="1">
      <alignment horizontal="left"/>
    </xf>
    <xf numFmtId="9" fontId="14" fillId="0" borderId="0" xfId="0" applyNumberFormat="1" applyFont="1" applyAlignment="1">
      <alignment horizontal="right"/>
    </xf>
    <xf numFmtId="0" fontId="18" fillId="0" borderId="0" xfId="0" applyFont="1"/>
    <xf numFmtId="0" fontId="16" fillId="0" borderId="0" xfId="0" applyFont="1" applyAlignment="1">
      <alignment horizontal="right"/>
    </xf>
    <xf numFmtId="0" fontId="14" fillId="0" borderId="0" xfId="0" applyFont="1" applyAlignment="1">
      <alignment horizontal="center"/>
    </xf>
    <xf numFmtId="0" fontId="14" fillId="0" borderId="2" xfId="0" applyFont="1" applyBorder="1" applyAlignment="1">
      <alignment horizontal="right"/>
    </xf>
    <xf numFmtId="0" fontId="19" fillId="0" borderId="0" xfId="0" applyFont="1"/>
    <xf numFmtId="0" fontId="19" fillId="0" borderId="0" xfId="0" applyFont="1" applyAlignment="1">
      <alignment horizontal="right"/>
    </xf>
    <xf numFmtId="43" fontId="14" fillId="0" borderId="1" xfId="192" applyFont="1" applyBorder="1" applyAlignment="1">
      <alignment horizontal="right"/>
    </xf>
    <xf numFmtId="43" fontId="14" fillId="0" borderId="0" xfId="192" applyFont="1" applyAlignment="1">
      <alignment horizontal="right"/>
    </xf>
    <xf numFmtId="43" fontId="14" fillId="0" borderId="0" xfId="0" applyNumberFormat="1" applyFont="1" applyAlignment="1">
      <alignment horizontal="right"/>
    </xf>
    <xf numFmtId="43" fontId="14" fillId="0" borderId="1" xfId="0" applyNumberFormat="1" applyFont="1" applyBorder="1" applyAlignment="1">
      <alignment horizontal="right"/>
    </xf>
    <xf numFmtId="166" fontId="14" fillId="0" borderId="2" xfId="192" applyNumberFormat="1" applyFont="1" applyBorder="1" applyAlignment="1">
      <alignment horizontal="right"/>
    </xf>
    <xf numFmtId="166" fontId="14" fillId="0" borderId="0" xfId="192" applyNumberFormat="1" applyFont="1" applyAlignment="1">
      <alignment horizontal="right"/>
    </xf>
    <xf numFmtId="166" fontId="14" fillId="0" borderId="1" xfId="192" applyNumberFormat="1" applyFont="1" applyBorder="1" applyAlignment="1">
      <alignment horizontal="right"/>
    </xf>
    <xf numFmtId="166" fontId="14" fillId="0" borderId="0" xfId="0" applyNumberFormat="1" applyFont="1" applyAlignment="1">
      <alignment horizontal="right"/>
    </xf>
    <xf numFmtId="3" fontId="14" fillId="0" borderId="2" xfId="0" applyNumberFormat="1" applyFont="1" applyBorder="1" applyAlignment="1">
      <alignment horizontal="right"/>
    </xf>
    <xf numFmtId="166" fontId="14" fillId="0" borderId="2" xfId="0" applyNumberFormat="1" applyFont="1" applyBorder="1" applyAlignment="1">
      <alignment horizontal="right"/>
    </xf>
    <xf numFmtId="164" fontId="21" fillId="0" borderId="0" xfId="0" applyNumberFormat="1" applyFont="1"/>
    <xf numFmtId="164" fontId="0" fillId="0" borderId="0" xfId="0" applyNumberFormat="1" applyFont="1"/>
    <xf numFmtId="165" fontId="0" fillId="0" borderId="0" xfId="0" applyNumberFormat="1" applyFont="1"/>
    <xf numFmtId="166" fontId="0" fillId="0" borderId="0" xfId="192" applyNumberFormat="1" applyFont="1" applyAlignment="1">
      <alignment horizontal="right"/>
    </xf>
    <xf numFmtId="166" fontId="0" fillId="0" borderId="2" xfId="192" applyNumberFormat="1" applyFont="1" applyBorder="1" applyAlignment="1">
      <alignment horizontal="right"/>
    </xf>
    <xf numFmtId="0" fontId="22" fillId="0" borderId="0" xfId="0" applyFont="1"/>
    <xf numFmtId="164" fontId="22" fillId="0" borderId="0" xfId="0" applyNumberFormat="1" applyFont="1" applyAlignment="1">
      <alignment horizontal="center"/>
    </xf>
    <xf numFmtId="0" fontId="0" fillId="0" borderId="0" xfId="0" applyFont="1"/>
    <xf numFmtId="166" fontId="0" fillId="0" borderId="1" xfId="192" applyNumberFormat="1" applyFont="1" applyBorder="1" applyAlignment="1">
      <alignment horizontal="right"/>
    </xf>
    <xf numFmtId="165" fontId="21" fillId="0" borderId="0" xfId="0" applyNumberFormat="1" applyFont="1"/>
    <xf numFmtId="164" fontId="23" fillId="0" borderId="0" xfId="0" applyNumberFormat="1" applyFont="1" applyAlignment="1">
      <alignment horizontal="center"/>
    </xf>
    <xf numFmtId="9" fontId="21" fillId="0" borderId="0" xfId="1" applyFont="1"/>
    <xf numFmtId="0" fontId="24" fillId="0" borderId="0" xfId="0" applyFont="1"/>
    <xf numFmtId="0" fontId="21" fillId="0" borderId="0" xfId="0" applyFont="1" applyAlignment="1">
      <alignment horizontal="center"/>
    </xf>
    <xf numFmtId="0" fontId="25" fillId="0" borderId="0" xfId="0" applyFont="1" applyAlignment="1">
      <alignment horizontal="center"/>
    </xf>
    <xf numFmtId="0" fontId="21" fillId="0" borderId="0" xfId="0" applyFont="1"/>
    <xf numFmtId="166" fontId="21" fillId="0" borderId="0" xfId="0" applyNumberFormat="1" applyFont="1" applyAlignment="1">
      <alignment horizontal="right"/>
    </xf>
    <xf numFmtId="166" fontId="21" fillId="0" borderId="0" xfId="192" applyNumberFormat="1" applyFont="1" applyAlignment="1">
      <alignment horizontal="right"/>
    </xf>
    <xf numFmtId="166" fontId="21" fillId="0" borderId="2" xfId="192" applyNumberFormat="1" applyFont="1" applyBorder="1" applyAlignment="1">
      <alignment horizontal="right"/>
    </xf>
    <xf numFmtId="0" fontId="21" fillId="0" borderId="0" xfId="0" applyFont="1" applyAlignment="1">
      <alignment horizontal="right"/>
    </xf>
    <xf numFmtId="3" fontId="21" fillId="0" borderId="2" xfId="0" applyNumberFormat="1" applyFont="1" applyBorder="1" applyAlignment="1">
      <alignment horizontal="right"/>
    </xf>
    <xf numFmtId="166" fontId="21" fillId="0" borderId="2" xfId="0" applyNumberFormat="1" applyFont="1" applyBorder="1" applyAlignment="1">
      <alignment horizontal="right"/>
    </xf>
    <xf numFmtId="43" fontId="21" fillId="0" borderId="0" xfId="192" applyFont="1" applyAlignment="1">
      <alignment horizontal="right"/>
    </xf>
    <xf numFmtId="43" fontId="21" fillId="0" borderId="1" xfId="0" applyNumberFormat="1" applyFont="1" applyBorder="1" applyAlignment="1">
      <alignment horizontal="right"/>
    </xf>
    <xf numFmtId="165" fontId="21" fillId="0" borderId="2" xfId="0" applyNumberFormat="1" applyFont="1" applyBorder="1" applyAlignment="1">
      <alignment horizontal="right"/>
    </xf>
    <xf numFmtId="164" fontId="4" fillId="0" borderId="0" xfId="0" applyNumberFormat="1" applyFont="1" applyAlignment="1">
      <alignment vertical="center" wrapText="1"/>
    </xf>
    <xf numFmtId="43" fontId="0" fillId="0" borderId="0" xfId="192" applyFont="1"/>
    <xf numFmtId="43" fontId="7" fillId="0" borderId="0" xfId="192" applyFont="1"/>
    <xf numFmtId="43" fontId="0" fillId="0" borderId="1" xfId="192" applyFont="1" applyBorder="1"/>
    <xf numFmtId="164" fontId="7" fillId="0" borderId="2" xfId="0" applyNumberFormat="1" applyFont="1" applyBorder="1"/>
    <xf numFmtId="164" fontId="0" fillId="0" borderId="2" xfId="0" applyNumberFormat="1" applyFont="1" applyBorder="1"/>
    <xf numFmtId="165" fontId="0" fillId="0" borderId="2" xfId="0" applyNumberFormat="1" applyFont="1" applyBorder="1"/>
    <xf numFmtId="164" fontId="23" fillId="0" borderId="0" xfId="0" applyNumberFormat="1" applyFont="1" applyAlignment="1">
      <alignment horizontal="center"/>
    </xf>
    <xf numFmtId="164" fontId="0" fillId="0" borderId="0" xfId="0" applyNumberFormat="1" applyAlignment="1">
      <alignment horizontal="center"/>
    </xf>
    <xf numFmtId="164" fontId="4" fillId="0" borderId="0" xfId="0" applyNumberFormat="1" applyFont="1" applyAlignment="1">
      <alignment horizontal="center"/>
    </xf>
    <xf numFmtId="9" fontId="21" fillId="0" borderId="0" xfId="0" applyNumberFormat="1" applyFont="1" applyAlignment="1">
      <alignment horizontal="right"/>
    </xf>
    <xf numFmtId="43" fontId="0" fillId="0" borderId="0" xfId="192" applyFont="1" applyAlignment="1">
      <alignment horizontal="right"/>
    </xf>
    <xf numFmtId="43" fontId="0" fillId="0" borderId="1" xfId="192" applyFont="1" applyBorder="1" applyAlignment="1">
      <alignment horizontal="right"/>
    </xf>
    <xf numFmtId="164" fontId="0" fillId="0" borderId="0" xfId="0" applyNumberFormat="1" applyFont="1" applyAlignment="1">
      <alignment horizontal="center"/>
    </xf>
    <xf numFmtId="165" fontId="4" fillId="0" borderId="0" xfId="0" applyNumberFormat="1" applyFont="1" applyAlignment="1">
      <alignment horizontal="center"/>
    </xf>
    <xf numFmtId="0" fontId="25" fillId="0" borderId="0" xfId="0" applyFont="1" applyAlignment="1"/>
    <xf numFmtId="164" fontId="21" fillId="0" borderId="2" xfId="0" applyNumberFormat="1" applyFont="1" applyBorder="1" applyAlignment="1">
      <alignment horizontal="right"/>
    </xf>
    <xf numFmtId="164" fontId="27" fillId="0" borderId="0" xfId="0" applyNumberFormat="1" applyFont="1" applyAlignment="1">
      <alignment horizontal="center"/>
    </xf>
    <xf numFmtId="164" fontId="21" fillId="0" borderId="1" xfId="0" applyNumberFormat="1" applyFont="1" applyBorder="1"/>
    <xf numFmtId="165" fontId="23" fillId="0" borderId="0" xfId="0" applyNumberFormat="1" applyFont="1" applyAlignment="1">
      <alignment horizontal="center"/>
    </xf>
    <xf numFmtId="164" fontId="4" fillId="0" borderId="0" xfId="0" applyNumberFormat="1" applyFont="1" applyAlignment="1">
      <alignment horizontal="center"/>
    </xf>
    <xf numFmtId="164" fontId="0" fillId="0" borderId="0" xfId="0" applyNumberFormat="1" applyAlignment="1">
      <alignment horizontal="center"/>
    </xf>
    <xf numFmtId="165" fontId="0" fillId="0" borderId="1" xfId="0" applyNumberFormat="1" applyFont="1" applyBorder="1"/>
    <xf numFmtId="166" fontId="21" fillId="0" borderId="1" xfId="0" applyNumberFormat="1" applyFont="1" applyBorder="1" applyAlignment="1">
      <alignment horizontal="right"/>
    </xf>
    <xf numFmtId="164" fontId="0" fillId="0" borderId="5" xfId="0" applyNumberFormat="1" applyBorder="1"/>
    <xf numFmtId="164" fontId="0" fillId="0" borderId="6" xfId="0" applyNumberFormat="1" applyBorder="1"/>
    <xf numFmtId="164" fontId="0" fillId="0" borderId="7" xfId="0" applyNumberFormat="1" applyBorder="1"/>
    <xf numFmtId="164" fontId="0" fillId="0" borderId="8" xfId="0" applyNumberFormat="1" applyBorder="1"/>
    <xf numFmtId="164" fontId="7" fillId="0" borderId="6" xfId="0" applyNumberFormat="1" applyFont="1" applyBorder="1"/>
    <xf numFmtId="164" fontId="4" fillId="0" borderId="0" xfId="0" applyNumberFormat="1" applyFont="1" applyAlignment="1">
      <alignment horizontal="center"/>
    </xf>
    <xf numFmtId="164" fontId="0" fillId="0" borderId="0" xfId="0" applyNumberFormat="1" applyAlignment="1">
      <alignment horizontal="center"/>
    </xf>
    <xf numFmtId="164" fontId="4" fillId="0" borderId="0" xfId="0" applyNumberFormat="1" applyFont="1" applyAlignment="1">
      <alignment horizontal="left" indent="2"/>
    </xf>
    <xf numFmtId="164" fontId="0" fillId="2" borderId="0" xfId="0" applyNumberFormat="1" applyFill="1"/>
    <xf numFmtId="164" fontId="4" fillId="2" borderId="0" xfId="0" applyNumberFormat="1" applyFont="1" applyFill="1"/>
    <xf numFmtId="164" fontId="0" fillId="0" borderId="11" xfId="0" applyNumberFormat="1" applyBorder="1"/>
    <xf numFmtId="164" fontId="0" fillId="0" borderId="12" xfId="0" applyNumberFormat="1" applyBorder="1" applyAlignment="1">
      <alignment horizontal="center"/>
    </xf>
    <xf numFmtId="164" fontId="0" fillId="0" borderId="13" xfId="0" applyNumberFormat="1" applyBorder="1"/>
    <xf numFmtId="164" fontId="0" fillId="0" borderId="14" xfId="0" applyNumberFormat="1" applyBorder="1"/>
    <xf numFmtId="164" fontId="0" fillId="0" borderId="13" xfId="0" applyNumberFormat="1" applyBorder="1" applyAlignment="1">
      <alignment horizontal="left" indent="2"/>
    </xf>
    <xf numFmtId="164" fontId="7" fillId="0" borderId="14" xfId="0" applyNumberFormat="1" applyFont="1" applyBorder="1"/>
    <xf numFmtId="164" fontId="4" fillId="0" borderId="15" xfId="0" applyNumberFormat="1" applyFont="1" applyBorder="1"/>
    <xf numFmtId="164" fontId="4" fillId="0" borderId="16" xfId="0" applyNumberFormat="1" applyFont="1" applyBorder="1"/>
    <xf numFmtId="164" fontId="0" fillId="0" borderId="0" xfId="0" applyNumberFormat="1" applyAlignment="1">
      <alignment horizontal="center" vertical="center"/>
    </xf>
    <xf numFmtId="164" fontId="4" fillId="0" borderId="0" xfId="0" applyNumberFormat="1" applyFont="1" applyAlignment="1">
      <alignment horizontal="center"/>
    </xf>
    <xf numFmtId="164" fontId="0" fillId="0" borderId="15" xfId="0" applyNumberFormat="1" applyBorder="1"/>
    <xf numFmtId="164" fontId="4" fillId="0" borderId="13" xfId="0" applyNumberFormat="1" applyFont="1" applyBorder="1"/>
    <xf numFmtId="164" fontId="4" fillId="0" borderId="14" xfId="0" applyNumberFormat="1" applyFont="1" applyBorder="1"/>
    <xf numFmtId="164" fontId="4" fillId="0" borderId="13" xfId="0" applyNumberFormat="1" applyFont="1" applyBorder="1" applyAlignment="1">
      <alignment horizontal="left" indent="2"/>
    </xf>
    <xf numFmtId="164" fontId="0" fillId="0" borderId="16" xfId="0" applyNumberFormat="1" applyBorder="1"/>
    <xf numFmtId="164" fontId="0" fillId="0" borderId="0" xfId="0" applyNumberFormat="1" applyFont="1" applyAlignment="1"/>
    <xf numFmtId="164" fontId="4" fillId="0" borderId="1" xfId="0" applyNumberFormat="1" applyFont="1" applyBorder="1"/>
    <xf numFmtId="164" fontId="0" fillId="0" borderId="17" xfId="0" applyNumberFormat="1" applyBorder="1"/>
    <xf numFmtId="164" fontId="4" fillId="0" borderId="17" xfId="0" applyNumberFormat="1" applyFont="1" applyBorder="1" applyAlignment="1">
      <alignment horizontal="center"/>
    </xf>
    <xf numFmtId="164" fontId="28" fillId="0" borderId="0" xfId="0" applyNumberFormat="1" applyFont="1"/>
    <xf numFmtId="165" fontId="29" fillId="0" borderId="0" xfId="0" applyNumberFormat="1" applyFont="1" applyAlignment="1">
      <alignment horizontal="center"/>
    </xf>
    <xf numFmtId="164" fontId="28" fillId="0" borderId="14" xfId="0" applyNumberFormat="1" applyFont="1" applyBorder="1"/>
    <xf numFmtId="164" fontId="0" fillId="0" borderId="2" xfId="0" applyNumberFormat="1" applyBorder="1" applyAlignment="1">
      <alignment horizontal="center"/>
    </xf>
    <xf numFmtId="164" fontId="4" fillId="0" borderId="0" xfId="0" applyNumberFormat="1" applyFont="1" applyAlignment="1">
      <alignment horizontal="center"/>
    </xf>
    <xf numFmtId="164" fontId="4" fillId="0" borderId="2" xfId="0" applyNumberFormat="1" applyFont="1" applyBorder="1" applyAlignment="1">
      <alignment horizontal="center"/>
    </xf>
    <xf numFmtId="164" fontId="4" fillId="0" borderId="0" xfId="0" applyNumberFormat="1" applyFont="1" applyBorder="1" applyAlignment="1">
      <alignment horizontal="center"/>
    </xf>
    <xf numFmtId="164" fontId="0" fillId="0" borderId="0" xfId="0" applyNumberFormat="1" applyAlignment="1">
      <alignment horizontal="center" vertical="center" wrapText="1"/>
    </xf>
    <xf numFmtId="164" fontId="0" fillId="0" borderId="0" xfId="0" applyNumberFormat="1" applyAlignment="1">
      <alignment horizontal="left" vertical="center"/>
    </xf>
    <xf numFmtId="164" fontId="0" fillId="0" borderId="0" xfId="0" applyNumberFormat="1" applyAlignment="1">
      <alignment horizontal="right" vertical="center"/>
    </xf>
    <xf numFmtId="164" fontId="28" fillId="0" borderId="0" xfId="0" applyNumberFormat="1" applyFont="1" applyAlignment="1">
      <alignment horizontal="right" vertical="center"/>
    </xf>
    <xf numFmtId="164" fontId="0" fillId="0" borderId="12" xfId="0" applyNumberFormat="1" applyBorder="1"/>
    <xf numFmtId="164" fontId="4" fillId="0" borderId="18" xfId="0" applyNumberFormat="1" applyFont="1" applyBorder="1"/>
    <xf numFmtId="164" fontId="4" fillId="0" borderId="19" xfId="0" applyNumberFormat="1" applyFont="1" applyBorder="1"/>
    <xf numFmtId="164" fontId="4" fillId="0" borderId="0" xfId="0" applyNumberFormat="1" applyFont="1" applyBorder="1" applyAlignment="1"/>
    <xf numFmtId="164" fontId="0" fillId="0" borderId="20" xfId="0" applyNumberFormat="1" applyBorder="1"/>
    <xf numFmtId="164" fontId="0" fillId="0" borderId="2" xfId="0" applyNumberFormat="1" applyBorder="1"/>
    <xf numFmtId="164" fontId="4" fillId="0" borderId="0" xfId="0" applyNumberFormat="1" applyFont="1" applyAlignment="1">
      <alignment horizontal="center" vertical="center"/>
    </xf>
    <xf numFmtId="164" fontId="4" fillId="0" borderId="0" xfId="0" quotePrefix="1" applyNumberFormat="1" applyFont="1" applyAlignment="1">
      <alignment horizontal="center"/>
    </xf>
    <xf numFmtId="165" fontId="0" fillId="0" borderId="0" xfId="0" applyNumberFormat="1" applyFont="1" applyAlignment="1">
      <alignment horizontal="center"/>
    </xf>
    <xf numFmtId="165" fontId="31" fillId="0" borderId="0" xfId="0" applyNumberFormat="1" applyFont="1" applyAlignment="1">
      <alignment horizontal="center"/>
    </xf>
    <xf numFmtId="165" fontId="4" fillId="3" borderId="0" xfId="0" applyNumberFormat="1" applyFont="1" applyFill="1" applyAlignment="1">
      <alignment horizontal="center"/>
    </xf>
    <xf numFmtId="165" fontId="0" fillId="3" borderId="0" xfId="0" applyNumberFormat="1" applyFill="1"/>
    <xf numFmtId="164" fontId="0" fillId="3" borderId="0" xfId="0" applyNumberFormat="1" applyFill="1"/>
    <xf numFmtId="164" fontId="0" fillId="3" borderId="1" xfId="0" applyNumberFormat="1" applyFill="1" applyBorder="1"/>
    <xf numFmtId="165" fontId="4" fillId="0" borderId="17" xfId="0" applyNumberFormat="1" applyFont="1" applyBorder="1" applyAlignment="1">
      <alignment horizontal="center"/>
    </xf>
    <xf numFmtId="164" fontId="4" fillId="0" borderId="17" xfId="0" applyNumberFormat="1" applyFont="1" applyBorder="1" applyAlignment="1">
      <alignment horizontal="center"/>
    </xf>
    <xf numFmtId="164" fontId="4" fillId="0" borderId="0" xfId="0" applyNumberFormat="1" applyFont="1" applyAlignment="1">
      <alignment horizontal="center"/>
    </xf>
    <xf numFmtId="165" fontId="0" fillId="0" borderId="2" xfId="0" applyNumberFormat="1" applyBorder="1" applyAlignment="1">
      <alignment horizontal="center"/>
    </xf>
    <xf numFmtId="165" fontId="4" fillId="0" borderId="2" xfId="0" applyNumberFormat="1" applyFont="1" applyBorder="1" applyAlignment="1">
      <alignment horizontal="center"/>
    </xf>
    <xf numFmtId="164" fontId="0" fillId="0" borderId="21" xfId="0" applyNumberFormat="1" applyFont="1" applyBorder="1"/>
    <xf numFmtId="165" fontId="0" fillId="0" borderId="2" xfId="0" applyNumberFormat="1" applyBorder="1"/>
    <xf numFmtId="164" fontId="4" fillId="0" borderId="2" xfId="0" applyNumberFormat="1" applyFont="1" applyBorder="1" applyAlignment="1">
      <alignment horizontal="center"/>
    </xf>
    <xf numFmtId="164" fontId="4" fillId="0" borderId="17" xfId="0" applyNumberFormat="1" applyFont="1" applyBorder="1" applyAlignment="1">
      <alignment horizontal="center"/>
    </xf>
    <xf numFmtId="164" fontId="4" fillId="0" borderId="0" xfId="0" applyNumberFormat="1" applyFont="1" applyAlignment="1">
      <alignment horizontal="center" vertical="center" wrapText="1"/>
    </xf>
    <xf numFmtId="164" fontId="4" fillId="0" borderId="0" xfId="0" applyNumberFormat="1" applyFont="1" applyAlignment="1">
      <alignment horizontal="center"/>
    </xf>
    <xf numFmtId="164" fontId="0" fillId="0" borderId="2" xfId="0" applyNumberFormat="1" applyBorder="1" applyAlignment="1">
      <alignment horizontal="center"/>
    </xf>
    <xf numFmtId="164" fontId="4" fillId="0" borderId="17" xfId="0" applyNumberFormat="1" applyFont="1" applyBorder="1" applyAlignment="1">
      <alignment horizontal="center" vertical="center" wrapText="1"/>
    </xf>
    <xf numFmtId="164" fontId="0" fillId="0" borderId="17" xfId="0" applyNumberFormat="1" applyBorder="1" applyAlignment="1">
      <alignment horizontal="center"/>
    </xf>
    <xf numFmtId="164" fontId="0" fillId="0" borderId="0" xfId="0" applyNumberFormat="1" applyBorder="1" applyAlignment="1">
      <alignment horizontal="center"/>
    </xf>
    <xf numFmtId="0" fontId="12" fillId="0" borderId="0" xfId="0" applyFont="1" applyAlignment="1"/>
    <xf numFmtId="0" fontId="16" fillId="0" borderId="0" xfId="0" applyFont="1" applyAlignment="1">
      <alignment horizontal="center"/>
    </xf>
    <xf numFmtId="0" fontId="14" fillId="0" borderId="0" xfId="0" applyFont="1" applyAlignment="1">
      <alignment horizontal="left"/>
    </xf>
    <xf numFmtId="0" fontId="16" fillId="0" borderId="0" xfId="0" applyFont="1" applyAlignment="1">
      <alignment horizontal="left"/>
    </xf>
    <xf numFmtId="0" fontId="15" fillId="0" borderId="0" xfId="0" applyFont="1" applyAlignment="1">
      <alignment horizontal="left"/>
    </xf>
    <xf numFmtId="0" fontId="20" fillId="0" borderId="0" xfId="0" applyFont="1" applyAlignment="1">
      <alignment horizontal="left" vertical="center" wrapText="1"/>
    </xf>
    <xf numFmtId="0" fontId="0" fillId="0" borderId="0" xfId="0" applyFont="1" applyAlignment="1">
      <alignment horizontal="left"/>
    </xf>
    <xf numFmtId="164" fontId="23" fillId="0" borderId="0" xfId="0" applyNumberFormat="1" applyFont="1" applyAlignment="1">
      <alignment horizontal="center"/>
    </xf>
    <xf numFmtId="0" fontId="25" fillId="0" borderId="0" xfId="0" applyFont="1" applyAlignment="1">
      <alignment horizontal="center"/>
    </xf>
    <xf numFmtId="164" fontId="0" fillId="0" borderId="0" xfId="0" applyNumberFormat="1" applyAlignment="1">
      <alignment horizontal="center"/>
    </xf>
    <xf numFmtId="0" fontId="26" fillId="0" borderId="0" xfId="0" applyFont="1" applyAlignment="1">
      <alignment horizontal="center"/>
    </xf>
    <xf numFmtId="164" fontId="21" fillId="0" borderId="2" xfId="0" applyNumberFormat="1" applyFont="1" applyBorder="1" applyAlignment="1">
      <alignment horizontal="center"/>
    </xf>
    <xf numFmtId="164" fontId="0" fillId="0" borderId="0" xfId="0" applyNumberFormat="1" applyFont="1" applyAlignment="1">
      <alignment horizontal="left" vertical="center"/>
    </xf>
    <xf numFmtId="164" fontId="0" fillId="0" borderId="0" xfId="0" applyNumberFormat="1" applyFont="1" applyAlignment="1">
      <alignment horizontal="left" vertical="center" wrapText="1"/>
    </xf>
    <xf numFmtId="164" fontId="4" fillId="0" borderId="0" xfId="0" applyNumberFormat="1" applyFont="1" applyBorder="1" applyAlignment="1">
      <alignment horizontal="center"/>
    </xf>
    <xf numFmtId="164" fontId="0" fillId="0" borderId="9" xfId="0" applyNumberFormat="1" applyBorder="1" applyAlignment="1">
      <alignment horizontal="center"/>
    </xf>
    <xf numFmtId="164" fontId="0" fillId="0" borderId="10" xfId="0" applyNumberFormat="1" applyBorder="1" applyAlignment="1">
      <alignment horizontal="center"/>
    </xf>
    <xf numFmtId="164" fontId="0" fillId="0" borderId="5" xfId="0" applyNumberFormat="1" applyBorder="1" applyAlignment="1">
      <alignment horizontal="center"/>
    </xf>
    <xf numFmtId="164" fontId="0" fillId="0" borderId="6" xfId="0" applyNumberFormat="1"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164" fontId="0" fillId="0" borderId="0" xfId="0" applyNumberFormat="1" applyAlignment="1">
      <alignment horizontal="left" vertical="center" wrapText="1"/>
    </xf>
    <xf numFmtId="164" fontId="4" fillId="0" borderId="18" xfId="0" applyNumberFormat="1" applyFont="1" applyBorder="1" applyAlignment="1">
      <alignment horizontal="center"/>
    </xf>
    <xf numFmtId="164" fontId="4" fillId="0" borderId="19" xfId="0" applyNumberFormat="1" applyFont="1" applyBorder="1" applyAlignment="1">
      <alignment horizontal="center"/>
    </xf>
    <xf numFmtId="164" fontId="0" fillId="0" borderId="0" xfId="0" applyNumberFormat="1" applyAlignment="1">
      <alignment horizontal="left" vertical="center"/>
    </xf>
    <xf numFmtId="164" fontId="30" fillId="0" borderId="0" xfId="0" applyNumberFormat="1" applyFont="1" applyAlignment="1">
      <alignment horizontal="left" vertical="center" wrapText="1"/>
    </xf>
    <xf numFmtId="164" fontId="0" fillId="0" borderId="18" xfId="0" applyNumberFormat="1" applyBorder="1" applyAlignment="1">
      <alignment horizontal="center"/>
    </xf>
    <xf numFmtId="164" fontId="0" fillId="0" borderId="19" xfId="0" applyNumberFormat="1" applyBorder="1" applyAlignment="1">
      <alignment horizontal="center"/>
    </xf>
    <xf numFmtId="164" fontId="0" fillId="0" borderId="0" xfId="0" applyNumberFormat="1" applyAlignment="1">
      <alignment vertical="center"/>
    </xf>
    <xf numFmtId="164" fontId="0" fillId="0" borderId="0" xfId="0" applyNumberFormat="1" applyAlignment="1">
      <alignment horizontal="left" indent="1"/>
    </xf>
    <xf numFmtId="164" fontId="0" fillId="0" borderId="0" xfId="0" applyNumberFormat="1" applyAlignment="1"/>
    <xf numFmtId="164" fontId="4" fillId="0" borderId="0" xfId="0" applyNumberFormat="1" applyFont="1" applyBorder="1" applyAlignment="1">
      <alignment horizontal="center" vertical="center" wrapText="1"/>
    </xf>
    <xf numFmtId="164" fontId="4" fillId="0" borderId="0" xfId="0" applyNumberFormat="1" applyFont="1" applyBorder="1" applyAlignment="1">
      <alignment horizontal="left" vertical="center" wrapText="1"/>
    </xf>
    <xf numFmtId="164" fontId="4" fillId="0" borderId="2" xfId="0" applyNumberFormat="1" applyFont="1" applyBorder="1"/>
  </cellXfs>
  <cellStyles count="777">
    <cellStyle name="Comma" xfId="192" builtinId="3"/>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Normal" xfId="0" builtinId="0"/>
    <cellStyle name="Percent" xfId="1" builtinId="5"/>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theme" Target="theme/theme1.xml"/><Relationship Id="rId35" Type="http://schemas.openxmlformats.org/officeDocument/2006/relationships/styles" Target="styles.xml"/><Relationship Id="rId36" Type="http://schemas.openxmlformats.org/officeDocument/2006/relationships/sharedStrings" Target="sharedStrings.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 Id="rId2"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6.png"/><Relationship Id="rId2"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9.png"/><Relationship Id="rId2" Type="http://schemas.openxmlformats.org/officeDocument/2006/relationships/image" Target="../media/image3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1.png"/><Relationship Id="rId2"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5.png"/><Relationship Id="rId2" Type="http://schemas.openxmlformats.org/officeDocument/2006/relationships/image" Target="../media/image3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8.png"/><Relationship Id="rId2" Type="http://schemas.openxmlformats.org/officeDocument/2006/relationships/image" Target="../media/image3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0.png"/><Relationship Id="rId2" Type="http://schemas.openxmlformats.org/officeDocument/2006/relationships/image" Target="../media/image41.png"/><Relationship Id="rId3" Type="http://schemas.openxmlformats.org/officeDocument/2006/relationships/image" Target="../media/image4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3.png"/><Relationship Id="rId2" Type="http://schemas.openxmlformats.org/officeDocument/2006/relationships/image" Target="../media/image44.png"/><Relationship Id="rId3" Type="http://schemas.openxmlformats.org/officeDocument/2006/relationships/image" Target="../media/image4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6.png"/><Relationship Id="rId2" Type="http://schemas.openxmlformats.org/officeDocument/2006/relationships/image" Target="../media/image4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8.png"/><Relationship Id="rId2" Type="http://schemas.openxmlformats.org/officeDocument/2006/relationships/image" Target="../media/image49.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711200</xdr:colOff>
      <xdr:row>42</xdr:row>
      <xdr:rowOff>119428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140700" cy="8171228"/>
        </a:xfrm>
        <a:prstGeom prst="rect">
          <a:avLst/>
        </a:prstGeom>
      </xdr:spPr>
    </xdr:pic>
    <xdr:clientData/>
  </xdr:twoCellAnchor>
  <xdr:twoCellAnchor>
    <xdr:from>
      <xdr:col>1</xdr:col>
      <xdr:colOff>160020</xdr:colOff>
      <xdr:row>25</xdr:row>
      <xdr:rowOff>160020</xdr:rowOff>
    </xdr:from>
    <xdr:to>
      <xdr:col>1</xdr:col>
      <xdr:colOff>711200</xdr:colOff>
      <xdr:row>27</xdr:row>
      <xdr:rowOff>165100</xdr:rowOff>
    </xdr:to>
    <xdr:sp macro="" textlink="">
      <xdr:nvSpPr>
        <xdr:cNvPr id="3" name="Oval 2"/>
        <xdr:cNvSpPr/>
      </xdr:nvSpPr>
      <xdr:spPr>
        <a:xfrm>
          <a:off x="985520" y="4947920"/>
          <a:ext cx="551180" cy="386080"/>
        </a:xfrm>
        <a:prstGeom prst="ellipse">
          <a:avLst/>
        </a:prstGeom>
        <a:noFill/>
        <a:ln>
          <a:solidFill>
            <a:srgbClr val="FF0000"/>
          </a:solidFill>
        </a:ln>
      </xdr:spPr>
      <xdr:style>
        <a:lnRef idx="1">
          <a:schemeClr val="accent1"/>
        </a:lnRef>
        <a:fillRef idx="3">
          <a:schemeClr val="accent1"/>
        </a:fillRef>
        <a:effectRef idx="2">
          <a:schemeClr val="accent1"/>
        </a:effectRef>
        <a:fontRef idx="minor">
          <a:schemeClr val="lt1"/>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546100</xdr:colOff>
      <xdr:row>23</xdr:row>
      <xdr:rowOff>101600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801100" cy="4483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749300</xdr:colOff>
      <xdr:row>31</xdr:row>
      <xdr:rowOff>177800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004300" cy="6083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584200</xdr:colOff>
      <xdr:row>27</xdr:row>
      <xdr:rowOff>50800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839200" cy="5562600"/>
        </a:xfrm>
        <a:prstGeom prst="rect">
          <a:avLst/>
        </a:prstGeom>
      </xdr:spPr>
    </xdr:pic>
    <xdr:clientData/>
  </xdr:twoCellAnchor>
  <xdr:twoCellAnchor editAs="oneCell">
    <xdr:from>
      <xdr:col>0</xdr:col>
      <xdr:colOff>0</xdr:colOff>
      <xdr:row>27</xdr:row>
      <xdr:rowOff>177800</xdr:rowOff>
    </xdr:from>
    <xdr:to>
      <xdr:col>8</xdr:col>
      <xdr:colOff>762000</xdr:colOff>
      <xdr:row>30</xdr:row>
      <xdr:rowOff>25400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5664200"/>
          <a:ext cx="7366000" cy="457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444500</xdr:colOff>
      <xdr:row>31</xdr:row>
      <xdr:rowOff>101600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699500" cy="6400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266700</xdr:colOff>
      <xdr:row>27</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521700" cy="5549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403413</xdr:colOff>
      <xdr:row>16</xdr:row>
      <xdr:rowOff>131117</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0"/>
          <a:ext cx="7037294" cy="3358411"/>
        </a:xfrm>
        <a:prstGeom prst="rect">
          <a:avLst/>
        </a:prstGeom>
      </xdr:spPr>
    </xdr:pic>
    <xdr:clientData/>
  </xdr:twoCellAnchor>
  <xdr:twoCellAnchor editAs="oneCell">
    <xdr:from>
      <xdr:col>0</xdr:col>
      <xdr:colOff>0</xdr:colOff>
      <xdr:row>15</xdr:row>
      <xdr:rowOff>121771</xdr:rowOff>
    </xdr:from>
    <xdr:to>
      <xdr:col>7</xdr:col>
      <xdr:colOff>493059</xdr:colOff>
      <xdr:row>34</xdr:row>
      <xdr:rowOff>187641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147359"/>
          <a:ext cx="6297706" cy="392069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678655</xdr:colOff>
      <xdr:row>44</xdr:row>
      <xdr:rowOff>156882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312537" cy="9054353"/>
        </a:xfrm>
        <a:prstGeom prst="rect">
          <a:avLst/>
        </a:prstGeom>
      </xdr:spPr>
    </xdr:pic>
    <xdr:clientData/>
  </xdr:twoCellAnchor>
  <xdr:twoCellAnchor editAs="oneCell">
    <xdr:from>
      <xdr:col>0</xdr:col>
      <xdr:colOff>1</xdr:colOff>
      <xdr:row>44</xdr:row>
      <xdr:rowOff>5976</xdr:rowOff>
    </xdr:from>
    <xdr:to>
      <xdr:col>8</xdr:col>
      <xdr:colOff>235325</xdr:colOff>
      <xdr:row>57</xdr:row>
      <xdr:rowOff>189843</xdr:rowOff>
    </xdr:to>
    <xdr:pic>
      <xdr:nvPicPr>
        <xdr:cNvPr id="3" name="Picture 2"/>
        <xdr:cNvPicPr>
          <a:picLocks noChangeAspect="1"/>
        </xdr:cNvPicPr>
      </xdr:nvPicPr>
      <xdr:blipFill>
        <a:blip xmlns:r="http://schemas.openxmlformats.org/officeDocument/2006/relationships" r:embed="rId2"/>
        <a:stretch>
          <a:fillRect/>
        </a:stretch>
      </xdr:blipFill>
      <xdr:spPr>
        <a:xfrm>
          <a:off x="1" y="8881035"/>
          <a:ext cx="6869206" cy="286207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660400</xdr:colOff>
      <xdr:row>29</xdr:row>
      <xdr:rowOff>42759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438900" cy="55672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584200</xdr:colOff>
      <xdr:row>14</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362700" cy="2679700"/>
        </a:xfrm>
        <a:prstGeom prst="rect">
          <a:avLst/>
        </a:prstGeom>
      </xdr:spPr>
    </xdr:pic>
    <xdr:clientData/>
  </xdr:twoCellAnchor>
  <xdr:twoCellAnchor editAs="oneCell">
    <xdr:from>
      <xdr:col>0</xdr:col>
      <xdr:colOff>0</xdr:colOff>
      <xdr:row>13</xdr:row>
      <xdr:rowOff>88900</xdr:rowOff>
    </xdr:from>
    <xdr:to>
      <xdr:col>7</xdr:col>
      <xdr:colOff>787400</xdr:colOff>
      <xdr:row>33</xdr:row>
      <xdr:rowOff>165100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2628900"/>
          <a:ext cx="6600092" cy="398389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800100</xdr:colOff>
      <xdr:row>46</xdr:row>
      <xdr:rowOff>136438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404100" cy="8899438"/>
        </a:xfrm>
        <a:prstGeom prst="rect">
          <a:avLst/>
        </a:prstGeom>
      </xdr:spPr>
    </xdr:pic>
    <xdr:clientData/>
  </xdr:twoCellAnchor>
  <xdr:twoCellAnchor editAs="oneCell">
    <xdr:from>
      <xdr:col>0</xdr:col>
      <xdr:colOff>0</xdr:colOff>
      <xdr:row>46</xdr:row>
      <xdr:rowOff>63500</xdr:rowOff>
    </xdr:from>
    <xdr:to>
      <xdr:col>8</xdr:col>
      <xdr:colOff>355600</xdr:colOff>
      <xdr:row>56</xdr:row>
      <xdr:rowOff>47165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826500"/>
          <a:ext cx="6959600" cy="19107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128171</xdr:colOff>
      <xdr:row>45</xdr:row>
      <xdr:rowOff>196985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551571" cy="8851900"/>
        </a:xfrm>
        <a:prstGeom prst="rect">
          <a:avLst/>
        </a:prstGeom>
      </xdr:spPr>
    </xdr:pic>
    <xdr:clientData/>
  </xdr:twoCellAnchor>
  <xdr:twoCellAnchor editAs="oneCell">
    <xdr:from>
      <xdr:col>0</xdr:col>
      <xdr:colOff>0</xdr:colOff>
      <xdr:row>46</xdr:row>
      <xdr:rowOff>114300</xdr:rowOff>
    </xdr:from>
    <xdr:to>
      <xdr:col>12</xdr:col>
      <xdr:colOff>546100</xdr:colOff>
      <xdr:row>106</xdr:row>
      <xdr:rowOff>175098</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877300"/>
          <a:ext cx="8623300" cy="1155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419100</xdr:colOff>
      <xdr:row>32</xdr:row>
      <xdr:rowOff>62042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023100" cy="615804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292100</xdr:colOff>
      <xdr:row>30</xdr:row>
      <xdr:rowOff>123668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721600" cy="5838668"/>
        </a:xfrm>
        <a:prstGeom prst="rect">
          <a:avLst/>
        </a:prstGeom>
      </xdr:spPr>
    </xdr:pic>
    <xdr:clientData/>
  </xdr:twoCellAnchor>
  <xdr:twoCellAnchor editAs="oneCell">
    <xdr:from>
      <xdr:col>0</xdr:col>
      <xdr:colOff>12700</xdr:colOff>
      <xdr:row>30</xdr:row>
      <xdr:rowOff>139700</xdr:rowOff>
    </xdr:from>
    <xdr:to>
      <xdr:col>9</xdr:col>
      <xdr:colOff>355600</xdr:colOff>
      <xdr:row>54</xdr:row>
      <xdr:rowOff>27980</xdr:rowOff>
    </xdr:to>
    <xdr:pic>
      <xdr:nvPicPr>
        <xdr:cNvPr id="3" name="Picture 2"/>
        <xdr:cNvPicPr>
          <a:picLocks noChangeAspect="1"/>
        </xdr:cNvPicPr>
      </xdr:nvPicPr>
      <xdr:blipFill>
        <a:blip xmlns:r="http://schemas.openxmlformats.org/officeDocument/2006/relationships" r:embed="rId2"/>
        <a:stretch>
          <a:fillRect/>
        </a:stretch>
      </xdr:blipFill>
      <xdr:spPr>
        <a:xfrm>
          <a:off x="12700" y="5854700"/>
          <a:ext cx="7772400" cy="45364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546100</xdr:colOff>
      <xdr:row>47</xdr:row>
      <xdr:rowOff>31070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150100" cy="8984570"/>
        </a:xfrm>
        <a:prstGeom prst="rect">
          <a:avLst/>
        </a:prstGeom>
      </xdr:spPr>
    </xdr:pic>
    <xdr:clientData/>
  </xdr:twoCellAnchor>
  <xdr:twoCellAnchor editAs="oneCell">
    <xdr:from>
      <xdr:col>0</xdr:col>
      <xdr:colOff>0</xdr:colOff>
      <xdr:row>46</xdr:row>
      <xdr:rowOff>101600</xdr:rowOff>
    </xdr:from>
    <xdr:to>
      <xdr:col>8</xdr:col>
      <xdr:colOff>368300</xdr:colOff>
      <xdr:row>59</xdr:row>
      <xdr:rowOff>163074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864600"/>
          <a:ext cx="6972300" cy="25379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190500</xdr:colOff>
      <xdr:row>59</xdr:row>
      <xdr:rowOff>130620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620000" cy="1139552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355818</xdr:colOff>
      <xdr:row>36</xdr:row>
      <xdr:rowOff>88900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785318" cy="69469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114300</xdr:colOff>
      <xdr:row>37</xdr:row>
      <xdr:rowOff>105396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543800" cy="7153896"/>
        </a:xfrm>
        <a:prstGeom prst="rect">
          <a:avLst/>
        </a:prstGeom>
      </xdr:spPr>
    </xdr:pic>
    <xdr:clientData/>
  </xdr:twoCellAnchor>
  <xdr:twoCellAnchor editAs="oneCell">
    <xdr:from>
      <xdr:col>0</xdr:col>
      <xdr:colOff>0</xdr:colOff>
      <xdr:row>37</xdr:row>
      <xdr:rowOff>38100</xdr:rowOff>
    </xdr:from>
    <xdr:to>
      <xdr:col>8</xdr:col>
      <xdr:colOff>758210</xdr:colOff>
      <xdr:row>47</xdr:row>
      <xdr:rowOff>177800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7086600"/>
          <a:ext cx="7362210" cy="20701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54</xdr:row>
      <xdr:rowOff>108214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429500" cy="1061111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160268</xdr:colOff>
      <xdr:row>8</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589768" cy="1562100"/>
        </a:xfrm>
        <a:prstGeom prst="rect">
          <a:avLst/>
        </a:prstGeom>
      </xdr:spPr>
    </xdr:pic>
    <xdr:clientData/>
  </xdr:twoCellAnchor>
  <xdr:twoCellAnchor editAs="oneCell">
    <xdr:from>
      <xdr:col>0</xdr:col>
      <xdr:colOff>0</xdr:colOff>
      <xdr:row>7</xdr:row>
      <xdr:rowOff>88900</xdr:rowOff>
    </xdr:from>
    <xdr:to>
      <xdr:col>9</xdr:col>
      <xdr:colOff>355600</xdr:colOff>
      <xdr:row>39</xdr:row>
      <xdr:rowOff>97126</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1422400"/>
          <a:ext cx="7785100" cy="610422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533400</xdr:colOff>
      <xdr:row>35</xdr:row>
      <xdr:rowOff>110378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311900" cy="6777878"/>
        </a:xfrm>
        <a:prstGeom prst="rect">
          <a:avLst/>
        </a:prstGeom>
      </xdr:spPr>
    </xdr:pic>
    <xdr:clientData/>
  </xdr:twoCellAnchor>
  <xdr:twoCellAnchor editAs="oneCell">
    <xdr:from>
      <xdr:col>0</xdr:col>
      <xdr:colOff>0</xdr:colOff>
      <xdr:row>34</xdr:row>
      <xdr:rowOff>103537</xdr:rowOff>
    </xdr:from>
    <xdr:to>
      <xdr:col>8</xdr:col>
      <xdr:colOff>152400</xdr:colOff>
      <xdr:row>98</xdr:row>
      <xdr:rowOff>89280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6580537"/>
          <a:ext cx="6756400" cy="12279343"/>
        </a:xfrm>
        <a:prstGeom prst="rect">
          <a:avLst/>
        </a:prstGeom>
      </xdr:spPr>
    </xdr:pic>
    <xdr:clientData/>
  </xdr:twoCellAnchor>
  <xdr:twoCellAnchor editAs="oneCell">
    <xdr:from>
      <xdr:col>0</xdr:col>
      <xdr:colOff>0</xdr:colOff>
      <xdr:row>100</xdr:row>
      <xdr:rowOff>50800</xdr:rowOff>
    </xdr:from>
    <xdr:to>
      <xdr:col>7</xdr:col>
      <xdr:colOff>591232</xdr:colOff>
      <xdr:row>123</xdr:row>
      <xdr:rowOff>24182</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9100800"/>
          <a:ext cx="6369732" cy="438028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444500</xdr:colOff>
      <xdr:row>36</xdr:row>
      <xdr:rowOff>15662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223000" cy="6873662"/>
        </a:xfrm>
        <a:prstGeom prst="rect">
          <a:avLst/>
        </a:prstGeom>
      </xdr:spPr>
    </xdr:pic>
    <xdr:clientData/>
  </xdr:twoCellAnchor>
  <xdr:twoCellAnchor editAs="oneCell">
    <xdr:from>
      <xdr:col>0</xdr:col>
      <xdr:colOff>0</xdr:colOff>
      <xdr:row>35</xdr:row>
      <xdr:rowOff>161968</xdr:rowOff>
    </xdr:from>
    <xdr:to>
      <xdr:col>7</xdr:col>
      <xdr:colOff>406400</xdr:colOff>
      <xdr:row>94</xdr:row>
      <xdr:rowOff>117948</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6829468"/>
          <a:ext cx="6184900" cy="11297080"/>
        </a:xfrm>
        <a:prstGeom prst="rect">
          <a:avLst/>
        </a:prstGeom>
      </xdr:spPr>
    </xdr:pic>
    <xdr:clientData/>
  </xdr:twoCellAnchor>
  <xdr:twoCellAnchor editAs="oneCell">
    <xdr:from>
      <xdr:col>0</xdr:col>
      <xdr:colOff>0</xdr:colOff>
      <xdr:row>95</xdr:row>
      <xdr:rowOff>38099</xdr:rowOff>
    </xdr:from>
    <xdr:to>
      <xdr:col>7</xdr:col>
      <xdr:colOff>685800</xdr:colOff>
      <xdr:row>117</xdr:row>
      <xdr:rowOff>96756</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8135599"/>
          <a:ext cx="6464300" cy="42750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641074</xdr:colOff>
      <xdr:row>20</xdr:row>
      <xdr:rowOff>182217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8724900" cy="3937000"/>
        </a:xfrm>
        <a:prstGeom prst="rect">
          <a:avLst/>
        </a:prstGeom>
      </xdr:spPr>
    </xdr:pic>
    <xdr:clientData/>
  </xdr:twoCellAnchor>
  <xdr:twoCellAnchor editAs="oneCell">
    <xdr:from>
      <xdr:col>0</xdr:col>
      <xdr:colOff>0</xdr:colOff>
      <xdr:row>19</xdr:row>
      <xdr:rowOff>176696</xdr:rowOff>
    </xdr:from>
    <xdr:to>
      <xdr:col>13</xdr:col>
      <xdr:colOff>119822</xdr:colOff>
      <xdr:row>27</xdr:row>
      <xdr:rowOff>151296</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3743739"/>
          <a:ext cx="8877300" cy="14986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558800</xdr:colOff>
      <xdr:row>43</xdr:row>
      <xdr:rowOff>8128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988300" cy="8199628"/>
        </a:xfrm>
        <a:prstGeom prst="rect">
          <a:avLst/>
        </a:prstGeom>
      </xdr:spPr>
    </xdr:pic>
    <xdr:clientData/>
  </xdr:twoCellAnchor>
  <xdr:twoCellAnchor editAs="oneCell">
    <xdr:from>
      <xdr:col>0</xdr:col>
      <xdr:colOff>0</xdr:colOff>
      <xdr:row>42</xdr:row>
      <xdr:rowOff>101599</xdr:rowOff>
    </xdr:from>
    <xdr:to>
      <xdr:col>9</xdr:col>
      <xdr:colOff>571500</xdr:colOff>
      <xdr:row>74</xdr:row>
      <xdr:rowOff>172116</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102599"/>
          <a:ext cx="8001000" cy="616651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762000</xdr:colOff>
      <xdr:row>43</xdr:row>
      <xdr:rowOff>71774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366000" cy="8263274"/>
        </a:xfrm>
        <a:prstGeom prst="rect">
          <a:avLst/>
        </a:prstGeom>
      </xdr:spPr>
    </xdr:pic>
    <xdr:clientData/>
  </xdr:twoCellAnchor>
  <xdr:twoCellAnchor editAs="oneCell">
    <xdr:from>
      <xdr:col>0</xdr:col>
      <xdr:colOff>0</xdr:colOff>
      <xdr:row>42</xdr:row>
      <xdr:rowOff>190499</xdr:rowOff>
    </xdr:from>
    <xdr:to>
      <xdr:col>9</xdr:col>
      <xdr:colOff>76200</xdr:colOff>
      <xdr:row>92</xdr:row>
      <xdr:rowOff>74308</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191499"/>
          <a:ext cx="7505700" cy="94850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12700</xdr:colOff>
      <xdr:row>21</xdr:row>
      <xdr:rowOff>109793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442200" cy="41356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609600</xdr:colOff>
      <xdr:row>26</xdr:row>
      <xdr:rowOff>190500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864600" cy="5499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177800</xdr:colOff>
      <xdr:row>22</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258300" cy="4229100"/>
        </a:xfrm>
        <a:prstGeom prst="rect">
          <a:avLst/>
        </a:prstGeom>
      </xdr:spPr>
    </xdr:pic>
    <xdr:clientData/>
  </xdr:twoCellAnchor>
  <xdr:twoCellAnchor editAs="oneCell">
    <xdr:from>
      <xdr:col>0</xdr:col>
      <xdr:colOff>0</xdr:colOff>
      <xdr:row>22</xdr:row>
      <xdr:rowOff>76200</xdr:rowOff>
    </xdr:from>
    <xdr:to>
      <xdr:col>10</xdr:col>
      <xdr:colOff>368300</xdr:colOff>
      <xdr:row>34</xdr:row>
      <xdr:rowOff>25400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267200"/>
          <a:ext cx="8623300" cy="223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469900</xdr:colOff>
      <xdr:row>24</xdr:row>
      <xdr:rowOff>25400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724900" cy="4622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520700</xdr:colOff>
      <xdr:row>21</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775700" cy="411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393700</xdr:colOff>
      <xdr:row>28</xdr:row>
      <xdr:rowOff>165100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648700" cy="5499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05"/>
  <sheetViews>
    <sheetView topLeftCell="B15" workbookViewId="0">
      <selection activeCell="I35" sqref="I35"/>
    </sheetView>
  </sheetViews>
  <sheetFormatPr baseColWidth="10" defaultColWidth="10.83203125" defaultRowHeight="15" x14ac:dyDescent="0"/>
  <cols>
    <col min="1" max="1" width="10.83203125" style="1"/>
    <col min="2" max="2" width="46.1640625" style="1" bestFit="1" customWidth="1"/>
    <col min="3" max="3" width="25" style="1" bestFit="1" customWidth="1"/>
    <col min="4" max="4" width="16" style="1" customWidth="1"/>
    <col min="5" max="5" width="17.1640625" style="1" bestFit="1" customWidth="1"/>
    <col min="6" max="6" width="11.5" style="1" bestFit="1" customWidth="1"/>
    <col min="7" max="7" width="13.1640625" style="1" bestFit="1" customWidth="1"/>
    <col min="8" max="16384" width="10.83203125" style="1"/>
  </cols>
  <sheetData>
    <row r="3" spans="2:7" ht="35" customHeight="1">
      <c r="B3" s="163" t="s">
        <v>105</v>
      </c>
      <c r="C3" s="163"/>
      <c r="D3" s="163"/>
      <c r="E3" s="163"/>
      <c r="F3" s="163"/>
      <c r="G3" s="163"/>
    </row>
    <row r="4" spans="2:7">
      <c r="B4" s="145"/>
      <c r="C4" s="162" t="s">
        <v>13</v>
      </c>
      <c r="D4" s="162"/>
      <c r="E4" s="162"/>
      <c r="F4" s="162"/>
      <c r="G4" s="20"/>
    </row>
    <row r="5" spans="2:7">
      <c r="C5" s="90">
        <v>1</v>
      </c>
      <c r="D5" s="90">
        <v>2</v>
      </c>
      <c r="E5" s="90">
        <v>3</v>
      </c>
      <c r="F5" s="90">
        <v>4</v>
      </c>
      <c r="G5" s="133" t="s">
        <v>12</v>
      </c>
    </row>
    <row r="6" spans="2:7">
      <c r="B6" s="1" t="s">
        <v>19</v>
      </c>
      <c r="C6" s="2">
        <v>10000</v>
      </c>
      <c r="D6" s="2">
        <v>30000</v>
      </c>
      <c r="E6" s="2">
        <v>40000</v>
      </c>
      <c r="F6" s="2">
        <v>20000</v>
      </c>
      <c r="G6" s="2">
        <f>SUM(C6:F6)</f>
        <v>100000</v>
      </c>
    </row>
    <row r="7" spans="2:7">
      <c r="B7" s="1" t="s">
        <v>0</v>
      </c>
      <c r="C7" s="1">
        <v>20</v>
      </c>
      <c r="D7" s="1">
        <v>20</v>
      </c>
      <c r="E7" s="1">
        <v>20</v>
      </c>
      <c r="F7" s="1">
        <v>20</v>
      </c>
      <c r="G7" s="1">
        <v>20</v>
      </c>
    </row>
    <row r="8" spans="2:7" ht="16" thickBot="1">
      <c r="B8" s="4" t="s">
        <v>1</v>
      </c>
      <c r="C8" s="4">
        <f>+C6*C7</f>
        <v>200000</v>
      </c>
      <c r="D8" s="4">
        <f>+D6*D7</f>
        <v>600000</v>
      </c>
      <c r="E8" s="4">
        <f>+E6*E7</f>
        <v>800000</v>
      </c>
      <c r="F8" s="4">
        <f>+F6*F7</f>
        <v>400000</v>
      </c>
      <c r="G8" s="4">
        <f>SUM(C8:F8)</f>
        <v>2000000</v>
      </c>
    </row>
    <row r="9" spans="2:7" ht="16" thickTop="1"/>
    <row r="12" spans="2:7">
      <c r="B12" s="1" t="s">
        <v>2</v>
      </c>
      <c r="C12" s="6">
        <v>0.7</v>
      </c>
    </row>
    <row r="13" spans="2:7">
      <c r="B13" s="1" t="s">
        <v>3</v>
      </c>
      <c r="C13" s="6">
        <v>0.3</v>
      </c>
    </row>
    <row r="15" spans="2:7">
      <c r="B15" s="164" t="s">
        <v>4</v>
      </c>
      <c r="C15" s="164"/>
      <c r="D15" s="164"/>
      <c r="E15" s="164"/>
      <c r="F15" s="164"/>
      <c r="G15" s="164"/>
    </row>
    <row r="16" spans="2:7">
      <c r="B16" s="1" t="s">
        <v>5</v>
      </c>
      <c r="C16" s="1">
        <v>90000</v>
      </c>
      <c r="G16" s="1">
        <f>SUM(C16:F16)</f>
        <v>90000</v>
      </c>
    </row>
    <row r="17" spans="2:9">
      <c r="B17" s="1" t="s">
        <v>6</v>
      </c>
      <c r="C17" s="1">
        <f>C8*C12</f>
        <v>140000</v>
      </c>
      <c r="D17" s="1">
        <f>C8*C13</f>
        <v>60000</v>
      </c>
      <c r="G17" s="1">
        <f>SUM(C17:F17)</f>
        <v>200000</v>
      </c>
    </row>
    <row r="18" spans="2:9">
      <c r="B18" s="1" t="s">
        <v>7</v>
      </c>
      <c r="D18" s="1">
        <f>D8*C12</f>
        <v>420000</v>
      </c>
      <c r="E18" s="1">
        <f>D8*C13</f>
        <v>180000</v>
      </c>
      <c r="G18" s="1">
        <f>SUM(C18:F18)</f>
        <v>600000</v>
      </c>
    </row>
    <row r="19" spans="2:9">
      <c r="B19" s="1" t="s">
        <v>8</v>
      </c>
      <c r="E19" s="1">
        <f>E8*C12</f>
        <v>560000</v>
      </c>
      <c r="F19" s="1">
        <f>E8*C13</f>
        <v>240000</v>
      </c>
      <c r="G19" s="1">
        <f>SUM(C19:F19)</f>
        <v>800000</v>
      </c>
    </row>
    <row r="20" spans="2:9">
      <c r="B20" s="1" t="s">
        <v>9</v>
      </c>
      <c r="F20" s="1">
        <f>F8*C12</f>
        <v>280000</v>
      </c>
      <c r="G20" s="1">
        <f>SUM(C20:F20)</f>
        <v>280000</v>
      </c>
      <c r="I20" s="1" t="s">
        <v>14</v>
      </c>
    </row>
    <row r="21" spans="2:9">
      <c r="B21" s="1" t="s">
        <v>10</v>
      </c>
      <c r="C21" s="1">
        <f>SUM(C16:C20)</f>
        <v>230000</v>
      </c>
      <c r="D21" s="1">
        <f>SUM(D16:D20)</f>
        <v>480000</v>
      </c>
      <c r="E21" s="1">
        <f>SUM(E16:E20)</f>
        <v>740000</v>
      </c>
      <c r="F21" s="1">
        <f>SUM(F16:F20)</f>
        <v>520000</v>
      </c>
      <c r="G21" s="1">
        <f>SUM(G16:G20)</f>
        <v>1970000</v>
      </c>
    </row>
    <row r="28" spans="2:9" ht="35" customHeight="1">
      <c r="B28" s="163" t="s">
        <v>106</v>
      </c>
      <c r="C28" s="163"/>
      <c r="D28" s="163"/>
      <c r="E28" s="163"/>
      <c r="F28" s="163"/>
      <c r="G28" s="163"/>
    </row>
    <row r="29" spans="2:9">
      <c r="C29" s="165" t="s">
        <v>13</v>
      </c>
      <c r="D29" s="165"/>
      <c r="E29" s="165"/>
      <c r="F29" s="165"/>
      <c r="G29" s="9"/>
    </row>
    <row r="30" spans="2:9">
      <c r="C30" s="3">
        <v>1</v>
      </c>
      <c r="D30" s="3">
        <v>2</v>
      </c>
      <c r="E30" s="3">
        <v>3</v>
      </c>
      <c r="F30" s="3">
        <v>4</v>
      </c>
      <c r="G30" s="5" t="s">
        <v>12</v>
      </c>
    </row>
    <row r="31" spans="2:9">
      <c r="B31" s="1" t="s">
        <v>94</v>
      </c>
      <c r="C31" s="2">
        <f>C6</f>
        <v>10000</v>
      </c>
      <c r="D31" s="2">
        <f>D6</f>
        <v>30000</v>
      </c>
      <c r="E31" s="2">
        <f>E6</f>
        <v>40000</v>
      </c>
      <c r="F31" s="2">
        <f>F6</f>
        <v>20000</v>
      </c>
      <c r="G31" s="2">
        <f>SUM(C31:F31)</f>
        <v>100000</v>
      </c>
    </row>
    <row r="32" spans="2:9">
      <c r="B32" s="1" t="s">
        <v>17</v>
      </c>
      <c r="C32" s="7">
        <f>D31*0.2</f>
        <v>6000</v>
      </c>
      <c r="D32" s="7">
        <f>E31*0.2</f>
        <v>8000</v>
      </c>
      <c r="E32" s="7">
        <f>F31*0.2</f>
        <v>4000</v>
      </c>
      <c r="F32" s="7">
        <v>3000</v>
      </c>
      <c r="G32" s="7">
        <f>+F32</f>
        <v>3000</v>
      </c>
    </row>
    <row r="33" spans="2:7">
      <c r="B33" s="1" t="s">
        <v>15</v>
      </c>
      <c r="C33" s="2">
        <f>+C32+C31</f>
        <v>16000</v>
      </c>
      <c r="D33" s="2">
        <f>+D32+D31</f>
        <v>38000</v>
      </c>
      <c r="E33" s="2">
        <f>+E32+E31</f>
        <v>44000</v>
      </c>
      <c r="F33" s="2">
        <f>+F32+F31</f>
        <v>23000</v>
      </c>
      <c r="G33" s="2">
        <f>+G32+G31</f>
        <v>103000</v>
      </c>
    </row>
    <row r="34" spans="2:7">
      <c r="B34" s="1" t="s">
        <v>16</v>
      </c>
      <c r="C34" s="7">
        <v>-2000</v>
      </c>
      <c r="D34" s="7">
        <f>-C32</f>
        <v>-6000</v>
      </c>
      <c r="E34" s="7">
        <f>-D32</f>
        <v>-8000</v>
      </c>
      <c r="F34" s="7">
        <f>-E32</f>
        <v>-4000</v>
      </c>
      <c r="G34" s="7">
        <f>C34</f>
        <v>-2000</v>
      </c>
    </row>
    <row r="35" spans="2:7" ht="16" thickBot="1">
      <c r="B35" s="1" t="s">
        <v>18</v>
      </c>
      <c r="C35" s="8">
        <f>SUM(C33:C34)</f>
        <v>14000</v>
      </c>
      <c r="D35" s="8">
        <f>SUM(D33:D34)</f>
        <v>32000</v>
      </c>
      <c r="E35" s="8">
        <f>SUM(E33:E34)</f>
        <v>36000</v>
      </c>
      <c r="F35" s="8">
        <f>SUM(F33:F34)</f>
        <v>19000</v>
      </c>
      <c r="G35" s="8">
        <f>SUM(G33:G34)</f>
        <v>101000</v>
      </c>
    </row>
    <row r="36" spans="2:7" ht="16" thickTop="1"/>
    <row r="38" spans="2:7">
      <c r="B38" s="166" t="s">
        <v>604</v>
      </c>
      <c r="C38" s="166"/>
      <c r="D38" s="166"/>
      <c r="E38" s="166"/>
      <c r="F38" s="166"/>
      <c r="G38" s="166"/>
    </row>
    <row r="39" spans="2:7">
      <c r="C39" s="165" t="s">
        <v>13</v>
      </c>
      <c r="D39" s="165"/>
      <c r="E39" s="165"/>
      <c r="F39" s="165"/>
      <c r="G39" s="9"/>
    </row>
    <row r="40" spans="2:7">
      <c r="C40" s="157" t="s">
        <v>217</v>
      </c>
      <c r="D40" s="157" t="s">
        <v>218</v>
      </c>
      <c r="E40" s="157" t="s">
        <v>219</v>
      </c>
      <c r="F40" s="157" t="s">
        <v>220</v>
      </c>
      <c r="G40" s="132" t="s">
        <v>12</v>
      </c>
    </row>
    <row r="41" spans="2:7">
      <c r="B41" s="1" t="s">
        <v>18</v>
      </c>
      <c r="C41" s="2">
        <f>C35</f>
        <v>14000</v>
      </c>
      <c r="D41" s="2">
        <f>D35</f>
        <v>32000</v>
      </c>
      <c r="E41" s="2">
        <f>E35</f>
        <v>36000</v>
      </c>
      <c r="F41" s="2">
        <f>F35</f>
        <v>19000</v>
      </c>
      <c r="G41" s="1">
        <f>SUM(C41:F41)</f>
        <v>101000</v>
      </c>
    </row>
    <row r="42" spans="2:7">
      <c r="B42" s="1" t="s">
        <v>22</v>
      </c>
      <c r="C42" s="2">
        <v>15</v>
      </c>
      <c r="D42" s="2">
        <v>15</v>
      </c>
      <c r="E42" s="2">
        <v>15</v>
      </c>
      <c r="F42" s="2">
        <v>15</v>
      </c>
      <c r="G42" s="2">
        <v>15</v>
      </c>
    </row>
    <row r="43" spans="2:7">
      <c r="B43" s="1" t="s">
        <v>23</v>
      </c>
      <c r="C43" s="2">
        <f>+C42*C41</f>
        <v>210000</v>
      </c>
      <c r="D43" s="2">
        <f>+D42*D41</f>
        <v>480000</v>
      </c>
      <c r="E43" s="2">
        <f>+E42*E41</f>
        <v>540000</v>
      </c>
      <c r="F43" s="2">
        <f>+F42*F41</f>
        <v>285000</v>
      </c>
      <c r="G43" s="2">
        <f>+G42*G41</f>
        <v>1515000</v>
      </c>
    </row>
    <row r="44" spans="2:7">
      <c r="B44" s="1" t="s">
        <v>24</v>
      </c>
      <c r="C44" s="7">
        <f>D43*0.1</f>
        <v>48000</v>
      </c>
      <c r="D44" s="7">
        <f>E43*0.1</f>
        <v>54000</v>
      </c>
      <c r="E44" s="7">
        <f>F43*0.1</f>
        <v>28500</v>
      </c>
      <c r="F44" s="7">
        <v>22500</v>
      </c>
      <c r="G44" s="7">
        <f>+F44</f>
        <v>22500</v>
      </c>
    </row>
    <row r="45" spans="2:7">
      <c r="B45" s="1" t="s">
        <v>21</v>
      </c>
      <c r="C45" s="2">
        <f>+C44+C43</f>
        <v>258000</v>
      </c>
      <c r="D45" s="2">
        <f>+D44+D43</f>
        <v>534000</v>
      </c>
      <c r="E45" s="2">
        <f>+E44+E43</f>
        <v>568500</v>
      </c>
      <c r="F45" s="2">
        <f>+F44+F43</f>
        <v>307500</v>
      </c>
      <c r="G45" s="1">
        <f>+G44+G43</f>
        <v>1537500</v>
      </c>
    </row>
    <row r="46" spans="2:7">
      <c r="B46" s="1" t="s">
        <v>25</v>
      </c>
      <c r="C46" s="7">
        <v>-21000</v>
      </c>
      <c r="D46" s="7">
        <f>-C44</f>
        <v>-48000</v>
      </c>
      <c r="E46" s="7">
        <f>-D44</f>
        <v>-54000</v>
      </c>
      <c r="F46" s="7">
        <f>-E44</f>
        <v>-28500</v>
      </c>
      <c r="G46" s="7">
        <f>+C46</f>
        <v>-21000</v>
      </c>
    </row>
    <row r="47" spans="2:7">
      <c r="B47" s="1" t="s">
        <v>26</v>
      </c>
      <c r="C47" s="2">
        <f>+C46+C45</f>
        <v>237000</v>
      </c>
      <c r="D47" s="2">
        <f>+D46+D45</f>
        <v>486000</v>
      </c>
      <c r="E47" s="2">
        <f>+E46+E45</f>
        <v>514500</v>
      </c>
      <c r="F47" s="2">
        <f>+F46+F45</f>
        <v>279000</v>
      </c>
      <c r="G47" s="2">
        <f>+G46+G45</f>
        <v>1516500</v>
      </c>
    </row>
    <row r="48" spans="2:7">
      <c r="B48" s="1" t="s">
        <v>27</v>
      </c>
      <c r="C48" s="1">
        <v>0.2</v>
      </c>
      <c r="D48" s="1">
        <v>0.2</v>
      </c>
      <c r="E48" s="1">
        <v>0.2</v>
      </c>
      <c r="F48" s="1">
        <v>0.2</v>
      </c>
      <c r="G48" s="1">
        <v>0.2</v>
      </c>
    </row>
    <row r="49" spans="2:7" ht="16" thickBot="1">
      <c r="B49" s="4" t="s">
        <v>28</v>
      </c>
      <c r="C49" s="4">
        <f>+C48*C47</f>
        <v>47400</v>
      </c>
      <c r="D49" s="4">
        <f>+D48*D47</f>
        <v>97200</v>
      </c>
      <c r="E49" s="4">
        <f>+E48*E47</f>
        <v>102900</v>
      </c>
      <c r="F49" s="4">
        <f>+F48*F47</f>
        <v>55800</v>
      </c>
      <c r="G49" s="4">
        <f>+G48*G47</f>
        <v>303300</v>
      </c>
    </row>
    <row r="50" spans="2:7" ht="16" thickTop="1"/>
    <row r="52" spans="2:7">
      <c r="B52" s="1" t="s">
        <v>30</v>
      </c>
      <c r="C52" s="6">
        <v>0.5</v>
      </c>
    </row>
    <row r="53" spans="2:7">
      <c r="B53" s="1" t="s">
        <v>31</v>
      </c>
      <c r="C53" s="6">
        <v>0.5</v>
      </c>
    </row>
    <row r="56" spans="2:7">
      <c r="B56" s="162" t="s">
        <v>29</v>
      </c>
      <c r="C56" s="162"/>
      <c r="D56" s="162"/>
      <c r="E56" s="162"/>
      <c r="F56" s="162"/>
      <c r="G56" s="162"/>
    </row>
    <row r="57" spans="2:7">
      <c r="B57" s="135"/>
      <c r="C57" s="161" t="s">
        <v>13</v>
      </c>
      <c r="D57" s="161"/>
      <c r="E57" s="161"/>
      <c r="F57" s="161"/>
      <c r="G57" s="9"/>
    </row>
    <row r="58" spans="2:7">
      <c r="B58" s="154"/>
      <c r="C58" s="158" t="s">
        <v>217</v>
      </c>
      <c r="D58" s="158" t="s">
        <v>218</v>
      </c>
      <c r="E58" s="158" t="s">
        <v>219</v>
      </c>
      <c r="F58" s="158" t="s">
        <v>220</v>
      </c>
      <c r="G58" s="134" t="s">
        <v>12</v>
      </c>
    </row>
    <row r="59" spans="2:7">
      <c r="B59" s="1" t="s">
        <v>37</v>
      </c>
      <c r="C59" s="1">
        <v>25800</v>
      </c>
      <c r="G59" s="1">
        <f>SUM(C59:F59)</f>
        <v>25800</v>
      </c>
    </row>
    <row r="60" spans="2:7">
      <c r="B60" s="1" t="s">
        <v>32</v>
      </c>
      <c r="C60" s="1">
        <f>C49*C52</f>
        <v>23700</v>
      </c>
      <c r="D60" s="1">
        <f>+C53*C49</f>
        <v>23700</v>
      </c>
      <c r="G60" s="1">
        <f>SUM(C60:F60)</f>
        <v>47400</v>
      </c>
    </row>
    <row r="61" spans="2:7">
      <c r="B61" s="1" t="s">
        <v>33</v>
      </c>
      <c r="D61" s="1">
        <f>D49*C52</f>
        <v>48600</v>
      </c>
      <c r="E61" s="1">
        <f>+C53*D49</f>
        <v>48600</v>
      </c>
      <c r="G61" s="1">
        <f>SUM(C61:F61)</f>
        <v>97200</v>
      </c>
    </row>
    <row r="62" spans="2:7">
      <c r="B62" s="1" t="s">
        <v>34</v>
      </c>
      <c r="E62" s="1">
        <f>E49*C52</f>
        <v>51450</v>
      </c>
      <c r="F62" s="1">
        <f>+C53*E49</f>
        <v>51450</v>
      </c>
      <c r="G62" s="1">
        <f>SUM(C62:F62)</f>
        <v>102900</v>
      </c>
    </row>
    <row r="63" spans="2:7">
      <c r="B63" s="1" t="s">
        <v>35</v>
      </c>
      <c r="F63" s="1">
        <f>F49*C52</f>
        <v>27900</v>
      </c>
      <c r="G63" s="1">
        <f>SUM(C63:F63)</f>
        <v>27900</v>
      </c>
    </row>
    <row r="64" spans="2:7" ht="16" thickBot="1">
      <c r="B64" s="4" t="s">
        <v>36</v>
      </c>
      <c r="C64" s="4">
        <f>SUM(C59:C63)</f>
        <v>49500</v>
      </c>
      <c r="D64" s="4">
        <f>SUM(D59:D63)</f>
        <v>72300</v>
      </c>
      <c r="E64" s="4">
        <f>SUM(E59:E63)</f>
        <v>100050</v>
      </c>
      <c r="F64" s="4">
        <f>SUM(F59:F63)</f>
        <v>79350</v>
      </c>
      <c r="G64" s="4">
        <f>SUM(G59:G63)</f>
        <v>301200</v>
      </c>
    </row>
    <row r="65" spans="2:7" ht="16" thickTop="1"/>
    <row r="68" spans="2:7">
      <c r="B68" s="166" t="s">
        <v>292</v>
      </c>
      <c r="C68" s="166"/>
      <c r="D68" s="166"/>
      <c r="E68" s="166"/>
      <c r="F68" s="166"/>
      <c r="G68" s="166"/>
    </row>
    <row r="69" spans="2:7">
      <c r="B69" s="135"/>
      <c r="C69" s="161" t="s">
        <v>13</v>
      </c>
      <c r="D69" s="161"/>
      <c r="E69" s="161"/>
      <c r="F69" s="161"/>
      <c r="G69" s="9"/>
    </row>
    <row r="70" spans="2:7">
      <c r="B70" s="154"/>
      <c r="C70" s="158" t="s">
        <v>217</v>
      </c>
      <c r="D70" s="158" t="s">
        <v>218</v>
      </c>
      <c r="E70" s="158" t="s">
        <v>219</v>
      </c>
      <c r="F70" s="158" t="s">
        <v>220</v>
      </c>
      <c r="G70" s="134" t="s">
        <v>12</v>
      </c>
    </row>
    <row r="71" spans="2:7">
      <c r="B71" s="1" t="s">
        <v>18</v>
      </c>
      <c r="C71" s="2">
        <f>C35</f>
        <v>14000</v>
      </c>
      <c r="D71" s="2">
        <f>D35</f>
        <v>32000</v>
      </c>
      <c r="E71" s="2">
        <f>E35</f>
        <v>36000</v>
      </c>
      <c r="F71" s="2">
        <f>F35</f>
        <v>19000</v>
      </c>
      <c r="G71" s="2">
        <f>SUM(C71:F71)</f>
        <v>101000</v>
      </c>
    </row>
    <row r="72" spans="2:7">
      <c r="B72" s="1" t="s">
        <v>38</v>
      </c>
      <c r="C72" s="1">
        <v>0.4</v>
      </c>
      <c r="D72" s="1">
        <v>0.4</v>
      </c>
      <c r="E72" s="1">
        <v>0.4</v>
      </c>
      <c r="F72" s="1">
        <v>0.4</v>
      </c>
      <c r="G72" s="1">
        <v>0.4</v>
      </c>
    </row>
    <row r="73" spans="2:7">
      <c r="B73" s="1" t="s">
        <v>39</v>
      </c>
      <c r="C73" s="2">
        <f>+C72*C71</f>
        <v>5600</v>
      </c>
      <c r="D73" s="2">
        <f>+D72*D71</f>
        <v>12800</v>
      </c>
      <c r="E73" s="2">
        <f>+E72*E71</f>
        <v>14400</v>
      </c>
      <c r="F73" s="2">
        <f>+F72*F71</f>
        <v>7600</v>
      </c>
      <c r="G73" s="2">
        <f>+G72*G71</f>
        <v>40400</v>
      </c>
    </row>
    <row r="74" spans="2:7">
      <c r="B74" s="1" t="s">
        <v>40</v>
      </c>
      <c r="C74" s="1">
        <v>15</v>
      </c>
      <c r="D74" s="1">
        <v>15</v>
      </c>
      <c r="E74" s="1">
        <v>15</v>
      </c>
      <c r="F74" s="1">
        <v>15</v>
      </c>
      <c r="G74" s="1">
        <v>15</v>
      </c>
    </row>
    <row r="75" spans="2:7" ht="16" thickBot="1">
      <c r="B75" s="4" t="s">
        <v>41</v>
      </c>
      <c r="C75" s="4">
        <f>+C74*C73</f>
        <v>84000</v>
      </c>
      <c r="D75" s="4">
        <f>+D74*D73</f>
        <v>192000</v>
      </c>
      <c r="E75" s="4">
        <f>+E74*E73</f>
        <v>216000</v>
      </c>
      <c r="F75" s="4">
        <f>+F74*F73</f>
        <v>114000</v>
      </c>
      <c r="G75" s="4">
        <f>+G74*G73</f>
        <v>606000</v>
      </c>
    </row>
    <row r="76" spans="2:7" ht="16" thickTop="1"/>
    <row r="79" spans="2:7">
      <c r="B79" s="166" t="s">
        <v>605</v>
      </c>
      <c r="C79" s="166"/>
      <c r="D79" s="166"/>
      <c r="E79" s="166"/>
      <c r="F79" s="166"/>
      <c r="G79" s="166"/>
    </row>
    <row r="80" spans="2:7">
      <c r="B80" s="135"/>
      <c r="C80" s="161" t="s">
        <v>13</v>
      </c>
      <c r="D80" s="161"/>
      <c r="E80" s="161"/>
      <c r="F80" s="161"/>
      <c r="G80" s="9"/>
    </row>
    <row r="81" spans="2:7">
      <c r="B81" s="154"/>
      <c r="C81" s="158" t="s">
        <v>217</v>
      </c>
      <c r="D81" s="158" t="s">
        <v>218</v>
      </c>
      <c r="E81" s="158" t="s">
        <v>219</v>
      </c>
      <c r="F81" s="158" t="s">
        <v>220</v>
      </c>
      <c r="G81" s="134" t="s">
        <v>12</v>
      </c>
    </row>
    <row r="82" spans="2:7">
      <c r="B82" s="1" t="s">
        <v>42</v>
      </c>
      <c r="C82" s="2">
        <f>+C73</f>
        <v>5600</v>
      </c>
      <c r="D82" s="2">
        <f>+D73</f>
        <v>12800</v>
      </c>
      <c r="E82" s="2">
        <f>+E73</f>
        <v>14400</v>
      </c>
      <c r="F82" s="2">
        <f>+F73</f>
        <v>7600</v>
      </c>
      <c r="G82" s="2">
        <f>SUM(C82:F82)</f>
        <v>40400</v>
      </c>
    </row>
    <row r="83" spans="2:7">
      <c r="B83" s="1" t="s">
        <v>43</v>
      </c>
      <c r="C83" s="1">
        <v>4</v>
      </c>
      <c r="D83" s="1">
        <v>4</v>
      </c>
      <c r="E83" s="1">
        <v>4</v>
      </c>
      <c r="F83" s="1">
        <v>4</v>
      </c>
      <c r="G83" s="1">
        <v>4</v>
      </c>
    </row>
    <row r="84" spans="2:7">
      <c r="B84" s="1" t="s">
        <v>45</v>
      </c>
      <c r="C84" s="2">
        <f>+C83*C82</f>
        <v>22400</v>
      </c>
      <c r="D84" s="2">
        <f>+D83*D82</f>
        <v>51200</v>
      </c>
      <c r="E84" s="2">
        <f>+E83*E82</f>
        <v>57600</v>
      </c>
      <c r="F84" s="2">
        <f>+F83*F82</f>
        <v>30400</v>
      </c>
      <c r="G84" s="2">
        <f>+G83*G82</f>
        <v>161600</v>
      </c>
    </row>
    <row r="85" spans="2:7">
      <c r="B85" s="1" t="s">
        <v>44</v>
      </c>
      <c r="C85" s="10">
        <v>60600</v>
      </c>
      <c r="D85" s="10">
        <v>60600</v>
      </c>
      <c r="E85" s="10">
        <v>60600</v>
      </c>
      <c r="F85" s="10">
        <v>60600</v>
      </c>
      <c r="G85" s="7">
        <f>SUM(C85:F85)</f>
        <v>242400</v>
      </c>
    </row>
    <row r="86" spans="2:7">
      <c r="B86" s="1" t="s">
        <v>46</v>
      </c>
      <c r="C86" s="2">
        <f>+C85+C84</f>
        <v>83000</v>
      </c>
      <c r="D86" s="2">
        <f>+D85+D84</f>
        <v>111800</v>
      </c>
      <c r="E86" s="2">
        <f>+E85+E84</f>
        <v>118200</v>
      </c>
      <c r="F86" s="2">
        <f>+F85+F84</f>
        <v>91000</v>
      </c>
      <c r="G86" s="2">
        <f>+G85+G84</f>
        <v>404000</v>
      </c>
    </row>
    <row r="87" spans="2:7">
      <c r="B87" s="1" t="s">
        <v>47</v>
      </c>
      <c r="C87" s="1">
        <v>-15000</v>
      </c>
      <c r="D87" s="1">
        <v>-15000</v>
      </c>
      <c r="E87" s="1">
        <v>-15000</v>
      </c>
      <c r="F87" s="1">
        <v>-15000</v>
      </c>
      <c r="G87" s="1">
        <f>SUM(C87:F87)</f>
        <v>-60000</v>
      </c>
    </row>
    <row r="88" spans="2:7" ht="16" thickBot="1">
      <c r="B88" s="4" t="s">
        <v>41</v>
      </c>
      <c r="C88" s="4">
        <f>SUM(C86:C87)</f>
        <v>68000</v>
      </c>
      <c r="D88" s="4">
        <f>SUM(D86:D87)</f>
        <v>96800</v>
      </c>
      <c r="E88" s="4">
        <f>SUM(E86:E87)</f>
        <v>103200</v>
      </c>
      <c r="F88" s="4">
        <f>SUM(F86:F87)</f>
        <v>76000</v>
      </c>
      <c r="G88" s="4">
        <f>SUM(G86:G87)</f>
        <v>344000</v>
      </c>
    </row>
    <row r="89" spans="2:7" ht="16" thickTop="1"/>
    <row r="91" spans="2:7">
      <c r="B91" s="144" t="s">
        <v>46</v>
      </c>
      <c r="C91" s="144">
        <f>+G86</f>
        <v>404000</v>
      </c>
    </row>
    <row r="92" spans="2:7">
      <c r="B92" s="1" t="s">
        <v>42</v>
      </c>
      <c r="C92" s="1">
        <f>+G82</f>
        <v>40400</v>
      </c>
    </row>
    <row r="93" spans="2:7" ht="16" thickBot="1">
      <c r="B93" s="4" t="s">
        <v>48</v>
      </c>
      <c r="C93" s="4">
        <f>+C91/C92</f>
        <v>10</v>
      </c>
    </row>
    <row r="94" spans="2:7" ht="16" thickTop="1"/>
    <row r="96" spans="2:7">
      <c r="B96" s="166" t="s">
        <v>606</v>
      </c>
      <c r="C96" s="166"/>
      <c r="D96" s="166"/>
      <c r="E96" s="166"/>
      <c r="F96" s="76"/>
      <c r="G96" s="76"/>
    </row>
    <row r="97" spans="2:8">
      <c r="B97" s="127" t="s">
        <v>607</v>
      </c>
      <c r="C97" s="155" t="s">
        <v>53</v>
      </c>
      <c r="D97" s="155" t="s">
        <v>49</v>
      </c>
      <c r="E97" s="155" t="s">
        <v>11</v>
      </c>
      <c r="F97" s="18"/>
      <c r="G97" s="12"/>
      <c r="H97" s="11"/>
    </row>
    <row r="98" spans="2:8">
      <c r="B98" s="11" t="s">
        <v>50</v>
      </c>
      <c r="C98" s="15">
        <f>+C42</f>
        <v>15</v>
      </c>
      <c r="D98" s="11">
        <f>+C48</f>
        <v>0.2</v>
      </c>
      <c r="E98" s="11">
        <f>+D98*C98</f>
        <v>3</v>
      </c>
      <c r="F98" s="15"/>
      <c r="G98" s="15"/>
      <c r="H98" s="11"/>
    </row>
    <row r="99" spans="2:8">
      <c r="B99" s="11" t="s">
        <v>51</v>
      </c>
      <c r="C99" s="11">
        <f>+C72</f>
        <v>0.4</v>
      </c>
      <c r="D99" s="11">
        <f>+C74</f>
        <v>15</v>
      </c>
      <c r="E99" s="11">
        <f>+D99*C99</f>
        <v>6</v>
      </c>
      <c r="F99" s="11"/>
      <c r="G99" s="11"/>
      <c r="H99" s="11"/>
    </row>
    <row r="100" spans="2:8">
      <c r="B100" s="145" t="s">
        <v>52</v>
      </c>
      <c r="C100" s="145">
        <f>+C72</f>
        <v>0.4</v>
      </c>
      <c r="D100" s="160">
        <f>+C93</f>
        <v>10</v>
      </c>
      <c r="E100" s="80">
        <f>+D100*C100</f>
        <v>4</v>
      </c>
      <c r="F100" s="15"/>
      <c r="G100" s="15"/>
      <c r="H100" s="11"/>
    </row>
    <row r="101" spans="2:8" ht="16" thickBot="1">
      <c r="B101" s="11" t="s">
        <v>49</v>
      </c>
      <c r="C101" s="16"/>
      <c r="D101" s="16"/>
      <c r="E101" s="159">
        <f>SUM(E98:E100)</f>
        <v>13</v>
      </c>
      <c r="F101" s="16"/>
      <c r="G101" s="17"/>
      <c r="H101" s="11"/>
    </row>
    <row r="102" spans="2:8" ht="16" thickTop="1">
      <c r="B102" s="11"/>
      <c r="C102" s="15"/>
      <c r="D102" s="15"/>
      <c r="E102" s="15"/>
      <c r="F102" s="15"/>
      <c r="G102" s="15"/>
      <c r="H102" s="11"/>
    </row>
    <row r="103" spans="2:8">
      <c r="B103" s="167" t="s">
        <v>54</v>
      </c>
      <c r="C103" s="167"/>
      <c r="D103" s="11"/>
      <c r="E103" s="11"/>
      <c r="F103" s="11"/>
      <c r="G103" s="11"/>
      <c r="H103" s="11"/>
    </row>
    <row r="104" spans="2:8">
      <c r="B104" s="11" t="s">
        <v>55</v>
      </c>
      <c r="C104" s="11">
        <f>G32</f>
        <v>3000</v>
      </c>
      <c r="D104" s="11"/>
      <c r="E104" s="11"/>
      <c r="F104" s="11"/>
      <c r="G104" s="11"/>
      <c r="H104" s="11"/>
    </row>
    <row r="105" spans="2:8">
      <c r="B105" s="1" t="s">
        <v>49</v>
      </c>
      <c r="C105" s="1">
        <f>+E101</f>
        <v>13</v>
      </c>
    </row>
    <row r="106" spans="2:8" ht="16" thickBot="1">
      <c r="B106" s="20" t="s">
        <v>56</v>
      </c>
      <c r="C106" s="126">
        <f>+C105*C104</f>
        <v>39000</v>
      </c>
    </row>
    <row r="107" spans="2:8" ht="16" thickTop="1">
      <c r="B107" s="20"/>
      <c r="C107" s="20"/>
    </row>
    <row r="109" spans="2:8">
      <c r="B109" s="166" t="s">
        <v>608</v>
      </c>
      <c r="C109" s="166"/>
      <c r="D109" s="166"/>
      <c r="E109" s="166"/>
      <c r="F109" s="166"/>
      <c r="G109" s="166"/>
    </row>
    <row r="110" spans="2:8">
      <c r="C110" s="161" t="s">
        <v>13</v>
      </c>
      <c r="D110" s="161"/>
      <c r="E110" s="161"/>
      <c r="F110" s="161"/>
      <c r="G110" s="9"/>
    </row>
    <row r="111" spans="2:8">
      <c r="B111" s="145"/>
      <c r="C111" s="158" t="s">
        <v>217</v>
      </c>
      <c r="D111" s="158" t="s">
        <v>218</v>
      </c>
      <c r="E111" s="158" t="s">
        <v>219</v>
      </c>
      <c r="F111" s="158" t="s">
        <v>220</v>
      </c>
      <c r="G111" s="134" t="s">
        <v>12</v>
      </c>
    </row>
    <row r="112" spans="2:8">
      <c r="B112" s="1" t="s">
        <v>19</v>
      </c>
      <c r="C112" s="2">
        <v>10000</v>
      </c>
      <c r="D112" s="2">
        <v>30000</v>
      </c>
      <c r="E112" s="2">
        <v>40000</v>
      </c>
      <c r="F112" s="2">
        <v>20000</v>
      </c>
      <c r="G112" s="2">
        <f>SUM(C112:F112)</f>
        <v>100000</v>
      </c>
    </row>
    <row r="113" spans="2:7">
      <c r="B113" s="1" t="s">
        <v>57</v>
      </c>
      <c r="C113" s="1">
        <v>1.8</v>
      </c>
      <c r="D113" s="1">
        <v>1.8</v>
      </c>
      <c r="E113" s="1">
        <v>1.8</v>
      </c>
      <c r="F113" s="1">
        <v>1.8</v>
      </c>
      <c r="G113" s="1">
        <v>1.8</v>
      </c>
    </row>
    <row r="114" spans="2:7">
      <c r="B114" s="1" t="s">
        <v>58</v>
      </c>
      <c r="C114" s="1">
        <f>+C113*C112</f>
        <v>18000</v>
      </c>
      <c r="D114" s="1">
        <f>+D113*D112</f>
        <v>54000</v>
      </c>
      <c r="E114" s="1">
        <f>+E113*E112</f>
        <v>72000</v>
      </c>
      <c r="F114" s="1">
        <f>+F113*F112</f>
        <v>36000</v>
      </c>
      <c r="G114" s="1">
        <f>+G113*G112</f>
        <v>180000</v>
      </c>
    </row>
    <row r="115" spans="2:7">
      <c r="B115" s="1" t="s">
        <v>59</v>
      </c>
    </row>
    <row r="116" spans="2:7">
      <c r="B116" s="19" t="s">
        <v>60</v>
      </c>
      <c r="C116" s="1">
        <v>20000</v>
      </c>
      <c r="D116" s="1">
        <v>20000</v>
      </c>
      <c r="E116" s="1">
        <v>20000</v>
      </c>
      <c r="F116" s="1">
        <v>20000</v>
      </c>
      <c r="G116" s="2">
        <f>SUM(C116:F116)</f>
        <v>80000</v>
      </c>
    </row>
    <row r="117" spans="2:7">
      <c r="B117" s="19" t="s">
        <v>61</v>
      </c>
      <c r="C117" s="1">
        <v>55000</v>
      </c>
      <c r="D117" s="1">
        <v>55000</v>
      </c>
      <c r="E117" s="1">
        <v>55000</v>
      </c>
      <c r="F117" s="1">
        <v>55000</v>
      </c>
      <c r="G117" s="2">
        <f>SUM(C117:F117)</f>
        <v>220000</v>
      </c>
    </row>
    <row r="118" spans="2:7">
      <c r="B118" s="19" t="s">
        <v>62</v>
      </c>
      <c r="C118" s="1">
        <v>10000</v>
      </c>
      <c r="D118" s="1">
        <v>10000</v>
      </c>
      <c r="E118" s="1">
        <v>10000</v>
      </c>
      <c r="F118" s="1">
        <v>10000</v>
      </c>
      <c r="G118" s="2">
        <f>SUM(C118:F118)</f>
        <v>40000</v>
      </c>
    </row>
    <row r="119" spans="2:7">
      <c r="B119" s="19" t="s">
        <v>63</v>
      </c>
      <c r="C119" s="1">
        <v>4000</v>
      </c>
      <c r="D119" s="1">
        <v>4000</v>
      </c>
      <c r="E119" s="1">
        <v>4000</v>
      </c>
      <c r="F119" s="1">
        <v>4000</v>
      </c>
      <c r="G119" s="2">
        <f>SUM(C119:F119)</f>
        <v>16000</v>
      </c>
    </row>
    <row r="120" spans="2:7">
      <c r="B120" s="19" t="s">
        <v>64</v>
      </c>
      <c r="C120" s="10">
        <v>10000</v>
      </c>
      <c r="D120" s="10">
        <v>10000</v>
      </c>
      <c r="E120" s="10">
        <v>10000</v>
      </c>
      <c r="F120" s="10">
        <v>10000</v>
      </c>
      <c r="G120" s="7">
        <f>SUM(C120:F120)</f>
        <v>40000</v>
      </c>
    </row>
    <row r="121" spans="2:7">
      <c r="B121" s="1" t="s">
        <v>66</v>
      </c>
      <c r="C121" s="10">
        <f>SUM(C116:C120)</f>
        <v>99000</v>
      </c>
      <c r="D121" s="10">
        <f>SUM(D116:D120)</f>
        <v>99000</v>
      </c>
      <c r="E121" s="10">
        <f>SUM(E116:E120)</f>
        <v>99000</v>
      </c>
      <c r="F121" s="10">
        <f>SUM(F116:F120)</f>
        <v>99000</v>
      </c>
      <c r="G121" s="10">
        <f>SUM(G116:G120)</f>
        <v>396000</v>
      </c>
    </row>
    <row r="122" spans="2:7">
      <c r="B122" s="1" t="s">
        <v>65</v>
      </c>
      <c r="C122" s="1">
        <f>+C121+C114</f>
        <v>117000</v>
      </c>
      <c r="D122" s="1">
        <f>+D121+D114</f>
        <v>153000</v>
      </c>
      <c r="E122" s="1">
        <f>+E121+E114</f>
        <v>171000</v>
      </c>
      <c r="F122" s="1">
        <f>+F121+F114</f>
        <v>135000</v>
      </c>
      <c r="G122" s="1">
        <f>+G121+G114</f>
        <v>576000</v>
      </c>
    </row>
    <row r="123" spans="2:7">
      <c r="B123" s="1" t="s">
        <v>47</v>
      </c>
      <c r="C123" s="10">
        <f>-C120</f>
        <v>-10000</v>
      </c>
      <c r="D123" s="10">
        <f>-D120</f>
        <v>-10000</v>
      </c>
      <c r="E123" s="10">
        <f>-E120</f>
        <v>-10000</v>
      </c>
      <c r="F123" s="10">
        <f>-F120</f>
        <v>-10000</v>
      </c>
      <c r="G123" s="10">
        <f>-G120</f>
        <v>-40000</v>
      </c>
    </row>
    <row r="124" spans="2:7" ht="16" thickBot="1">
      <c r="B124" s="4" t="s">
        <v>67</v>
      </c>
      <c r="C124" s="4">
        <f>+C123+C122</f>
        <v>107000</v>
      </c>
      <c r="D124" s="4">
        <f>+D123+D122</f>
        <v>143000</v>
      </c>
      <c r="E124" s="4">
        <f>+E123+E122</f>
        <v>161000</v>
      </c>
      <c r="F124" s="4">
        <f>+F123+F122</f>
        <v>125000</v>
      </c>
      <c r="G124" s="4">
        <f>+G122+G123</f>
        <v>536000</v>
      </c>
    </row>
    <row r="125" spans="2:7" ht="16" thickTop="1"/>
    <row r="127" spans="2:7">
      <c r="B127" s="166" t="s">
        <v>609</v>
      </c>
      <c r="C127" s="166"/>
      <c r="D127" s="166"/>
      <c r="E127" s="166"/>
      <c r="F127" s="166"/>
      <c r="G127" s="166"/>
    </row>
    <row r="128" spans="2:7">
      <c r="B128" s="127"/>
      <c r="C128" s="165" t="s">
        <v>13</v>
      </c>
      <c r="D128" s="165"/>
      <c r="E128" s="165"/>
      <c r="F128" s="165"/>
    </row>
    <row r="129" spans="2:7">
      <c r="C129" s="3">
        <v>1</v>
      </c>
      <c r="D129" s="3">
        <v>2</v>
      </c>
      <c r="E129" s="3">
        <v>3</v>
      </c>
      <c r="F129" s="3">
        <v>4</v>
      </c>
      <c r="G129" s="5" t="s">
        <v>12</v>
      </c>
    </row>
    <row r="130" spans="2:7">
      <c r="B130" s="1" t="s">
        <v>68</v>
      </c>
      <c r="C130" s="1">
        <v>42500</v>
      </c>
      <c r="D130" s="1">
        <f>C147</f>
        <v>36000</v>
      </c>
      <c r="E130" s="1">
        <f>D147</f>
        <v>33900</v>
      </c>
      <c r="F130" s="1">
        <f>E147</f>
        <v>165650</v>
      </c>
      <c r="G130" s="1">
        <f>+C130</f>
        <v>42500</v>
      </c>
    </row>
    <row r="131" spans="2:7">
      <c r="B131" s="1" t="s">
        <v>69</v>
      </c>
      <c r="C131" s="10">
        <f>+C21</f>
        <v>230000</v>
      </c>
      <c r="D131" s="10">
        <f>+D21</f>
        <v>480000</v>
      </c>
      <c r="E131" s="10">
        <f>+E21</f>
        <v>740000</v>
      </c>
      <c r="F131" s="10">
        <f>+F21</f>
        <v>520000</v>
      </c>
      <c r="G131" s="10">
        <f>SUM(C131:F131)</f>
        <v>1970000</v>
      </c>
    </row>
    <row r="132" spans="2:7">
      <c r="B132" s="1" t="s">
        <v>70</v>
      </c>
      <c r="C132" s="1">
        <f>+C131+C130</f>
        <v>272500</v>
      </c>
      <c r="D132" s="1">
        <f>+D131+D130</f>
        <v>516000</v>
      </c>
      <c r="E132" s="1">
        <f>+E131+E130</f>
        <v>773900</v>
      </c>
      <c r="F132" s="1">
        <f>+F131+F130</f>
        <v>685650</v>
      </c>
      <c r="G132" s="1">
        <f>+G131+G130</f>
        <v>2012500</v>
      </c>
    </row>
    <row r="133" spans="2:7">
      <c r="B133" s="1" t="s">
        <v>71</v>
      </c>
    </row>
    <row r="134" spans="2:7">
      <c r="B134" s="1" t="s">
        <v>20</v>
      </c>
      <c r="C134" s="1">
        <f>+C64</f>
        <v>49500</v>
      </c>
      <c r="D134" s="1">
        <f>+D64</f>
        <v>72300</v>
      </c>
      <c r="E134" s="1">
        <f>+E64</f>
        <v>100050</v>
      </c>
      <c r="F134" s="1">
        <f>+F64</f>
        <v>79350</v>
      </c>
      <c r="G134" s="1">
        <f t="shared" ref="G134:G139" si="0">SUM(C134:F134)</f>
        <v>301200</v>
      </c>
    </row>
    <row r="135" spans="2:7">
      <c r="B135" s="1" t="s">
        <v>51</v>
      </c>
      <c r="C135" s="1">
        <f>+C75</f>
        <v>84000</v>
      </c>
      <c r="D135" s="1">
        <f>+D75</f>
        <v>192000</v>
      </c>
      <c r="E135" s="1">
        <f>+E75</f>
        <v>216000</v>
      </c>
      <c r="F135" s="1">
        <f>+F75</f>
        <v>114000</v>
      </c>
      <c r="G135" s="1">
        <f t="shared" si="0"/>
        <v>606000</v>
      </c>
    </row>
    <row r="136" spans="2:7">
      <c r="B136" s="1" t="s">
        <v>52</v>
      </c>
      <c r="C136" s="1">
        <f>+C88</f>
        <v>68000</v>
      </c>
      <c r="D136" s="1">
        <f>+D88</f>
        <v>96800</v>
      </c>
      <c r="E136" s="1">
        <f>+E88</f>
        <v>103200</v>
      </c>
      <c r="F136" s="1">
        <f>+F88</f>
        <v>76000</v>
      </c>
      <c r="G136" s="1">
        <f t="shared" si="0"/>
        <v>344000</v>
      </c>
    </row>
    <row r="137" spans="2:7">
      <c r="B137" s="1" t="s">
        <v>72</v>
      </c>
      <c r="C137" s="1">
        <f>+C124</f>
        <v>107000</v>
      </c>
      <c r="D137" s="1">
        <f>+D124</f>
        <v>143000</v>
      </c>
      <c r="E137" s="1">
        <f>+E124</f>
        <v>161000</v>
      </c>
      <c r="F137" s="1">
        <f>+F124</f>
        <v>125000</v>
      </c>
      <c r="G137" s="1">
        <f t="shared" si="0"/>
        <v>536000</v>
      </c>
    </row>
    <row r="138" spans="2:7">
      <c r="B138" s="1" t="s">
        <v>73</v>
      </c>
      <c r="C138" s="1">
        <v>50000</v>
      </c>
      <c r="D138" s="1">
        <v>40000</v>
      </c>
      <c r="E138" s="1">
        <v>20000</v>
      </c>
      <c r="F138" s="1">
        <v>20000</v>
      </c>
      <c r="G138" s="1">
        <f t="shared" si="0"/>
        <v>130000</v>
      </c>
    </row>
    <row r="139" spans="2:7">
      <c r="B139" s="1" t="s">
        <v>74</v>
      </c>
      <c r="C139" s="10">
        <v>8000</v>
      </c>
      <c r="D139" s="10">
        <v>8000</v>
      </c>
      <c r="E139" s="10">
        <v>8000</v>
      </c>
      <c r="F139" s="10">
        <v>8000</v>
      </c>
      <c r="G139" s="10">
        <f t="shared" si="0"/>
        <v>32000</v>
      </c>
    </row>
    <row r="140" spans="2:7">
      <c r="B140" s="1" t="s">
        <v>75</v>
      </c>
      <c r="C140" s="1">
        <f>SUM(C134:C139)</f>
        <v>366500</v>
      </c>
      <c r="D140" s="1">
        <f>SUM(D134:D139)</f>
        <v>552100</v>
      </c>
      <c r="E140" s="1">
        <f>SUM(E134:E139)</f>
        <v>608250</v>
      </c>
      <c r="F140" s="1">
        <f>SUM(F134:F139)</f>
        <v>422350</v>
      </c>
      <c r="G140" s="1">
        <f>SUM(G134:G139)</f>
        <v>1949200</v>
      </c>
    </row>
    <row r="141" spans="2:7">
      <c r="B141" s="1" t="s">
        <v>82</v>
      </c>
      <c r="C141" s="1">
        <f>+C132-C140</f>
        <v>-94000</v>
      </c>
      <c r="D141" s="1">
        <f>+D132-D140</f>
        <v>-36100</v>
      </c>
      <c r="E141" s="1">
        <f>+E132-E140</f>
        <v>165650</v>
      </c>
      <c r="F141" s="1">
        <f>+F132-F140</f>
        <v>263300</v>
      </c>
    </row>
    <row r="142" spans="2:7">
      <c r="B142" s="1" t="s">
        <v>77</v>
      </c>
    </row>
    <row r="143" spans="2:7">
      <c r="B143" s="1" t="s">
        <v>78</v>
      </c>
      <c r="C143" s="1">
        <v>130000</v>
      </c>
      <c r="D143" s="1">
        <v>70000</v>
      </c>
      <c r="E143" s="1">
        <v>0</v>
      </c>
      <c r="F143" s="1">
        <v>0</v>
      </c>
      <c r="G143" s="1">
        <f>SUM(C143:F143)</f>
        <v>200000</v>
      </c>
    </row>
    <row r="144" spans="2:7">
      <c r="B144" s="1" t="s">
        <v>79</v>
      </c>
      <c r="C144" s="1">
        <v>0</v>
      </c>
      <c r="D144" s="1">
        <v>0</v>
      </c>
      <c r="E144" s="1">
        <v>0</v>
      </c>
      <c r="F144" s="1">
        <v>-200000</v>
      </c>
      <c r="G144" s="1">
        <f>SUM(C144:F144)</f>
        <v>-200000</v>
      </c>
    </row>
    <row r="145" spans="2:7">
      <c r="B145" s="1" t="s">
        <v>80</v>
      </c>
      <c r="C145" s="10">
        <v>0</v>
      </c>
      <c r="D145" s="10">
        <v>0</v>
      </c>
      <c r="E145" s="10">
        <v>0</v>
      </c>
      <c r="F145" s="10">
        <f>-(C143*0.12)-(D143*0.09)</f>
        <v>-21900</v>
      </c>
      <c r="G145" s="10">
        <f>SUM(C145:F145)</f>
        <v>-21900</v>
      </c>
    </row>
    <row r="146" spans="2:7">
      <c r="B146" s="1" t="s">
        <v>81</v>
      </c>
      <c r="C146" s="10">
        <f>+C145+C144+C143</f>
        <v>130000</v>
      </c>
      <c r="D146" s="10">
        <f>+D145+D144+D143</f>
        <v>70000</v>
      </c>
      <c r="E146" s="10">
        <f>+E145+E144+E143</f>
        <v>0</v>
      </c>
      <c r="F146" s="10">
        <f>+F145+F144+F143</f>
        <v>-221900</v>
      </c>
      <c r="G146" s="10">
        <f>SUM(C146:F146)</f>
        <v>-21900</v>
      </c>
    </row>
    <row r="147" spans="2:7" ht="16" thickBot="1">
      <c r="B147" s="4" t="s">
        <v>76</v>
      </c>
      <c r="C147" s="4">
        <f>+C146+C141</f>
        <v>36000</v>
      </c>
      <c r="D147" s="4">
        <f>+D146+D141</f>
        <v>33900</v>
      </c>
      <c r="E147" s="4">
        <f>+E146+E141</f>
        <v>165650</v>
      </c>
      <c r="F147" s="4">
        <f>+F146+F141</f>
        <v>41400</v>
      </c>
      <c r="G147" s="4">
        <f>+F147</f>
        <v>41400</v>
      </c>
    </row>
    <row r="148" spans="2:7" ht="16" thickTop="1"/>
    <row r="150" spans="2:7">
      <c r="B150" s="166" t="s">
        <v>322</v>
      </c>
      <c r="C150" s="166"/>
      <c r="D150" s="76"/>
      <c r="E150" s="76"/>
      <c r="F150" s="76"/>
      <c r="G150" s="76"/>
    </row>
    <row r="151" spans="2:7">
      <c r="B151" s="1" t="s">
        <v>83</v>
      </c>
      <c r="C151" s="1">
        <f>G8</f>
        <v>2000000</v>
      </c>
    </row>
    <row r="152" spans="2:7">
      <c r="B152" s="1" t="s">
        <v>84</v>
      </c>
      <c r="C152" s="10">
        <f>-G6*E101</f>
        <v>-1300000</v>
      </c>
    </row>
    <row r="153" spans="2:7">
      <c r="B153" s="1" t="s">
        <v>85</v>
      </c>
      <c r="C153" s="1">
        <f>+C152+C151</f>
        <v>700000</v>
      </c>
    </row>
    <row r="154" spans="2:7">
      <c r="B154" s="1" t="s">
        <v>72</v>
      </c>
      <c r="C154" s="1">
        <f>-G122</f>
        <v>-576000</v>
      </c>
    </row>
    <row r="155" spans="2:7">
      <c r="B155" s="1" t="s">
        <v>86</v>
      </c>
      <c r="C155" s="1">
        <f>+C154+C153</f>
        <v>124000</v>
      </c>
    </row>
    <row r="156" spans="2:7">
      <c r="B156" s="1" t="s">
        <v>87</v>
      </c>
      <c r="C156" s="10">
        <f>G146</f>
        <v>-21900</v>
      </c>
    </row>
    <row r="157" spans="2:7">
      <c r="B157" s="145" t="s">
        <v>88</v>
      </c>
      <c r="C157" s="145">
        <f>+C156+C155</f>
        <v>102100</v>
      </c>
    </row>
    <row r="161" spans="2:6">
      <c r="B161" s="166" t="s">
        <v>619</v>
      </c>
      <c r="C161" s="166"/>
      <c r="D161" s="166"/>
    </row>
    <row r="162" spans="2:6">
      <c r="C162" s="200" t="s">
        <v>617</v>
      </c>
      <c r="D162" s="156" t="s">
        <v>618</v>
      </c>
    </row>
    <row r="163" spans="2:6">
      <c r="B163" s="201" t="s">
        <v>260</v>
      </c>
    </row>
    <row r="164" spans="2:6">
      <c r="B164" s="200"/>
      <c r="C164" s="200"/>
    </row>
    <row r="165" spans="2:6">
      <c r="B165" s="198" t="s">
        <v>610</v>
      </c>
    </row>
    <row r="166" spans="2:6">
      <c r="B166" s="19" t="s">
        <v>89</v>
      </c>
      <c r="C166" s="1">
        <v>42500</v>
      </c>
      <c r="D166" s="1">
        <f>G147</f>
        <v>41400</v>
      </c>
    </row>
    <row r="167" spans="2:6">
      <c r="B167" s="19" t="s">
        <v>90</v>
      </c>
      <c r="C167" s="1">
        <v>90000</v>
      </c>
      <c r="D167" s="1">
        <f>+F8*C13</f>
        <v>120000</v>
      </c>
    </row>
    <row r="168" spans="2:6">
      <c r="B168" s="19" t="s">
        <v>611</v>
      </c>
      <c r="C168" s="1">
        <v>4200</v>
      </c>
      <c r="D168" s="1">
        <f>+G44*G48</f>
        <v>4500</v>
      </c>
    </row>
    <row r="169" spans="2:6">
      <c r="B169" s="19" t="s">
        <v>612</v>
      </c>
      <c r="C169" s="1">
        <v>26000</v>
      </c>
      <c r="D169" s="1">
        <f>+C106</f>
        <v>39000</v>
      </c>
    </row>
    <row r="171" spans="2:6">
      <c r="B171" s="198" t="s">
        <v>613</v>
      </c>
    </row>
    <row r="172" spans="2:6">
      <c r="B172" s="19" t="s">
        <v>91</v>
      </c>
      <c r="C172" s="197">
        <v>80000</v>
      </c>
      <c r="D172" s="197">
        <f>+C172</f>
        <v>80000</v>
      </c>
      <c r="E172" s="197"/>
      <c r="F172" s="197"/>
    </row>
    <row r="173" spans="2:6">
      <c r="B173" s="19" t="s">
        <v>616</v>
      </c>
      <c r="C173" s="197">
        <v>700000</v>
      </c>
      <c r="D173" s="197">
        <f>+C173+G138</f>
        <v>830000</v>
      </c>
      <c r="E173" s="197"/>
      <c r="F173" s="197"/>
    </row>
    <row r="174" spans="2:6">
      <c r="B174" s="19" t="s">
        <v>614</v>
      </c>
      <c r="C174" s="1">
        <v>-292000</v>
      </c>
      <c r="D174" s="1">
        <f>+C174-G120+G87</f>
        <v>-392000</v>
      </c>
    </row>
    <row r="175" spans="2:6">
      <c r="C175" s="20"/>
      <c r="D175" s="20"/>
      <c r="E175" s="20"/>
      <c r="F175" s="20"/>
    </row>
    <row r="176" spans="2:6">
      <c r="B176" s="20" t="s">
        <v>93</v>
      </c>
      <c r="C176" s="21">
        <f>SUM(C166:C174)</f>
        <v>650700</v>
      </c>
      <c r="D176" s="21">
        <f>SUM(D166:D174)</f>
        <v>722900</v>
      </c>
      <c r="E176" s="19"/>
    </row>
    <row r="177" spans="2:6">
      <c r="C177" s="199"/>
    </row>
    <row r="178" spans="2:6">
      <c r="B178" s="20" t="s">
        <v>265</v>
      </c>
      <c r="C178" s="19"/>
    </row>
    <row r="179" spans="2:6">
      <c r="C179" s="19"/>
    </row>
    <row r="180" spans="2:6">
      <c r="B180" s="198" t="s">
        <v>95</v>
      </c>
    </row>
    <row r="181" spans="2:6">
      <c r="B181" s="19" t="s">
        <v>96</v>
      </c>
      <c r="C181" s="52">
        <v>25800</v>
      </c>
      <c r="D181" s="52">
        <f>+F49*C53</f>
        <v>27900</v>
      </c>
      <c r="E181" s="20"/>
      <c r="F181" s="20"/>
    </row>
    <row r="182" spans="2:6">
      <c r="C182" s="19"/>
      <c r="E182" s="19"/>
    </row>
    <row r="183" spans="2:6">
      <c r="B183" s="198" t="s">
        <v>615</v>
      </c>
      <c r="C183" s="19"/>
      <c r="E183" s="19"/>
    </row>
    <row r="184" spans="2:6">
      <c r="B184" s="19" t="s">
        <v>98</v>
      </c>
      <c r="C184" s="199">
        <v>175000</v>
      </c>
      <c r="D184" s="1">
        <f>+C184</f>
        <v>175000</v>
      </c>
    </row>
    <row r="185" spans="2:6">
      <c r="B185" s="19" t="s">
        <v>97</v>
      </c>
      <c r="C185" s="1">
        <v>449900</v>
      </c>
      <c r="D185" s="1">
        <f>+C185+C157-G139</f>
        <v>520000</v>
      </c>
    </row>
    <row r="186" spans="2:6">
      <c r="C186" s="20"/>
      <c r="D186" s="20"/>
      <c r="E186" s="20"/>
      <c r="F186" s="20"/>
    </row>
    <row r="187" spans="2:6">
      <c r="B187" s="202" t="s">
        <v>99</v>
      </c>
      <c r="C187" s="202">
        <f>SUM(C181:C186)</f>
        <v>650700</v>
      </c>
      <c r="D187" s="202">
        <f>SUM(D181:D186)</f>
        <v>722900</v>
      </c>
    </row>
    <row r="193" spans="2:7">
      <c r="B193" s="76"/>
      <c r="C193" s="76"/>
      <c r="D193" s="76"/>
      <c r="E193" s="76"/>
      <c r="F193" s="76"/>
      <c r="G193" s="76"/>
    </row>
    <row r="194" spans="2:7">
      <c r="C194" s="20"/>
      <c r="D194" s="20"/>
      <c r="E194" s="20"/>
      <c r="F194" s="20"/>
    </row>
    <row r="195" spans="2:7">
      <c r="C195" s="19"/>
      <c r="E195" s="19"/>
    </row>
    <row r="196" spans="2:7">
      <c r="C196" s="19"/>
    </row>
    <row r="197" spans="2:7">
      <c r="C197" s="19"/>
    </row>
    <row r="198" spans="2:7">
      <c r="C198" s="19"/>
    </row>
    <row r="200" spans="2:7">
      <c r="C200" s="20"/>
      <c r="D200" s="20"/>
      <c r="E200" s="20"/>
      <c r="F200" s="20"/>
    </row>
    <row r="201" spans="2:7">
      <c r="C201" s="19"/>
      <c r="E201" s="19"/>
    </row>
    <row r="202" spans="2:7">
      <c r="C202" s="19"/>
      <c r="E202" s="19"/>
    </row>
    <row r="203" spans="2:7">
      <c r="C203" s="19"/>
    </row>
    <row r="205" spans="2:7">
      <c r="C205" s="20"/>
      <c r="D205" s="20"/>
      <c r="E205" s="20"/>
      <c r="F205" s="20"/>
    </row>
  </sheetData>
  <mergeCells count="21">
    <mergeCell ref="B96:E96"/>
    <mergeCell ref="B150:C150"/>
    <mergeCell ref="B161:D161"/>
    <mergeCell ref="B103:C103"/>
    <mergeCell ref="B109:G109"/>
    <mergeCell ref="C110:F110"/>
    <mergeCell ref="B127:G127"/>
    <mergeCell ref="C128:F128"/>
    <mergeCell ref="C80:F80"/>
    <mergeCell ref="C4:F4"/>
    <mergeCell ref="B3:G3"/>
    <mergeCell ref="B15:G15"/>
    <mergeCell ref="B28:G28"/>
    <mergeCell ref="C29:F29"/>
    <mergeCell ref="B38:G38"/>
    <mergeCell ref="C39:F39"/>
    <mergeCell ref="B56:G56"/>
    <mergeCell ref="B68:G68"/>
    <mergeCell ref="C69:F69"/>
    <mergeCell ref="B79:G79"/>
    <mergeCell ref="C57:F57"/>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R31"/>
  <sheetViews>
    <sheetView topLeftCell="C1" workbookViewId="0">
      <selection activeCell="N6" sqref="N6"/>
    </sheetView>
  </sheetViews>
  <sheetFormatPr baseColWidth="10" defaultColWidth="10.83203125" defaultRowHeight="15" x14ac:dyDescent="0"/>
  <cols>
    <col min="1" max="12" width="10.83203125" style="1"/>
    <col min="13" max="13" width="25.33203125" style="1" bestFit="1" customWidth="1"/>
    <col min="14" max="17" width="15.1640625" style="1" customWidth="1"/>
    <col min="18" max="16384" width="10.83203125" style="1"/>
  </cols>
  <sheetData>
    <row r="2" spans="13:17">
      <c r="N2" s="23" t="s">
        <v>243</v>
      </c>
      <c r="O2" s="23" t="s">
        <v>244</v>
      </c>
      <c r="P2" s="23" t="s">
        <v>245</v>
      </c>
      <c r="Q2" s="23" t="s">
        <v>246</v>
      </c>
    </row>
    <row r="3" spans="13:17">
      <c r="M3" s="1" t="s">
        <v>143</v>
      </c>
      <c r="N3" s="2">
        <v>12000</v>
      </c>
      <c r="O3" s="2">
        <v>14000</v>
      </c>
      <c r="P3" s="2">
        <v>11000</v>
      </c>
      <c r="Q3" s="2">
        <v>10000</v>
      </c>
    </row>
    <row r="6" spans="13:17">
      <c r="M6" s="1" t="s">
        <v>58</v>
      </c>
      <c r="N6" s="1">
        <v>2.75</v>
      </c>
    </row>
    <row r="7" spans="13:17">
      <c r="M7" s="1" t="s">
        <v>59</v>
      </c>
    </row>
    <row r="8" spans="13:17">
      <c r="M8" s="19" t="s">
        <v>60</v>
      </c>
      <c r="N8" s="1">
        <v>12000</v>
      </c>
    </row>
    <row r="9" spans="13:17">
      <c r="M9" s="19" t="s">
        <v>247</v>
      </c>
      <c r="N9" s="1">
        <v>40000</v>
      </c>
    </row>
    <row r="10" spans="13:17">
      <c r="M10" s="19" t="s">
        <v>64</v>
      </c>
      <c r="N10" s="1">
        <v>16000</v>
      </c>
    </row>
    <row r="11" spans="13:17">
      <c r="M11" s="19" t="s">
        <v>248</v>
      </c>
      <c r="N11" s="1">
        <v>6000</v>
      </c>
    </row>
    <row r="12" spans="13:17">
      <c r="M12" s="19" t="s">
        <v>249</v>
      </c>
      <c r="N12" s="1">
        <v>6000</v>
      </c>
    </row>
    <row r="13" spans="13:17">
      <c r="M13" s="19" t="s">
        <v>250</v>
      </c>
      <c r="N13" s="1">
        <v>6000</v>
      </c>
    </row>
    <row r="16" spans="13:17">
      <c r="N16" s="165" t="s">
        <v>13</v>
      </c>
      <c r="O16" s="165"/>
      <c r="P16" s="165"/>
      <c r="Q16" s="165"/>
    </row>
    <row r="17" spans="13:18">
      <c r="N17" s="3">
        <v>1</v>
      </c>
      <c r="O17" s="3">
        <v>2</v>
      </c>
      <c r="P17" s="3">
        <v>3</v>
      </c>
      <c r="Q17" s="3">
        <v>4</v>
      </c>
      <c r="R17" s="5" t="s">
        <v>12</v>
      </c>
    </row>
    <row r="18" spans="13:18">
      <c r="M18" s="1" t="s">
        <v>19</v>
      </c>
      <c r="N18" s="2">
        <f>N3</f>
        <v>12000</v>
      </c>
      <c r="O18" s="2">
        <f>O3</f>
        <v>14000</v>
      </c>
      <c r="P18" s="2">
        <f>P3</f>
        <v>11000</v>
      </c>
      <c r="Q18" s="2">
        <f>Q3</f>
        <v>10000</v>
      </c>
      <c r="R18" s="2">
        <f>SUM(N18:Q18)</f>
        <v>47000</v>
      </c>
    </row>
    <row r="19" spans="13:18">
      <c r="M19" s="1" t="s">
        <v>57</v>
      </c>
      <c r="N19" s="1">
        <f>$N$6</f>
        <v>2.75</v>
      </c>
      <c r="O19" s="1">
        <f>$N$6</f>
        <v>2.75</v>
      </c>
      <c r="P19" s="1">
        <f>$N$6</f>
        <v>2.75</v>
      </c>
      <c r="Q19" s="1">
        <f>$N$6</f>
        <v>2.75</v>
      </c>
      <c r="R19" s="1">
        <f>$N$6</f>
        <v>2.75</v>
      </c>
    </row>
    <row r="20" spans="13:18">
      <c r="M20" s="1" t="s">
        <v>58</v>
      </c>
      <c r="N20" s="1">
        <f>+N19*N18</f>
        <v>33000</v>
      </c>
      <c r="O20" s="1">
        <f>+O19*O18</f>
        <v>38500</v>
      </c>
      <c r="P20" s="1">
        <f>+P19*P18</f>
        <v>30250</v>
      </c>
      <c r="Q20" s="1">
        <f>+Q19*Q18</f>
        <v>27500</v>
      </c>
      <c r="R20" s="1">
        <f>+R19*R18</f>
        <v>129250</v>
      </c>
    </row>
    <row r="21" spans="13:18">
      <c r="M21" s="1" t="s">
        <v>59</v>
      </c>
    </row>
    <row r="22" spans="13:18">
      <c r="M22" s="19" t="str">
        <f>M8</f>
        <v>Propaganda</v>
      </c>
      <c r="N22" s="1">
        <f>$N$8</f>
        <v>12000</v>
      </c>
      <c r="O22" s="1">
        <f>$N$8</f>
        <v>12000</v>
      </c>
      <c r="P22" s="1">
        <f>$N$8</f>
        <v>12000</v>
      </c>
      <c r="Q22" s="1">
        <f>$N$8</f>
        <v>12000</v>
      </c>
      <c r="R22" s="2">
        <f>SUM(N22:Q22)</f>
        <v>48000</v>
      </c>
    </row>
    <row r="23" spans="13:18">
      <c r="M23" s="19" t="str">
        <f>M9</f>
        <v>Salario Executivo</v>
      </c>
      <c r="N23" s="1">
        <f>$N$9</f>
        <v>40000</v>
      </c>
      <c r="O23" s="1">
        <f>$N$9</f>
        <v>40000</v>
      </c>
      <c r="P23" s="1">
        <f>$N$9</f>
        <v>40000</v>
      </c>
      <c r="Q23" s="1">
        <f>$N$9</f>
        <v>40000</v>
      </c>
      <c r="R23" s="2">
        <f>SUM(N23:Q23)</f>
        <v>160000</v>
      </c>
    </row>
    <row r="24" spans="13:18">
      <c r="M24" s="19" t="str">
        <f>M10</f>
        <v>Depreciacao</v>
      </c>
      <c r="N24" s="1">
        <f>$N$10</f>
        <v>16000</v>
      </c>
      <c r="O24" s="1">
        <f>$N$10</f>
        <v>16000</v>
      </c>
      <c r="P24" s="1">
        <f>$N$10</f>
        <v>16000</v>
      </c>
      <c r="Q24" s="1">
        <f>$N$10</f>
        <v>16000</v>
      </c>
      <c r="R24" s="2">
        <f>SUM(N24:Q24)</f>
        <v>64000</v>
      </c>
    </row>
    <row r="25" spans="13:18">
      <c r="M25" s="19" t="str">
        <f>M11</f>
        <v>Seguros (2º Trimestre)</v>
      </c>
      <c r="O25" s="1">
        <f>N11</f>
        <v>6000</v>
      </c>
      <c r="P25" s="1">
        <f>N12</f>
        <v>6000</v>
      </c>
      <c r="R25" s="2">
        <f>SUM(N25:Q25)</f>
        <v>12000</v>
      </c>
    </row>
    <row r="26" spans="13:18">
      <c r="M26" s="19" t="str">
        <f>M12</f>
        <v>Seguros (4º Trimestre)</v>
      </c>
      <c r="N26" s="80"/>
      <c r="O26" s="80"/>
      <c r="P26" s="80"/>
      <c r="Q26" s="81">
        <f>N13</f>
        <v>6000</v>
      </c>
      <c r="R26" s="82">
        <f>SUM(N26:Q26)</f>
        <v>6000</v>
      </c>
    </row>
    <row r="27" spans="13:18">
      <c r="M27" s="1" t="s">
        <v>66</v>
      </c>
      <c r="N27" s="10">
        <f>SUM(N22:N26)</f>
        <v>68000</v>
      </c>
      <c r="O27" s="10">
        <f>SUM(O22:O26)</f>
        <v>74000</v>
      </c>
      <c r="P27" s="10">
        <f>SUM(P22:P26)</f>
        <v>74000</v>
      </c>
      <c r="Q27" s="10">
        <f>SUM(Q22:Q26)</f>
        <v>74000</v>
      </c>
      <c r="R27" s="10">
        <f>SUM(R22:R26)</f>
        <v>290000</v>
      </c>
    </row>
    <row r="28" spans="13:18">
      <c r="M28" s="1" t="s">
        <v>65</v>
      </c>
      <c r="N28" s="1">
        <f>+N27+N20</f>
        <v>101000</v>
      </c>
      <c r="O28" s="1">
        <f>+O27+O20</f>
        <v>112500</v>
      </c>
      <c r="P28" s="1">
        <f>+P27+P20</f>
        <v>104250</v>
      </c>
      <c r="Q28" s="1">
        <f>+Q27+Q20</f>
        <v>101500</v>
      </c>
      <c r="R28" s="1">
        <f>+R27+R20</f>
        <v>419250</v>
      </c>
    </row>
    <row r="29" spans="13:18">
      <c r="M29" s="1" t="s">
        <v>47</v>
      </c>
      <c r="N29" s="10">
        <f>$N$10</f>
        <v>16000</v>
      </c>
      <c r="O29" s="10">
        <f>$N$10</f>
        <v>16000</v>
      </c>
      <c r="P29" s="10">
        <f>$N$10</f>
        <v>16000</v>
      </c>
      <c r="Q29" s="10">
        <f>$N$10</f>
        <v>16000</v>
      </c>
      <c r="R29" s="10">
        <f>SUM(N29:Q29)</f>
        <v>64000</v>
      </c>
    </row>
    <row r="30" spans="13:18" ht="16" thickBot="1">
      <c r="M30" s="1" t="s">
        <v>67</v>
      </c>
      <c r="N30" s="4">
        <f>+N28-N29</f>
        <v>85000</v>
      </c>
      <c r="O30" s="4">
        <f>+O28-O29</f>
        <v>96500</v>
      </c>
      <c r="P30" s="4">
        <f>+P28-P29</f>
        <v>88250</v>
      </c>
      <c r="Q30" s="4">
        <f>+Q28-Q29</f>
        <v>85500</v>
      </c>
      <c r="R30" s="4">
        <f>+R28-R29</f>
        <v>355250</v>
      </c>
    </row>
    <row r="31" spans="13:18" ht="16" thickTop="1"/>
  </sheetData>
  <mergeCells count="1">
    <mergeCell ref="N16:Q16"/>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R26"/>
  <sheetViews>
    <sheetView topLeftCell="H1" workbookViewId="0">
      <selection activeCell="M31" sqref="M31"/>
    </sheetView>
  </sheetViews>
  <sheetFormatPr baseColWidth="10" defaultColWidth="10.83203125" defaultRowHeight="15" x14ac:dyDescent="0"/>
  <cols>
    <col min="1" max="12" width="10.83203125" style="1"/>
    <col min="13" max="13" width="38" style="1" bestFit="1" customWidth="1"/>
    <col min="14" max="17" width="11.5" style="1" bestFit="1" customWidth="1"/>
    <col min="18" max="18" width="11.83203125" style="1" bestFit="1" customWidth="1"/>
    <col min="19" max="16384" width="10.83203125" style="1"/>
  </cols>
  <sheetData>
    <row r="3" spans="13:18">
      <c r="N3" s="23" t="s">
        <v>243</v>
      </c>
      <c r="O3" s="23" t="s">
        <v>244</v>
      </c>
      <c r="P3" s="23" t="s">
        <v>245</v>
      </c>
      <c r="Q3" s="23" t="s">
        <v>246</v>
      </c>
    </row>
    <row r="4" spans="13:18">
      <c r="M4" s="1" t="s">
        <v>10</v>
      </c>
      <c r="N4" s="1">
        <v>340000</v>
      </c>
      <c r="O4" s="1">
        <v>670000</v>
      </c>
      <c r="P4" s="1">
        <v>410000</v>
      </c>
      <c r="Q4" s="1">
        <v>470000</v>
      </c>
    </row>
    <row r="5" spans="13:18">
      <c r="M5" s="1" t="s">
        <v>251</v>
      </c>
      <c r="N5" s="1">
        <v>530000</v>
      </c>
      <c r="O5" s="1">
        <v>450000</v>
      </c>
      <c r="P5" s="1">
        <v>430000</v>
      </c>
      <c r="Q5" s="1">
        <v>480000</v>
      </c>
    </row>
    <row r="7" spans="13:18">
      <c r="M7" s="1" t="s">
        <v>68</v>
      </c>
      <c r="N7" s="1">
        <v>50000</v>
      </c>
    </row>
    <row r="8" spans="13:18">
      <c r="M8" s="1" t="s">
        <v>252</v>
      </c>
      <c r="N8" s="1">
        <v>30000</v>
      </c>
    </row>
    <row r="9" spans="13:18">
      <c r="M9" s="1" t="s">
        <v>253</v>
      </c>
      <c r="N9" s="6">
        <v>0.03</v>
      </c>
    </row>
    <row r="14" spans="13:18">
      <c r="N14" s="165" t="s">
        <v>13</v>
      </c>
      <c r="O14" s="165"/>
      <c r="P14" s="165"/>
      <c r="Q14" s="165"/>
    </row>
    <row r="15" spans="13:18">
      <c r="N15" s="3">
        <v>1</v>
      </c>
      <c r="O15" s="3">
        <v>2</v>
      </c>
      <c r="P15" s="3">
        <v>3</v>
      </c>
      <c r="Q15" s="3">
        <v>4</v>
      </c>
      <c r="R15" s="5" t="s">
        <v>12</v>
      </c>
    </row>
    <row r="16" spans="13:18">
      <c r="M16" s="1" t="s">
        <v>68</v>
      </c>
      <c r="N16" s="1">
        <f>N7</f>
        <v>50000</v>
      </c>
      <c r="O16" s="1">
        <f>N26</f>
        <v>30000</v>
      </c>
      <c r="P16" s="1">
        <f>O26</f>
        <v>69800</v>
      </c>
      <c r="Q16" s="1">
        <f>P26</f>
        <v>49800</v>
      </c>
      <c r="R16" s="1">
        <f>+N16</f>
        <v>50000</v>
      </c>
    </row>
    <row r="17" spans="13:18">
      <c r="M17" s="1" t="s">
        <v>69</v>
      </c>
      <c r="N17" s="10">
        <f>+N4</f>
        <v>340000</v>
      </c>
      <c r="O17" s="10">
        <f>+O4</f>
        <v>670000</v>
      </c>
      <c r="P17" s="10">
        <f>+P4</f>
        <v>410000</v>
      </c>
      <c r="Q17" s="10">
        <f>+Q4</f>
        <v>470000</v>
      </c>
      <c r="R17" s="10">
        <f>SUM(N17:Q17)</f>
        <v>1890000</v>
      </c>
    </row>
    <row r="18" spans="13:18">
      <c r="M18" s="1" t="s">
        <v>70</v>
      </c>
      <c r="N18" s="1">
        <f>+N17+N16</f>
        <v>390000</v>
      </c>
      <c r="O18" s="1">
        <f>+O17+O16</f>
        <v>700000</v>
      </c>
      <c r="P18" s="1">
        <f>+P17+P16</f>
        <v>479800</v>
      </c>
      <c r="Q18" s="1">
        <f>+Q17+Q16</f>
        <v>519800</v>
      </c>
      <c r="R18" s="1">
        <f>+R17+R16</f>
        <v>1940000</v>
      </c>
    </row>
    <row r="19" spans="13:18">
      <c r="M19" s="1" t="s">
        <v>71</v>
      </c>
      <c r="N19" s="1">
        <f>-N5</f>
        <v>-530000</v>
      </c>
      <c r="O19" s="1">
        <f>-O5</f>
        <v>-450000</v>
      </c>
      <c r="P19" s="1">
        <f>-P5</f>
        <v>-430000</v>
      </c>
      <c r="Q19" s="1">
        <f>-Q5</f>
        <v>-480000</v>
      </c>
    </row>
    <row r="20" spans="13:18">
      <c r="M20" s="1" t="s">
        <v>82</v>
      </c>
      <c r="N20" s="1">
        <f>+N18+N19</f>
        <v>-140000</v>
      </c>
      <c r="O20" s="1">
        <f>+O18+O19</f>
        <v>250000</v>
      </c>
      <c r="P20" s="1">
        <f>+P18+P19</f>
        <v>49800</v>
      </c>
      <c r="Q20" s="1">
        <f>+Q18+Q19</f>
        <v>39800</v>
      </c>
    </row>
    <row r="21" spans="13:18">
      <c r="M21" s="1" t="s">
        <v>77</v>
      </c>
    </row>
    <row r="22" spans="13:18">
      <c r="M22" s="1" t="s">
        <v>78</v>
      </c>
      <c r="N22" s="1">
        <f>-N20+N8</f>
        <v>170000</v>
      </c>
      <c r="O22" s="1">
        <v>0</v>
      </c>
      <c r="P22" s="1">
        <v>0</v>
      </c>
      <c r="Q22" s="1">
        <v>0</v>
      </c>
      <c r="R22" s="1">
        <f>SUM(N22:Q22)</f>
        <v>170000</v>
      </c>
    </row>
    <row r="23" spans="13:18">
      <c r="M23" s="1" t="s">
        <v>79</v>
      </c>
      <c r="N23" s="1">
        <v>0</v>
      </c>
      <c r="O23" s="1">
        <f>-N22</f>
        <v>-170000</v>
      </c>
      <c r="P23" s="1">
        <v>0</v>
      </c>
      <c r="Q23" s="1">
        <v>0</v>
      </c>
      <c r="R23" s="1">
        <f>SUM(N23:Q23)</f>
        <v>-170000</v>
      </c>
    </row>
    <row r="24" spans="13:18">
      <c r="M24" s="1" t="s">
        <v>80</v>
      </c>
      <c r="N24" s="10">
        <v>0</v>
      </c>
      <c r="O24" s="10">
        <f>-N22*N9*2</f>
        <v>-10200</v>
      </c>
      <c r="P24" s="10">
        <v>0</v>
      </c>
      <c r="Q24" s="10">
        <v>0</v>
      </c>
      <c r="R24" s="10">
        <f>SUM(N24:Q24)</f>
        <v>-10200</v>
      </c>
    </row>
    <row r="25" spans="13:18">
      <c r="M25" s="1" t="s">
        <v>81</v>
      </c>
      <c r="N25" s="10">
        <f>+N24+N23+N22</f>
        <v>170000</v>
      </c>
      <c r="O25" s="10">
        <f>+O24+O23+O22</f>
        <v>-180200</v>
      </c>
      <c r="P25" s="10">
        <f>+P24+P23+P22</f>
        <v>0</v>
      </c>
      <c r="Q25" s="10">
        <f>+Q24+Q23+Q22</f>
        <v>0</v>
      </c>
      <c r="R25" s="10">
        <f>SUM(N25:Q25)</f>
        <v>-10200</v>
      </c>
    </row>
    <row r="26" spans="13:18">
      <c r="M26" s="1" t="s">
        <v>76</v>
      </c>
      <c r="N26" s="1">
        <f>+N25+N20</f>
        <v>30000</v>
      </c>
      <c r="O26" s="1">
        <f>+O25+O20</f>
        <v>69800</v>
      </c>
      <c r="P26" s="1">
        <f>+P25+P20</f>
        <v>49800</v>
      </c>
      <c r="Q26" s="1">
        <f>+Q25+Q20</f>
        <v>39800</v>
      </c>
      <c r="R26" s="1">
        <f>+Q26</f>
        <v>39800</v>
      </c>
    </row>
  </sheetData>
  <mergeCells count="1">
    <mergeCell ref="N14:Q14"/>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N19"/>
  <sheetViews>
    <sheetView workbookViewId="0">
      <selection activeCell="M3" sqref="M3:N8"/>
    </sheetView>
  </sheetViews>
  <sheetFormatPr baseColWidth="10" defaultColWidth="10.83203125" defaultRowHeight="15" x14ac:dyDescent="0"/>
  <cols>
    <col min="1" max="12" width="10.83203125" style="1"/>
    <col min="13" max="13" width="18.5" style="1" bestFit="1" customWidth="1"/>
    <col min="14" max="14" width="11.5" style="1" bestFit="1" customWidth="1"/>
    <col min="15" max="16384" width="10.83203125" style="1"/>
  </cols>
  <sheetData>
    <row r="3" spans="13:14">
      <c r="M3" s="1" t="s">
        <v>254</v>
      </c>
      <c r="N3" s="2">
        <v>380</v>
      </c>
    </row>
    <row r="4" spans="13:14">
      <c r="M4" s="1" t="s">
        <v>100</v>
      </c>
      <c r="N4" s="1">
        <v>1850</v>
      </c>
    </row>
    <row r="5" spans="13:14">
      <c r="M5" s="1" t="s">
        <v>255</v>
      </c>
      <c r="N5" s="1">
        <v>1425</v>
      </c>
    </row>
    <row r="6" spans="13:14">
      <c r="M6" s="1" t="s">
        <v>256</v>
      </c>
      <c r="N6" s="1">
        <v>85</v>
      </c>
    </row>
    <row r="7" spans="13:14">
      <c r="M7" s="1" t="s">
        <v>257</v>
      </c>
      <c r="N7" s="1">
        <v>105000</v>
      </c>
    </row>
    <row r="8" spans="13:14">
      <c r="M8" s="1" t="s">
        <v>87</v>
      </c>
      <c r="N8" s="1">
        <v>11000</v>
      </c>
    </row>
    <row r="13" spans="13:14">
      <c r="M13" s="1" t="s">
        <v>83</v>
      </c>
      <c r="N13" s="1">
        <f>+N3*N4</f>
        <v>703000</v>
      </c>
    </row>
    <row r="14" spans="13:14">
      <c r="M14" s="1" t="s">
        <v>84</v>
      </c>
      <c r="N14" s="10">
        <f>-N5*N3</f>
        <v>-541500</v>
      </c>
    </row>
    <row r="15" spans="13:14">
      <c r="M15" s="1" t="s">
        <v>85</v>
      </c>
      <c r="N15" s="1">
        <f>+N14+N13</f>
        <v>161500</v>
      </c>
    </row>
    <row r="16" spans="13:14">
      <c r="M16" s="1" t="s">
        <v>72</v>
      </c>
      <c r="N16" s="1">
        <f>-(N6*N3)-N7</f>
        <v>-137300</v>
      </c>
    </row>
    <row r="17" spans="13:14">
      <c r="M17" s="1" t="s">
        <v>86</v>
      </c>
      <c r="N17" s="1">
        <f>+N16+N15</f>
        <v>24200</v>
      </c>
    </row>
    <row r="18" spans="13:14">
      <c r="M18" s="1" t="s">
        <v>87</v>
      </c>
      <c r="N18" s="10">
        <f>-N8</f>
        <v>-11000</v>
      </c>
    </row>
    <row r="19" spans="13:14">
      <c r="M19" s="1" t="s">
        <v>88</v>
      </c>
      <c r="N19" s="1">
        <f>+N18+N17</f>
        <v>13200</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O27"/>
  <sheetViews>
    <sheetView workbookViewId="0">
      <selection activeCell="N16" sqref="N16:O27"/>
    </sheetView>
  </sheetViews>
  <sheetFormatPr baseColWidth="10" defaultColWidth="10.83203125" defaultRowHeight="15" x14ac:dyDescent="0"/>
  <cols>
    <col min="1" max="13" width="10.83203125" style="1"/>
    <col min="14" max="14" width="23.1640625" style="1" bestFit="1" customWidth="1"/>
    <col min="15" max="16384" width="10.83203125" style="1"/>
  </cols>
  <sheetData>
    <row r="3" spans="14:15">
      <c r="N3" s="1" t="s">
        <v>261</v>
      </c>
      <c r="O3" s="1">
        <v>21000</v>
      </c>
    </row>
    <row r="4" spans="14:15">
      <c r="N4" s="1" t="s">
        <v>262</v>
      </c>
      <c r="O4" s="1">
        <v>8600</v>
      </c>
    </row>
    <row r="5" spans="14:15">
      <c r="N5" s="1" t="s">
        <v>263</v>
      </c>
      <c r="O5" s="10">
        <v>-3500</v>
      </c>
    </row>
    <row r="6" spans="14:15">
      <c r="N6" s="1" t="s">
        <v>264</v>
      </c>
      <c r="O6" s="1">
        <f>SUM(O3:O5)</f>
        <v>26100</v>
      </c>
    </row>
    <row r="9" spans="14:15">
      <c r="N9" s="1" t="s">
        <v>89</v>
      </c>
      <c r="O9" s="1">
        <f>+O27-O22</f>
        <v>0</v>
      </c>
    </row>
    <row r="16" spans="14:15">
      <c r="N16" s="178" t="s">
        <v>260</v>
      </c>
      <c r="O16" s="178"/>
    </row>
    <row r="17" spans="14:15">
      <c r="N17" s="1" t="s">
        <v>89</v>
      </c>
      <c r="O17" s="1">
        <v>4400</v>
      </c>
    </row>
    <row r="18" spans="14:15">
      <c r="N18" s="1" t="s">
        <v>90</v>
      </c>
      <c r="O18" s="1">
        <v>6500</v>
      </c>
    </row>
    <row r="19" spans="14:15">
      <c r="N19" s="1" t="s">
        <v>258</v>
      </c>
      <c r="O19" s="1">
        <v>2100</v>
      </c>
    </row>
    <row r="20" spans="14:15">
      <c r="N20" s="1" t="s">
        <v>259</v>
      </c>
      <c r="O20" s="1">
        <v>28000</v>
      </c>
    </row>
    <row r="21" spans="14:15">
      <c r="N21" s="1" t="s">
        <v>92</v>
      </c>
      <c r="O21" s="1">
        <v>-9000</v>
      </c>
    </row>
    <row r="22" spans="14:15">
      <c r="N22" s="20" t="s">
        <v>11</v>
      </c>
      <c r="O22" s="20">
        <f>SUM(O17:O21)</f>
        <v>32000</v>
      </c>
    </row>
    <row r="23" spans="14:15">
      <c r="N23" s="178" t="s">
        <v>265</v>
      </c>
      <c r="O23" s="178"/>
    </row>
    <row r="24" spans="14:15">
      <c r="N24" s="1" t="s">
        <v>96</v>
      </c>
      <c r="O24" s="1">
        <v>1900</v>
      </c>
    </row>
    <row r="25" spans="14:15">
      <c r="N25" s="1" t="s">
        <v>98</v>
      </c>
      <c r="O25" s="1">
        <v>4000</v>
      </c>
    </row>
    <row r="26" spans="14:15">
      <c r="N26" s="1" t="s">
        <v>97</v>
      </c>
      <c r="O26" s="1">
        <f>+O6</f>
        <v>26100</v>
      </c>
    </row>
    <row r="27" spans="14:15">
      <c r="N27" s="20" t="s">
        <v>11</v>
      </c>
      <c r="O27" s="20">
        <f>SUM(O24:O26)</f>
        <v>32000</v>
      </c>
    </row>
  </sheetData>
  <mergeCells count="2">
    <mergeCell ref="N16:O16"/>
    <mergeCell ref="N23:O2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R41"/>
  <sheetViews>
    <sheetView tabSelected="1" workbookViewId="0">
      <selection activeCell="M2" sqref="M2:Q3"/>
    </sheetView>
  </sheetViews>
  <sheetFormatPr baseColWidth="10" defaultColWidth="10.83203125" defaultRowHeight="16" x14ac:dyDescent="0"/>
  <cols>
    <col min="1" max="12" width="10.83203125" style="51"/>
    <col min="13" max="13" width="29" style="51" customWidth="1"/>
    <col min="14" max="19" width="16.6640625" style="51" customWidth="1"/>
    <col min="20" max="16384" width="10.83203125" style="51"/>
  </cols>
  <sheetData>
    <row r="2" spans="13:17">
      <c r="N2" s="83" t="s">
        <v>243</v>
      </c>
      <c r="O2" s="83" t="s">
        <v>244</v>
      </c>
      <c r="P2" s="83" t="s">
        <v>245</v>
      </c>
      <c r="Q2" s="83" t="s">
        <v>246</v>
      </c>
    </row>
    <row r="3" spans="13:17">
      <c r="M3" s="51" t="s">
        <v>266</v>
      </c>
      <c r="N3" s="60">
        <v>16000</v>
      </c>
      <c r="O3" s="60">
        <v>15000</v>
      </c>
      <c r="P3" s="60">
        <v>14000</v>
      </c>
      <c r="Q3" s="60">
        <v>15000</v>
      </c>
    </row>
    <row r="5" spans="13:17">
      <c r="M5" s="51" t="s">
        <v>100</v>
      </c>
      <c r="N5" s="51">
        <v>22</v>
      </c>
    </row>
    <row r="7" spans="13:17">
      <c r="M7" s="66" t="s">
        <v>271</v>
      </c>
      <c r="N7" s="86">
        <v>0.75</v>
      </c>
    </row>
    <row r="8" spans="13:17">
      <c r="M8" s="66" t="s">
        <v>272</v>
      </c>
      <c r="N8" s="86">
        <v>0.2</v>
      </c>
    </row>
    <row r="9" spans="13:17">
      <c r="M9" s="66" t="s">
        <v>267</v>
      </c>
      <c r="N9" s="86">
        <v>0.05</v>
      </c>
    </row>
    <row r="11" spans="13:17">
      <c r="M11" s="51" t="s">
        <v>273</v>
      </c>
      <c r="N11" s="51">
        <v>66000</v>
      </c>
    </row>
    <row r="13" spans="13:17">
      <c r="M13" s="51" t="s">
        <v>268</v>
      </c>
      <c r="N13" s="60">
        <v>3200</v>
      </c>
    </row>
    <row r="14" spans="13:17">
      <c r="M14" s="51" t="s">
        <v>270</v>
      </c>
      <c r="N14" s="62">
        <v>0.2</v>
      </c>
      <c r="O14" s="51" t="s">
        <v>269</v>
      </c>
    </row>
    <row r="15" spans="13:17">
      <c r="M15" s="51" t="s">
        <v>55</v>
      </c>
      <c r="N15" s="60">
        <v>3400</v>
      </c>
    </row>
    <row r="17" spans="13:18">
      <c r="M17" s="1"/>
      <c r="N17" s="165" t="s">
        <v>13</v>
      </c>
      <c r="O17" s="165"/>
      <c r="P17" s="165"/>
      <c r="Q17" s="165"/>
      <c r="R17" s="1"/>
    </row>
    <row r="18" spans="13:18">
      <c r="M18" s="1"/>
      <c r="N18" s="90" t="s">
        <v>243</v>
      </c>
      <c r="O18" s="90" t="s">
        <v>244</v>
      </c>
      <c r="P18" s="90" t="s">
        <v>245</v>
      </c>
      <c r="Q18" s="90" t="s">
        <v>246</v>
      </c>
      <c r="R18" s="84" t="s">
        <v>12</v>
      </c>
    </row>
    <row r="19" spans="13:18">
      <c r="M19" s="1" t="s">
        <v>19</v>
      </c>
      <c r="N19" s="2">
        <f>N3</f>
        <v>16000</v>
      </c>
      <c r="O19" s="2">
        <f>O3</f>
        <v>15000</v>
      </c>
      <c r="P19" s="2">
        <f>P3</f>
        <v>14000</v>
      </c>
      <c r="Q19" s="2">
        <f>Q3</f>
        <v>15000</v>
      </c>
      <c r="R19" s="2">
        <f>SUM(N19:Q19)</f>
        <v>60000</v>
      </c>
    </row>
    <row r="20" spans="13:18">
      <c r="M20" s="1" t="s">
        <v>0</v>
      </c>
      <c r="N20" s="1">
        <f>$N$5</f>
        <v>22</v>
      </c>
      <c r="O20" s="1">
        <f>$N$5</f>
        <v>22</v>
      </c>
      <c r="P20" s="1">
        <f>$N$5</f>
        <v>22</v>
      </c>
      <c r="Q20" s="1">
        <f>$N$5</f>
        <v>22</v>
      </c>
      <c r="R20" s="1">
        <v>20</v>
      </c>
    </row>
    <row r="21" spans="13:18" ht="17" thickBot="1">
      <c r="M21" s="1" t="s">
        <v>1</v>
      </c>
      <c r="N21" s="4">
        <f>+N19*N20</f>
        <v>352000</v>
      </c>
      <c r="O21" s="4">
        <f>+O19*O20</f>
        <v>330000</v>
      </c>
      <c r="P21" s="4">
        <f>+P19*P20</f>
        <v>308000</v>
      </c>
      <c r="Q21" s="4">
        <f>+Q19*Q20</f>
        <v>330000</v>
      </c>
      <c r="R21" s="4">
        <f>SUM(N21:Q21)</f>
        <v>1320000</v>
      </c>
    </row>
    <row r="22" spans="13:18" ht="17" thickTop="1"/>
    <row r="24" spans="13:18">
      <c r="M24" s="56" t="s">
        <v>208</v>
      </c>
      <c r="N24" s="179" t="s">
        <v>141</v>
      </c>
      <c r="O24" s="179"/>
      <c r="P24" s="179"/>
      <c r="Q24" s="179"/>
    </row>
    <row r="25" spans="13:18">
      <c r="M25" s="58"/>
      <c r="N25" s="89" t="str">
        <f>N2</f>
        <v>1 Trimestre</v>
      </c>
      <c r="O25" s="89" t="str">
        <f>O2</f>
        <v>2 Trimestre</v>
      </c>
      <c r="P25" s="89" t="str">
        <f>P2</f>
        <v>3 Trimestre</v>
      </c>
      <c r="Q25" s="89" t="str">
        <f>Q2</f>
        <v>4 Trimestre</v>
      </c>
      <c r="R25" s="89" t="s">
        <v>11</v>
      </c>
    </row>
    <row r="26" spans="13:18">
      <c r="M26" s="58" t="s">
        <v>171</v>
      </c>
      <c r="N26" s="87">
        <f>+N11</f>
        <v>66000</v>
      </c>
      <c r="O26" s="87"/>
      <c r="P26" s="87"/>
      <c r="Q26" s="52"/>
      <c r="R26" s="52">
        <f>SUM(N26:Q26)</f>
        <v>66000</v>
      </c>
    </row>
    <row r="27" spans="13:18">
      <c r="M27" s="58" t="s">
        <v>172</v>
      </c>
      <c r="N27" s="87">
        <f>N21*N7</f>
        <v>264000</v>
      </c>
      <c r="O27" s="87">
        <f>N21*N8</f>
        <v>70400</v>
      </c>
      <c r="P27" s="87"/>
      <c r="Q27" s="52"/>
      <c r="R27" s="52">
        <f>SUM(N27:Q27)</f>
        <v>334400</v>
      </c>
    </row>
    <row r="28" spans="13:18">
      <c r="M28" s="58" t="s">
        <v>173</v>
      </c>
      <c r="N28" s="87"/>
      <c r="O28" s="87">
        <f>O21*N7</f>
        <v>247500</v>
      </c>
      <c r="P28" s="87">
        <f>O21*N8</f>
        <v>66000</v>
      </c>
      <c r="Q28" s="52"/>
      <c r="R28" s="52">
        <f>SUM(N28:Q28)</f>
        <v>313500</v>
      </c>
    </row>
    <row r="29" spans="13:18">
      <c r="M29" s="58" t="s">
        <v>174</v>
      </c>
      <c r="N29" s="87"/>
      <c r="O29" s="87"/>
      <c r="P29" s="87">
        <f>P21*N7</f>
        <v>231000</v>
      </c>
      <c r="Q29" s="87">
        <f>P21*N8</f>
        <v>61600</v>
      </c>
      <c r="R29" s="52">
        <f>SUM(N29:Q29)</f>
        <v>292600</v>
      </c>
    </row>
    <row r="30" spans="13:18">
      <c r="M30" s="58" t="s">
        <v>175</v>
      </c>
      <c r="N30" s="87"/>
      <c r="O30" s="87"/>
      <c r="P30" s="87"/>
      <c r="Q30" s="52">
        <f>Q21*N7</f>
        <v>247500</v>
      </c>
      <c r="R30" s="52">
        <f>SUM(N30:Q30)</f>
        <v>247500</v>
      </c>
    </row>
    <row r="31" spans="13:18" ht="17" thickBot="1">
      <c r="M31" s="58" t="s">
        <v>176</v>
      </c>
      <c r="N31" s="88">
        <f>SUM(N26:N30)</f>
        <v>330000</v>
      </c>
      <c r="O31" s="88">
        <f>SUM(O26:O30)</f>
        <v>317900</v>
      </c>
      <c r="P31" s="88">
        <f>SUM(P26:P30)</f>
        <v>297000</v>
      </c>
      <c r="Q31" s="88">
        <f>SUM(Q26:Q30)</f>
        <v>309100</v>
      </c>
      <c r="R31" s="88">
        <f>SUM(R26:R30)</f>
        <v>1254000</v>
      </c>
    </row>
    <row r="32" spans="13:18" ht="17" thickTop="1"/>
    <row r="35" spans="13:18">
      <c r="M35" s="56" t="s">
        <v>274</v>
      </c>
      <c r="N35" s="90" t="s">
        <v>243</v>
      </c>
      <c r="O35" s="90" t="s">
        <v>244</v>
      </c>
      <c r="P35" s="90" t="s">
        <v>245</v>
      </c>
      <c r="Q35" s="90" t="s">
        <v>246</v>
      </c>
      <c r="R35" s="90" t="s">
        <v>12</v>
      </c>
    </row>
    <row r="36" spans="13:18">
      <c r="M36" s="58" t="s">
        <v>143</v>
      </c>
      <c r="N36" s="54">
        <f>N3</f>
        <v>16000</v>
      </c>
      <c r="O36" s="54">
        <f>O3</f>
        <v>15000</v>
      </c>
      <c r="P36" s="54">
        <f>P3</f>
        <v>14000</v>
      </c>
      <c r="Q36" s="54">
        <f>Q3</f>
        <v>15000</v>
      </c>
      <c r="R36" s="54">
        <f>SUM(N36:Q36)</f>
        <v>60000</v>
      </c>
    </row>
    <row r="37" spans="13:18">
      <c r="M37" s="58" t="s">
        <v>214</v>
      </c>
      <c r="N37" s="55">
        <f>+O36*$N$14</f>
        <v>3000</v>
      </c>
      <c r="O37" s="55">
        <f>+P36*$N$14</f>
        <v>2800</v>
      </c>
      <c r="P37" s="55">
        <f>+Q36*$N$14</f>
        <v>3000</v>
      </c>
      <c r="Q37" s="55">
        <f>+N15</f>
        <v>3400</v>
      </c>
      <c r="R37" s="55">
        <f>+Q37</f>
        <v>3400</v>
      </c>
    </row>
    <row r="38" spans="13:18">
      <c r="M38" s="58" t="s">
        <v>179</v>
      </c>
      <c r="N38" s="54">
        <f>+N37+N36</f>
        <v>19000</v>
      </c>
      <c r="O38" s="54">
        <f>+O37+O36</f>
        <v>17800</v>
      </c>
      <c r="P38" s="54">
        <f>+P37+P36</f>
        <v>17000</v>
      </c>
      <c r="Q38" s="54">
        <f>+Q37+Q36</f>
        <v>18400</v>
      </c>
      <c r="R38" s="54">
        <f>+R37+R36</f>
        <v>63400</v>
      </c>
    </row>
    <row r="39" spans="13:18">
      <c r="M39" s="58" t="s">
        <v>180</v>
      </c>
      <c r="N39" s="54">
        <f>+N13</f>
        <v>3200</v>
      </c>
      <c r="O39" s="54">
        <f>+N37</f>
        <v>3000</v>
      </c>
      <c r="P39" s="54">
        <f>+O37</f>
        <v>2800</v>
      </c>
      <c r="Q39" s="54">
        <f>+P37</f>
        <v>3000</v>
      </c>
      <c r="R39" s="54">
        <f>+N39</f>
        <v>3200</v>
      </c>
    </row>
    <row r="40" spans="13:18" ht="17" thickBot="1">
      <c r="M40" s="58" t="s">
        <v>181</v>
      </c>
      <c r="N40" s="59">
        <f>+N38-N39</f>
        <v>15800</v>
      </c>
      <c r="O40" s="59">
        <f>+O38-O39</f>
        <v>14800</v>
      </c>
      <c r="P40" s="59">
        <f>+P38-P39</f>
        <v>14200</v>
      </c>
      <c r="Q40" s="59">
        <f>+Q38-Q39</f>
        <v>15400</v>
      </c>
      <c r="R40" s="59">
        <f>+R38-R39</f>
        <v>60200</v>
      </c>
    </row>
    <row r="41" spans="13:18" ht="17" thickTop="1"/>
  </sheetData>
  <mergeCells count="2">
    <mergeCell ref="N24:Q24"/>
    <mergeCell ref="N17:Q17"/>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R47"/>
  <sheetViews>
    <sheetView topLeftCell="C1" zoomScale="70" zoomScaleNormal="70" zoomScalePageLayoutView="70" workbookViewId="0">
      <selection activeCell="M26" sqref="M26"/>
    </sheetView>
  </sheetViews>
  <sheetFormatPr baseColWidth="10" defaultColWidth="10.83203125" defaultRowHeight="16" x14ac:dyDescent="0"/>
  <cols>
    <col min="1" max="12" width="10.83203125" style="51"/>
    <col min="13" max="13" width="57.5" style="51" bestFit="1" customWidth="1"/>
    <col min="14" max="18" width="22.5" style="51" customWidth="1"/>
    <col min="19" max="16384" width="10.83203125" style="51"/>
  </cols>
  <sheetData>
    <row r="2" spans="13:17">
      <c r="N2" s="83" t="s">
        <v>243</v>
      </c>
      <c r="O2" s="83" t="s">
        <v>244</v>
      </c>
      <c r="P2" s="83" t="s">
        <v>245</v>
      </c>
      <c r="Q2" s="83" t="s">
        <v>246</v>
      </c>
    </row>
    <row r="3" spans="13:17">
      <c r="M3" s="51" t="s">
        <v>221</v>
      </c>
      <c r="N3" s="60">
        <v>6000</v>
      </c>
      <c r="O3" s="60">
        <v>7000</v>
      </c>
      <c r="P3" s="60">
        <v>8000</v>
      </c>
      <c r="Q3" s="60">
        <v>5000</v>
      </c>
    </row>
    <row r="6" spans="13:17">
      <c r="M6" s="51" t="s">
        <v>276</v>
      </c>
      <c r="N6" s="51">
        <v>11775</v>
      </c>
    </row>
    <row r="8" spans="13:17">
      <c r="M8" s="51" t="s">
        <v>275</v>
      </c>
      <c r="N8" s="60">
        <v>3600</v>
      </c>
    </row>
    <row r="9" spans="13:17">
      <c r="M9" s="51" t="s">
        <v>290</v>
      </c>
      <c r="N9" s="51">
        <v>3</v>
      </c>
    </row>
    <row r="10" spans="13:17">
      <c r="M10" s="51" t="s">
        <v>291</v>
      </c>
      <c r="N10" s="51">
        <v>2.5</v>
      </c>
    </row>
    <row r="11" spans="13:17">
      <c r="M11" s="51" t="s">
        <v>279</v>
      </c>
      <c r="N11" s="62">
        <v>0.2</v>
      </c>
      <c r="O11" s="51" t="s">
        <v>278</v>
      </c>
    </row>
    <row r="12" spans="13:17">
      <c r="M12" s="51" t="s">
        <v>277</v>
      </c>
      <c r="N12" s="60">
        <v>3700</v>
      </c>
    </row>
    <row r="14" spans="13:17">
      <c r="M14" s="51" t="s">
        <v>280</v>
      </c>
      <c r="N14" s="62">
        <v>0.7</v>
      </c>
    </row>
    <row r="15" spans="13:17">
      <c r="M15" s="51" t="s">
        <v>281</v>
      </c>
      <c r="N15" s="62">
        <v>0.3</v>
      </c>
    </row>
    <row r="17" spans="13:18">
      <c r="M17" s="51" t="s">
        <v>282</v>
      </c>
      <c r="N17" s="51">
        <v>0.5</v>
      </c>
    </row>
    <row r="18" spans="13:18">
      <c r="M18" s="51" t="s">
        <v>283</v>
      </c>
      <c r="N18" s="51">
        <v>12</v>
      </c>
    </row>
    <row r="24" spans="13:18">
      <c r="N24" s="91"/>
      <c r="O24" s="91"/>
      <c r="P24" s="91"/>
      <c r="Q24" s="91"/>
    </row>
    <row r="25" spans="13:18">
      <c r="M25" s="63" t="s">
        <v>284</v>
      </c>
      <c r="N25" s="83" t="s">
        <v>243</v>
      </c>
      <c r="O25" s="83" t="s">
        <v>244</v>
      </c>
      <c r="P25" s="83" t="s">
        <v>245</v>
      </c>
      <c r="Q25" s="83" t="s">
        <v>246</v>
      </c>
      <c r="R25" s="83" t="s">
        <v>11</v>
      </c>
    </row>
    <row r="26" spans="13:18">
      <c r="M26" s="66" t="s">
        <v>183</v>
      </c>
      <c r="N26" s="67">
        <f>N3</f>
        <v>6000</v>
      </c>
      <c r="O26" s="67">
        <f>O3</f>
        <v>7000</v>
      </c>
      <c r="P26" s="67">
        <f>P3</f>
        <v>8000</v>
      </c>
      <c r="Q26" s="67">
        <f>Q3</f>
        <v>5000</v>
      </c>
      <c r="R26" s="67">
        <f>SUM(N26:Q26)</f>
        <v>26000</v>
      </c>
    </row>
    <row r="27" spans="13:18">
      <c r="M27" s="66" t="s">
        <v>226</v>
      </c>
      <c r="N27" s="92">
        <f>+$N$9</f>
        <v>3</v>
      </c>
      <c r="O27" s="92">
        <f>+$N$9</f>
        <v>3</v>
      </c>
      <c r="P27" s="92">
        <f>+$N$9</f>
        <v>3</v>
      </c>
      <c r="Q27" s="92">
        <f>+$N$9</f>
        <v>3</v>
      </c>
      <c r="R27" s="92">
        <f>+$N$9</f>
        <v>3</v>
      </c>
    </row>
    <row r="28" spans="13:18">
      <c r="M28" s="66" t="s">
        <v>285</v>
      </c>
      <c r="N28" s="68">
        <f>+N27*N26</f>
        <v>18000</v>
      </c>
      <c r="O28" s="68">
        <f>+O27*O26</f>
        <v>21000</v>
      </c>
      <c r="P28" s="68">
        <f>+P27*P26</f>
        <v>24000</v>
      </c>
      <c r="Q28" s="68">
        <f>+Q27*Q26</f>
        <v>15000</v>
      </c>
      <c r="R28" s="68">
        <f>+R27*R26</f>
        <v>78000</v>
      </c>
    </row>
    <row r="29" spans="13:18">
      <c r="M29" s="66" t="s">
        <v>286</v>
      </c>
      <c r="N29" s="69">
        <f>+O28*$N$11</f>
        <v>4200</v>
      </c>
      <c r="O29" s="69">
        <f>+P28*$N$11</f>
        <v>4800</v>
      </c>
      <c r="P29" s="69">
        <f>+Q28*$N$11</f>
        <v>3000</v>
      </c>
      <c r="Q29" s="69">
        <f>+N12</f>
        <v>3700</v>
      </c>
      <c r="R29" s="69">
        <f>+Q29</f>
        <v>3700</v>
      </c>
    </row>
    <row r="30" spans="13:18">
      <c r="M30" s="66" t="s">
        <v>287</v>
      </c>
      <c r="N30" s="68">
        <f>+N29+N28</f>
        <v>22200</v>
      </c>
      <c r="O30" s="68">
        <f>+O29+O28</f>
        <v>25800</v>
      </c>
      <c r="P30" s="68">
        <f>+P29+P28</f>
        <v>27000</v>
      </c>
      <c r="Q30" s="68">
        <f>+Q29+Q28</f>
        <v>18700</v>
      </c>
      <c r="R30" s="68">
        <f>+R29+R28</f>
        <v>81700</v>
      </c>
    </row>
    <row r="31" spans="13:18">
      <c r="M31" s="66" t="s">
        <v>288</v>
      </c>
      <c r="N31" s="71">
        <f>+N8</f>
        <v>3600</v>
      </c>
      <c r="O31" s="72">
        <f>+N29</f>
        <v>4200</v>
      </c>
      <c r="P31" s="72">
        <f>+O29</f>
        <v>4800</v>
      </c>
      <c r="Q31" s="72">
        <f>+P29</f>
        <v>3000</v>
      </c>
      <c r="R31" s="72">
        <f>+N31</f>
        <v>3600</v>
      </c>
    </row>
    <row r="32" spans="13:18">
      <c r="M32" s="66" t="s">
        <v>189</v>
      </c>
      <c r="N32" s="67">
        <f>+N30-N31</f>
        <v>18600</v>
      </c>
      <c r="O32" s="67">
        <f>+O30-O31</f>
        <v>21600</v>
      </c>
      <c r="P32" s="67">
        <f>+P30-P31</f>
        <v>22200</v>
      </c>
      <c r="Q32" s="67">
        <f>+Q30-Q31</f>
        <v>15700</v>
      </c>
      <c r="R32" s="67">
        <f>+R30-R31</f>
        <v>78100</v>
      </c>
    </row>
    <row r="33" spans="13:18">
      <c r="M33" s="66" t="s">
        <v>289</v>
      </c>
      <c r="N33" s="73">
        <f>+$N$10</f>
        <v>2.5</v>
      </c>
      <c r="O33" s="73">
        <f>+$N$10</f>
        <v>2.5</v>
      </c>
      <c r="P33" s="73">
        <f>+$N$10</f>
        <v>2.5</v>
      </c>
      <c r="Q33" s="73">
        <f>+$N$10</f>
        <v>2.5</v>
      </c>
      <c r="R33" s="73">
        <f>+$N$10</f>
        <v>2.5</v>
      </c>
    </row>
    <row r="34" spans="13:18" ht="17" thickBot="1">
      <c r="M34" s="66" t="s">
        <v>191</v>
      </c>
      <c r="N34" s="74">
        <f>+N32*N33</f>
        <v>46500</v>
      </c>
      <c r="O34" s="74">
        <f>+O32*O33</f>
        <v>54000</v>
      </c>
      <c r="P34" s="74">
        <f>+P32*P33</f>
        <v>55500</v>
      </c>
      <c r="Q34" s="74">
        <f>+Q32*Q33</f>
        <v>39250</v>
      </c>
      <c r="R34" s="74">
        <f>+R32*R33</f>
        <v>195250</v>
      </c>
    </row>
    <row r="35" spans="13:18" ht="17" thickTop="1"/>
    <row r="40" spans="13:18">
      <c r="N40" s="180"/>
      <c r="O40" s="180"/>
      <c r="P40" s="180"/>
      <c r="Q40" s="180"/>
      <c r="R40" s="93"/>
    </row>
    <row r="41" spans="13:18">
      <c r="M41" s="63" t="s">
        <v>292</v>
      </c>
      <c r="N41" s="95" t="s">
        <v>243</v>
      </c>
      <c r="O41" s="95" t="s">
        <v>244</v>
      </c>
      <c r="P41" s="95" t="s">
        <v>245</v>
      </c>
      <c r="Q41" s="95" t="s">
        <v>246</v>
      </c>
      <c r="R41" s="83" t="s">
        <v>11</v>
      </c>
    </row>
    <row r="42" spans="13:18">
      <c r="M42" s="51" t="s">
        <v>18</v>
      </c>
      <c r="N42" s="60">
        <f>N3</f>
        <v>6000</v>
      </c>
      <c r="O42" s="60">
        <f>O3</f>
        <v>7000</v>
      </c>
      <c r="P42" s="60">
        <f>P3</f>
        <v>8000</v>
      </c>
      <c r="Q42" s="60">
        <f>Q3</f>
        <v>5000</v>
      </c>
      <c r="R42" s="60">
        <f>SUM(N42:Q42)</f>
        <v>26000</v>
      </c>
    </row>
    <row r="43" spans="13:18">
      <c r="M43" s="51" t="s">
        <v>38</v>
      </c>
      <c r="N43" s="51">
        <f>$N$17</f>
        <v>0.5</v>
      </c>
      <c r="O43" s="51">
        <f>$N$17</f>
        <v>0.5</v>
      </c>
      <c r="P43" s="51">
        <f>$N$17</f>
        <v>0.5</v>
      </c>
      <c r="Q43" s="51">
        <f>$N$17</f>
        <v>0.5</v>
      </c>
      <c r="R43" s="51">
        <f>$N$17</f>
        <v>0.5</v>
      </c>
    </row>
    <row r="44" spans="13:18">
      <c r="M44" s="51" t="s">
        <v>39</v>
      </c>
      <c r="N44" s="60">
        <f>+N43*N42</f>
        <v>3000</v>
      </c>
      <c r="O44" s="60">
        <f>+O43*O42</f>
        <v>3500</v>
      </c>
      <c r="P44" s="60">
        <f>+P43*P42</f>
        <v>4000</v>
      </c>
      <c r="Q44" s="60">
        <f>+Q43*Q42</f>
        <v>2500</v>
      </c>
      <c r="R44" s="60">
        <f>+R43*R42</f>
        <v>13000</v>
      </c>
    </row>
    <row r="45" spans="13:18">
      <c r="M45" s="51" t="s">
        <v>40</v>
      </c>
      <c r="N45" s="51">
        <f>$N$18</f>
        <v>12</v>
      </c>
      <c r="O45" s="51">
        <f>$N$18</f>
        <v>12</v>
      </c>
      <c r="P45" s="51">
        <f>$N$18</f>
        <v>12</v>
      </c>
      <c r="Q45" s="51">
        <f>$N$18</f>
        <v>12</v>
      </c>
      <c r="R45" s="51">
        <f>$N$18</f>
        <v>12</v>
      </c>
    </row>
    <row r="46" spans="13:18" ht="17" thickBot="1">
      <c r="M46" s="51" t="s">
        <v>41</v>
      </c>
      <c r="N46" s="94">
        <f>+N45*N44</f>
        <v>36000</v>
      </c>
      <c r="O46" s="94">
        <f>+O45*O44</f>
        <v>42000</v>
      </c>
      <c r="P46" s="94">
        <f>+P45*P44</f>
        <v>48000</v>
      </c>
      <c r="Q46" s="94">
        <f>+Q45*Q44</f>
        <v>30000</v>
      </c>
      <c r="R46" s="94">
        <f>+R45*R44</f>
        <v>156000</v>
      </c>
    </row>
    <row r="47" spans="13:18" ht="17" thickTop="1"/>
  </sheetData>
  <mergeCells count="1">
    <mergeCell ref="N40:Q40"/>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R34"/>
  <sheetViews>
    <sheetView topLeftCell="I3" workbookViewId="0">
      <selection activeCell="U31" sqref="U31"/>
    </sheetView>
  </sheetViews>
  <sheetFormatPr baseColWidth="10" defaultColWidth="10.83203125" defaultRowHeight="16" x14ac:dyDescent="0"/>
  <cols>
    <col min="1" max="12" width="10.83203125" style="51"/>
    <col min="13" max="13" width="41.33203125" style="51" bestFit="1" customWidth="1"/>
    <col min="14" max="18" width="17" style="51" customWidth="1"/>
    <col min="19" max="16384" width="10.83203125" style="51"/>
  </cols>
  <sheetData>
    <row r="3" spans="13:18">
      <c r="N3" s="83" t="s">
        <v>243</v>
      </c>
      <c r="O3" s="83" t="s">
        <v>244</v>
      </c>
      <c r="P3" s="83" t="s">
        <v>245</v>
      </c>
      <c r="Q3" s="83" t="s">
        <v>246</v>
      </c>
    </row>
    <row r="4" spans="13:18">
      <c r="M4" s="51" t="s">
        <v>221</v>
      </c>
      <c r="N4" s="60">
        <v>16000</v>
      </c>
      <c r="O4" s="60">
        <v>15000</v>
      </c>
      <c r="P4" s="60">
        <v>14000</v>
      </c>
      <c r="Q4" s="60">
        <v>15000</v>
      </c>
    </row>
    <row r="7" spans="13:18">
      <c r="M7" s="51" t="s">
        <v>282</v>
      </c>
      <c r="N7" s="51">
        <v>0.8</v>
      </c>
    </row>
    <row r="8" spans="13:18">
      <c r="M8" s="51" t="s">
        <v>283</v>
      </c>
      <c r="N8" s="51">
        <v>11.5</v>
      </c>
    </row>
    <row r="10" spans="13:18">
      <c r="M10" s="51" t="s">
        <v>293</v>
      </c>
      <c r="N10" s="51">
        <v>2.5</v>
      </c>
      <c r="O10" s="51" t="s">
        <v>294</v>
      </c>
    </row>
    <row r="11" spans="13:18">
      <c r="M11" s="51" t="s">
        <v>295</v>
      </c>
      <c r="N11" s="51">
        <v>90000</v>
      </c>
    </row>
    <row r="12" spans="13:18">
      <c r="M12" s="51" t="s">
        <v>64</v>
      </c>
      <c r="N12" s="51">
        <v>34000</v>
      </c>
    </row>
    <row r="15" spans="13:18">
      <c r="M15" s="63" t="s">
        <v>292</v>
      </c>
      <c r="N15" s="95" t="s">
        <v>243</v>
      </c>
      <c r="O15" s="95" t="s">
        <v>244</v>
      </c>
      <c r="P15" s="95" t="s">
        <v>245</v>
      </c>
      <c r="Q15" s="95" t="s">
        <v>246</v>
      </c>
      <c r="R15" s="83" t="s">
        <v>11</v>
      </c>
    </row>
    <row r="16" spans="13:18">
      <c r="M16" s="51" t="s">
        <v>18</v>
      </c>
      <c r="N16" s="60">
        <f>N4</f>
        <v>16000</v>
      </c>
      <c r="O16" s="60">
        <f>O4</f>
        <v>15000</v>
      </c>
      <c r="P16" s="60">
        <f>P4</f>
        <v>14000</v>
      </c>
      <c r="Q16" s="60">
        <f>Q4</f>
        <v>15000</v>
      </c>
      <c r="R16" s="60">
        <f>SUM(N16:Q16)</f>
        <v>60000</v>
      </c>
    </row>
    <row r="17" spans="13:18">
      <c r="M17" s="51" t="s">
        <v>38</v>
      </c>
      <c r="N17" s="51">
        <f>$N$7</f>
        <v>0.8</v>
      </c>
      <c r="O17" s="51">
        <f>$N$7</f>
        <v>0.8</v>
      </c>
      <c r="P17" s="51">
        <f>$N$7</f>
        <v>0.8</v>
      </c>
      <c r="Q17" s="51">
        <f>$N$7</f>
        <v>0.8</v>
      </c>
      <c r="R17" s="51">
        <f>$N$7</f>
        <v>0.8</v>
      </c>
    </row>
    <row r="18" spans="13:18">
      <c r="M18" s="51" t="s">
        <v>39</v>
      </c>
      <c r="N18" s="60">
        <f>+N17*N16</f>
        <v>12800</v>
      </c>
      <c r="O18" s="60">
        <f>+O17*O16</f>
        <v>12000</v>
      </c>
      <c r="P18" s="60">
        <f>+P17*P16</f>
        <v>11200</v>
      </c>
      <c r="Q18" s="60">
        <f>+Q17*Q16</f>
        <v>12000</v>
      </c>
      <c r="R18" s="60">
        <f>+R17*R16</f>
        <v>48000</v>
      </c>
    </row>
    <row r="19" spans="13:18">
      <c r="M19" s="51" t="s">
        <v>40</v>
      </c>
      <c r="N19" s="51">
        <f>$N$8</f>
        <v>11.5</v>
      </c>
      <c r="O19" s="51">
        <f>$N$8</f>
        <v>11.5</v>
      </c>
      <c r="P19" s="51">
        <f>$N$8</f>
        <v>11.5</v>
      </c>
      <c r="Q19" s="51">
        <f>$N$8</f>
        <v>11.5</v>
      </c>
      <c r="R19" s="51">
        <f>$N$8</f>
        <v>11.5</v>
      </c>
    </row>
    <row r="20" spans="13:18" ht="17" thickBot="1">
      <c r="M20" s="51" t="s">
        <v>41</v>
      </c>
      <c r="N20" s="94">
        <f>+N19*N18</f>
        <v>147200</v>
      </c>
      <c r="O20" s="94">
        <f>+O19*O18</f>
        <v>138000</v>
      </c>
      <c r="P20" s="94">
        <f>+P19*P18</f>
        <v>128800</v>
      </c>
      <c r="Q20" s="94">
        <f>+Q19*Q18</f>
        <v>138000</v>
      </c>
      <c r="R20" s="94">
        <f>+R19*R18</f>
        <v>552000</v>
      </c>
    </row>
    <row r="21" spans="13:18" ht="17" thickTop="1"/>
    <row r="25" spans="13:18">
      <c r="M25" s="1"/>
      <c r="N25" s="165"/>
      <c r="O25" s="165"/>
      <c r="P25" s="165"/>
      <c r="Q25" s="165"/>
      <c r="R25" s="9"/>
    </row>
    <row r="26" spans="13:18">
      <c r="M26" s="1"/>
      <c r="N26" s="3" t="str">
        <f>N15</f>
        <v>1 Trimestre</v>
      </c>
      <c r="O26" s="3" t="str">
        <f>O15</f>
        <v>2 Trimestre</v>
      </c>
      <c r="P26" s="3" t="str">
        <f>P15</f>
        <v>3 Trimestre</v>
      </c>
      <c r="Q26" s="3" t="str">
        <f>Q15</f>
        <v>4 Trimestre</v>
      </c>
      <c r="R26" s="84" t="s">
        <v>12</v>
      </c>
    </row>
    <row r="27" spans="13:18">
      <c r="M27" s="1" t="s">
        <v>42</v>
      </c>
      <c r="N27" s="2">
        <f>N18</f>
        <v>12800</v>
      </c>
      <c r="O27" s="2">
        <f>O18</f>
        <v>12000</v>
      </c>
      <c r="P27" s="2">
        <f>P18</f>
        <v>11200</v>
      </c>
      <c r="Q27" s="2">
        <f>Q18</f>
        <v>12000</v>
      </c>
      <c r="R27" s="2">
        <f>SUM(N27:Q27)</f>
        <v>48000</v>
      </c>
    </row>
    <row r="28" spans="13:18">
      <c r="M28" s="1" t="s">
        <v>43</v>
      </c>
      <c r="N28" s="1">
        <f>$N$10</f>
        <v>2.5</v>
      </c>
      <c r="O28" s="1">
        <f>$N$10</f>
        <v>2.5</v>
      </c>
      <c r="P28" s="1">
        <f>$N$10</f>
        <v>2.5</v>
      </c>
      <c r="Q28" s="1">
        <f>$N$10</f>
        <v>2.5</v>
      </c>
      <c r="R28" s="1">
        <f>$N$10</f>
        <v>2.5</v>
      </c>
    </row>
    <row r="29" spans="13:18">
      <c r="M29" s="1" t="s">
        <v>45</v>
      </c>
      <c r="N29" s="77">
        <f>+N28*N27</f>
        <v>32000</v>
      </c>
      <c r="O29" s="77">
        <f>+O28*O27</f>
        <v>30000</v>
      </c>
      <c r="P29" s="77">
        <f>+P28*P27</f>
        <v>28000</v>
      </c>
      <c r="Q29" s="77">
        <f>+Q28*Q27</f>
        <v>30000</v>
      </c>
      <c r="R29" s="77">
        <f>+R28*R27</f>
        <v>120000</v>
      </c>
    </row>
    <row r="30" spans="13:18">
      <c r="M30" s="1" t="s">
        <v>44</v>
      </c>
      <c r="N30" s="78">
        <f>+$N$11</f>
        <v>90000</v>
      </c>
      <c r="O30" s="78">
        <f>+$N$11</f>
        <v>90000</v>
      </c>
      <c r="P30" s="78">
        <f>+$N$11</f>
        <v>90000</v>
      </c>
      <c r="Q30" s="78">
        <f>+$N$11</f>
        <v>90000</v>
      </c>
      <c r="R30" s="78">
        <f>SUM(N30:Q30)</f>
        <v>360000</v>
      </c>
    </row>
    <row r="31" spans="13:18">
      <c r="M31" s="1" t="s">
        <v>46</v>
      </c>
      <c r="N31" s="77">
        <f>+N30+N29</f>
        <v>122000</v>
      </c>
      <c r="O31" s="77">
        <f>+O30+O29</f>
        <v>120000</v>
      </c>
      <c r="P31" s="77">
        <f>+P30+P29</f>
        <v>118000</v>
      </c>
      <c r="Q31" s="77">
        <f>+Q30+Q29</f>
        <v>120000</v>
      </c>
      <c r="R31" s="77">
        <f>SUM(N31:Q31)</f>
        <v>480000</v>
      </c>
    </row>
    <row r="32" spans="13:18">
      <c r="M32" s="1" t="s">
        <v>47</v>
      </c>
      <c r="N32" s="77">
        <f>$N$12</f>
        <v>34000</v>
      </c>
      <c r="O32" s="77">
        <f>$N$12</f>
        <v>34000</v>
      </c>
      <c r="P32" s="77">
        <f>$N$12</f>
        <v>34000</v>
      </c>
      <c r="Q32" s="77">
        <f>$N$12</f>
        <v>34000</v>
      </c>
      <c r="R32" s="77">
        <f>SUM(N32:Q32)</f>
        <v>136000</v>
      </c>
    </row>
    <row r="33" spans="13:18" ht="17" thickBot="1">
      <c r="M33" s="1" t="s">
        <v>242</v>
      </c>
      <c r="N33" s="79">
        <f>+N31-N32</f>
        <v>88000</v>
      </c>
      <c r="O33" s="79">
        <f>+O31-O32</f>
        <v>86000</v>
      </c>
      <c r="P33" s="79">
        <f>+P31-P32</f>
        <v>84000</v>
      </c>
      <c r="Q33" s="79">
        <f>+Q31-Q32</f>
        <v>86000</v>
      </c>
      <c r="R33" s="79">
        <f>SUM(N33:Q33)</f>
        <v>344000</v>
      </c>
    </row>
    <row r="34" spans="13:18" ht="17" thickTop="1"/>
  </sheetData>
  <mergeCells count="1">
    <mergeCell ref="N25:Q25"/>
  </mergeCells>
  <pageMargins left="0.75" right="0.75" top="1" bottom="1" header="0.5" footer="0.5"/>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T42"/>
  <sheetViews>
    <sheetView topLeftCell="D7" zoomScale="85" zoomScaleNormal="85" zoomScalePageLayoutView="85" workbookViewId="0">
      <selection activeCell="P22" sqref="P22"/>
    </sheetView>
  </sheetViews>
  <sheetFormatPr baseColWidth="10" defaultColWidth="10.83203125" defaultRowHeight="15" x14ac:dyDescent="0"/>
  <cols>
    <col min="1" max="12" width="10.83203125" style="52"/>
    <col min="13" max="13" width="48.5" style="52" customWidth="1"/>
    <col min="14" max="20" width="12.33203125" style="52" customWidth="1"/>
    <col min="21" max="16384" width="10.83203125" style="52"/>
  </cols>
  <sheetData>
    <row r="2" spans="13:19">
      <c r="M2" s="52" t="s">
        <v>290</v>
      </c>
      <c r="N2" s="53">
        <v>3</v>
      </c>
    </row>
    <row r="4" spans="13:19">
      <c r="M4" s="181" t="s">
        <v>297</v>
      </c>
      <c r="N4" s="6">
        <v>0.3</v>
      </c>
      <c r="O4" s="52" t="s">
        <v>296</v>
      </c>
    </row>
    <row r="5" spans="13:19">
      <c r="M5" s="181"/>
      <c r="N5" s="53">
        <v>5000</v>
      </c>
    </row>
    <row r="6" spans="13:19">
      <c r="M6" s="52" t="s">
        <v>298</v>
      </c>
      <c r="N6" s="53">
        <v>17000</v>
      </c>
    </row>
    <row r="8" spans="13:19">
      <c r="M8" s="52" t="s">
        <v>299</v>
      </c>
      <c r="N8" s="6">
        <v>0.5</v>
      </c>
      <c r="O8" s="52" t="s">
        <v>300</v>
      </c>
    </row>
    <row r="9" spans="13:19">
      <c r="M9" s="52" t="s">
        <v>301</v>
      </c>
      <c r="N9" s="53">
        <v>64500</v>
      </c>
    </row>
    <row r="13" spans="13:19">
      <c r="N13" s="89" t="s">
        <v>200</v>
      </c>
      <c r="O13" s="89" t="s">
        <v>201</v>
      </c>
      <c r="P13" s="89" t="s">
        <v>202</v>
      </c>
      <c r="Q13" s="89" t="s">
        <v>210</v>
      </c>
      <c r="R13" s="89" t="s">
        <v>302</v>
      </c>
      <c r="S13" s="89" t="s">
        <v>303</v>
      </c>
    </row>
    <row r="14" spans="13:19">
      <c r="M14" s="52" t="s">
        <v>254</v>
      </c>
      <c r="N14" s="53">
        <v>40000</v>
      </c>
      <c r="O14" s="53">
        <v>50000</v>
      </c>
      <c r="P14" s="53">
        <v>70000</v>
      </c>
      <c r="Q14" s="53">
        <v>35000</v>
      </c>
      <c r="R14" s="53">
        <v>20000</v>
      </c>
      <c r="S14" s="53">
        <v>10000</v>
      </c>
    </row>
    <row r="18" spans="13:20">
      <c r="N18" s="161" t="s">
        <v>304</v>
      </c>
      <c r="O18" s="161"/>
      <c r="P18" s="161"/>
      <c r="Q18" s="161"/>
      <c r="R18" s="9"/>
    </row>
    <row r="19" spans="13:20">
      <c r="N19" s="85" t="s">
        <v>200</v>
      </c>
      <c r="O19" s="85" t="s">
        <v>201</v>
      </c>
      <c r="P19" s="85" t="s">
        <v>202</v>
      </c>
      <c r="Q19" s="85" t="s">
        <v>210</v>
      </c>
      <c r="R19" s="85" t="s">
        <v>11</v>
      </c>
      <c r="S19" s="85" t="s">
        <v>302</v>
      </c>
      <c r="T19" s="85" t="s">
        <v>303</v>
      </c>
    </row>
    <row r="20" spans="13:20">
      <c r="M20" s="52" t="s">
        <v>94</v>
      </c>
      <c r="N20" s="53">
        <f>N14</f>
        <v>40000</v>
      </c>
      <c r="O20" s="53">
        <f>O14</f>
        <v>50000</v>
      </c>
      <c r="P20" s="53">
        <f>P14</f>
        <v>70000</v>
      </c>
      <c r="Q20" s="53">
        <f>Q14</f>
        <v>35000</v>
      </c>
      <c r="R20" s="53">
        <f>SUM(N20:Q20)</f>
        <v>195000</v>
      </c>
      <c r="S20" s="53">
        <v>20000</v>
      </c>
      <c r="T20" s="53">
        <v>10000</v>
      </c>
    </row>
    <row r="21" spans="13:20">
      <c r="M21" s="52" t="s">
        <v>17</v>
      </c>
      <c r="N21" s="7">
        <f>(O20*$N$4)+$N$5</f>
        <v>20000</v>
      </c>
      <c r="O21" s="7">
        <f>(P20*$N$4)+$N$5</f>
        <v>26000</v>
      </c>
      <c r="P21" s="7">
        <f>(Q20*$N$4)+$N$5</f>
        <v>15500</v>
      </c>
      <c r="Q21" s="7">
        <f>(S20*$N$4)+$N$5</f>
        <v>11000</v>
      </c>
      <c r="R21" s="7">
        <f>+N21</f>
        <v>20000</v>
      </c>
      <c r="S21" s="7">
        <f>(T20*$N$4)+$N$5</f>
        <v>8000</v>
      </c>
    </row>
    <row r="22" spans="13:20">
      <c r="M22" s="52" t="s">
        <v>15</v>
      </c>
      <c r="N22" s="53">
        <f t="shared" ref="N22:S22" si="0">+N21+N20</f>
        <v>60000</v>
      </c>
      <c r="O22" s="53">
        <f t="shared" si="0"/>
        <v>76000</v>
      </c>
      <c r="P22" s="53">
        <f t="shared" si="0"/>
        <v>85500</v>
      </c>
      <c r="Q22" s="53">
        <f t="shared" si="0"/>
        <v>46000</v>
      </c>
      <c r="R22" s="53">
        <f t="shared" si="0"/>
        <v>215000</v>
      </c>
      <c r="S22" s="53">
        <f t="shared" si="0"/>
        <v>28000</v>
      </c>
    </row>
    <row r="23" spans="13:20">
      <c r="M23" s="52" t="s">
        <v>16</v>
      </c>
      <c r="N23" s="7">
        <f>N6</f>
        <v>17000</v>
      </c>
      <c r="O23" s="7">
        <f>+N21</f>
        <v>20000</v>
      </c>
      <c r="P23" s="7">
        <f>+O21</f>
        <v>26000</v>
      </c>
      <c r="Q23" s="7">
        <f>+P21</f>
        <v>15500</v>
      </c>
      <c r="R23" s="7">
        <f>+N23</f>
        <v>17000</v>
      </c>
      <c r="S23" s="53">
        <f>+Q21</f>
        <v>11000</v>
      </c>
    </row>
    <row r="24" spans="13:20" ht="16" thickBot="1">
      <c r="M24" s="52" t="s">
        <v>18</v>
      </c>
      <c r="N24" s="98">
        <f t="shared" ref="N24:S24" si="1">+N22-N23</f>
        <v>43000</v>
      </c>
      <c r="O24" s="98">
        <f t="shared" si="1"/>
        <v>56000</v>
      </c>
      <c r="P24" s="98">
        <f t="shared" si="1"/>
        <v>59500</v>
      </c>
      <c r="Q24" s="98">
        <f t="shared" si="1"/>
        <v>30500</v>
      </c>
      <c r="R24" s="98">
        <f t="shared" si="1"/>
        <v>198000</v>
      </c>
      <c r="S24" s="98">
        <f t="shared" si="1"/>
        <v>17000</v>
      </c>
    </row>
    <row r="25" spans="13:20" ht="16" thickTop="1"/>
    <row r="27" spans="13:20">
      <c r="M27" s="182" t="s">
        <v>305</v>
      </c>
      <c r="N27" s="182"/>
      <c r="O27" s="182"/>
      <c r="P27" s="182"/>
      <c r="Q27" s="182"/>
      <c r="R27" s="182"/>
      <c r="S27" s="182"/>
    </row>
    <row r="28" spans="13:20">
      <c r="M28" s="182"/>
      <c r="N28" s="182"/>
      <c r="O28" s="182"/>
      <c r="P28" s="182"/>
      <c r="Q28" s="182"/>
      <c r="R28" s="182"/>
      <c r="S28" s="182"/>
    </row>
    <row r="29" spans="13:20">
      <c r="M29" s="182"/>
      <c r="N29" s="182"/>
      <c r="O29" s="182"/>
      <c r="P29" s="182"/>
      <c r="Q29" s="182"/>
      <c r="R29" s="182"/>
      <c r="S29" s="182"/>
    </row>
    <row r="30" spans="13:20">
      <c r="M30" s="182"/>
      <c r="N30" s="182"/>
      <c r="O30" s="182"/>
      <c r="P30" s="182"/>
      <c r="Q30" s="182"/>
      <c r="R30" s="182"/>
      <c r="S30" s="182"/>
    </row>
    <row r="31" spans="13:20">
      <c r="M31" s="182"/>
      <c r="N31" s="182"/>
      <c r="O31" s="182"/>
      <c r="P31" s="182"/>
      <c r="Q31" s="182"/>
      <c r="R31" s="182"/>
      <c r="S31" s="182"/>
    </row>
    <row r="32" spans="13:20">
      <c r="M32" s="182"/>
      <c r="N32" s="182"/>
      <c r="O32" s="182"/>
      <c r="P32" s="182"/>
      <c r="Q32" s="182"/>
      <c r="R32" s="182"/>
      <c r="S32" s="182"/>
    </row>
    <row r="33" spans="13:18">
      <c r="N33" s="183"/>
      <c r="O33" s="183"/>
      <c r="P33" s="183"/>
      <c r="Q33" s="183"/>
      <c r="R33" s="183"/>
    </row>
    <row r="34" spans="13:18" ht="16">
      <c r="M34" s="63" t="s">
        <v>284</v>
      </c>
      <c r="N34" s="85" t="s">
        <v>200</v>
      </c>
      <c r="O34" s="85" t="s">
        <v>201</v>
      </c>
      <c r="P34" s="85" t="s">
        <v>202</v>
      </c>
      <c r="Q34" s="85" t="s">
        <v>306</v>
      </c>
      <c r="R34" s="85" t="s">
        <v>210</v>
      </c>
    </row>
    <row r="35" spans="13:18" ht="16">
      <c r="M35" s="66" t="s">
        <v>183</v>
      </c>
      <c r="N35" s="67">
        <f>+N24</f>
        <v>43000</v>
      </c>
      <c r="O35" s="67">
        <f>+O24</f>
        <v>56000</v>
      </c>
      <c r="P35" s="67">
        <f>+P24</f>
        <v>59500</v>
      </c>
      <c r="Q35" s="53">
        <f>SUM(N35:P35)</f>
        <v>158500</v>
      </c>
      <c r="R35" s="53">
        <f>+Q24</f>
        <v>30500</v>
      </c>
    </row>
    <row r="36" spans="13:18" ht="16">
      <c r="M36" s="66" t="s">
        <v>226</v>
      </c>
      <c r="N36" s="75">
        <f>$N$2</f>
        <v>3</v>
      </c>
      <c r="O36" s="75">
        <f>$N$2</f>
        <v>3</v>
      </c>
      <c r="P36" s="75">
        <f>$N$2</f>
        <v>3</v>
      </c>
      <c r="Q36" s="75">
        <f>$N$2</f>
        <v>3</v>
      </c>
      <c r="R36" s="75">
        <f>$N$2</f>
        <v>3</v>
      </c>
    </row>
    <row r="37" spans="13:18" ht="16">
      <c r="M37" s="66" t="s">
        <v>285</v>
      </c>
      <c r="N37" s="68">
        <f>+N36*N35</f>
        <v>129000</v>
      </c>
      <c r="O37" s="68">
        <f>+O36*O35</f>
        <v>168000</v>
      </c>
      <c r="P37" s="68">
        <f>+P36*P35</f>
        <v>178500</v>
      </c>
      <c r="Q37" s="68">
        <f>+Q36*Q35</f>
        <v>475500</v>
      </c>
      <c r="R37" s="68">
        <f>+R36*R35</f>
        <v>91500</v>
      </c>
    </row>
    <row r="38" spans="13:18" ht="16">
      <c r="M38" s="66" t="s">
        <v>286</v>
      </c>
      <c r="N38" s="69">
        <f>+O37*$N$8</f>
        <v>84000</v>
      </c>
      <c r="O38" s="69">
        <f>+P37*$N$8</f>
        <v>89250</v>
      </c>
      <c r="P38" s="69">
        <f>+R37*$N$8</f>
        <v>45750</v>
      </c>
      <c r="Q38" s="69">
        <f>+P38</f>
        <v>45750</v>
      </c>
    </row>
    <row r="39" spans="13:18" ht="16">
      <c r="M39" s="66" t="s">
        <v>287</v>
      </c>
      <c r="N39" s="68">
        <f>+N38+N37</f>
        <v>213000</v>
      </c>
      <c r="O39" s="68">
        <f>+O38+O37</f>
        <v>257250</v>
      </c>
      <c r="P39" s="68">
        <f>+P38+P37</f>
        <v>224250</v>
      </c>
      <c r="Q39" s="68">
        <f>+Q38+Q37</f>
        <v>521250</v>
      </c>
    </row>
    <row r="40" spans="13:18" ht="16">
      <c r="M40" s="66" t="s">
        <v>288</v>
      </c>
      <c r="N40" s="71">
        <f>+N9</f>
        <v>64500</v>
      </c>
      <c r="O40" s="72">
        <f>+N38</f>
        <v>84000</v>
      </c>
      <c r="P40" s="72">
        <f>+O38</f>
        <v>89250</v>
      </c>
      <c r="Q40" s="72">
        <f>+N40</f>
        <v>64500</v>
      </c>
    </row>
    <row r="41" spans="13:18" ht="17" thickBot="1">
      <c r="M41" s="66" t="s">
        <v>189</v>
      </c>
      <c r="N41" s="99">
        <f>+N39-N40</f>
        <v>148500</v>
      </c>
      <c r="O41" s="99">
        <f>+O39-O40</f>
        <v>173250</v>
      </c>
      <c r="P41" s="99">
        <f>+P39-P40</f>
        <v>135000</v>
      </c>
      <c r="Q41" s="99">
        <f>+Q39-Q40</f>
        <v>456750</v>
      </c>
    </row>
    <row r="42" spans="13:18" ht="16" thickTop="1"/>
  </sheetData>
  <mergeCells count="4">
    <mergeCell ref="N18:Q18"/>
    <mergeCell ref="M4:M5"/>
    <mergeCell ref="M27:S32"/>
    <mergeCell ref="N33:R33"/>
  </mergeCells>
  <pageMargins left="0.75" right="0.75" top="1" bottom="1" header="0.5" footer="0.5"/>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78"/>
  <sheetViews>
    <sheetView topLeftCell="A26" zoomScale="85" zoomScaleNormal="85" zoomScalePageLayoutView="85" workbookViewId="0">
      <selection activeCell="J49" sqref="J49:N55"/>
    </sheetView>
  </sheetViews>
  <sheetFormatPr baseColWidth="10" defaultColWidth="10.83203125" defaultRowHeight="15" x14ac:dyDescent="0"/>
  <cols>
    <col min="1" max="9" width="10.83203125" style="1"/>
    <col min="10" max="10" width="34" style="1" customWidth="1"/>
    <col min="11" max="11" width="11.6640625" style="1" bestFit="1" customWidth="1"/>
    <col min="12" max="16384" width="10.83203125" style="1"/>
  </cols>
  <sheetData>
    <row r="1" spans="10:15">
      <c r="J1" s="178" t="s">
        <v>308</v>
      </c>
      <c r="K1" s="178"/>
    </row>
    <row r="2" spans="10:15">
      <c r="J2" s="1" t="s">
        <v>89</v>
      </c>
      <c r="K2" s="1">
        <v>80000</v>
      </c>
    </row>
    <row r="3" spans="10:15">
      <c r="J3" s="1" t="s">
        <v>90</v>
      </c>
      <c r="K3" s="1">
        <v>126000</v>
      </c>
    </row>
    <row r="4" spans="10:15">
      <c r="J4" s="1" t="s">
        <v>307</v>
      </c>
      <c r="K4" s="1">
        <v>52000</v>
      </c>
    </row>
    <row r="5" spans="10:15">
      <c r="J5" s="1" t="s">
        <v>259</v>
      </c>
      <c r="K5" s="1">
        <v>200000</v>
      </c>
    </row>
    <row r="6" spans="10:15">
      <c r="J6" s="1" t="s">
        <v>11</v>
      </c>
      <c r="K6" s="1">
        <f>SUM(K2:K5)</f>
        <v>458000</v>
      </c>
    </row>
    <row r="7" spans="10:15">
      <c r="J7" s="178" t="s">
        <v>265</v>
      </c>
      <c r="K7" s="178"/>
    </row>
    <row r="8" spans="10:15">
      <c r="J8" s="1" t="s">
        <v>96</v>
      </c>
      <c r="K8" s="1">
        <v>61100</v>
      </c>
    </row>
    <row r="9" spans="10:15">
      <c r="J9" s="1" t="s">
        <v>98</v>
      </c>
      <c r="K9" s="1">
        <v>300000</v>
      </c>
    </row>
    <row r="10" spans="10:15">
      <c r="J10" s="1" t="s">
        <v>97</v>
      </c>
      <c r="K10" s="1">
        <v>96900</v>
      </c>
    </row>
    <row r="11" spans="10:15">
      <c r="J11" s="1" t="s">
        <v>11</v>
      </c>
      <c r="K11" s="1">
        <f>SUM(K8:K10)</f>
        <v>458000</v>
      </c>
    </row>
    <row r="13" spans="10:15">
      <c r="K13" s="161" t="s">
        <v>304</v>
      </c>
      <c r="L13" s="161"/>
      <c r="M13" s="161"/>
      <c r="N13" s="161"/>
      <c r="O13" s="9"/>
    </row>
    <row r="14" spans="10:15">
      <c r="K14" s="85" t="s">
        <v>200</v>
      </c>
      <c r="L14" s="85" t="s">
        <v>201</v>
      </c>
      <c r="M14" s="85" t="s">
        <v>202</v>
      </c>
      <c r="N14" s="85" t="s">
        <v>210</v>
      </c>
      <c r="O14" s="85"/>
    </row>
    <row r="15" spans="10:15">
      <c r="J15" s="1" t="s">
        <v>254</v>
      </c>
      <c r="K15" s="1">
        <v>200000</v>
      </c>
      <c r="L15" s="1">
        <v>220000</v>
      </c>
      <c r="M15" s="1">
        <v>210000</v>
      </c>
      <c r="N15" s="1">
        <v>230000</v>
      </c>
    </row>
    <row r="17" spans="10:15">
      <c r="J17" s="1" t="s">
        <v>309</v>
      </c>
      <c r="K17" s="6">
        <v>0.3</v>
      </c>
    </row>
    <row r="18" spans="10:15">
      <c r="J18" s="1" t="s">
        <v>310</v>
      </c>
      <c r="K18" s="6">
        <v>0.7</v>
      </c>
    </row>
    <row r="19" spans="10:15">
      <c r="J19" s="1" t="s">
        <v>311</v>
      </c>
    </row>
    <row r="21" spans="10:15">
      <c r="J21" s="1" t="s">
        <v>297</v>
      </c>
      <c r="K21" s="6">
        <v>0.4</v>
      </c>
      <c r="L21" s="1" t="s">
        <v>312</v>
      </c>
    </row>
    <row r="22" spans="10:15">
      <c r="J22" s="1" t="s">
        <v>313</v>
      </c>
      <c r="K22" s="6">
        <v>0.65</v>
      </c>
      <c r="L22" s="1" t="s">
        <v>314</v>
      </c>
    </row>
    <row r="24" spans="10:15">
      <c r="J24" s="1" t="s">
        <v>315</v>
      </c>
      <c r="K24" s="6">
        <v>0.5</v>
      </c>
    </row>
    <row r="25" spans="10:15">
      <c r="J25" s="1" t="s">
        <v>316</v>
      </c>
      <c r="K25" s="6">
        <v>0.5</v>
      </c>
    </row>
    <row r="26" spans="10:15">
      <c r="J26" s="1" t="s">
        <v>317</v>
      </c>
    </row>
    <row r="28" spans="10:15">
      <c r="J28" s="1" t="s">
        <v>257</v>
      </c>
      <c r="K28" s="1">
        <v>65000</v>
      </c>
    </row>
    <row r="29" spans="10:15">
      <c r="J29" s="1" t="s">
        <v>64</v>
      </c>
      <c r="K29" s="1">
        <v>5000</v>
      </c>
    </row>
    <row r="31" spans="10:15">
      <c r="J31" s="21"/>
      <c r="K31" s="21"/>
      <c r="L31" s="21"/>
      <c r="M31" s="21"/>
      <c r="N31" s="21"/>
      <c r="O31" s="21"/>
    </row>
    <row r="32" spans="10:15">
      <c r="K32" s="161" t="s">
        <v>304</v>
      </c>
      <c r="L32" s="161"/>
      <c r="M32" s="161"/>
      <c r="N32" s="161"/>
    </row>
    <row r="33" spans="10:14">
      <c r="J33" s="1" t="s">
        <v>208</v>
      </c>
      <c r="K33" s="85" t="s">
        <v>200</v>
      </c>
      <c r="L33" s="85" t="s">
        <v>201</v>
      </c>
      <c r="M33" s="85" t="s">
        <v>202</v>
      </c>
      <c r="N33" s="85" t="s">
        <v>306</v>
      </c>
    </row>
    <row r="34" spans="10:14">
      <c r="J34" s="1" t="s">
        <v>5</v>
      </c>
      <c r="K34" s="1">
        <f>+K3</f>
        <v>126000</v>
      </c>
      <c r="N34" s="1">
        <f>SUM(K34:M34)</f>
        <v>126000</v>
      </c>
    </row>
    <row r="35" spans="10:14">
      <c r="J35" s="1" t="s">
        <v>318</v>
      </c>
      <c r="K35" s="1">
        <f>+K15*K17</f>
        <v>60000</v>
      </c>
      <c r="L35" s="1">
        <f>+K15*K18</f>
        <v>140000</v>
      </c>
      <c r="N35" s="1">
        <f>SUM(K35:M35)</f>
        <v>200000</v>
      </c>
    </row>
    <row r="36" spans="10:14">
      <c r="J36" s="1" t="s">
        <v>319</v>
      </c>
      <c r="L36" s="1">
        <f>+L15*K17</f>
        <v>66000</v>
      </c>
      <c r="M36" s="1">
        <f>+L15*K18</f>
        <v>154000</v>
      </c>
      <c r="N36" s="1">
        <f>SUM(K36:M36)</f>
        <v>220000</v>
      </c>
    </row>
    <row r="37" spans="10:14">
      <c r="J37" s="1" t="s">
        <v>320</v>
      </c>
      <c r="M37" s="1">
        <f>+M15*K17</f>
        <v>63000</v>
      </c>
      <c r="N37" s="1">
        <f>SUM(K37:M37)</f>
        <v>63000</v>
      </c>
    </row>
    <row r="38" spans="10:14" ht="16" thickBot="1">
      <c r="J38" s="1" t="s">
        <v>10</v>
      </c>
      <c r="K38" s="4">
        <f>SUM(K34:K37)</f>
        <v>186000</v>
      </c>
      <c r="L38" s="4">
        <f>SUM(L34:L37)</f>
        <v>206000</v>
      </c>
      <c r="M38" s="4">
        <f>SUM(M34:M37)</f>
        <v>217000</v>
      </c>
      <c r="N38" s="4">
        <f>SUM(N34:N37)</f>
        <v>609000</v>
      </c>
    </row>
    <row r="39" spans="10:14" ht="16" thickTop="1"/>
    <row r="40" spans="10:14">
      <c r="K40" s="161" t="s">
        <v>304</v>
      </c>
      <c r="L40" s="161"/>
      <c r="M40" s="161"/>
      <c r="N40" s="161"/>
    </row>
    <row r="41" spans="10:14">
      <c r="K41" s="85" t="s">
        <v>200</v>
      </c>
      <c r="L41" s="85" t="s">
        <v>201</v>
      </c>
      <c r="M41" s="85" t="s">
        <v>202</v>
      </c>
      <c r="N41" s="85" t="s">
        <v>306</v>
      </c>
    </row>
    <row r="42" spans="10:14">
      <c r="J42" s="1" t="s">
        <v>94</v>
      </c>
      <c r="K42" s="1">
        <f>+K15*$K$22</f>
        <v>130000</v>
      </c>
      <c r="L42" s="1">
        <f>+L15*$K$22</f>
        <v>143000</v>
      </c>
      <c r="M42" s="1">
        <f>+M15*$K$22</f>
        <v>136500</v>
      </c>
      <c r="N42" s="1">
        <f>SUM(K42:M42)</f>
        <v>409500</v>
      </c>
    </row>
    <row r="43" spans="10:14">
      <c r="J43" s="1" t="s">
        <v>321</v>
      </c>
      <c r="K43" s="10">
        <f>+L42*$K$21</f>
        <v>57200</v>
      </c>
      <c r="L43" s="10">
        <f>+M42*$K$21</f>
        <v>54600</v>
      </c>
      <c r="M43" s="10">
        <f>+N15*$K$21*K22</f>
        <v>59800</v>
      </c>
      <c r="N43" s="10">
        <f>+M43</f>
        <v>59800</v>
      </c>
    </row>
    <row r="44" spans="10:14">
      <c r="J44" s="1" t="s">
        <v>15</v>
      </c>
      <c r="K44" s="1">
        <f>+K43+K42</f>
        <v>187200</v>
      </c>
      <c r="L44" s="1">
        <f>+L43+L42</f>
        <v>197600</v>
      </c>
      <c r="M44" s="1">
        <f>+M43+M42</f>
        <v>196300</v>
      </c>
      <c r="N44" s="1">
        <f>+N43+N42</f>
        <v>469300</v>
      </c>
    </row>
    <row r="45" spans="10:14">
      <c r="J45" s="1" t="s">
        <v>16</v>
      </c>
      <c r="K45" s="10">
        <f>+K4</f>
        <v>52000</v>
      </c>
      <c r="L45" s="10">
        <f>K43</f>
        <v>57200</v>
      </c>
      <c r="M45" s="10">
        <f>L43</f>
        <v>54600</v>
      </c>
      <c r="N45" s="10">
        <f>+K45</f>
        <v>52000</v>
      </c>
    </row>
    <row r="46" spans="10:14" ht="16" thickBot="1">
      <c r="J46" s="1" t="s">
        <v>18</v>
      </c>
      <c r="K46" s="4">
        <f>+K44-K45</f>
        <v>135200</v>
      </c>
      <c r="L46" s="4">
        <f>+L44-L45</f>
        <v>140400</v>
      </c>
      <c r="M46" s="4">
        <f>+M44-M45</f>
        <v>141700</v>
      </c>
      <c r="N46" s="4">
        <f>+N44-N45</f>
        <v>417300</v>
      </c>
    </row>
    <row r="47" spans="10:14" ht="16" thickTop="1"/>
    <row r="49" spans="10:14">
      <c r="K49" s="161" t="s">
        <v>304</v>
      </c>
      <c r="L49" s="161"/>
      <c r="M49" s="161"/>
      <c r="N49" s="161"/>
    </row>
    <row r="50" spans="10:14">
      <c r="K50" s="85" t="s">
        <v>200</v>
      </c>
      <c r="L50" s="85" t="s">
        <v>201</v>
      </c>
      <c r="M50" s="85" t="s">
        <v>202</v>
      </c>
      <c r="N50" s="85" t="s">
        <v>306</v>
      </c>
    </row>
    <row r="51" spans="10:14">
      <c r="J51" s="1" t="s">
        <v>37</v>
      </c>
      <c r="K51" s="1">
        <f>+K8</f>
        <v>61100</v>
      </c>
      <c r="N51" s="1">
        <f>SUM(K51:M51)</f>
        <v>61100</v>
      </c>
    </row>
    <row r="52" spans="10:14">
      <c r="J52" s="1" t="s">
        <v>32</v>
      </c>
      <c r="K52" s="1">
        <f>+K46*K24</f>
        <v>67600</v>
      </c>
      <c r="L52" s="1">
        <f>+K46*K25</f>
        <v>67600</v>
      </c>
      <c r="N52" s="1">
        <f>SUM(K52:M52)</f>
        <v>135200</v>
      </c>
    </row>
    <row r="53" spans="10:14">
      <c r="J53" s="1" t="s">
        <v>33</v>
      </c>
      <c r="L53" s="1">
        <f>+L46*K24</f>
        <v>70200</v>
      </c>
      <c r="M53" s="1">
        <f>+L46*K25</f>
        <v>70200</v>
      </c>
      <c r="N53" s="1">
        <f>SUM(K53:M53)</f>
        <v>140400</v>
      </c>
    </row>
    <row r="54" spans="10:14">
      <c r="J54" s="1" t="s">
        <v>34</v>
      </c>
      <c r="M54" s="1">
        <f>+M46*K24</f>
        <v>70850</v>
      </c>
      <c r="N54" s="1">
        <f>SUM(K54:M54)</f>
        <v>70850</v>
      </c>
    </row>
    <row r="55" spans="10:14" ht="16" thickBot="1">
      <c r="J55" s="1" t="s">
        <v>36</v>
      </c>
      <c r="K55" s="4">
        <f>SUM(K51:K54)</f>
        <v>128700</v>
      </c>
      <c r="L55" s="4">
        <f>SUM(L51:L54)</f>
        <v>137800</v>
      </c>
      <c r="M55" s="4">
        <f>SUM(M51:M54)</f>
        <v>141050</v>
      </c>
      <c r="N55" s="4">
        <f>SUM(N51:N54)</f>
        <v>407550</v>
      </c>
    </row>
    <row r="56" spans="10:14" ht="16" thickTop="1"/>
    <row r="57" spans="10:14" ht="16" thickBot="1"/>
    <row r="58" spans="10:14" ht="16" thickBot="1">
      <c r="J58" s="184" t="s">
        <v>322</v>
      </c>
      <c r="K58" s="185"/>
    </row>
    <row r="59" spans="10:14">
      <c r="J59" s="100" t="s">
        <v>83</v>
      </c>
      <c r="K59" s="101">
        <f>SUM(K15:M15)</f>
        <v>630000</v>
      </c>
    </row>
    <row r="60" spans="10:14">
      <c r="J60" s="100" t="s">
        <v>84</v>
      </c>
      <c r="K60" s="104">
        <f>-SUM(K42:M42)</f>
        <v>-409500</v>
      </c>
    </row>
    <row r="61" spans="10:14">
      <c r="J61" s="100" t="s">
        <v>85</v>
      </c>
      <c r="K61" s="101">
        <f>+K60+K59</f>
        <v>220500</v>
      </c>
    </row>
    <row r="62" spans="10:14">
      <c r="J62" s="100" t="s">
        <v>72</v>
      </c>
      <c r="K62" s="101">
        <f>-K28*3</f>
        <v>-195000</v>
      </c>
    </row>
    <row r="63" spans="10:14" ht="16" thickBot="1">
      <c r="J63" s="102" t="s">
        <v>86</v>
      </c>
      <c r="K63" s="103">
        <f>+K62+K61</f>
        <v>25500</v>
      </c>
    </row>
    <row r="66" spans="10:11" ht="16" thickBot="1"/>
    <row r="67" spans="10:11" ht="16" thickBot="1">
      <c r="J67" s="184" t="s">
        <v>323</v>
      </c>
      <c r="K67" s="185"/>
    </row>
    <row r="68" spans="10:11">
      <c r="J68" s="188" t="s">
        <v>260</v>
      </c>
      <c r="K68" s="189"/>
    </row>
    <row r="69" spans="10:11">
      <c r="J69" s="100" t="s">
        <v>89</v>
      </c>
      <c r="K69" s="101">
        <f>+K2+N38-N55-((K28-K29)*3)</f>
        <v>101450</v>
      </c>
    </row>
    <row r="70" spans="10:11">
      <c r="J70" s="100" t="s">
        <v>90</v>
      </c>
      <c r="K70" s="101">
        <f>M15*K18</f>
        <v>147000</v>
      </c>
    </row>
    <row r="71" spans="10:11">
      <c r="J71" s="100" t="s">
        <v>307</v>
      </c>
      <c r="K71" s="101">
        <f>M43</f>
        <v>59800</v>
      </c>
    </row>
    <row r="72" spans="10:11">
      <c r="J72" s="100" t="s">
        <v>259</v>
      </c>
      <c r="K72" s="101">
        <f>K5-(K29*3)</f>
        <v>185000</v>
      </c>
    </row>
    <row r="73" spans="10:11">
      <c r="J73" s="100" t="s">
        <v>11</v>
      </c>
      <c r="K73" s="101">
        <f>SUM(K69:K72)</f>
        <v>493250</v>
      </c>
    </row>
    <row r="74" spans="10:11">
      <c r="J74" s="186" t="s">
        <v>265</v>
      </c>
      <c r="K74" s="187"/>
    </row>
    <row r="75" spans="10:11">
      <c r="J75" s="100" t="s">
        <v>96</v>
      </c>
      <c r="K75" s="101">
        <f>M46*K25</f>
        <v>70850</v>
      </c>
    </row>
    <row r="76" spans="10:11">
      <c r="J76" s="100" t="s">
        <v>98</v>
      </c>
      <c r="K76" s="101">
        <f>K9</f>
        <v>300000</v>
      </c>
    </row>
    <row r="77" spans="10:11">
      <c r="J77" s="100" t="s">
        <v>97</v>
      </c>
      <c r="K77" s="101">
        <f>K10+K63</f>
        <v>122400</v>
      </c>
    </row>
    <row r="78" spans="10:11" ht="16" thickBot="1">
      <c r="J78" s="102" t="s">
        <v>11</v>
      </c>
      <c r="K78" s="103">
        <f>SUM(K75:K77)</f>
        <v>493250</v>
      </c>
    </row>
  </sheetData>
  <mergeCells count="10">
    <mergeCell ref="J7:K7"/>
    <mergeCell ref="J1:K1"/>
    <mergeCell ref="K13:N13"/>
    <mergeCell ref="K32:N32"/>
    <mergeCell ref="K40:N40"/>
    <mergeCell ref="K49:N49"/>
    <mergeCell ref="J58:K58"/>
    <mergeCell ref="J74:K74"/>
    <mergeCell ref="J67:K67"/>
    <mergeCell ref="J68:K6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18"/>
  <sheetViews>
    <sheetView workbookViewId="0">
      <selection activeCell="M30" sqref="M30"/>
    </sheetView>
  </sheetViews>
  <sheetFormatPr baseColWidth="10" defaultColWidth="10.83203125" defaultRowHeight="15" x14ac:dyDescent="0"/>
  <cols>
    <col min="1" max="9" width="10.83203125" style="1"/>
    <col min="10" max="10" width="25.83203125" style="1" bestFit="1" customWidth="1"/>
    <col min="11" max="16384" width="10.83203125" style="1"/>
  </cols>
  <sheetData>
    <row r="2" spans="10:15">
      <c r="J2" s="20"/>
      <c r="K2" s="164" t="s">
        <v>329</v>
      </c>
      <c r="L2" s="164"/>
      <c r="M2" s="164"/>
      <c r="N2" s="164"/>
      <c r="O2" s="164"/>
    </row>
    <row r="3" spans="10:15">
      <c r="J3" s="20"/>
      <c r="K3" s="90">
        <v>1</v>
      </c>
      <c r="L3" s="90">
        <v>2</v>
      </c>
      <c r="M3" s="90">
        <v>3</v>
      </c>
      <c r="N3" s="90">
        <v>4</v>
      </c>
      <c r="O3" s="96" t="s">
        <v>12</v>
      </c>
    </row>
    <row r="4" spans="10:15">
      <c r="J4" s="20" t="s">
        <v>324</v>
      </c>
      <c r="K4" s="20">
        <v>9</v>
      </c>
      <c r="L4" s="109">
        <f>K18</f>
        <v>5</v>
      </c>
      <c r="M4" s="109">
        <f>L18</f>
        <v>5</v>
      </c>
      <c r="N4" s="109">
        <f>M18</f>
        <v>5</v>
      </c>
      <c r="O4" s="109">
        <f>K4</f>
        <v>9</v>
      </c>
    </row>
    <row r="5" spans="10:15">
      <c r="J5" s="1" t="s">
        <v>90</v>
      </c>
      <c r="K5" s="108">
        <f>K6-K4</f>
        <v>76</v>
      </c>
      <c r="L5" s="108">
        <v>90</v>
      </c>
      <c r="M5" s="1">
        <v>125</v>
      </c>
      <c r="N5" s="108">
        <f>O5-M5-L5-K5</f>
        <v>100</v>
      </c>
      <c r="O5" s="1">
        <v>391</v>
      </c>
    </row>
    <row r="6" spans="10:15">
      <c r="J6" s="1" t="s">
        <v>330</v>
      </c>
      <c r="K6" s="1">
        <v>85</v>
      </c>
      <c r="L6" s="108">
        <v>95</v>
      </c>
      <c r="M6" s="108">
        <f>SUM(M4:M5)</f>
        <v>130</v>
      </c>
      <c r="N6" s="108">
        <f>SUM(N4:N5)</f>
        <v>105</v>
      </c>
      <c r="O6" s="108">
        <f>SUM(O4:O5)</f>
        <v>400</v>
      </c>
    </row>
    <row r="7" spans="10:15">
      <c r="J7" s="1" t="s">
        <v>331</v>
      </c>
    </row>
    <row r="8" spans="10:15">
      <c r="J8" s="19" t="s">
        <v>332</v>
      </c>
      <c r="K8" s="1">
        <v>40</v>
      </c>
      <c r="L8" s="1">
        <v>58</v>
      </c>
      <c r="M8" s="1">
        <f>M12-M11-M10-M9</f>
        <v>36</v>
      </c>
      <c r="N8" s="1">
        <v>32</v>
      </c>
      <c r="O8" s="108">
        <f>SUM(K8:N8)</f>
        <v>166</v>
      </c>
    </row>
    <row r="9" spans="10:15">
      <c r="J9" s="19" t="s">
        <v>325</v>
      </c>
      <c r="K9" s="108">
        <f>K12-K8-K10-K11</f>
        <v>36</v>
      </c>
      <c r="L9" s="1">
        <v>42</v>
      </c>
      <c r="M9" s="1">
        <v>54</v>
      </c>
      <c r="N9" s="108">
        <f>O9-M9-L9-K9</f>
        <v>48</v>
      </c>
      <c r="O9" s="1">
        <v>180</v>
      </c>
    </row>
    <row r="10" spans="10:15">
      <c r="J10" s="19" t="s">
        <v>326</v>
      </c>
      <c r="K10" s="1">
        <v>10</v>
      </c>
      <c r="L10" s="1">
        <v>8</v>
      </c>
      <c r="M10" s="1">
        <v>8</v>
      </c>
      <c r="N10" s="108">
        <f>O10-M10-L10-K10</f>
        <v>10</v>
      </c>
      <c r="O10" s="1">
        <v>36</v>
      </c>
    </row>
    <row r="11" spans="10:15">
      <c r="J11" s="19" t="s">
        <v>74</v>
      </c>
      <c r="K11" s="1">
        <v>2</v>
      </c>
      <c r="L11" s="1">
        <v>2</v>
      </c>
      <c r="M11" s="1">
        <v>2</v>
      </c>
      <c r="N11" s="1">
        <v>2</v>
      </c>
      <c r="O11" s="108">
        <f>SUM(K11:N11)</f>
        <v>8</v>
      </c>
    </row>
    <row r="12" spans="10:15">
      <c r="J12" s="107" t="s">
        <v>11</v>
      </c>
      <c r="K12" s="109">
        <f>K6-K13</f>
        <v>88</v>
      </c>
      <c r="L12" s="20">
        <f>SUM(L8:L11)</f>
        <v>110</v>
      </c>
      <c r="M12" s="109">
        <v>100</v>
      </c>
      <c r="N12" s="109">
        <f>SUM(N8:N11)</f>
        <v>92</v>
      </c>
      <c r="O12" s="109">
        <f>SUM(O8:O11)</f>
        <v>390</v>
      </c>
    </row>
    <row r="13" spans="10:15">
      <c r="J13" s="1" t="s">
        <v>82</v>
      </c>
      <c r="K13" s="1">
        <v>-3</v>
      </c>
      <c r="L13" s="108">
        <v>-15</v>
      </c>
      <c r="M13" s="1">
        <v>30</v>
      </c>
      <c r="N13" s="108">
        <f>N6-N12</f>
        <v>13</v>
      </c>
      <c r="O13" s="108">
        <f>O6-O12</f>
        <v>10</v>
      </c>
    </row>
    <row r="14" spans="10:15">
      <c r="J14" s="1" t="s">
        <v>333</v>
      </c>
    </row>
    <row r="15" spans="10:15">
      <c r="J15" s="19" t="s">
        <v>78</v>
      </c>
      <c r="K15" s="108">
        <f>K18-K13</f>
        <v>8</v>
      </c>
      <c r="L15" s="1">
        <v>20</v>
      </c>
      <c r="M15" s="1">
        <v>0</v>
      </c>
      <c r="N15" s="1">
        <v>0</v>
      </c>
      <c r="O15" s="108">
        <f>SUM(K15:N15)</f>
        <v>28</v>
      </c>
    </row>
    <row r="16" spans="10:15">
      <c r="J16" s="19" t="s">
        <v>327</v>
      </c>
      <c r="K16" s="1">
        <v>0</v>
      </c>
      <c r="L16" s="1">
        <v>0</v>
      </c>
      <c r="M16" s="108">
        <v>-25</v>
      </c>
      <c r="N16" s="1">
        <v>-7</v>
      </c>
      <c r="O16" s="108">
        <f>SUM(K16:N16)</f>
        <v>-32</v>
      </c>
    </row>
    <row r="17" spans="10:15">
      <c r="J17" s="107" t="s">
        <v>11</v>
      </c>
      <c r="K17" s="109">
        <f>SUM(K15:K16)</f>
        <v>8</v>
      </c>
      <c r="L17" s="109">
        <f>SUM(L15:L16)</f>
        <v>20</v>
      </c>
      <c r="M17" s="109">
        <f>SUM(M15:M16)</f>
        <v>-25</v>
      </c>
      <c r="N17" s="109">
        <f>SUM(N15:N16)</f>
        <v>-7</v>
      </c>
      <c r="O17" s="108">
        <f>SUM(K17:N17)</f>
        <v>-4</v>
      </c>
    </row>
    <row r="18" spans="10:15">
      <c r="J18" s="20" t="s">
        <v>328</v>
      </c>
      <c r="K18" s="109">
        <v>5</v>
      </c>
      <c r="L18" s="109">
        <v>5</v>
      </c>
      <c r="M18" s="109">
        <v>5</v>
      </c>
      <c r="N18" s="109">
        <f>N13+N17</f>
        <v>6</v>
      </c>
      <c r="O18" s="109">
        <f>O13+O17</f>
        <v>6</v>
      </c>
    </row>
  </sheetData>
  <mergeCells count="1">
    <mergeCell ref="K2:O2"/>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U68"/>
  <sheetViews>
    <sheetView topLeftCell="F24" workbookViewId="0">
      <selection activeCell="L31" sqref="L31:S36"/>
    </sheetView>
  </sheetViews>
  <sheetFormatPr baseColWidth="10" defaultColWidth="10.83203125" defaultRowHeight="15" x14ac:dyDescent="0"/>
  <cols>
    <col min="1" max="11" width="10.83203125" style="1"/>
    <col min="12" max="12" width="43.5" style="1" bestFit="1" customWidth="1"/>
    <col min="13" max="13" width="12.5" style="1" customWidth="1"/>
    <col min="14" max="16" width="10.83203125" style="1"/>
    <col min="17" max="17" width="11.83203125" style="1" bestFit="1" customWidth="1"/>
    <col min="18" max="18" width="11.83203125" style="1" customWidth="1"/>
    <col min="19" max="16384" width="10.83203125" style="1"/>
  </cols>
  <sheetData>
    <row r="2" spans="12:21">
      <c r="L2" s="1" t="s">
        <v>100</v>
      </c>
      <c r="M2" s="1">
        <v>8</v>
      </c>
    </row>
    <row r="4" spans="12:21">
      <c r="L4" s="164" t="s">
        <v>109</v>
      </c>
      <c r="M4" s="164"/>
      <c r="N4" s="164"/>
      <c r="O4" s="164"/>
      <c r="P4" s="164"/>
      <c r="Q4" s="164"/>
      <c r="R4" s="164"/>
      <c r="S4" s="164"/>
    </row>
    <row r="5" spans="12:21">
      <c r="L5" s="11"/>
      <c r="M5" s="168" t="s">
        <v>102</v>
      </c>
      <c r="N5" s="168"/>
      <c r="O5" s="168"/>
      <c r="P5" s="168"/>
      <c r="Q5" s="14"/>
      <c r="R5" s="14"/>
      <c r="S5" s="168" t="s">
        <v>103</v>
      </c>
      <c r="T5" s="168"/>
      <c r="U5" s="11"/>
    </row>
    <row r="6" spans="12:21">
      <c r="L6" s="11"/>
      <c r="M6" s="168" t="s">
        <v>13</v>
      </c>
      <c r="N6" s="168"/>
      <c r="O6" s="168"/>
      <c r="P6" s="168"/>
      <c r="Q6" s="11"/>
      <c r="R6" s="11"/>
      <c r="S6" s="168" t="s">
        <v>13</v>
      </c>
      <c r="T6" s="168"/>
      <c r="U6" s="11"/>
    </row>
    <row r="7" spans="12:21">
      <c r="L7" s="11"/>
      <c r="M7" s="13">
        <v>1</v>
      </c>
      <c r="N7" s="13">
        <v>2</v>
      </c>
      <c r="O7" s="13">
        <v>3</v>
      </c>
      <c r="P7" s="13">
        <v>4</v>
      </c>
      <c r="Q7" s="14" t="s">
        <v>12</v>
      </c>
      <c r="R7" s="14"/>
      <c r="S7" s="13">
        <v>1</v>
      </c>
      <c r="T7" s="13">
        <v>2</v>
      </c>
      <c r="U7" s="11"/>
    </row>
    <row r="8" spans="12:21">
      <c r="L8" s="11" t="s">
        <v>101</v>
      </c>
      <c r="M8" s="15">
        <v>40000</v>
      </c>
      <c r="N8" s="15">
        <v>60000</v>
      </c>
      <c r="O8" s="15">
        <v>100000</v>
      </c>
      <c r="P8" s="15">
        <v>50000</v>
      </c>
      <c r="Q8" s="15">
        <f>SUM(M8:P8)</f>
        <v>250000</v>
      </c>
      <c r="R8" s="15"/>
      <c r="S8" s="15">
        <v>70000</v>
      </c>
      <c r="T8" s="15">
        <v>80000</v>
      </c>
      <c r="U8" s="11"/>
    </row>
    <row r="9" spans="12:21">
      <c r="L9" s="11" t="s">
        <v>104</v>
      </c>
      <c r="M9" s="11">
        <f>+M8*$M$2</f>
        <v>320000</v>
      </c>
      <c r="N9" s="11">
        <f t="shared" ref="N9:T9" si="0">+N8*$M$2</f>
        <v>480000</v>
      </c>
      <c r="O9" s="11">
        <f t="shared" si="0"/>
        <v>800000</v>
      </c>
      <c r="P9" s="11">
        <f t="shared" si="0"/>
        <v>400000</v>
      </c>
      <c r="Q9" s="11">
        <f>SUM(M9:P9)</f>
        <v>2000000</v>
      </c>
      <c r="R9" s="11"/>
      <c r="S9" s="11">
        <f t="shared" si="0"/>
        <v>560000</v>
      </c>
      <c r="T9" s="11">
        <f t="shared" si="0"/>
        <v>640000</v>
      </c>
      <c r="U9" s="11"/>
    </row>
    <row r="13" spans="12:21">
      <c r="L13" s="1" t="s">
        <v>2</v>
      </c>
      <c r="M13" s="6">
        <v>0.75</v>
      </c>
    </row>
    <row r="14" spans="12:21">
      <c r="L14" s="1" t="s">
        <v>3</v>
      </c>
      <c r="M14" s="6">
        <v>0.25</v>
      </c>
    </row>
    <row r="16" spans="12:21">
      <c r="L16" s="164" t="s">
        <v>4</v>
      </c>
      <c r="M16" s="164"/>
      <c r="N16" s="164"/>
      <c r="O16" s="164"/>
      <c r="P16" s="164"/>
      <c r="Q16" s="164"/>
    </row>
    <row r="17" spans="12:19">
      <c r="L17" s="1" t="s">
        <v>5</v>
      </c>
      <c r="M17" s="1">
        <v>65000</v>
      </c>
      <c r="Q17" s="1">
        <f>SUM(M17:P17)</f>
        <v>65000</v>
      </c>
    </row>
    <row r="18" spans="12:19">
      <c r="L18" s="1" t="s">
        <v>6</v>
      </c>
      <c r="M18" s="1">
        <f>M9*M13</f>
        <v>240000</v>
      </c>
      <c r="N18" s="1">
        <f>M9*M14</f>
        <v>80000</v>
      </c>
      <c r="Q18" s="1">
        <f>SUM(M18:P18)</f>
        <v>320000</v>
      </c>
    </row>
    <row r="19" spans="12:19">
      <c r="L19" s="1" t="s">
        <v>7</v>
      </c>
      <c r="N19" s="1">
        <f>N9*M13</f>
        <v>360000</v>
      </c>
      <c r="O19" s="1">
        <f>N9*M14</f>
        <v>120000</v>
      </c>
      <c r="Q19" s="1">
        <f>SUM(M19:P19)</f>
        <v>480000</v>
      </c>
      <c r="R19" s="21"/>
      <c r="S19" s="21"/>
    </row>
    <row r="20" spans="12:19">
      <c r="L20" s="1" t="s">
        <v>8</v>
      </c>
      <c r="O20" s="1">
        <f>O9*M13</f>
        <v>600000</v>
      </c>
      <c r="P20" s="1">
        <f>O9*M14</f>
        <v>200000</v>
      </c>
      <c r="Q20" s="1">
        <f>SUM(M20:P20)</f>
        <v>800000</v>
      </c>
    </row>
    <row r="21" spans="12:19">
      <c r="L21" s="1" t="s">
        <v>9</v>
      </c>
      <c r="P21" s="1">
        <f>P9*M13</f>
        <v>300000</v>
      </c>
      <c r="Q21" s="1">
        <f>SUM(M21:P21)</f>
        <v>300000</v>
      </c>
    </row>
    <row r="22" spans="12:19" ht="16" thickBot="1">
      <c r="L22" s="1" t="s">
        <v>10</v>
      </c>
      <c r="M22" s="4">
        <f>SUM(M17:M21)</f>
        <v>305000</v>
      </c>
      <c r="N22" s="4">
        <f>SUM(N17:N21)</f>
        <v>440000</v>
      </c>
      <c r="O22" s="4">
        <f>SUM(O17:O21)</f>
        <v>720000</v>
      </c>
      <c r="P22" s="4">
        <f>SUM(P17:P21)</f>
        <v>500000</v>
      </c>
      <c r="Q22" s="4">
        <f>SUM(Q17:Q21)</f>
        <v>1965000</v>
      </c>
    </row>
    <row r="23" spans="12:19" ht="16" thickTop="1"/>
    <row r="25" spans="12:19">
      <c r="L25" s="1" t="s">
        <v>107</v>
      </c>
      <c r="N25" s="6">
        <v>0.3</v>
      </c>
    </row>
    <row r="26" spans="12:19">
      <c r="N26" s="6"/>
    </row>
    <row r="27" spans="12:19">
      <c r="N27" s="6"/>
    </row>
    <row r="28" spans="12:19">
      <c r="L28" s="164" t="s">
        <v>108</v>
      </c>
      <c r="M28" s="164"/>
      <c r="N28" s="164"/>
      <c r="O28" s="164"/>
      <c r="P28" s="164"/>
      <c r="Q28" s="164"/>
      <c r="R28" s="164"/>
      <c r="S28" s="164"/>
    </row>
    <row r="29" spans="12:19">
      <c r="R29" s="168" t="s">
        <v>103</v>
      </c>
      <c r="S29" s="168"/>
    </row>
    <row r="30" spans="12:19">
      <c r="M30" s="165" t="s">
        <v>13</v>
      </c>
      <c r="N30" s="165"/>
      <c r="O30" s="165"/>
      <c r="P30" s="165"/>
      <c r="Q30" s="9"/>
      <c r="R30" s="168" t="s">
        <v>13</v>
      </c>
      <c r="S30" s="168"/>
    </row>
    <row r="31" spans="12:19">
      <c r="M31" s="3">
        <v>1</v>
      </c>
      <c r="N31" s="3">
        <v>2</v>
      </c>
      <c r="O31" s="3">
        <v>3</v>
      </c>
      <c r="P31" s="3">
        <v>4</v>
      </c>
      <c r="Q31" s="5" t="s">
        <v>12</v>
      </c>
      <c r="R31" s="13">
        <v>1</v>
      </c>
      <c r="S31" s="13">
        <v>2</v>
      </c>
    </row>
    <row r="32" spans="12:19">
      <c r="L32" s="1" t="s">
        <v>94</v>
      </c>
      <c r="M32" s="2">
        <f>M8</f>
        <v>40000</v>
      </c>
      <c r="N32" s="2">
        <f>N8</f>
        <v>60000</v>
      </c>
      <c r="O32" s="2">
        <f>O8</f>
        <v>100000</v>
      </c>
      <c r="P32" s="2">
        <f>P8</f>
        <v>50000</v>
      </c>
      <c r="Q32" s="2">
        <f>SUM(M32:P32)</f>
        <v>250000</v>
      </c>
      <c r="R32" s="15">
        <v>70000</v>
      </c>
      <c r="S32" s="15">
        <v>80000</v>
      </c>
    </row>
    <row r="33" spans="12:19">
      <c r="L33" s="1" t="s">
        <v>17</v>
      </c>
      <c r="M33" s="7">
        <f>N32*$N$25</f>
        <v>18000</v>
      </c>
      <c r="N33" s="7">
        <f>O32*$N$25</f>
        <v>30000</v>
      </c>
      <c r="O33" s="7">
        <f>P32*$N$25</f>
        <v>15000</v>
      </c>
      <c r="P33" s="7">
        <f>+R32*N25</f>
        <v>21000</v>
      </c>
      <c r="Q33" s="7">
        <f>+P33</f>
        <v>21000</v>
      </c>
      <c r="R33" s="7">
        <f>+S32*N25</f>
        <v>24000</v>
      </c>
      <c r="S33" s="11"/>
    </row>
    <row r="34" spans="12:19">
      <c r="L34" s="1" t="s">
        <v>15</v>
      </c>
      <c r="M34" s="2">
        <f t="shared" ref="M34:R34" si="1">+M33+M32</f>
        <v>58000</v>
      </c>
      <c r="N34" s="2">
        <f t="shared" si="1"/>
        <v>90000</v>
      </c>
      <c r="O34" s="2">
        <f t="shared" si="1"/>
        <v>115000</v>
      </c>
      <c r="P34" s="2">
        <f t="shared" si="1"/>
        <v>71000</v>
      </c>
      <c r="Q34" s="2">
        <f t="shared" si="1"/>
        <v>271000</v>
      </c>
      <c r="R34" s="2">
        <f t="shared" si="1"/>
        <v>94000</v>
      </c>
    </row>
    <row r="35" spans="12:19">
      <c r="L35" s="1" t="s">
        <v>16</v>
      </c>
      <c r="M35" s="7">
        <v>-12000</v>
      </c>
      <c r="N35" s="7">
        <f>-M33</f>
        <v>-18000</v>
      </c>
      <c r="O35" s="7">
        <f>-N33</f>
        <v>-30000</v>
      </c>
      <c r="P35" s="7">
        <f>-O33</f>
        <v>-15000</v>
      </c>
      <c r="Q35" s="7">
        <f>M35</f>
        <v>-12000</v>
      </c>
      <c r="R35" s="7">
        <f>-P33</f>
        <v>-21000</v>
      </c>
    </row>
    <row r="36" spans="12:19" ht="16" thickBot="1">
      <c r="L36" s="1" t="s">
        <v>18</v>
      </c>
      <c r="M36" s="8">
        <f t="shared" ref="M36:R36" si="2">SUM(M34:M35)</f>
        <v>46000</v>
      </c>
      <c r="N36" s="8">
        <f t="shared" si="2"/>
        <v>72000</v>
      </c>
      <c r="O36" s="8">
        <f t="shared" si="2"/>
        <v>85000</v>
      </c>
      <c r="P36" s="8">
        <f t="shared" si="2"/>
        <v>56000</v>
      </c>
      <c r="Q36" s="8">
        <f t="shared" si="2"/>
        <v>259000</v>
      </c>
      <c r="R36" s="8">
        <f t="shared" si="2"/>
        <v>73000</v>
      </c>
    </row>
    <row r="37" spans="12:19" ht="16" thickTop="1"/>
    <row r="40" spans="12:19">
      <c r="L40" s="1" t="s">
        <v>111</v>
      </c>
      <c r="N40" s="22">
        <v>0.5</v>
      </c>
    </row>
    <row r="42" spans="12:19">
      <c r="L42" s="164" t="s">
        <v>110</v>
      </c>
      <c r="M42" s="164"/>
      <c r="N42" s="164"/>
      <c r="O42" s="164"/>
      <c r="P42" s="164"/>
      <c r="Q42" s="164"/>
      <c r="R42" s="164"/>
      <c r="S42" s="164"/>
    </row>
    <row r="43" spans="12:19">
      <c r="R43" s="168" t="s">
        <v>103</v>
      </c>
      <c r="S43" s="168"/>
    </row>
    <row r="44" spans="12:19">
      <c r="M44" s="165" t="s">
        <v>13</v>
      </c>
      <c r="N44" s="165"/>
      <c r="O44" s="165"/>
      <c r="P44" s="165"/>
      <c r="Q44" s="9"/>
      <c r="R44" s="168" t="s">
        <v>13</v>
      </c>
      <c r="S44" s="168"/>
    </row>
    <row r="45" spans="12:19">
      <c r="M45" s="3">
        <v>1</v>
      </c>
      <c r="N45" s="3">
        <v>2</v>
      </c>
      <c r="O45" s="3">
        <v>3</v>
      </c>
      <c r="P45" s="3">
        <v>4</v>
      </c>
      <c r="Q45" s="5" t="s">
        <v>12</v>
      </c>
      <c r="R45" s="13">
        <v>1</v>
      </c>
      <c r="S45" s="13">
        <v>2</v>
      </c>
    </row>
    <row r="46" spans="12:19">
      <c r="L46" s="1" t="s">
        <v>18</v>
      </c>
      <c r="M46" s="2">
        <f>M36</f>
        <v>46000</v>
      </c>
      <c r="N46" s="2">
        <f>N36</f>
        <v>72000</v>
      </c>
      <c r="O46" s="2">
        <f>O36</f>
        <v>85000</v>
      </c>
      <c r="P46" s="2">
        <f>P36</f>
        <v>56000</v>
      </c>
      <c r="Q46" s="2">
        <f>SUM(M46:P46)</f>
        <v>259000</v>
      </c>
      <c r="R46" s="2">
        <f>R36</f>
        <v>73000</v>
      </c>
      <c r="S46" s="15"/>
    </row>
    <row r="47" spans="12:19">
      <c r="L47" s="1" t="s">
        <v>22</v>
      </c>
      <c r="M47" s="2">
        <v>5</v>
      </c>
      <c r="N47" s="2">
        <v>5</v>
      </c>
      <c r="O47" s="2">
        <v>5</v>
      </c>
      <c r="P47" s="2">
        <v>5</v>
      </c>
      <c r="Q47" s="2">
        <v>5</v>
      </c>
      <c r="R47" s="7">
        <v>5</v>
      </c>
      <c r="S47" s="11"/>
    </row>
    <row r="48" spans="12:19">
      <c r="L48" s="1" t="s">
        <v>23</v>
      </c>
      <c r="M48" s="2">
        <f t="shared" ref="M48:R48" si="3">+M47*M46</f>
        <v>230000</v>
      </c>
      <c r="N48" s="2">
        <f t="shared" si="3"/>
        <v>360000</v>
      </c>
      <c r="O48" s="2">
        <f t="shared" si="3"/>
        <v>425000</v>
      </c>
      <c r="P48" s="2">
        <f t="shared" si="3"/>
        <v>280000</v>
      </c>
      <c r="Q48" s="2">
        <f t="shared" si="3"/>
        <v>1295000</v>
      </c>
      <c r="R48" s="2">
        <f t="shared" si="3"/>
        <v>365000</v>
      </c>
    </row>
    <row r="49" spans="12:18">
      <c r="L49" s="1" t="s">
        <v>24</v>
      </c>
      <c r="M49" s="7">
        <f>+N46*$N$40</f>
        <v>36000</v>
      </c>
      <c r="N49" s="7">
        <f>+O46*$N$40</f>
        <v>42500</v>
      </c>
      <c r="O49" s="7">
        <f>+P46*$N$40</f>
        <v>28000</v>
      </c>
      <c r="P49" s="7">
        <f>+R46*$N$40</f>
        <v>36500</v>
      </c>
      <c r="Q49" s="7">
        <f>+P49</f>
        <v>36500</v>
      </c>
      <c r="R49" s="7"/>
    </row>
    <row r="50" spans="12:18">
      <c r="L50" s="1" t="s">
        <v>21</v>
      </c>
      <c r="M50" s="2">
        <f>SUM(M48:M49)</f>
        <v>266000</v>
      </c>
      <c r="N50" s="2">
        <f>SUM(N48:N49)</f>
        <v>402500</v>
      </c>
      <c r="O50" s="2">
        <f>SUM(O48:O49)</f>
        <v>453000</v>
      </c>
      <c r="P50" s="2">
        <f>SUM(P48:P49)</f>
        <v>316500</v>
      </c>
      <c r="Q50" s="2">
        <f>+Q49+Q48</f>
        <v>1331500</v>
      </c>
    </row>
    <row r="51" spans="12:18">
      <c r="L51" s="1" t="s">
        <v>25</v>
      </c>
      <c r="M51" s="7">
        <v>23000</v>
      </c>
      <c r="N51" s="7">
        <f>+M49</f>
        <v>36000</v>
      </c>
      <c r="O51" s="7">
        <f>+N49</f>
        <v>42500</v>
      </c>
      <c r="P51" s="7">
        <f>+O49</f>
        <v>28000</v>
      </c>
      <c r="Q51" s="7">
        <f>+M51</f>
        <v>23000</v>
      </c>
      <c r="R51" s="7"/>
    </row>
    <row r="52" spans="12:18">
      <c r="L52" s="1" t="s">
        <v>26</v>
      </c>
      <c r="M52" s="2">
        <f>+M50-M51</f>
        <v>243000</v>
      </c>
      <c r="N52" s="2">
        <f>+N50-N51</f>
        <v>366500</v>
      </c>
      <c r="O52" s="2">
        <f>+O50-O51</f>
        <v>410500</v>
      </c>
      <c r="P52" s="2">
        <f>+P50-P51</f>
        <v>288500</v>
      </c>
      <c r="Q52" s="2">
        <f>+Q50-Q51</f>
        <v>1308500</v>
      </c>
    </row>
    <row r="53" spans="12:18">
      <c r="L53" s="1" t="s">
        <v>27</v>
      </c>
      <c r="M53" s="1">
        <v>0.8</v>
      </c>
      <c r="N53" s="1">
        <v>0.8</v>
      </c>
      <c r="O53" s="1">
        <v>0.8</v>
      </c>
      <c r="P53" s="1">
        <v>0.8</v>
      </c>
      <c r="Q53" s="1">
        <v>0.8</v>
      </c>
    </row>
    <row r="54" spans="12:18">
      <c r="L54" s="1" t="s">
        <v>28</v>
      </c>
      <c r="M54" s="1">
        <f>+M52*M53</f>
        <v>194400</v>
      </c>
      <c r="N54" s="1">
        <f>+N52*N53</f>
        <v>293200</v>
      </c>
      <c r="O54" s="1">
        <f>+O52*O53</f>
        <v>328400</v>
      </c>
      <c r="P54" s="1">
        <f>+P52*P53</f>
        <v>230800</v>
      </c>
      <c r="Q54" s="1">
        <f>+Q52*Q53</f>
        <v>1046800</v>
      </c>
    </row>
    <row r="57" spans="12:18">
      <c r="L57" s="1" t="s">
        <v>30</v>
      </c>
      <c r="M57" s="6">
        <v>0.6</v>
      </c>
    </row>
    <row r="58" spans="12:18">
      <c r="L58" s="1" t="s">
        <v>31</v>
      </c>
      <c r="M58" s="6">
        <v>0.4</v>
      </c>
    </row>
    <row r="61" spans="12:18">
      <c r="L61" s="164" t="s">
        <v>29</v>
      </c>
      <c r="M61" s="164"/>
      <c r="N61" s="164"/>
      <c r="O61" s="164"/>
      <c r="P61" s="164"/>
      <c r="Q61" s="164"/>
    </row>
    <row r="62" spans="12:18">
      <c r="L62" s="1" t="s">
        <v>37</v>
      </c>
      <c r="M62" s="1">
        <v>81500</v>
      </c>
      <c r="Q62" s="1">
        <f>SUM(M62:P62)</f>
        <v>81500</v>
      </c>
    </row>
    <row r="63" spans="12:18">
      <c r="L63" s="1" t="s">
        <v>32</v>
      </c>
      <c r="M63" s="1">
        <f>M54*M57</f>
        <v>116640</v>
      </c>
      <c r="N63" s="1">
        <f>+M58*M54</f>
        <v>77760</v>
      </c>
      <c r="Q63" s="1">
        <f>SUM(M63:P63)</f>
        <v>194400</v>
      </c>
    </row>
    <row r="64" spans="12:18">
      <c r="L64" s="1" t="s">
        <v>33</v>
      </c>
      <c r="N64" s="1">
        <f>N54*M57</f>
        <v>175920</v>
      </c>
      <c r="O64" s="1">
        <f>+M58*N54</f>
        <v>117280</v>
      </c>
      <c r="Q64" s="1">
        <f>SUM(M64:P64)</f>
        <v>293200</v>
      </c>
    </row>
    <row r="65" spans="12:17">
      <c r="L65" s="1" t="s">
        <v>34</v>
      </c>
      <c r="O65" s="1">
        <f>O54*M57</f>
        <v>197040</v>
      </c>
      <c r="P65" s="1">
        <f>+M58*O54</f>
        <v>131360</v>
      </c>
      <c r="Q65" s="1">
        <f>SUM(M65:P65)</f>
        <v>328400</v>
      </c>
    </row>
    <row r="66" spans="12:17">
      <c r="L66" s="1" t="s">
        <v>35</v>
      </c>
      <c r="P66" s="1">
        <f>P54*M57</f>
        <v>138480</v>
      </c>
      <c r="Q66" s="1">
        <f>SUM(M66:P66)</f>
        <v>138480</v>
      </c>
    </row>
    <row r="67" spans="12:17" ht="16" thickBot="1">
      <c r="L67" s="1" t="s">
        <v>36</v>
      </c>
      <c r="M67" s="4">
        <f>SUM(M62:M66)</f>
        <v>198140</v>
      </c>
      <c r="N67" s="4">
        <f>SUM(N62:N66)</f>
        <v>253680</v>
      </c>
      <c r="O67" s="4">
        <f>SUM(O62:O66)</f>
        <v>314320</v>
      </c>
      <c r="P67" s="4">
        <f>SUM(P62:P66)</f>
        <v>269840</v>
      </c>
      <c r="Q67" s="4">
        <f>SUM(Q62:Q66)</f>
        <v>1035980</v>
      </c>
    </row>
    <row r="68" spans="12:17" ht="16" thickTop="1"/>
  </sheetData>
  <mergeCells count="15">
    <mergeCell ref="L61:Q61"/>
    <mergeCell ref="M30:P30"/>
    <mergeCell ref="R30:S30"/>
    <mergeCell ref="R29:S29"/>
    <mergeCell ref="L28:S28"/>
    <mergeCell ref="L4:S4"/>
    <mergeCell ref="M44:P44"/>
    <mergeCell ref="L42:S42"/>
    <mergeCell ref="M5:P5"/>
    <mergeCell ref="M6:P6"/>
    <mergeCell ref="S5:T5"/>
    <mergeCell ref="S6:T6"/>
    <mergeCell ref="L16:Q16"/>
    <mergeCell ref="R43:S43"/>
    <mergeCell ref="R44:S44"/>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L60"/>
  <sheetViews>
    <sheetView topLeftCell="A37" zoomScale="130" zoomScaleNormal="130" zoomScalePageLayoutView="130" workbookViewId="0">
      <selection activeCell="I45" sqref="I45:J60"/>
    </sheetView>
  </sheetViews>
  <sheetFormatPr baseColWidth="10" defaultColWidth="10.83203125" defaultRowHeight="15" x14ac:dyDescent="0"/>
  <cols>
    <col min="1" max="8" width="10.83203125" style="1"/>
    <col min="9" max="9" width="40.5" style="1" bestFit="1" customWidth="1"/>
    <col min="10" max="16384" width="10.83203125" style="1"/>
  </cols>
  <sheetData>
    <row r="2" spans="9:12">
      <c r="I2" s="1" t="s">
        <v>68</v>
      </c>
      <c r="J2" s="1">
        <v>9000</v>
      </c>
    </row>
    <row r="4" spans="9:12">
      <c r="J4" s="97" t="s">
        <v>200</v>
      </c>
      <c r="K4" s="97" t="s">
        <v>201</v>
      </c>
      <c r="L4" s="97" t="s">
        <v>202</v>
      </c>
    </row>
    <row r="5" spans="9:12">
      <c r="I5" s="1" t="s">
        <v>334</v>
      </c>
      <c r="J5" s="1">
        <v>6500</v>
      </c>
      <c r="K5" s="1">
        <v>5250</v>
      </c>
      <c r="L5" s="1">
        <v>7400</v>
      </c>
    </row>
    <row r="6" spans="9:12">
      <c r="I6" s="1" t="s">
        <v>335</v>
      </c>
      <c r="J6" s="10">
        <v>20000</v>
      </c>
      <c r="K6" s="10">
        <v>30000</v>
      </c>
      <c r="L6" s="10">
        <v>40000</v>
      </c>
    </row>
    <row r="7" spans="9:12">
      <c r="I7" s="1" t="s">
        <v>1</v>
      </c>
      <c r="J7" s="1">
        <f>SUM(J5:J6)</f>
        <v>26500</v>
      </c>
      <c r="K7" s="1">
        <f>SUM(K5:K6)</f>
        <v>35250</v>
      </c>
      <c r="L7" s="1">
        <f>SUM(L5:L6)</f>
        <v>47400</v>
      </c>
    </row>
    <row r="10" spans="9:12">
      <c r="I10" s="1" t="s">
        <v>309</v>
      </c>
      <c r="J10" s="6">
        <v>0.1</v>
      </c>
    </row>
    <row r="11" spans="9:12">
      <c r="I11" s="1" t="s">
        <v>336</v>
      </c>
      <c r="J11" s="6">
        <v>0.7</v>
      </c>
    </row>
    <row r="12" spans="9:12">
      <c r="I12" s="1" t="s">
        <v>337</v>
      </c>
      <c r="J12" s="6">
        <v>0.18</v>
      </c>
    </row>
    <row r="13" spans="9:12">
      <c r="I13" s="1" t="s">
        <v>338</v>
      </c>
      <c r="J13" s="6">
        <v>0.02</v>
      </c>
    </row>
    <row r="15" spans="9:12">
      <c r="I15" s="1" t="s">
        <v>339</v>
      </c>
      <c r="J15" s="1">
        <v>25000</v>
      </c>
    </row>
    <row r="16" spans="9:12">
      <c r="I16" s="1" t="s">
        <v>340</v>
      </c>
      <c r="J16" s="6">
        <v>0.2</v>
      </c>
    </row>
    <row r="19" spans="9:10">
      <c r="I19" s="1" t="s">
        <v>341</v>
      </c>
      <c r="J19" s="1">
        <v>16000</v>
      </c>
    </row>
    <row r="20" spans="9:10">
      <c r="I20" s="1" t="s">
        <v>342</v>
      </c>
    </row>
    <row r="22" spans="9:10">
      <c r="I22" s="1" t="s">
        <v>343</v>
      </c>
      <c r="J22" s="1">
        <v>13000</v>
      </c>
    </row>
    <row r="23" spans="9:10">
      <c r="I23" s="1" t="s">
        <v>344</v>
      </c>
      <c r="J23" s="1">
        <v>4000</v>
      </c>
    </row>
    <row r="25" spans="9:10">
      <c r="I25" s="1" t="s">
        <v>348</v>
      </c>
      <c r="J25" s="1">
        <v>18000</v>
      </c>
    </row>
    <row r="26" spans="9:10">
      <c r="I26" s="1" t="s">
        <v>345</v>
      </c>
      <c r="J26" s="1">
        <v>3000</v>
      </c>
    </row>
    <row r="28" spans="9:10">
      <c r="I28" s="1" t="s">
        <v>346</v>
      </c>
      <c r="J28" s="1">
        <v>5000</v>
      </c>
    </row>
    <row r="31" spans="9:10">
      <c r="I31" s="110"/>
      <c r="J31" s="111" t="s">
        <v>202</v>
      </c>
    </row>
    <row r="32" spans="9:10">
      <c r="I32" s="112" t="s">
        <v>334</v>
      </c>
      <c r="J32" s="113">
        <f>L5</f>
        <v>7400</v>
      </c>
    </row>
    <row r="33" spans="9:10">
      <c r="I33" s="112" t="s">
        <v>347</v>
      </c>
      <c r="J33" s="113"/>
    </row>
    <row r="34" spans="9:10">
      <c r="I34" s="114" t="s">
        <v>200</v>
      </c>
      <c r="J34" s="113">
        <f>J6*J12</f>
        <v>3600</v>
      </c>
    </row>
    <row r="35" spans="9:10">
      <c r="I35" s="114" t="s">
        <v>201</v>
      </c>
      <c r="J35" s="113">
        <f>K6*J11</f>
        <v>21000</v>
      </c>
    </row>
    <row r="36" spans="9:10">
      <c r="I36" s="114" t="s">
        <v>202</v>
      </c>
      <c r="J36" s="115">
        <f>L6*J10</f>
        <v>4000</v>
      </c>
    </row>
    <row r="37" spans="9:10">
      <c r="I37" s="116" t="s">
        <v>10</v>
      </c>
      <c r="J37" s="117">
        <f>SUM(J32:J36)</f>
        <v>36000</v>
      </c>
    </row>
    <row r="39" spans="9:10">
      <c r="I39" s="110" t="s">
        <v>349</v>
      </c>
      <c r="J39" s="111" t="s">
        <v>202</v>
      </c>
    </row>
    <row r="40" spans="9:10">
      <c r="I40" s="112" t="s">
        <v>350</v>
      </c>
      <c r="J40" s="113">
        <f>J15*J16</f>
        <v>5000</v>
      </c>
    </row>
    <row r="41" spans="9:10">
      <c r="I41" s="112" t="s">
        <v>351</v>
      </c>
      <c r="J41" s="115">
        <f>J19</f>
        <v>16000</v>
      </c>
    </row>
    <row r="42" spans="9:10">
      <c r="I42" s="120" t="s">
        <v>11</v>
      </c>
      <c r="J42" s="117">
        <f>SUM(J40:J41)</f>
        <v>21000</v>
      </c>
    </row>
    <row r="44" spans="9:10">
      <c r="J44" s="10"/>
    </row>
    <row r="45" spans="9:10">
      <c r="I45" s="110"/>
      <c r="J45" s="111" t="s">
        <v>202</v>
      </c>
    </row>
    <row r="46" spans="9:10">
      <c r="I46" s="112" t="s">
        <v>68</v>
      </c>
      <c r="J46" s="113">
        <f>J2</f>
        <v>9000</v>
      </c>
    </row>
    <row r="47" spans="9:10">
      <c r="I47" s="112" t="s">
        <v>69</v>
      </c>
      <c r="J47" s="115">
        <f>J37</f>
        <v>36000</v>
      </c>
    </row>
    <row r="48" spans="9:10">
      <c r="I48" s="121" t="s">
        <v>70</v>
      </c>
      <c r="J48" s="122">
        <f>SUM(J46:J47)</f>
        <v>45000</v>
      </c>
    </row>
    <row r="49" spans="9:10">
      <c r="I49" s="112" t="s">
        <v>352</v>
      </c>
      <c r="J49" s="113"/>
    </row>
    <row r="50" spans="9:10">
      <c r="I50" s="114" t="s">
        <v>353</v>
      </c>
      <c r="J50" s="113">
        <f>J15*J16</f>
        <v>5000</v>
      </c>
    </row>
    <row r="51" spans="9:10">
      <c r="I51" s="114" t="s">
        <v>354</v>
      </c>
      <c r="J51" s="113">
        <f>J19</f>
        <v>16000</v>
      </c>
    </row>
    <row r="52" spans="9:10">
      <c r="I52" s="114" t="s">
        <v>355</v>
      </c>
      <c r="J52" s="113">
        <f>J22-J23</f>
        <v>9000</v>
      </c>
    </row>
    <row r="53" spans="9:10">
      <c r="I53" s="114" t="s">
        <v>73</v>
      </c>
      <c r="J53" s="113">
        <f>J25</f>
        <v>18000</v>
      </c>
    </row>
    <row r="54" spans="9:10">
      <c r="I54" s="114" t="s">
        <v>356</v>
      </c>
      <c r="J54" s="115">
        <f>J26</f>
        <v>3000</v>
      </c>
    </row>
    <row r="55" spans="9:10">
      <c r="I55" s="123" t="s">
        <v>75</v>
      </c>
      <c r="J55" s="122">
        <f>SUM(J50:J54)</f>
        <v>51000</v>
      </c>
    </row>
    <row r="56" spans="9:10">
      <c r="I56" s="112" t="s">
        <v>82</v>
      </c>
      <c r="J56" s="113">
        <f>J48-J55</f>
        <v>-6000</v>
      </c>
    </row>
    <row r="57" spans="9:10">
      <c r="I57" s="112"/>
      <c r="J57" s="113"/>
    </row>
    <row r="58" spans="9:10">
      <c r="I58" s="112" t="s">
        <v>78</v>
      </c>
      <c r="J58" s="113">
        <f>J60-J56</f>
        <v>11000</v>
      </c>
    </row>
    <row r="59" spans="9:10">
      <c r="I59" s="112"/>
      <c r="J59" s="113"/>
    </row>
    <row r="60" spans="9:10">
      <c r="I60" s="120" t="s">
        <v>76</v>
      </c>
      <c r="J60" s="124">
        <f>J28</f>
        <v>5000</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P94"/>
  <sheetViews>
    <sheetView topLeftCell="D55" zoomScale="115" zoomScaleNormal="115" zoomScalePageLayoutView="115" workbookViewId="0">
      <selection activeCell="K40" sqref="K40"/>
    </sheetView>
  </sheetViews>
  <sheetFormatPr baseColWidth="10" defaultColWidth="10.83203125" defaultRowHeight="15" x14ac:dyDescent="0"/>
  <cols>
    <col min="1" max="10" width="10.83203125" style="1"/>
    <col min="11" max="11" width="42" style="1" bestFit="1" customWidth="1"/>
    <col min="12" max="15" width="14.33203125" style="1" customWidth="1"/>
    <col min="16" max="16384" width="10.83203125" style="1"/>
  </cols>
  <sheetData>
    <row r="1" spans="11:15">
      <c r="L1" s="106" t="s">
        <v>200</v>
      </c>
      <c r="M1" s="106" t="s">
        <v>201</v>
      </c>
      <c r="N1" s="106" t="s">
        <v>202</v>
      </c>
      <c r="O1" s="106" t="s">
        <v>210</v>
      </c>
    </row>
    <row r="2" spans="11:15">
      <c r="K2" s="1" t="s">
        <v>83</v>
      </c>
      <c r="L2" s="1">
        <v>40000</v>
      </c>
      <c r="M2" s="1">
        <v>70000</v>
      </c>
      <c r="N2" s="1">
        <v>50000</v>
      </c>
      <c r="O2" s="1">
        <v>45000</v>
      </c>
    </row>
    <row r="3" spans="11:15">
      <c r="K3" s="1" t="s">
        <v>313</v>
      </c>
      <c r="L3" s="10">
        <v>24000</v>
      </c>
      <c r="M3" s="10">
        <v>42000</v>
      </c>
      <c r="N3" s="10">
        <v>30000</v>
      </c>
      <c r="O3" s="10">
        <v>27000</v>
      </c>
    </row>
    <row r="4" spans="11:15">
      <c r="K4" s="1" t="s">
        <v>85</v>
      </c>
      <c r="L4" s="1">
        <f>L2-L3</f>
        <v>16000</v>
      </c>
      <c r="M4" s="1">
        <f>M2-M3</f>
        <v>28000</v>
      </c>
      <c r="N4" s="1">
        <f>N2-N3</f>
        <v>20000</v>
      </c>
      <c r="O4" s="1">
        <f>O2-O3</f>
        <v>18000</v>
      </c>
    </row>
    <row r="5" spans="11:15">
      <c r="K5" s="1" t="s">
        <v>358</v>
      </c>
    </row>
    <row r="6" spans="11:15">
      <c r="K6" s="19" t="s">
        <v>359</v>
      </c>
      <c r="L6" s="1">
        <v>7200</v>
      </c>
      <c r="M6" s="1">
        <v>11700</v>
      </c>
      <c r="N6" s="1">
        <v>8500</v>
      </c>
      <c r="O6" s="1">
        <v>7300</v>
      </c>
    </row>
    <row r="7" spans="11:15">
      <c r="K7" s="19" t="s">
        <v>388</v>
      </c>
      <c r="L7" s="10">
        <v>5600</v>
      </c>
      <c r="M7" s="10">
        <v>7200</v>
      </c>
      <c r="N7" s="10">
        <v>6100</v>
      </c>
      <c r="O7" s="10">
        <v>5900</v>
      </c>
    </row>
    <row r="8" spans="11:15">
      <c r="K8" s="1" t="s">
        <v>360</v>
      </c>
      <c r="L8" s="10">
        <f>SUM(L6:L7)</f>
        <v>12800</v>
      </c>
      <c r="M8" s="10">
        <f>SUM(M6:M7)</f>
        <v>18900</v>
      </c>
      <c r="N8" s="10">
        <f>SUM(N6:N7)</f>
        <v>14600</v>
      </c>
      <c r="O8" s="10">
        <f>SUM(O6:O7)</f>
        <v>13200</v>
      </c>
    </row>
    <row r="9" spans="11:15">
      <c r="K9" s="1" t="s">
        <v>86</v>
      </c>
      <c r="L9" s="1">
        <f>L4-L8</f>
        <v>3200</v>
      </c>
      <c r="M9" s="1">
        <f>M4-M8</f>
        <v>9100</v>
      </c>
      <c r="N9" s="1">
        <f>N4-N8</f>
        <v>5400</v>
      </c>
      <c r="O9" s="1">
        <f>O4-O8</f>
        <v>4800</v>
      </c>
    </row>
    <row r="12" spans="11:15">
      <c r="K12" s="1" t="s">
        <v>361</v>
      </c>
      <c r="L12" s="6">
        <v>0.2</v>
      </c>
    </row>
    <row r="13" spans="11:15">
      <c r="L13" s="105" t="s">
        <v>200</v>
      </c>
      <c r="M13" s="105" t="s">
        <v>201</v>
      </c>
      <c r="N13" s="105" t="s">
        <v>202</v>
      </c>
      <c r="O13" s="105" t="s">
        <v>210</v>
      </c>
    </row>
    <row r="14" spans="11:15">
      <c r="K14" s="1" t="s">
        <v>83</v>
      </c>
      <c r="L14" s="1">
        <f>L2*$L$12</f>
        <v>8000</v>
      </c>
      <c r="M14" s="1">
        <f>M2*$L$12</f>
        <v>14000</v>
      </c>
      <c r="N14" s="1">
        <f>N2*$L$12</f>
        <v>10000</v>
      </c>
      <c r="O14" s="1">
        <f>O2*$L$12</f>
        <v>9000</v>
      </c>
    </row>
    <row r="16" spans="11:15">
      <c r="K16" s="1" t="s">
        <v>362</v>
      </c>
      <c r="L16" s="6">
        <v>0.8</v>
      </c>
    </row>
    <row r="17" spans="11:13">
      <c r="K17" s="19" t="s">
        <v>363</v>
      </c>
      <c r="L17" s="6">
        <v>0.1</v>
      </c>
    </row>
    <row r="18" spans="11:13">
      <c r="K18" s="19" t="s">
        <v>364</v>
      </c>
      <c r="L18" s="6">
        <v>0.7</v>
      </c>
    </row>
    <row r="19" spans="11:13">
      <c r="K19" s="19" t="s">
        <v>365</v>
      </c>
      <c r="L19" s="6">
        <v>0.2</v>
      </c>
    </row>
    <row r="21" spans="11:13">
      <c r="K21" s="1" t="s">
        <v>206</v>
      </c>
      <c r="L21" s="1">
        <v>30000</v>
      </c>
    </row>
    <row r="22" spans="11:13">
      <c r="K22" s="1" t="s">
        <v>207</v>
      </c>
      <c r="L22" s="1">
        <v>36000</v>
      </c>
    </row>
    <row r="24" spans="11:13">
      <c r="K24" s="1" t="s">
        <v>366</v>
      </c>
      <c r="L24" s="6">
        <v>0.5</v>
      </c>
    </row>
    <row r="25" spans="11:13">
      <c r="K25" s="1" t="s">
        <v>367</v>
      </c>
      <c r="L25" s="6">
        <v>0.5</v>
      </c>
    </row>
    <row r="26" spans="11:13">
      <c r="K26" s="1" t="s">
        <v>368</v>
      </c>
      <c r="L26" s="1">
        <v>11700</v>
      </c>
    </row>
    <row r="28" spans="11:13">
      <c r="K28" s="1" t="s">
        <v>369</v>
      </c>
      <c r="L28" s="6">
        <v>0.75</v>
      </c>
      <c r="M28" s="1" t="s">
        <v>370</v>
      </c>
    </row>
    <row r="29" spans="11:13">
      <c r="K29" s="1" t="s">
        <v>371</v>
      </c>
      <c r="L29" s="1">
        <v>18000</v>
      </c>
    </row>
    <row r="31" spans="11:13">
      <c r="K31" s="1" t="s">
        <v>372</v>
      </c>
      <c r="L31" s="1">
        <v>4500</v>
      </c>
    </row>
    <row r="33" spans="11:15">
      <c r="K33" s="1" t="s">
        <v>373</v>
      </c>
      <c r="L33" s="1">
        <v>1000</v>
      </c>
    </row>
    <row r="35" spans="11:15">
      <c r="K35" s="1" t="s">
        <v>375</v>
      </c>
      <c r="L35" s="1">
        <v>8000</v>
      </c>
    </row>
    <row r="36" spans="11:15">
      <c r="K36" s="1" t="s">
        <v>374</v>
      </c>
    </row>
    <row r="38" spans="11:15">
      <c r="K38" s="1" t="s">
        <v>376</v>
      </c>
      <c r="L38" s="1">
        <v>1000</v>
      </c>
    </row>
    <row r="39" spans="11:15">
      <c r="K39" s="1" t="s">
        <v>377</v>
      </c>
      <c r="L39" s="1">
        <v>40000</v>
      </c>
    </row>
    <row r="40" spans="11:15">
      <c r="K40" s="1" t="s">
        <v>378</v>
      </c>
      <c r="L40" s="6">
        <v>0.01</v>
      </c>
    </row>
    <row r="41" spans="11:15">
      <c r="K41" s="1" t="s">
        <v>391</v>
      </c>
    </row>
    <row r="43" spans="11:15">
      <c r="L43" s="161" t="s">
        <v>304</v>
      </c>
      <c r="M43" s="161"/>
      <c r="N43" s="161"/>
      <c r="O43" s="161"/>
    </row>
    <row r="44" spans="11:15">
      <c r="K44" s="1" t="s">
        <v>208</v>
      </c>
      <c r="L44" s="105" t="s">
        <v>200</v>
      </c>
      <c r="M44" s="105" t="s">
        <v>201</v>
      </c>
      <c r="N44" s="105" t="s">
        <v>202</v>
      </c>
      <c r="O44" s="105" t="s">
        <v>306</v>
      </c>
    </row>
    <row r="45" spans="11:15">
      <c r="K45" s="1" t="s">
        <v>379</v>
      </c>
      <c r="L45" s="125">
        <f>L21*L16*L19</f>
        <v>4800</v>
      </c>
      <c r="M45" s="105"/>
      <c r="N45" s="105"/>
      <c r="O45" s="105">
        <f t="shared" ref="O45:O50" si="0">SUM(L45:N45)</f>
        <v>4800</v>
      </c>
    </row>
    <row r="46" spans="11:15">
      <c r="K46" s="1" t="s">
        <v>380</v>
      </c>
      <c r="L46" s="125">
        <f>L22*L16*L18</f>
        <v>20160</v>
      </c>
      <c r="M46" s="1">
        <f>L22*L16*L19</f>
        <v>5760</v>
      </c>
      <c r="O46" s="105">
        <f t="shared" si="0"/>
        <v>25920</v>
      </c>
    </row>
    <row r="47" spans="11:15">
      <c r="K47" s="127" t="s">
        <v>334</v>
      </c>
      <c r="L47" s="127">
        <f>L14</f>
        <v>8000</v>
      </c>
      <c r="M47" s="127">
        <f>M14</f>
        <v>14000</v>
      </c>
      <c r="N47" s="127">
        <f>N14</f>
        <v>10000</v>
      </c>
      <c r="O47" s="128">
        <f t="shared" si="0"/>
        <v>32000</v>
      </c>
    </row>
    <row r="48" spans="11:15">
      <c r="K48" s="1" t="s">
        <v>381</v>
      </c>
      <c r="L48" s="1">
        <f>L2*L16*L17</f>
        <v>3200</v>
      </c>
      <c r="M48" s="1">
        <f>L2*L16*L18</f>
        <v>22400</v>
      </c>
      <c r="N48" s="1">
        <f>L2*L16*L19</f>
        <v>6400</v>
      </c>
      <c r="O48" s="105">
        <f t="shared" si="0"/>
        <v>32000</v>
      </c>
    </row>
    <row r="49" spans="11:15">
      <c r="K49" s="1" t="s">
        <v>382</v>
      </c>
      <c r="M49" s="1">
        <f>M2*L16*L17</f>
        <v>5600</v>
      </c>
      <c r="N49" s="1">
        <f>M2*L16*L18</f>
        <v>39200</v>
      </c>
      <c r="O49" s="105">
        <f t="shared" si="0"/>
        <v>44800</v>
      </c>
    </row>
    <row r="50" spans="11:15">
      <c r="K50" s="1" t="s">
        <v>383</v>
      </c>
      <c r="N50" s="1">
        <f>N2*L16*L17</f>
        <v>4000</v>
      </c>
      <c r="O50" s="105">
        <f t="shared" si="0"/>
        <v>4000</v>
      </c>
    </row>
    <row r="51" spans="11:15" ht="16" thickBot="1">
      <c r="K51" s="1" t="s">
        <v>10</v>
      </c>
      <c r="L51" s="126">
        <f>SUM(L45:L50)</f>
        <v>36160</v>
      </c>
      <c r="M51" s="126">
        <f>SUM(M45:M50)</f>
        <v>47760</v>
      </c>
      <c r="N51" s="126">
        <f>SUM(N45:N50)</f>
        <v>59600</v>
      </c>
      <c r="O51" s="126">
        <f>SUM(O45:O50)</f>
        <v>143520</v>
      </c>
    </row>
    <row r="52" spans="11:15" ht="16" thickTop="1"/>
    <row r="54" spans="11:15">
      <c r="L54" s="161" t="s">
        <v>304</v>
      </c>
      <c r="M54" s="161"/>
      <c r="N54" s="161"/>
      <c r="O54" s="161"/>
    </row>
    <row r="55" spans="11:15">
      <c r="L55" s="105" t="s">
        <v>200</v>
      </c>
      <c r="M55" s="105" t="s">
        <v>201</v>
      </c>
      <c r="N55" s="105" t="s">
        <v>202</v>
      </c>
      <c r="O55" s="105" t="s">
        <v>306</v>
      </c>
    </row>
    <row r="56" spans="11:15">
      <c r="K56" s="1" t="s">
        <v>94</v>
      </c>
      <c r="L56" s="1">
        <f>L3</f>
        <v>24000</v>
      </c>
      <c r="M56" s="1">
        <f>M3</f>
        <v>42000</v>
      </c>
      <c r="N56" s="1">
        <f>N3</f>
        <v>30000</v>
      </c>
      <c r="O56" s="1">
        <f>SUM(L56:N56)</f>
        <v>96000</v>
      </c>
    </row>
    <row r="57" spans="11:15">
      <c r="K57" s="1" t="s">
        <v>321</v>
      </c>
      <c r="L57" s="10">
        <f>M3*$L$28</f>
        <v>31500</v>
      </c>
      <c r="M57" s="10">
        <f>N3*$L$28</f>
        <v>22500</v>
      </c>
      <c r="N57" s="10">
        <f>O3*$L$28</f>
        <v>20250</v>
      </c>
      <c r="O57" s="10">
        <f>+N57</f>
        <v>20250</v>
      </c>
    </row>
    <row r="58" spans="11:15">
      <c r="K58" s="1" t="s">
        <v>15</v>
      </c>
      <c r="L58" s="1">
        <f>+L57+L56</f>
        <v>55500</v>
      </c>
      <c r="M58" s="1">
        <f>+M57+M56</f>
        <v>64500</v>
      </c>
      <c r="N58" s="1">
        <f>+N57+N56</f>
        <v>50250</v>
      </c>
      <c r="O58" s="1">
        <f>+O57+O56</f>
        <v>116250</v>
      </c>
    </row>
    <row r="59" spans="11:15">
      <c r="K59" s="1" t="s">
        <v>16</v>
      </c>
      <c r="L59" s="10">
        <f>L29</f>
        <v>18000</v>
      </c>
      <c r="M59" s="10">
        <f>L57</f>
        <v>31500</v>
      </c>
      <c r="N59" s="10">
        <f>M57</f>
        <v>22500</v>
      </c>
      <c r="O59" s="10">
        <f>+L59</f>
        <v>18000</v>
      </c>
    </row>
    <row r="60" spans="11:15" ht="16" thickBot="1">
      <c r="K60" s="1" t="s">
        <v>384</v>
      </c>
      <c r="L60" s="4">
        <f>+L58-L59</f>
        <v>37500</v>
      </c>
      <c r="M60" s="4">
        <f>+M58-M59</f>
        <v>33000</v>
      </c>
      <c r="N60" s="4">
        <f>+N58-N59</f>
        <v>27750</v>
      </c>
      <c r="O60" s="4">
        <f>+O58-O59</f>
        <v>98250</v>
      </c>
    </row>
    <row r="61" spans="11:15" ht="16" thickTop="1"/>
    <row r="63" spans="11:15">
      <c r="L63" s="161" t="s">
        <v>304</v>
      </c>
      <c r="M63" s="161"/>
      <c r="N63" s="161"/>
      <c r="O63" s="161"/>
    </row>
    <row r="64" spans="11:15">
      <c r="L64" s="105" t="s">
        <v>200</v>
      </c>
      <c r="M64" s="105" t="s">
        <v>201</v>
      </c>
      <c r="N64" s="105" t="s">
        <v>202</v>
      </c>
      <c r="O64" s="105" t="s">
        <v>306</v>
      </c>
    </row>
    <row r="65" spans="11:16">
      <c r="K65" s="1" t="s">
        <v>37</v>
      </c>
      <c r="L65" s="1">
        <f>L26</f>
        <v>11700</v>
      </c>
      <c r="O65" s="1">
        <f>SUM(L65:N65)</f>
        <v>11700</v>
      </c>
    </row>
    <row r="66" spans="11:16">
      <c r="K66" s="1" t="s">
        <v>32</v>
      </c>
      <c r="L66" s="1">
        <f>L60*L24</f>
        <v>18750</v>
      </c>
      <c r="M66" s="1">
        <f>L60*L25</f>
        <v>18750</v>
      </c>
      <c r="O66" s="1">
        <f>SUM(L66:N66)</f>
        <v>37500</v>
      </c>
    </row>
    <row r="67" spans="11:16">
      <c r="K67" s="1" t="s">
        <v>33</v>
      </c>
      <c r="M67" s="1">
        <f>M60*L24</f>
        <v>16500</v>
      </c>
      <c r="N67" s="1">
        <f>M60*L25</f>
        <v>16500</v>
      </c>
      <c r="O67" s="1">
        <f>SUM(L67:N67)</f>
        <v>33000</v>
      </c>
    </row>
    <row r="68" spans="11:16">
      <c r="K68" s="1" t="s">
        <v>34</v>
      </c>
      <c r="N68" s="1">
        <f>N60*L24</f>
        <v>13875</v>
      </c>
      <c r="O68" s="1">
        <f>SUM(L68:N68)</f>
        <v>13875</v>
      </c>
    </row>
    <row r="69" spans="11:16" ht="16" thickBot="1">
      <c r="K69" s="1" t="s">
        <v>36</v>
      </c>
      <c r="L69" s="4">
        <f>SUM(L65:L68)</f>
        <v>30450</v>
      </c>
      <c r="M69" s="4">
        <f>SUM(M65:M68)</f>
        <v>35250</v>
      </c>
      <c r="N69" s="4">
        <f>SUM(N65:N68)</f>
        <v>30375</v>
      </c>
      <c r="O69" s="4">
        <f>SUM(O65:O68)</f>
        <v>96075</v>
      </c>
    </row>
    <row r="70" spans="11:16" ht="16" thickTop="1"/>
    <row r="72" spans="11:16">
      <c r="L72" s="90" t="str">
        <f>L64</f>
        <v>Julho</v>
      </c>
      <c r="M72" s="90" t="str">
        <f>M64</f>
        <v>Agosto</v>
      </c>
      <c r="N72" s="90" t="str">
        <f>N64</f>
        <v>Setembro</v>
      </c>
      <c r="O72" s="90" t="str">
        <f>O64</f>
        <v>TRIMESTRE</v>
      </c>
      <c r="P72" s="106"/>
    </row>
    <row r="73" spans="11:16">
      <c r="K73" s="1" t="s">
        <v>68</v>
      </c>
      <c r="L73" s="1">
        <f>L35</f>
        <v>8000</v>
      </c>
      <c r="M73" s="1">
        <f>L93</f>
        <v>8410</v>
      </c>
      <c r="N73" s="1">
        <f>M93</f>
        <v>8020</v>
      </c>
      <c r="O73" s="1">
        <f>+L73</f>
        <v>8000</v>
      </c>
    </row>
    <row r="74" spans="11:16">
      <c r="K74" s="1" t="s">
        <v>69</v>
      </c>
      <c r="L74" s="10">
        <f>L51</f>
        <v>36160</v>
      </c>
      <c r="M74" s="10">
        <f>M51</f>
        <v>47760</v>
      </c>
      <c r="N74" s="10">
        <f>N51</f>
        <v>59600</v>
      </c>
      <c r="O74" s="10">
        <f>SUM(L74:N74)</f>
        <v>143520</v>
      </c>
    </row>
    <row r="75" spans="11:16">
      <c r="K75" s="20" t="s">
        <v>70</v>
      </c>
      <c r="L75" s="20">
        <f>+L74+L73</f>
        <v>44160</v>
      </c>
      <c r="M75" s="20">
        <f>+M74+M73</f>
        <v>56170</v>
      </c>
      <c r="N75" s="20">
        <f>+N74+N73</f>
        <v>67620</v>
      </c>
      <c r="O75" s="20">
        <f>+O74+O73</f>
        <v>151520</v>
      </c>
    </row>
    <row r="77" spans="11:16">
      <c r="K77" s="1" t="s">
        <v>71</v>
      </c>
    </row>
    <row r="78" spans="11:16">
      <c r="K78" s="19" t="s">
        <v>386</v>
      </c>
      <c r="L78" s="1">
        <f>L69</f>
        <v>30450</v>
      </c>
      <c r="M78" s="1">
        <f>M69</f>
        <v>35250</v>
      </c>
      <c r="N78" s="1">
        <f>N69</f>
        <v>30375</v>
      </c>
      <c r="O78" s="1">
        <f t="shared" ref="O78:O83" si="1">SUM(L78:N78)</f>
        <v>96075</v>
      </c>
    </row>
    <row r="79" spans="11:16">
      <c r="K79" s="19" t="s">
        <v>385</v>
      </c>
      <c r="L79" s="1">
        <f>L6</f>
        <v>7200</v>
      </c>
      <c r="M79" s="1">
        <f>M6</f>
        <v>11700</v>
      </c>
      <c r="N79" s="1">
        <f>N6</f>
        <v>8500</v>
      </c>
      <c r="O79" s="1">
        <f t="shared" si="1"/>
        <v>27400</v>
      </c>
    </row>
    <row r="80" spans="11:16">
      <c r="K80" s="19" t="s">
        <v>387</v>
      </c>
      <c r="L80" s="1">
        <f>L7-2000</f>
        <v>3600</v>
      </c>
      <c r="M80" s="1">
        <f>M7-2000</f>
        <v>5200</v>
      </c>
      <c r="N80" s="1">
        <f>N7-2000</f>
        <v>4100</v>
      </c>
      <c r="O80" s="1">
        <f t="shared" si="1"/>
        <v>12900</v>
      </c>
    </row>
    <row r="81" spans="11:16">
      <c r="K81" s="19" t="s">
        <v>389</v>
      </c>
      <c r="L81" s="1">
        <f>L31</f>
        <v>4500</v>
      </c>
      <c r="M81" s="1">
        <v>0</v>
      </c>
      <c r="N81" s="1">
        <v>0</v>
      </c>
      <c r="O81" s="1">
        <f t="shared" si="1"/>
        <v>4500</v>
      </c>
    </row>
    <row r="82" spans="11:16">
      <c r="K82" s="19" t="s">
        <v>390</v>
      </c>
      <c r="L82" s="10">
        <v>0</v>
      </c>
      <c r="M82" s="10">
        <v>0</v>
      </c>
      <c r="N82" s="10">
        <f>L33</f>
        <v>1000</v>
      </c>
      <c r="O82" s="1">
        <f t="shared" si="1"/>
        <v>1000</v>
      </c>
    </row>
    <row r="83" spans="11:16">
      <c r="K83" s="107" t="s">
        <v>75</v>
      </c>
      <c r="L83" s="129">
        <f>SUM(L78:L82)</f>
        <v>45750</v>
      </c>
      <c r="M83" s="129">
        <f>SUM(M78:M82)</f>
        <v>52150</v>
      </c>
      <c r="N83" s="129">
        <f>SUM(N78:N82)</f>
        <v>43975</v>
      </c>
      <c r="O83" s="129">
        <f t="shared" si="1"/>
        <v>141875</v>
      </c>
    </row>
    <row r="85" spans="11:16">
      <c r="K85" s="20" t="s">
        <v>82</v>
      </c>
      <c r="L85" s="20">
        <f>L75-L83</f>
        <v>-1590</v>
      </c>
      <c r="M85" s="20">
        <f>M75-M83</f>
        <v>4020</v>
      </c>
      <c r="N85" s="20">
        <f>N75-N83</f>
        <v>23645</v>
      </c>
      <c r="O85" s="20">
        <f>SUM(L85:N85)</f>
        <v>26075</v>
      </c>
    </row>
    <row r="87" spans="11:16">
      <c r="K87" s="1" t="s">
        <v>77</v>
      </c>
    </row>
    <row r="88" spans="11:16">
      <c r="K88" s="19" t="s">
        <v>78</v>
      </c>
      <c r="L88" s="1">
        <v>10000</v>
      </c>
      <c r="M88" s="1">
        <v>4000</v>
      </c>
      <c r="N88" s="1">
        <v>0</v>
      </c>
      <c r="O88" s="1">
        <f>SUM(L88:N88)</f>
        <v>14000</v>
      </c>
    </row>
    <row r="89" spans="11:16">
      <c r="K89" s="19" t="s">
        <v>79</v>
      </c>
      <c r="L89" s="1">
        <v>0</v>
      </c>
      <c r="M89" s="1">
        <v>0</v>
      </c>
      <c r="N89" s="1">
        <f>-SUM(L88:M88)</f>
        <v>-14000</v>
      </c>
      <c r="O89" s="1">
        <f>SUM(L89:N89)</f>
        <v>-14000</v>
      </c>
    </row>
    <row r="90" spans="11:16">
      <c r="K90" s="19" t="s">
        <v>80</v>
      </c>
      <c r="L90" s="10">
        <v>0</v>
      </c>
      <c r="M90" s="10">
        <v>0</v>
      </c>
      <c r="N90" s="10">
        <f>-(L88*L40*3)-(M88*L40*2)</f>
        <v>-380</v>
      </c>
      <c r="O90" s="10">
        <f>SUM(L90:N90)</f>
        <v>-380</v>
      </c>
    </row>
    <row r="91" spans="11:16">
      <c r="K91" s="107" t="s">
        <v>81</v>
      </c>
      <c r="L91" s="129">
        <f>+L90+L89+L88</f>
        <v>10000</v>
      </c>
      <c r="M91" s="129">
        <f>+M90+M89+M88</f>
        <v>4000</v>
      </c>
      <c r="N91" s="129">
        <f>+N90+N89+N88</f>
        <v>-14380</v>
      </c>
      <c r="O91" s="129">
        <f>SUM(L91:N91)</f>
        <v>-380</v>
      </c>
    </row>
    <row r="92" spans="11:16">
      <c r="L92" s="10"/>
      <c r="M92" s="10"/>
      <c r="N92" s="10"/>
      <c r="O92" s="10"/>
    </row>
    <row r="93" spans="11:16" ht="16" thickBot="1">
      <c r="K93" s="126" t="s">
        <v>76</v>
      </c>
      <c r="L93" s="126">
        <f>L85+L91</f>
        <v>8410</v>
      </c>
      <c r="M93" s="126">
        <f>M85+M91</f>
        <v>8020</v>
      </c>
      <c r="N93" s="126">
        <f>N85+N91</f>
        <v>9265</v>
      </c>
      <c r="O93" s="126">
        <f>N93</f>
        <v>9265</v>
      </c>
      <c r="P93" s="20"/>
    </row>
    <row r="94" spans="11:16" ht="16" thickTop="1"/>
  </sheetData>
  <mergeCells count="3">
    <mergeCell ref="L43:O43"/>
    <mergeCell ref="L54:O54"/>
    <mergeCell ref="L63:O6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P101"/>
  <sheetViews>
    <sheetView topLeftCell="E57" workbookViewId="0">
      <selection activeCell="K72" sqref="K72:O93"/>
    </sheetView>
  </sheetViews>
  <sheetFormatPr baseColWidth="10" defaultColWidth="10.83203125" defaultRowHeight="15" x14ac:dyDescent="0"/>
  <cols>
    <col min="1" max="10" width="10.83203125" style="1"/>
    <col min="11" max="11" width="42" style="1" bestFit="1" customWidth="1"/>
    <col min="12" max="15" width="14.33203125" style="1" customWidth="1"/>
    <col min="16" max="16384" width="10.83203125" style="1"/>
  </cols>
  <sheetData>
    <row r="1" spans="11:15">
      <c r="L1" s="106" t="s">
        <v>200</v>
      </c>
      <c r="M1" s="106" t="s">
        <v>201</v>
      </c>
      <c r="N1" s="106" t="s">
        <v>202</v>
      </c>
      <c r="O1" s="106" t="s">
        <v>210</v>
      </c>
    </row>
    <row r="2" spans="11:15">
      <c r="K2" s="1" t="s">
        <v>83</v>
      </c>
      <c r="L2" s="1">
        <v>40000</v>
      </c>
      <c r="M2" s="1">
        <v>70000</v>
      </c>
      <c r="N2" s="1">
        <v>50000</v>
      </c>
      <c r="O2" s="1">
        <v>45000</v>
      </c>
    </row>
    <row r="3" spans="11:15">
      <c r="K3" s="1" t="s">
        <v>313</v>
      </c>
      <c r="L3" s="10">
        <v>24000</v>
      </c>
      <c r="M3" s="10">
        <v>42000</v>
      </c>
      <c r="N3" s="10">
        <v>30000</v>
      </c>
      <c r="O3" s="10">
        <v>27000</v>
      </c>
    </row>
    <row r="4" spans="11:15">
      <c r="K4" s="1" t="s">
        <v>85</v>
      </c>
      <c r="L4" s="1">
        <f>L2-L3</f>
        <v>16000</v>
      </c>
      <c r="M4" s="1">
        <f>M2-M3</f>
        <v>28000</v>
      </c>
      <c r="N4" s="1">
        <f>N2-N3</f>
        <v>20000</v>
      </c>
      <c r="O4" s="1">
        <f>O2-O3</f>
        <v>18000</v>
      </c>
    </row>
    <row r="5" spans="11:15">
      <c r="K5" s="1" t="s">
        <v>358</v>
      </c>
    </row>
    <row r="6" spans="11:15">
      <c r="K6" s="19" t="s">
        <v>359</v>
      </c>
      <c r="L6" s="1">
        <v>7200</v>
      </c>
      <c r="M6" s="1">
        <v>11700</v>
      </c>
      <c r="N6" s="1">
        <v>8500</v>
      </c>
      <c r="O6" s="1">
        <v>7300</v>
      </c>
    </row>
    <row r="7" spans="11:15">
      <c r="K7" s="19" t="s">
        <v>388</v>
      </c>
      <c r="L7" s="10">
        <v>5600</v>
      </c>
      <c r="M7" s="10">
        <v>7200</v>
      </c>
      <c r="N7" s="10">
        <v>6100</v>
      </c>
      <c r="O7" s="10">
        <v>5900</v>
      </c>
    </row>
    <row r="8" spans="11:15">
      <c r="K8" s="1" t="s">
        <v>360</v>
      </c>
      <c r="L8" s="10">
        <f>SUM(L6:L7)</f>
        <v>12800</v>
      </c>
      <c r="M8" s="10">
        <f>SUM(M6:M7)</f>
        <v>18900</v>
      </c>
      <c r="N8" s="10">
        <f>SUM(N6:N7)</f>
        <v>14600</v>
      </c>
      <c r="O8" s="10">
        <f>SUM(O6:O7)</f>
        <v>13200</v>
      </c>
    </row>
    <row r="9" spans="11:15">
      <c r="K9" s="1" t="s">
        <v>86</v>
      </c>
      <c r="L9" s="1">
        <f>L4-L8</f>
        <v>3200</v>
      </c>
      <c r="M9" s="1">
        <f>M4-M8</f>
        <v>9100</v>
      </c>
      <c r="N9" s="1">
        <f>N4-N8</f>
        <v>5400</v>
      </c>
      <c r="O9" s="1">
        <f>O4-O8</f>
        <v>4800</v>
      </c>
    </row>
    <row r="12" spans="11:15">
      <c r="K12" s="1" t="s">
        <v>361</v>
      </c>
      <c r="L12" s="6">
        <v>0.2</v>
      </c>
    </row>
    <row r="13" spans="11:15">
      <c r="L13" s="105" t="s">
        <v>200</v>
      </c>
      <c r="M13" s="105" t="s">
        <v>201</v>
      </c>
      <c r="N13" s="105" t="s">
        <v>202</v>
      </c>
      <c r="O13" s="105" t="s">
        <v>210</v>
      </c>
    </row>
    <row r="14" spans="11:15">
      <c r="K14" s="1" t="s">
        <v>83</v>
      </c>
      <c r="L14" s="1">
        <f>L2*$L$12</f>
        <v>8000</v>
      </c>
      <c r="M14" s="1">
        <f>M2*$L$12</f>
        <v>14000</v>
      </c>
      <c r="N14" s="1">
        <f>N2*$L$12</f>
        <v>10000</v>
      </c>
      <c r="O14" s="1">
        <f>O2*$L$12</f>
        <v>9000</v>
      </c>
    </row>
    <row r="16" spans="11:15">
      <c r="K16" s="1" t="s">
        <v>362</v>
      </c>
      <c r="L16" s="6">
        <v>0.8</v>
      </c>
    </row>
    <row r="17" spans="11:16">
      <c r="K17" s="19" t="s">
        <v>363</v>
      </c>
      <c r="L17" s="6">
        <v>0.25</v>
      </c>
      <c r="N17" s="106" t="s">
        <v>200</v>
      </c>
      <c r="O17" s="106" t="s">
        <v>201</v>
      </c>
      <c r="P17" s="106" t="s">
        <v>202</v>
      </c>
    </row>
    <row r="18" spans="11:16">
      <c r="K18" s="19" t="s">
        <v>364</v>
      </c>
      <c r="L18" s="6">
        <v>0.6</v>
      </c>
      <c r="N18" s="6">
        <v>0.1</v>
      </c>
      <c r="O18" s="6">
        <v>0.7</v>
      </c>
      <c r="P18" s="6">
        <v>0.2</v>
      </c>
    </row>
    <row r="19" spans="11:16">
      <c r="K19" s="19" t="s">
        <v>365</v>
      </c>
      <c r="L19" s="6">
        <v>0.15</v>
      </c>
    </row>
    <row r="21" spans="11:16">
      <c r="K21" s="1" t="s">
        <v>206</v>
      </c>
      <c r="L21" s="1">
        <v>30000</v>
      </c>
    </row>
    <row r="22" spans="11:16">
      <c r="K22" s="1" t="s">
        <v>207</v>
      </c>
      <c r="L22" s="1">
        <v>36000</v>
      </c>
    </row>
    <row r="24" spans="11:16">
      <c r="K24" s="1" t="s">
        <v>366</v>
      </c>
      <c r="L24" s="6">
        <v>0.5</v>
      </c>
    </row>
    <row r="25" spans="11:16">
      <c r="K25" s="1" t="s">
        <v>367</v>
      </c>
      <c r="L25" s="6">
        <v>0.5</v>
      </c>
    </row>
    <row r="26" spans="11:16">
      <c r="K26" s="1" t="s">
        <v>368</v>
      </c>
      <c r="L26" s="1">
        <v>11700</v>
      </c>
    </row>
    <row r="28" spans="11:16">
      <c r="K28" s="1" t="s">
        <v>369</v>
      </c>
      <c r="L28" s="6">
        <v>0.25</v>
      </c>
      <c r="M28" s="1" t="s">
        <v>370</v>
      </c>
    </row>
    <row r="29" spans="11:16">
      <c r="K29" s="1" t="s">
        <v>371</v>
      </c>
      <c r="L29" s="1">
        <v>18000</v>
      </c>
    </row>
    <row r="31" spans="11:16">
      <c r="K31" s="1" t="s">
        <v>372</v>
      </c>
      <c r="L31" s="1">
        <v>4500</v>
      </c>
    </row>
    <row r="33" spans="11:15">
      <c r="K33" s="1" t="s">
        <v>373</v>
      </c>
      <c r="L33" s="1">
        <v>1000</v>
      </c>
    </row>
    <row r="35" spans="11:15">
      <c r="K35" s="1" t="s">
        <v>375</v>
      </c>
      <c r="L35" s="1">
        <v>8000</v>
      </c>
    </row>
    <row r="36" spans="11:15">
      <c r="K36" s="1" t="s">
        <v>374</v>
      </c>
    </row>
    <row r="38" spans="11:15">
      <c r="K38" s="1" t="s">
        <v>376</v>
      </c>
      <c r="L38" s="1">
        <v>1000</v>
      </c>
    </row>
    <row r="39" spans="11:15">
      <c r="K39" s="1" t="s">
        <v>377</v>
      </c>
      <c r="L39" s="1">
        <v>40000</v>
      </c>
    </row>
    <row r="40" spans="11:15">
      <c r="K40" s="1" t="s">
        <v>378</v>
      </c>
      <c r="L40" s="6">
        <v>0.01</v>
      </c>
    </row>
    <row r="41" spans="11:15">
      <c r="K41" s="1" t="s">
        <v>391</v>
      </c>
    </row>
    <row r="43" spans="11:15">
      <c r="L43" s="161" t="s">
        <v>304</v>
      </c>
      <c r="M43" s="161"/>
      <c r="N43" s="161"/>
      <c r="O43" s="161"/>
    </row>
    <row r="44" spans="11:15">
      <c r="K44" s="1" t="s">
        <v>208</v>
      </c>
      <c r="L44" s="105" t="s">
        <v>200</v>
      </c>
      <c r="M44" s="105" t="s">
        <v>201</v>
      </c>
      <c r="N44" s="105" t="s">
        <v>202</v>
      </c>
      <c r="O44" s="105" t="s">
        <v>306</v>
      </c>
    </row>
    <row r="45" spans="11:15">
      <c r="K45" s="1" t="s">
        <v>379</v>
      </c>
      <c r="L45" s="125">
        <f>L21*L16*P18</f>
        <v>4800</v>
      </c>
      <c r="M45" s="105"/>
      <c r="N45" s="105"/>
      <c r="O45" s="105">
        <f t="shared" ref="O45:O50" si="0">SUM(L45:N45)</f>
        <v>4800</v>
      </c>
    </row>
    <row r="46" spans="11:15">
      <c r="K46" s="1" t="s">
        <v>380</v>
      </c>
      <c r="L46" s="125">
        <f>L22*L16*O18</f>
        <v>20160</v>
      </c>
      <c r="M46" s="1">
        <f>L22*L16*P18</f>
        <v>5760</v>
      </c>
      <c r="O46" s="105">
        <f t="shared" si="0"/>
        <v>25920</v>
      </c>
    </row>
    <row r="47" spans="11:15">
      <c r="K47" s="127" t="s">
        <v>334</v>
      </c>
      <c r="L47" s="127">
        <f>L14</f>
        <v>8000</v>
      </c>
      <c r="M47" s="127">
        <f>M14</f>
        <v>14000</v>
      </c>
      <c r="N47" s="127">
        <f>N14</f>
        <v>10000</v>
      </c>
      <c r="O47" s="128">
        <f t="shared" si="0"/>
        <v>32000</v>
      </c>
    </row>
    <row r="48" spans="11:15">
      <c r="K48" s="1" t="s">
        <v>381</v>
      </c>
      <c r="L48" s="1">
        <f>L2*L16*L17</f>
        <v>8000</v>
      </c>
      <c r="M48" s="1">
        <f>L2*L16*L18</f>
        <v>19200</v>
      </c>
      <c r="N48" s="1">
        <f>L2*L16*L19</f>
        <v>4800</v>
      </c>
      <c r="O48" s="105">
        <f t="shared" si="0"/>
        <v>32000</v>
      </c>
    </row>
    <row r="49" spans="11:15">
      <c r="K49" s="1" t="s">
        <v>382</v>
      </c>
      <c r="M49" s="1">
        <f>M2*L16*L17</f>
        <v>14000</v>
      </c>
      <c r="N49" s="1">
        <f>M2*L16*L18</f>
        <v>33600</v>
      </c>
      <c r="O49" s="105">
        <f t="shared" si="0"/>
        <v>47600</v>
      </c>
    </row>
    <row r="50" spans="11:15">
      <c r="K50" s="1" t="s">
        <v>383</v>
      </c>
      <c r="N50" s="1">
        <f>N2*L16*L17</f>
        <v>10000</v>
      </c>
      <c r="O50" s="105">
        <f t="shared" si="0"/>
        <v>10000</v>
      </c>
    </row>
    <row r="51" spans="11:15" ht="16" thickBot="1">
      <c r="K51" s="1" t="s">
        <v>10</v>
      </c>
      <c r="L51" s="126">
        <f>SUM(L45:L50)</f>
        <v>40960</v>
      </c>
      <c r="M51" s="126">
        <f>SUM(M45:M50)</f>
        <v>52960</v>
      </c>
      <c r="N51" s="126">
        <f>SUM(N45:N50)</f>
        <v>58400</v>
      </c>
      <c r="O51" s="126">
        <f>SUM(O45:O50)</f>
        <v>152320</v>
      </c>
    </row>
    <row r="52" spans="11:15" ht="16" thickTop="1"/>
    <row r="54" spans="11:15">
      <c r="L54" s="161" t="s">
        <v>304</v>
      </c>
      <c r="M54" s="161"/>
      <c r="N54" s="161"/>
      <c r="O54" s="161"/>
    </row>
    <row r="55" spans="11:15">
      <c r="L55" s="105" t="s">
        <v>200</v>
      </c>
      <c r="M55" s="105" t="s">
        <v>201</v>
      </c>
      <c r="N55" s="105" t="s">
        <v>202</v>
      </c>
      <c r="O55" s="105" t="s">
        <v>306</v>
      </c>
    </row>
    <row r="56" spans="11:15">
      <c r="K56" s="1" t="s">
        <v>94</v>
      </c>
      <c r="L56" s="1">
        <f>L3</f>
        <v>24000</v>
      </c>
      <c r="M56" s="1">
        <f>M3</f>
        <v>42000</v>
      </c>
      <c r="N56" s="1">
        <f>N3</f>
        <v>30000</v>
      </c>
      <c r="O56" s="1">
        <f>SUM(L56:N56)</f>
        <v>96000</v>
      </c>
    </row>
    <row r="57" spans="11:15">
      <c r="K57" s="1" t="s">
        <v>321</v>
      </c>
      <c r="L57" s="10">
        <f>M3*$L$28</f>
        <v>10500</v>
      </c>
      <c r="M57" s="10">
        <f>N3*$L$28</f>
        <v>7500</v>
      </c>
      <c r="N57" s="10">
        <f>O3*$L$28</f>
        <v>6750</v>
      </c>
      <c r="O57" s="10">
        <f>+N57</f>
        <v>6750</v>
      </c>
    </row>
    <row r="58" spans="11:15">
      <c r="K58" s="1" t="s">
        <v>15</v>
      </c>
      <c r="L58" s="1">
        <f>+L57+L56</f>
        <v>34500</v>
      </c>
      <c r="M58" s="1">
        <f>+M57+M56</f>
        <v>49500</v>
      </c>
      <c r="N58" s="1">
        <f>+N57+N56</f>
        <v>36750</v>
      </c>
      <c r="O58" s="1">
        <f>+O57+O56</f>
        <v>102750</v>
      </c>
    </row>
    <row r="59" spans="11:15">
      <c r="K59" s="1" t="s">
        <v>16</v>
      </c>
      <c r="L59" s="10">
        <f>L29</f>
        <v>18000</v>
      </c>
      <c r="M59" s="10">
        <f>L57</f>
        <v>10500</v>
      </c>
      <c r="N59" s="10">
        <f>M57</f>
        <v>7500</v>
      </c>
      <c r="O59" s="10">
        <f>+L59</f>
        <v>18000</v>
      </c>
    </row>
    <row r="60" spans="11:15" ht="16" thickBot="1">
      <c r="K60" s="1" t="s">
        <v>384</v>
      </c>
      <c r="L60" s="4">
        <f>+L58-L59</f>
        <v>16500</v>
      </c>
      <c r="M60" s="4">
        <f>+M58-M59</f>
        <v>39000</v>
      </c>
      <c r="N60" s="4">
        <f>+N58-N59</f>
        <v>29250</v>
      </c>
      <c r="O60" s="4">
        <f>+O58-O59</f>
        <v>84750</v>
      </c>
    </row>
    <row r="61" spans="11:15" ht="16" thickTop="1"/>
    <row r="63" spans="11:15">
      <c r="L63" s="161" t="s">
        <v>304</v>
      </c>
      <c r="M63" s="161"/>
      <c r="N63" s="161"/>
      <c r="O63" s="161"/>
    </row>
    <row r="64" spans="11:15">
      <c r="L64" s="105" t="s">
        <v>200</v>
      </c>
      <c r="M64" s="105" t="s">
        <v>201</v>
      </c>
      <c r="N64" s="105" t="s">
        <v>202</v>
      </c>
      <c r="O64" s="105" t="s">
        <v>306</v>
      </c>
    </row>
    <row r="65" spans="11:15">
      <c r="K65" s="1" t="s">
        <v>37</v>
      </c>
      <c r="L65" s="1">
        <f>L26</f>
        <v>11700</v>
      </c>
      <c r="O65" s="1">
        <f>SUM(L65:N65)</f>
        <v>11700</v>
      </c>
    </row>
    <row r="66" spans="11:15">
      <c r="K66" s="1" t="s">
        <v>32</v>
      </c>
      <c r="L66" s="1">
        <f>L60*L24</f>
        <v>8250</v>
      </c>
      <c r="M66" s="1">
        <f>L60*L25</f>
        <v>8250</v>
      </c>
      <c r="O66" s="1">
        <f>SUM(L66:N66)</f>
        <v>16500</v>
      </c>
    </row>
    <row r="67" spans="11:15">
      <c r="K67" s="1" t="s">
        <v>33</v>
      </c>
      <c r="M67" s="1">
        <f>M60*L24</f>
        <v>19500</v>
      </c>
      <c r="N67" s="1">
        <f>M60*L25</f>
        <v>19500</v>
      </c>
      <c r="O67" s="1">
        <f>SUM(L67:N67)</f>
        <v>39000</v>
      </c>
    </row>
    <row r="68" spans="11:15">
      <c r="K68" s="1" t="s">
        <v>34</v>
      </c>
      <c r="N68" s="1">
        <f>N60*L24</f>
        <v>14625</v>
      </c>
      <c r="O68" s="1">
        <f>SUM(L68:N68)</f>
        <v>14625</v>
      </c>
    </row>
    <row r="69" spans="11:15" ht="16" thickBot="1">
      <c r="K69" s="1" t="s">
        <v>36</v>
      </c>
      <c r="L69" s="4">
        <f>SUM(L65:L68)</f>
        <v>19950</v>
      </c>
      <c r="M69" s="4">
        <f>SUM(M65:M68)</f>
        <v>27750</v>
      </c>
      <c r="N69" s="4">
        <f>SUM(N65:N68)</f>
        <v>34125</v>
      </c>
      <c r="O69" s="4">
        <f>SUM(O65:O68)</f>
        <v>81825</v>
      </c>
    </row>
    <row r="70" spans="11:15" ht="16" thickTop="1"/>
    <row r="72" spans="11:15">
      <c r="L72" s="90" t="str">
        <f>L64</f>
        <v>Julho</v>
      </c>
      <c r="M72" s="90" t="str">
        <f>M64</f>
        <v>Agosto</v>
      </c>
      <c r="N72" s="90" t="str">
        <f>N64</f>
        <v>Setembro</v>
      </c>
      <c r="O72" s="90" t="str">
        <f>O64</f>
        <v>TRIMESTRE</v>
      </c>
    </row>
    <row r="73" spans="11:15">
      <c r="K73" s="1" t="s">
        <v>68</v>
      </c>
      <c r="L73" s="1">
        <f>L35</f>
        <v>8000</v>
      </c>
      <c r="M73" s="1">
        <f>L93</f>
        <v>13710</v>
      </c>
      <c r="N73" s="1">
        <f>M93</f>
        <v>22020</v>
      </c>
      <c r="O73" s="1">
        <f>+L73</f>
        <v>8000</v>
      </c>
    </row>
    <row r="74" spans="11:15">
      <c r="K74" s="1" t="s">
        <v>69</v>
      </c>
      <c r="L74" s="10">
        <f>L51</f>
        <v>40960</v>
      </c>
      <c r="M74" s="10">
        <f>M51</f>
        <v>52960</v>
      </c>
      <c r="N74" s="10">
        <f>N51</f>
        <v>58400</v>
      </c>
      <c r="O74" s="10">
        <f>SUM(L74:N74)</f>
        <v>152320</v>
      </c>
    </row>
    <row r="75" spans="11:15">
      <c r="K75" s="20" t="s">
        <v>70</v>
      </c>
      <c r="L75" s="20">
        <f>+L74+L73</f>
        <v>48960</v>
      </c>
      <c r="M75" s="20">
        <f>+M74+M73</f>
        <v>66670</v>
      </c>
      <c r="N75" s="20">
        <f>+N74+N73</f>
        <v>80420</v>
      </c>
      <c r="O75" s="20">
        <f>+O74+O73</f>
        <v>160320</v>
      </c>
    </row>
    <row r="77" spans="11:15">
      <c r="K77" s="1" t="s">
        <v>71</v>
      </c>
    </row>
    <row r="78" spans="11:15">
      <c r="K78" s="19" t="s">
        <v>386</v>
      </c>
      <c r="L78" s="1">
        <f>L69</f>
        <v>19950</v>
      </c>
      <c r="M78" s="1">
        <f>M69</f>
        <v>27750</v>
      </c>
      <c r="N78" s="1">
        <f>N69</f>
        <v>34125</v>
      </c>
      <c r="O78" s="1">
        <f t="shared" ref="O78:O83" si="1">SUM(L78:N78)</f>
        <v>81825</v>
      </c>
    </row>
    <row r="79" spans="11:15">
      <c r="K79" s="19" t="s">
        <v>385</v>
      </c>
      <c r="L79" s="1">
        <f>L6</f>
        <v>7200</v>
      </c>
      <c r="M79" s="1">
        <f>M6</f>
        <v>11700</v>
      </c>
      <c r="N79" s="1">
        <f>N6</f>
        <v>8500</v>
      </c>
      <c r="O79" s="1">
        <f t="shared" si="1"/>
        <v>27400</v>
      </c>
    </row>
    <row r="80" spans="11:15">
      <c r="K80" s="19" t="s">
        <v>387</v>
      </c>
      <c r="L80" s="1">
        <f>L7-2000</f>
        <v>3600</v>
      </c>
      <c r="M80" s="1">
        <f>M7-2000</f>
        <v>5200</v>
      </c>
      <c r="N80" s="1">
        <f>N7-2000</f>
        <v>4100</v>
      </c>
      <c r="O80" s="1">
        <f t="shared" si="1"/>
        <v>12900</v>
      </c>
    </row>
    <row r="81" spans="11:15">
      <c r="K81" s="19" t="s">
        <v>389</v>
      </c>
      <c r="L81" s="1">
        <f>L31</f>
        <v>4500</v>
      </c>
      <c r="M81" s="1">
        <v>0</v>
      </c>
      <c r="N81" s="1">
        <v>0</v>
      </c>
      <c r="O81" s="1">
        <f t="shared" si="1"/>
        <v>4500</v>
      </c>
    </row>
    <row r="82" spans="11:15">
      <c r="K82" s="19" t="s">
        <v>390</v>
      </c>
      <c r="L82" s="10">
        <v>0</v>
      </c>
      <c r="M82" s="10">
        <v>0</v>
      </c>
      <c r="N82" s="10">
        <f>L33</f>
        <v>1000</v>
      </c>
      <c r="O82" s="1">
        <f t="shared" si="1"/>
        <v>1000</v>
      </c>
    </row>
    <row r="83" spans="11:15">
      <c r="K83" s="107" t="s">
        <v>75</v>
      </c>
      <c r="L83" s="129">
        <f>SUM(L78:L82)</f>
        <v>35250</v>
      </c>
      <c r="M83" s="129">
        <f>SUM(M78:M82)</f>
        <v>44650</v>
      </c>
      <c r="N83" s="129">
        <f>SUM(N78:N82)</f>
        <v>47725</v>
      </c>
      <c r="O83" s="129">
        <f t="shared" si="1"/>
        <v>127625</v>
      </c>
    </row>
    <row r="85" spans="11:15">
      <c r="K85" s="20" t="s">
        <v>82</v>
      </c>
      <c r="L85" s="20">
        <f>L75-L83</f>
        <v>13710</v>
      </c>
      <c r="M85" s="20">
        <f>M75-M83</f>
        <v>22020</v>
      </c>
      <c r="N85" s="20">
        <f>N75-N83</f>
        <v>32695</v>
      </c>
      <c r="O85" s="20">
        <f>SUM(L85:N85)</f>
        <v>68425</v>
      </c>
    </row>
    <row r="87" spans="11:15">
      <c r="K87" s="1" t="s">
        <v>77</v>
      </c>
    </row>
    <row r="88" spans="11:15">
      <c r="K88" s="19" t="s">
        <v>78</v>
      </c>
      <c r="L88" s="1">
        <v>0</v>
      </c>
      <c r="M88" s="1">
        <v>0</v>
      </c>
      <c r="N88" s="1">
        <v>0</v>
      </c>
      <c r="O88" s="1">
        <f>SUM(L88:N88)</f>
        <v>0</v>
      </c>
    </row>
    <row r="89" spans="11:15">
      <c r="K89" s="19" t="s">
        <v>79</v>
      </c>
      <c r="L89" s="1">
        <v>0</v>
      </c>
      <c r="M89" s="1">
        <v>0</v>
      </c>
      <c r="N89" s="1">
        <f>-SUM(L88:M88)</f>
        <v>0</v>
      </c>
      <c r="O89" s="1">
        <f>SUM(L89:N89)</f>
        <v>0</v>
      </c>
    </row>
    <row r="90" spans="11:15">
      <c r="K90" s="19" t="s">
        <v>80</v>
      </c>
      <c r="L90" s="10">
        <v>0</v>
      </c>
      <c r="M90" s="10">
        <v>0</v>
      </c>
      <c r="N90" s="10">
        <f>-(L88*L40*3)-(M88*L40*2)</f>
        <v>0</v>
      </c>
      <c r="O90" s="10">
        <f>SUM(L90:N90)</f>
        <v>0</v>
      </c>
    </row>
    <row r="91" spans="11:15">
      <c r="K91" s="107" t="s">
        <v>81</v>
      </c>
      <c r="L91" s="129">
        <f>+L90+L89+L88</f>
        <v>0</v>
      </c>
      <c r="M91" s="129">
        <f>+M90+M89+M88</f>
        <v>0</v>
      </c>
      <c r="N91" s="129">
        <f>+N90+N89+N88</f>
        <v>0</v>
      </c>
      <c r="O91" s="129">
        <f>SUM(L91:N91)</f>
        <v>0</v>
      </c>
    </row>
    <row r="92" spans="11:15">
      <c r="L92" s="10"/>
      <c r="M92" s="10"/>
      <c r="N92" s="10"/>
      <c r="O92" s="10"/>
    </row>
    <row r="93" spans="11:15" ht="16" thickBot="1">
      <c r="K93" s="126" t="s">
        <v>76</v>
      </c>
      <c r="L93" s="126">
        <f>L85+L91</f>
        <v>13710</v>
      </c>
      <c r="M93" s="126">
        <f>M85+M91</f>
        <v>22020</v>
      </c>
      <c r="N93" s="126">
        <f>N85+N91</f>
        <v>32695</v>
      </c>
      <c r="O93" s="126">
        <f>N93</f>
        <v>32695</v>
      </c>
    </row>
    <row r="94" spans="11:15" ht="16" thickTop="1"/>
    <row r="97" spans="11:15">
      <c r="K97" s="190" t="s">
        <v>392</v>
      </c>
      <c r="L97" s="190"/>
      <c r="M97" s="190"/>
      <c r="N97" s="190"/>
      <c r="O97" s="190"/>
    </row>
    <row r="98" spans="11:15">
      <c r="K98" s="190"/>
      <c r="L98" s="190"/>
      <c r="M98" s="190"/>
      <c r="N98" s="190"/>
      <c r="O98" s="190"/>
    </row>
    <row r="99" spans="11:15">
      <c r="K99" s="190"/>
      <c r="L99" s="190"/>
      <c r="M99" s="190"/>
      <c r="N99" s="190"/>
      <c r="O99" s="190"/>
    </row>
    <row r="100" spans="11:15">
      <c r="K100" s="190"/>
      <c r="L100" s="190"/>
      <c r="M100" s="190"/>
      <c r="N100" s="190"/>
      <c r="O100" s="190"/>
    </row>
    <row r="101" spans="11:15">
      <c r="K101" s="190"/>
      <c r="L101" s="190"/>
      <c r="M101" s="190"/>
      <c r="N101" s="190"/>
      <c r="O101" s="190"/>
    </row>
  </sheetData>
  <mergeCells count="4">
    <mergeCell ref="L43:O43"/>
    <mergeCell ref="L54:O54"/>
    <mergeCell ref="L63:O63"/>
    <mergeCell ref="K97:O101"/>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R74"/>
  <sheetViews>
    <sheetView topLeftCell="D12" workbookViewId="0">
      <selection activeCell="K32" sqref="K32:R43"/>
    </sheetView>
  </sheetViews>
  <sheetFormatPr baseColWidth="10" defaultColWidth="10.83203125" defaultRowHeight="15" x14ac:dyDescent="0"/>
  <cols>
    <col min="1" max="10" width="10.83203125" style="1"/>
    <col min="11" max="11" width="33.1640625" style="1" bestFit="1" customWidth="1"/>
    <col min="12" max="16384" width="10.83203125" style="1"/>
  </cols>
  <sheetData>
    <row r="3" spans="11:17">
      <c r="K3" s="1" t="s">
        <v>100</v>
      </c>
      <c r="L3" s="1">
        <v>50</v>
      </c>
    </row>
    <row r="4" spans="11:17">
      <c r="L4" s="106" t="s">
        <v>200</v>
      </c>
      <c r="M4" s="106" t="s">
        <v>201</v>
      </c>
      <c r="N4" s="106" t="s">
        <v>202</v>
      </c>
      <c r="O4" s="106" t="s">
        <v>210</v>
      </c>
      <c r="P4" s="106" t="s">
        <v>302</v>
      </c>
      <c r="Q4" s="106" t="s">
        <v>303</v>
      </c>
    </row>
    <row r="5" spans="11:17">
      <c r="K5" s="1" t="s">
        <v>393</v>
      </c>
      <c r="L5" s="2">
        <v>6000</v>
      </c>
      <c r="M5" s="2">
        <v>7000</v>
      </c>
      <c r="N5" s="2">
        <v>5000</v>
      </c>
      <c r="O5" s="2">
        <v>4000</v>
      </c>
      <c r="P5" s="2">
        <v>3000</v>
      </c>
      <c r="Q5" s="2">
        <v>3000</v>
      </c>
    </row>
    <row r="8" spans="11:17">
      <c r="K8" s="1" t="s">
        <v>394</v>
      </c>
      <c r="L8" s="6">
        <v>0.4</v>
      </c>
    </row>
    <row r="9" spans="11:17">
      <c r="K9" s="1" t="s">
        <v>394</v>
      </c>
      <c r="L9" s="6">
        <v>0.5</v>
      </c>
    </row>
    <row r="10" spans="11:17">
      <c r="K10" s="1" t="s">
        <v>395</v>
      </c>
      <c r="L10" s="6">
        <v>0.1</v>
      </c>
    </row>
    <row r="12" spans="11:17">
      <c r="K12" s="1" t="s">
        <v>273</v>
      </c>
      <c r="L12" s="1">
        <v>130000</v>
      </c>
    </row>
    <row r="14" spans="11:17">
      <c r="K14" s="1" t="s">
        <v>396</v>
      </c>
      <c r="L14" s="6">
        <v>0.1</v>
      </c>
      <c r="M14" s="1" t="s">
        <v>397</v>
      </c>
    </row>
    <row r="16" spans="11:17">
      <c r="K16" s="1" t="s">
        <v>398</v>
      </c>
      <c r="L16" s="2">
        <v>600</v>
      </c>
    </row>
    <row r="18" spans="11:17">
      <c r="K18" s="1" t="s">
        <v>399</v>
      </c>
      <c r="L18" s="2">
        <v>2</v>
      </c>
    </row>
    <row r="20" spans="11:17">
      <c r="K20" s="1" t="s">
        <v>401</v>
      </c>
      <c r="L20" s="6">
        <v>0.2</v>
      </c>
      <c r="M20" s="1" t="s">
        <v>400</v>
      </c>
    </row>
    <row r="22" spans="11:17">
      <c r="K22" s="1" t="s">
        <v>402</v>
      </c>
      <c r="L22" s="2">
        <v>2440</v>
      </c>
    </row>
    <row r="24" spans="11:17">
      <c r="K24" s="1" t="s">
        <v>403</v>
      </c>
      <c r="L24" s="1">
        <v>2.5</v>
      </c>
    </row>
    <row r="26" spans="11:17">
      <c r="K26" s="1" t="s">
        <v>404</v>
      </c>
      <c r="L26" s="6">
        <v>0.6</v>
      </c>
    </row>
    <row r="27" spans="11:17">
      <c r="K27" s="1" t="s">
        <v>405</v>
      </c>
      <c r="L27" s="6">
        <v>0.4</v>
      </c>
    </row>
    <row r="29" spans="11:17">
      <c r="K29" s="1" t="s">
        <v>406</v>
      </c>
      <c r="L29" s="1">
        <v>11400</v>
      </c>
    </row>
    <row r="32" spans="11:17">
      <c r="L32" s="90" t="s">
        <v>200</v>
      </c>
      <c r="M32" s="90" t="s">
        <v>201</v>
      </c>
      <c r="N32" s="90" t="s">
        <v>202</v>
      </c>
      <c r="O32" s="90" t="s">
        <v>13</v>
      </c>
      <c r="P32" s="130" t="s">
        <v>210</v>
      </c>
      <c r="Q32" s="105" t="s">
        <v>302</v>
      </c>
    </row>
    <row r="33" spans="11:18">
      <c r="K33" s="1" t="s">
        <v>19</v>
      </c>
      <c r="L33" s="2">
        <f>L5</f>
        <v>6000</v>
      </c>
      <c r="M33" s="2">
        <f>M5</f>
        <v>7000</v>
      </c>
      <c r="N33" s="2">
        <f>N5</f>
        <v>5000</v>
      </c>
      <c r="O33" s="2">
        <f>SUM(L33:N33)</f>
        <v>18000</v>
      </c>
      <c r="P33" s="2">
        <f>O5</f>
        <v>4000</v>
      </c>
      <c r="Q33" s="2">
        <v>3000</v>
      </c>
    </row>
    <row r="34" spans="11:18">
      <c r="K34" s="1" t="s">
        <v>0</v>
      </c>
      <c r="L34" s="1">
        <f t="shared" ref="L34:Q34" si="0">$L$3</f>
        <v>50</v>
      </c>
      <c r="M34" s="1">
        <f t="shared" si="0"/>
        <v>50</v>
      </c>
      <c r="N34" s="1">
        <f t="shared" si="0"/>
        <v>50</v>
      </c>
      <c r="O34" s="1">
        <f t="shared" si="0"/>
        <v>50</v>
      </c>
      <c r="P34" s="1">
        <f t="shared" si="0"/>
        <v>50</v>
      </c>
      <c r="Q34" s="1">
        <f t="shared" si="0"/>
        <v>50</v>
      </c>
    </row>
    <row r="35" spans="11:18" ht="16" thickBot="1">
      <c r="K35" s="1" t="s">
        <v>1</v>
      </c>
      <c r="L35" s="4">
        <f t="shared" ref="L35:Q35" si="1">+L33*L34</f>
        <v>300000</v>
      </c>
      <c r="M35" s="4">
        <f t="shared" si="1"/>
        <v>350000</v>
      </c>
      <c r="N35" s="4">
        <f t="shared" si="1"/>
        <v>250000</v>
      </c>
      <c r="O35" s="4">
        <f t="shared" si="1"/>
        <v>900000</v>
      </c>
      <c r="P35" s="4">
        <f t="shared" si="1"/>
        <v>200000</v>
      </c>
      <c r="Q35" s="4">
        <f t="shared" si="1"/>
        <v>150000</v>
      </c>
    </row>
    <row r="36" spans="11:18" ht="16" thickTop="1"/>
    <row r="37" spans="11:18">
      <c r="L37" s="161" t="s">
        <v>304</v>
      </c>
      <c r="M37" s="161"/>
      <c r="N37" s="161"/>
      <c r="O37" s="161"/>
    </row>
    <row r="38" spans="11:18">
      <c r="K38" s="1" t="s">
        <v>208</v>
      </c>
      <c r="L38" s="105" t="s">
        <v>200</v>
      </c>
      <c r="M38" s="105" t="s">
        <v>201</v>
      </c>
      <c r="N38" s="105" t="s">
        <v>202</v>
      </c>
      <c r="O38" s="105" t="s">
        <v>306</v>
      </c>
    </row>
    <row r="39" spans="11:18">
      <c r="K39" s="1" t="s">
        <v>5</v>
      </c>
      <c r="L39" s="1">
        <f>L12</f>
        <v>130000</v>
      </c>
      <c r="O39" s="1">
        <f>SUM(L39:N39)</f>
        <v>130000</v>
      </c>
    </row>
    <row r="40" spans="11:18">
      <c r="K40" s="1" t="s">
        <v>318</v>
      </c>
      <c r="L40" s="1">
        <f>L35*L8</f>
        <v>120000</v>
      </c>
      <c r="M40" s="1">
        <f>L35*L9</f>
        <v>150000</v>
      </c>
      <c r="O40" s="1">
        <f>SUM(L40:N40)</f>
        <v>270000</v>
      </c>
    </row>
    <row r="41" spans="11:18">
      <c r="K41" s="1" t="s">
        <v>319</v>
      </c>
      <c r="M41" s="1">
        <f>M35*L8</f>
        <v>140000</v>
      </c>
      <c r="N41" s="1">
        <f>M35*L9</f>
        <v>175000</v>
      </c>
      <c r="O41" s="1">
        <f>SUM(L41:N41)</f>
        <v>315000</v>
      </c>
    </row>
    <row r="42" spans="11:18">
      <c r="K42" s="1" t="s">
        <v>320</v>
      </c>
      <c r="N42" s="1">
        <f>N35*L8</f>
        <v>100000</v>
      </c>
      <c r="O42" s="1">
        <f>SUM(L42:N42)</f>
        <v>100000</v>
      </c>
    </row>
    <row r="43" spans="11:18" ht="16" thickBot="1">
      <c r="K43" s="1" t="s">
        <v>10</v>
      </c>
      <c r="L43" s="4">
        <f>SUM(L39:L42)</f>
        <v>250000</v>
      </c>
      <c r="M43" s="4">
        <f>SUM(M39:M42)</f>
        <v>290000</v>
      </c>
      <c r="N43" s="4">
        <f>SUM(N39:N42)</f>
        <v>275000</v>
      </c>
      <c r="O43" s="4">
        <f>SUM(O39:O42)</f>
        <v>815000</v>
      </c>
    </row>
    <row r="44" spans="11:18" ht="16" thickTop="1"/>
    <row r="46" spans="11:18">
      <c r="L46" s="90" t="s">
        <v>200</v>
      </c>
      <c r="M46" s="90" t="s">
        <v>201</v>
      </c>
      <c r="N46" s="90" t="s">
        <v>202</v>
      </c>
      <c r="O46" s="90" t="s">
        <v>13</v>
      </c>
      <c r="P46" s="130" t="s">
        <v>210</v>
      </c>
      <c r="Q46" s="105" t="s">
        <v>302</v>
      </c>
      <c r="R46" s="13"/>
    </row>
    <row r="47" spans="11:18">
      <c r="K47" s="1" t="s">
        <v>94</v>
      </c>
      <c r="L47" s="2">
        <f>L33</f>
        <v>6000</v>
      </c>
      <c r="M47" s="2">
        <f>M33</f>
        <v>7000</v>
      </c>
      <c r="N47" s="2">
        <f>N33</f>
        <v>5000</v>
      </c>
      <c r="O47" s="2">
        <f>SUM(L47:N47)</f>
        <v>18000</v>
      </c>
      <c r="P47" s="2">
        <f>P33</f>
        <v>4000</v>
      </c>
      <c r="Q47" s="2">
        <f>Q33</f>
        <v>3000</v>
      </c>
      <c r="R47" s="15"/>
    </row>
    <row r="48" spans="11:18">
      <c r="K48" s="1" t="s">
        <v>17</v>
      </c>
      <c r="L48" s="7">
        <f>M47*$L$14</f>
        <v>700</v>
      </c>
      <c r="M48" s="7">
        <f>N47*$L$14</f>
        <v>500</v>
      </c>
      <c r="N48" s="7">
        <f>P47*$L$14</f>
        <v>400</v>
      </c>
      <c r="O48" s="7">
        <f>L48</f>
        <v>700</v>
      </c>
      <c r="P48" s="7">
        <f>Q47*$L$14</f>
        <v>300</v>
      </c>
      <c r="Q48" s="11"/>
      <c r="R48" s="11"/>
    </row>
    <row r="49" spans="11:17">
      <c r="K49" s="1" t="s">
        <v>15</v>
      </c>
      <c r="L49" s="2">
        <f>+L48+L47</f>
        <v>6700</v>
      </c>
      <c r="M49" s="2">
        <f>+M48+M47</f>
        <v>7500</v>
      </c>
      <c r="N49" s="2">
        <f>+N48+N47</f>
        <v>5400</v>
      </c>
      <c r="O49" s="2">
        <f>+O48+O47</f>
        <v>18700</v>
      </c>
      <c r="P49" s="2">
        <f>+P48+P47</f>
        <v>4300</v>
      </c>
    </row>
    <row r="50" spans="11:17">
      <c r="K50" s="1" t="s">
        <v>16</v>
      </c>
      <c r="L50" s="7">
        <f>L16</f>
        <v>600</v>
      </c>
      <c r="M50" s="7">
        <f>L48</f>
        <v>700</v>
      </c>
      <c r="N50" s="7">
        <f>M48</f>
        <v>500</v>
      </c>
      <c r="O50" s="7">
        <f>L50</f>
        <v>600</v>
      </c>
      <c r="P50" s="7">
        <f>N48</f>
        <v>400</v>
      </c>
    </row>
    <row r="51" spans="11:17" ht="16" thickBot="1">
      <c r="K51" s="4" t="s">
        <v>18</v>
      </c>
      <c r="L51" s="8">
        <f>L49-L50</f>
        <v>6100</v>
      </c>
      <c r="M51" s="8">
        <f>M49-M50</f>
        <v>6800</v>
      </c>
      <c r="N51" s="8">
        <f>N49-N50</f>
        <v>4900</v>
      </c>
      <c r="O51" s="8">
        <f>SUM(L51:N51)</f>
        <v>17800</v>
      </c>
      <c r="P51" s="8">
        <f>P49-P50</f>
        <v>3900</v>
      </c>
    </row>
    <row r="52" spans="11:17" ht="16" thickTop="1"/>
    <row r="55" spans="11:17">
      <c r="L55" s="130" t="s">
        <v>200</v>
      </c>
      <c r="M55" s="130" t="s">
        <v>201</v>
      </c>
      <c r="N55" s="130" t="s">
        <v>202</v>
      </c>
      <c r="O55" s="130" t="s">
        <v>13</v>
      </c>
      <c r="P55" s="130" t="s">
        <v>210</v>
      </c>
      <c r="Q55" s="130" t="s">
        <v>302</v>
      </c>
    </row>
    <row r="56" spans="11:17">
      <c r="K56" s="1" t="s">
        <v>18</v>
      </c>
      <c r="L56" s="2">
        <f>L51</f>
        <v>6100</v>
      </c>
      <c r="M56" s="2">
        <f>M51</f>
        <v>6800</v>
      </c>
      <c r="N56" s="2">
        <f>N51</f>
        <v>4900</v>
      </c>
      <c r="O56" s="2">
        <f>O51</f>
        <v>17800</v>
      </c>
      <c r="P56" s="2">
        <f>P51</f>
        <v>3900</v>
      </c>
      <c r="Q56" s="1">
        <f>Q33</f>
        <v>3000</v>
      </c>
    </row>
    <row r="57" spans="11:17">
      <c r="K57" s="1" t="s">
        <v>22</v>
      </c>
      <c r="L57" s="2">
        <f t="shared" ref="L57:Q57" si="2">$L$18</f>
        <v>2</v>
      </c>
      <c r="M57" s="2">
        <f t="shared" si="2"/>
        <v>2</v>
      </c>
      <c r="N57" s="2">
        <f t="shared" si="2"/>
        <v>2</v>
      </c>
      <c r="O57" s="2">
        <f t="shared" si="2"/>
        <v>2</v>
      </c>
      <c r="P57" s="2">
        <f t="shared" si="2"/>
        <v>2</v>
      </c>
      <c r="Q57" s="2">
        <f t="shared" si="2"/>
        <v>2</v>
      </c>
    </row>
    <row r="58" spans="11:17">
      <c r="K58" s="1" t="s">
        <v>23</v>
      </c>
      <c r="L58" s="2">
        <f t="shared" ref="L58:Q58" si="3">L56*L57</f>
        <v>12200</v>
      </c>
      <c r="M58" s="2">
        <f t="shared" si="3"/>
        <v>13600</v>
      </c>
      <c r="N58" s="2">
        <f t="shared" si="3"/>
        <v>9800</v>
      </c>
      <c r="O58" s="2">
        <f t="shared" si="3"/>
        <v>35600</v>
      </c>
      <c r="P58" s="2">
        <f t="shared" si="3"/>
        <v>7800</v>
      </c>
      <c r="Q58" s="2">
        <f t="shared" si="3"/>
        <v>6000</v>
      </c>
    </row>
    <row r="59" spans="11:17">
      <c r="K59" s="1" t="s">
        <v>24</v>
      </c>
      <c r="L59" s="7">
        <f>M58*$L$20</f>
        <v>2720</v>
      </c>
      <c r="M59" s="7">
        <f>N58*$L$20</f>
        <v>1960</v>
      </c>
      <c r="N59" s="7">
        <f>P58*$L$20</f>
        <v>1560</v>
      </c>
      <c r="O59" s="7">
        <f>N59</f>
        <v>1560</v>
      </c>
      <c r="P59" s="7">
        <f>Q58*$L$20</f>
        <v>1200</v>
      </c>
    </row>
    <row r="60" spans="11:17">
      <c r="K60" s="1" t="s">
        <v>21</v>
      </c>
      <c r="L60" s="2">
        <f>SUM(L58:L59)</f>
        <v>14920</v>
      </c>
      <c r="M60" s="2">
        <f>SUM(M58:M59)</f>
        <v>15560</v>
      </c>
      <c r="N60" s="2">
        <f>SUM(N58:N59)</f>
        <v>11360</v>
      </c>
      <c r="O60" s="2">
        <f>SUM(O58:O59)</f>
        <v>37160</v>
      </c>
      <c r="P60" s="2">
        <f>SUM(P58:P59)</f>
        <v>9000</v>
      </c>
    </row>
    <row r="61" spans="11:17">
      <c r="K61" s="1" t="s">
        <v>25</v>
      </c>
      <c r="L61" s="7">
        <f>L22</f>
        <v>2440</v>
      </c>
      <c r="M61" s="7">
        <f>L59</f>
        <v>2720</v>
      </c>
      <c r="N61" s="7">
        <f>M59</f>
        <v>1960</v>
      </c>
      <c r="O61" s="7">
        <f>L61</f>
        <v>2440</v>
      </c>
      <c r="P61" s="2"/>
    </row>
    <row r="62" spans="11:17">
      <c r="K62" s="1" t="s">
        <v>26</v>
      </c>
      <c r="L62" s="2">
        <f>L60-L61</f>
        <v>12480</v>
      </c>
      <c r="M62" s="2">
        <f>M60-M61</f>
        <v>12840</v>
      </c>
      <c r="N62" s="2">
        <f>N60-N61</f>
        <v>9400</v>
      </c>
      <c r="O62" s="2">
        <f>O60-O61</f>
        <v>34720</v>
      </c>
    </row>
    <row r="63" spans="11:17">
      <c r="K63" s="1" t="s">
        <v>27</v>
      </c>
      <c r="L63" s="1">
        <f>$L$24</f>
        <v>2.5</v>
      </c>
      <c r="M63" s="1">
        <f>$L$24</f>
        <v>2.5</v>
      </c>
      <c r="N63" s="1">
        <f>$L$24</f>
        <v>2.5</v>
      </c>
      <c r="O63" s="1">
        <f>$L$24</f>
        <v>2.5</v>
      </c>
    </row>
    <row r="64" spans="11:17" ht="16" thickBot="1">
      <c r="K64" s="4" t="s">
        <v>28</v>
      </c>
      <c r="L64" s="4">
        <f>L62*L63</f>
        <v>31200</v>
      </c>
      <c r="M64" s="4">
        <f>M62*M63</f>
        <v>32100</v>
      </c>
      <c r="N64" s="4">
        <f>N62*N63</f>
        <v>23500</v>
      </c>
      <c r="O64" s="4">
        <f>O62*O63</f>
        <v>86800</v>
      </c>
    </row>
    <row r="65" spans="11:15" ht="16" thickTop="1"/>
    <row r="67" spans="11:15">
      <c r="L67" s="161" t="s">
        <v>304</v>
      </c>
      <c r="M67" s="161"/>
      <c r="N67" s="161"/>
      <c r="O67" s="161"/>
    </row>
    <row r="68" spans="11:15">
      <c r="L68" s="105" t="s">
        <v>200</v>
      </c>
      <c r="M68" s="105" t="s">
        <v>201</v>
      </c>
      <c r="N68" s="105" t="s">
        <v>202</v>
      </c>
      <c r="O68" s="105" t="s">
        <v>306</v>
      </c>
    </row>
    <row r="69" spans="11:15">
      <c r="K69" s="1" t="s">
        <v>37</v>
      </c>
      <c r="L69" s="1">
        <f>L29</f>
        <v>11400</v>
      </c>
      <c r="O69" s="1">
        <f>SUM(L69:N69)</f>
        <v>11400</v>
      </c>
    </row>
    <row r="70" spans="11:15">
      <c r="K70" s="1" t="s">
        <v>32</v>
      </c>
      <c r="L70" s="1">
        <f>L64*L26</f>
        <v>18720</v>
      </c>
      <c r="M70" s="1">
        <f>L64*L27</f>
        <v>12480</v>
      </c>
      <c r="O70" s="1">
        <f>SUM(L70:N70)</f>
        <v>31200</v>
      </c>
    </row>
    <row r="71" spans="11:15">
      <c r="K71" s="1" t="s">
        <v>33</v>
      </c>
      <c r="M71" s="1">
        <f>M64*L26</f>
        <v>19260</v>
      </c>
      <c r="N71" s="1">
        <f>M64*L27</f>
        <v>12840</v>
      </c>
      <c r="O71" s="1">
        <f>SUM(L71:N71)</f>
        <v>32100</v>
      </c>
    </row>
    <row r="72" spans="11:15">
      <c r="K72" s="1" t="s">
        <v>34</v>
      </c>
      <c r="N72" s="1">
        <f>N64*L26</f>
        <v>14100</v>
      </c>
      <c r="O72" s="1">
        <f>SUM(L72:N72)</f>
        <v>14100</v>
      </c>
    </row>
    <row r="73" spans="11:15" ht="16" thickBot="1">
      <c r="K73" s="1" t="s">
        <v>36</v>
      </c>
      <c r="L73" s="4">
        <f>SUM(L69:L72)</f>
        <v>30120</v>
      </c>
      <c r="M73" s="4">
        <f>SUM(M69:M72)</f>
        <v>31740</v>
      </c>
      <c r="N73" s="4">
        <f>SUM(N69:N72)</f>
        <v>26940</v>
      </c>
      <c r="O73" s="4">
        <f>SUM(O69:O72)</f>
        <v>88800</v>
      </c>
    </row>
    <row r="74" spans="11:15" ht="16" thickTop="1"/>
  </sheetData>
  <mergeCells count="2">
    <mergeCell ref="L37:O37"/>
    <mergeCell ref="L67:O67"/>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L98"/>
  <sheetViews>
    <sheetView topLeftCell="A43" workbookViewId="0">
      <selection activeCell="L100" sqref="L100"/>
    </sheetView>
  </sheetViews>
  <sheetFormatPr baseColWidth="10" defaultColWidth="10.83203125" defaultRowHeight="15" x14ac:dyDescent="0"/>
  <cols>
    <col min="1" max="10" width="10.83203125" style="1"/>
    <col min="11" max="11" width="37.5" style="1" bestFit="1" customWidth="1"/>
    <col min="12" max="12" width="11.5" style="1" bestFit="1" customWidth="1"/>
    <col min="13" max="16384" width="10.83203125" style="1"/>
  </cols>
  <sheetData>
    <row r="2" spans="11:12">
      <c r="K2" s="191" t="s">
        <v>260</v>
      </c>
      <c r="L2" s="192"/>
    </row>
    <row r="3" spans="11:12">
      <c r="K3" s="112" t="s">
        <v>89</v>
      </c>
      <c r="L3" s="113">
        <v>8000</v>
      </c>
    </row>
    <row r="4" spans="11:12">
      <c r="K4" s="112" t="s">
        <v>90</v>
      </c>
      <c r="L4" s="113">
        <v>72000</v>
      </c>
    </row>
    <row r="5" spans="11:12">
      <c r="K5" s="112" t="s">
        <v>307</v>
      </c>
      <c r="L5" s="113">
        <v>30000</v>
      </c>
    </row>
    <row r="6" spans="11:12">
      <c r="K6" s="112" t="s">
        <v>407</v>
      </c>
      <c r="L6" s="113">
        <v>500000</v>
      </c>
    </row>
    <row r="7" spans="11:12">
      <c r="K7" s="121" t="s">
        <v>11</v>
      </c>
      <c r="L7" s="122">
        <f>SUM(L3:L6)</f>
        <v>610000</v>
      </c>
    </row>
    <row r="8" spans="11:12">
      <c r="K8" s="191" t="s">
        <v>265</v>
      </c>
      <c r="L8" s="192"/>
    </row>
    <row r="9" spans="11:12">
      <c r="K9" s="112" t="s">
        <v>96</v>
      </c>
      <c r="L9" s="113">
        <v>90000</v>
      </c>
    </row>
    <row r="10" spans="11:12">
      <c r="K10" s="112" t="s">
        <v>408</v>
      </c>
      <c r="L10" s="113">
        <v>15000</v>
      </c>
    </row>
    <row r="11" spans="11:12">
      <c r="K11" s="112" t="s">
        <v>98</v>
      </c>
      <c r="L11" s="113">
        <v>420000</v>
      </c>
    </row>
    <row r="12" spans="11:12">
      <c r="K12" s="112" t="s">
        <v>97</v>
      </c>
      <c r="L12" s="113">
        <v>85000</v>
      </c>
    </row>
    <row r="13" spans="11:12">
      <c r="K13" s="116" t="s">
        <v>11</v>
      </c>
      <c r="L13" s="117">
        <f>SUM(L9:L12)</f>
        <v>610000</v>
      </c>
    </row>
    <row r="16" spans="11:12">
      <c r="K16" s="1" t="s">
        <v>412</v>
      </c>
    </row>
    <row r="17" spans="11:12">
      <c r="K17" s="19" t="s">
        <v>410</v>
      </c>
      <c r="L17" s="1">
        <v>60000</v>
      </c>
    </row>
    <row r="18" spans="11:12">
      <c r="K18" s="19" t="s">
        <v>411</v>
      </c>
      <c r="L18" s="10">
        <v>190000</v>
      </c>
    </row>
    <row r="19" spans="11:12">
      <c r="K19" s="19" t="s">
        <v>428</v>
      </c>
      <c r="L19" s="6">
        <v>0.5</v>
      </c>
    </row>
    <row r="20" spans="11:12">
      <c r="K20" s="1" t="s">
        <v>409</v>
      </c>
      <c r="L20" s="1">
        <f>SUM(L17:L18)</f>
        <v>250000</v>
      </c>
    </row>
    <row r="22" spans="11:12">
      <c r="K22" s="1" t="s">
        <v>413</v>
      </c>
    </row>
    <row r="24" spans="11:12">
      <c r="K24" s="1" t="s">
        <v>414</v>
      </c>
      <c r="L24" s="1">
        <v>200000</v>
      </c>
    </row>
    <row r="25" spans="11:12">
      <c r="K25" s="1" t="s">
        <v>415</v>
      </c>
      <c r="L25" s="6">
        <v>0.4</v>
      </c>
    </row>
    <row r="26" spans="11:12">
      <c r="K26" s="1" t="s">
        <v>416</v>
      </c>
      <c r="L26" s="6">
        <v>0.6</v>
      </c>
    </row>
    <row r="27" spans="11:12">
      <c r="K27" s="1" t="s">
        <v>417</v>
      </c>
    </row>
    <row r="29" spans="11:12">
      <c r="K29" s="1" t="s">
        <v>371</v>
      </c>
      <c r="L29" s="1">
        <v>40000</v>
      </c>
    </row>
    <row r="31" spans="11:12">
      <c r="K31" s="1" t="s">
        <v>418</v>
      </c>
      <c r="L31" s="1">
        <v>51000</v>
      </c>
    </row>
    <row r="32" spans="11:12">
      <c r="K32" s="1" t="s">
        <v>419</v>
      </c>
    </row>
    <row r="33" spans="11:12">
      <c r="K33" s="1" t="s">
        <v>64</v>
      </c>
      <c r="L33" s="1">
        <v>2000</v>
      </c>
    </row>
    <row r="35" spans="11:12">
      <c r="K35" s="1" t="s">
        <v>420</v>
      </c>
    </row>
    <row r="37" spans="11:12">
      <c r="K37" s="1" t="s">
        <v>421</v>
      </c>
      <c r="L37" s="1">
        <v>500</v>
      </c>
    </row>
    <row r="39" spans="11:12">
      <c r="K39" s="1" t="s">
        <v>422</v>
      </c>
      <c r="L39" s="1">
        <v>9000</v>
      </c>
    </row>
    <row r="41" spans="11:12">
      <c r="K41" s="1" t="s">
        <v>423</v>
      </c>
      <c r="L41" s="1">
        <v>18000</v>
      </c>
    </row>
    <row r="42" spans="11:12">
      <c r="K42" s="1" t="s">
        <v>424</v>
      </c>
    </row>
    <row r="45" spans="11:12">
      <c r="K45" s="20" t="s">
        <v>208</v>
      </c>
      <c r="L45" s="105" t="s">
        <v>425</v>
      </c>
    </row>
    <row r="46" spans="11:12">
      <c r="K46" s="1" t="s">
        <v>361</v>
      </c>
      <c r="L46" s="1">
        <f>L17</f>
        <v>60000</v>
      </c>
    </row>
    <row r="47" spans="11:12">
      <c r="K47" s="1" t="s">
        <v>426</v>
      </c>
      <c r="L47" s="1">
        <f>L4</f>
        <v>72000</v>
      </c>
    </row>
    <row r="48" spans="11:12">
      <c r="K48" s="1" t="s">
        <v>427</v>
      </c>
      <c r="L48" s="10">
        <f>L18*L19</f>
        <v>95000</v>
      </c>
    </row>
    <row r="49" spans="11:12">
      <c r="K49" s="1" t="s">
        <v>10</v>
      </c>
      <c r="L49" s="1">
        <f>SUM(L46:L48)</f>
        <v>227000</v>
      </c>
    </row>
    <row r="51" spans="11:12">
      <c r="K51" s="20" t="s">
        <v>429</v>
      </c>
      <c r="L51" s="105" t="s">
        <v>425</v>
      </c>
    </row>
    <row r="52" spans="11:12">
      <c r="K52" s="1" t="s">
        <v>430</v>
      </c>
      <c r="L52" s="1">
        <f>L24*L25</f>
        <v>80000</v>
      </c>
    </row>
    <row r="53" spans="11:12">
      <c r="K53" s="1" t="s">
        <v>431</v>
      </c>
      <c r="L53" s="10">
        <f>L9</f>
        <v>90000</v>
      </c>
    </row>
    <row r="54" spans="11:12">
      <c r="K54" s="1" t="s">
        <v>11</v>
      </c>
      <c r="L54" s="52">
        <f>SUM(L52:L53)</f>
        <v>170000</v>
      </c>
    </row>
    <row r="58" spans="11:12">
      <c r="K58" s="110"/>
      <c r="L58" s="111" t="s">
        <v>425</v>
      </c>
    </row>
    <row r="59" spans="11:12">
      <c r="K59" s="112" t="s">
        <v>68</v>
      </c>
      <c r="L59" s="113">
        <f>L3</f>
        <v>8000</v>
      </c>
    </row>
    <row r="60" spans="11:12">
      <c r="K60" s="112" t="s">
        <v>432</v>
      </c>
      <c r="L60" s="115">
        <f>L49</f>
        <v>227000</v>
      </c>
    </row>
    <row r="61" spans="11:12">
      <c r="K61" s="121" t="s">
        <v>70</v>
      </c>
      <c r="L61" s="122">
        <f>SUM(L59:L60)</f>
        <v>235000</v>
      </c>
    </row>
    <row r="62" spans="11:12">
      <c r="K62" s="112" t="s">
        <v>352</v>
      </c>
      <c r="L62" s="113"/>
    </row>
    <row r="63" spans="11:12">
      <c r="K63" s="114" t="s">
        <v>353</v>
      </c>
      <c r="L63" s="113">
        <f>L54</f>
        <v>170000</v>
      </c>
    </row>
    <row r="64" spans="11:12">
      <c r="K64" s="114" t="s">
        <v>355</v>
      </c>
      <c r="L64" s="113">
        <f>L31</f>
        <v>51000</v>
      </c>
    </row>
    <row r="65" spans="11:12">
      <c r="K65" s="114" t="s">
        <v>73</v>
      </c>
      <c r="L65" s="113">
        <f>L39</f>
        <v>9000</v>
      </c>
    </row>
    <row r="66" spans="11:12">
      <c r="K66" s="123" t="s">
        <v>75</v>
      </c>
      <c r="L66" s="131">
        <f>SUM(L63:L65)</f>
        <v>230000</v>
      </c>
    </row>
    <row r="67" spans="11:12">
      <c r="K67" s="123"/>
      <c r="L67" s="122"/>
    </row>
    <row r="68" spans="11:12">
      <c r="K68" s="121" t="s">
        <v>82</v>
      </c>
      <c r="L68" s="122">
        <f>L61-L66</f>
        <v>5000</v>
      </c>
    </row>
    <row r="69" spans="11:12">
      <c r="K69" s="112"/>
      <c r="L69" s="113"/>
    </row>
    <row r="70" spans="11:12">
      <c r="K70" s="112" t="s">
        <v>357</v>
      </c>
      <c r="L70" s="113"/>
    </row>
    <row r="71" spans="11:12">
      <c r="K71" s="114" t="s">
        <v>433</v>
      </c>
      <c r="L71" s="113">
        <f>L41</f>
        <v>18000</v>
      </c>
    </row>
    <row r="72" spans="11:12">
      <c r="K72" s="114" t="s">
        <v>435</v>
      </c>
      <c r="L72" s="113">
        <f>L10</f>
        <v>15000</v>
      </c>
    </row>
    <row r="73" spans="11:12">
      <c r="K73" s="114" t="s">
        <v>434</v>
      </c>
      <c r="L73" s="115">
        <f>L37</f>
        <v>500</v>
      </c>
    </row>
    <row r="74" spans="11:12">
      <c r="K74" s="123" t="s">
        <v>11</v>
      </c>
      <c r="L74" s="131">
        <f>L71-L72-L73</f>
        <v>2500</v>
      </c>
    </row>
    <row r="75" spans="11:12">
      <c r="K75" s="121"/>
      <c r="L75" s="122"/>
    </row>
    <row r="76" spans="11:12">
      <c r="K76" s="116" t="s">
        <v>76</v>
      </c>
      <c r="L76" s="117">
        <f>L74+L68</f>
        <v>7500</v>
      </c>
    </row>
    <row r="78" spans="11:12">
      <c r="K78" s="191" t="s">
        <v>436</v>
      </c>
      <c r="L78" s="192"/>
    </row>
    <row r="79" spans="11:12">
      <c r="K79" s="112" t="s">
        <v>104</v>
      </c>
      <c r="L79" s="113">
        <f>L20</f>
        <v>250000</v>
      </c>
    </row>
    <row r="80" spans="11:12">
      <c r="K80" s="112" t="s">
        <v>84</v>
      </c>
      <c r="L80" s="115">
        <f>-(L5+L24-L29)</f>
        <v>-190000</v>
      </c>
    </row>
    <row r="81" spans="11:12">
      <c r="K81" s="112" t="s">
        <v>85</v>
      </c>
      <c r="L81" s="113">
        <f>SUM(L79:L80)</f>
        <v>60000</v>
      </c>
    </row>
    <row r="82" spans="11:12">
      <c r="K82" s="112" t="s">
        <v>437</v>
      </c>
      <c r="L82" s="113">
        <f>-L31-L33</f>
        <v>-53000</v>
      </c>
    </row>
    <row r="83" spans="11:12">
      <c r="K83" s="112" t="s">
        <v>438</v>
      </c>
      <c r="L83" s="115">
        <f>-L37</f>
        <v>-500</v>
      </c>
    </row>
    <row r="84" spans="11:12">
      <c r="K84" s="120" t="s">
        <v>86</v>
      </c>
      <c r="L84" s="124">
        <f>SUM(L81:L83)</f>
        <v>6500</v>
      </c>
    </row>
    <row r="87" spans="11:12">
      <c r="K87" s="191" t="s">
        <v>260</v>
      </c>
      <c r="L87" s="192"/>
    </row>
    <row r="88" spans="11:12">
      <c r="K88" s="112" t="s">
        <v>89</v>
      </c>
      <c r="L88" s="113">
        <f>L76</f>
        <v>7500</v>
      </c>
    </row>
    <row r="89" spans="11:12">
      <c r="K89" s="112" t="s">
        <v>90</v>
      </c>
      <c r="L89" s="113">
        <f>L18*L19</f>
        <v>95000</v>
      </c>
    </row>
    <row r="90" spans="11:12">
      <c r="K90" s="112" t="s">
        <v>307</v>
      </c>
      <c r="L90" s="113">
        <f>L29</f>
        <v>40000</v>
      </c>
    </row>
    <row r="91" spans="11:12">
      <c r="K91" s="112" t="s">
        <v>407</v>
      </c>
      <c r="L91" s="113">
        <f>L6+L39-L33</f>
        <v>507000</v>
      </c>
    </row>
    <row r="92" spans="11:12">
      <c r="K92" s="121" t="s">
        <v>11</v>
      </c>
      <c r="L92" s="122">
        <f>SUM(L88:L91)</f>
        <v>649500</v>
      </c>
    </row>
    <row r="93" spans="11:12">
      <c r="K93" s="191" t="s">
        <v>265</v>
      </c>
      <c r="L93" s="192"/>
    </row>
    <row r="94" spans="11:12">
      <c r="K94" s="112" t="s">
        <v>96</v>
      </c>
      <c r="L94" s="113">
        <f>L24*L26</f>
        <v>120000</v>
      </c>
    </row>
    <row r="95" spans="11:12">
      <c r="K95" s="112" t="s">
        <v>408</v>
      </c>
      <c r="L95" s="113">
        <f>L41</f>
        <v>18000</v>
      </c>
    </row>
    <row r="96" spans="11:12">
      <c r="K96" s="112" t="s">
        <v>98</v>
      </c>
      <c r="L96" s="113">
        <v>420000</v>
      </c>
    </row>
    <row r="97" spans="11:12">
      <c r="K97" s="112" t="s">
        <v>97</v>
      </c>
      <c r="L97" s="113">
        <f>85000+L84</f>
        <v>91500</v>
      </c>
    </row>
    <row r="98" spans="11:12">
      <c r="K98" s="116" t="s">
        <v>11</v>
      </c>
      <c r="L98" s="117">
        <f>SUM(L94:L97)</f>
        <v>649500</v>
      </c>
    </row>
  </sheetData>
  <mergeCells count="5">
    <mergeCell ref="K2:L2"/>
    <mergeCell ref="K8:L8"/>
    <mergeCell ref="K78:L78"/>
    <mergeCell ref="K87:L87"/>
    <mergeCell ref="K93:L9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P75"/>
  <sheetViews>
    <sheetView topLeftCell="A23" workbookViewId="0">
      <selection activeCell="K50" sqref="K50"/>
    </sheetView>
  </sheetViews>
  <sheetFormatPr baseColWidth="10" defaultColWidth="10.83203125" defaultRowHeight="15" x14ac:dyDescent="0"/>
  <cols>
    <col min="1" max="10" width="10.83203125" style="1"/>
    <col min="11" max="11" width="27.5" style="1" customWidth="1"/>
    <col min="12" max="12" width="10.83203125" style="1"/>
    <col min="13" max="14" width="11.6640625" style="1" bestFit="1" customWidth="1"/>
    <col min="15" max="15" width="13.1640625" style="1" bestFit="1" customWidth="1"/>
    <col min="16" max="16384" width="10.83203125" style="1"/>
  </cols>
  <sheetData>
    <row r="2" spans="11:16">
      <c r="K2" s="1" t="s">
        <v>439</v>
      </c>
      <c r="L2" s="1">
        <v>43000</v>
      </c>
    </row>
    <row r="4" spans="11:16">
      <c r="L4" s="106" t="s">
        <v>440</v>
      </c>
      <c r="M4" s="106" t="s">
        <v>425</v>
      </c>
      <c r="N4" s="106" t="s">
        <v>200</v>
      </c>
      <c r="O4" s="106" t="s">
        <v>201</v>
      </c>
      <c r="P4" s="106" t="s">
        <v>202</v>
      </c>
    </row>
    <row r="5" spans="11:16">
      <c r="K5" s="1" t="s">
        <v>83</v>
      </c>
      <c r="L5" s="1">
        <v>360000</v>
      </c>
      <c r="M5" s="1">
        <v>280000</v>
      </c>
      <c r="N5" s="1">
        <v>350000</v>
      </c>
      <c r="O5" s="1">
        <v>420000</v>
      </c>
      <c r="P5" s="1">
        <v>360000</v>
      </c>
    </row>
    <row r="8" spans="11:16">
      <c r="K8" s="1" t="s">
        <v>394</v>
      </c>
      <c r="L8" s="6">
        <v>0.25</v>
      </c>
    </row>
    <row r="9" spans="11:16">
      <c r="K9" s="1" t="s">
        <v>441</v>
      </c>
      <c r="L9" s="6">
        <v>0.7</v>
      </c>
    </row>
    <row r="10" spans="11:16">
      <c r="K10" s="1" t="s">
        <v>442</v>
      </c>
      <c r="L10" s="6">
        <v>0.02</v>
      </c>
    </row>
    <row r="11" spans="11:16">
      <c r="K11" s="1" t="s">
        <v>395</v>
      </c>
      <c r="L11" s="6">
        <f>100%-L8-L9-L10</f>
        <v>3.0000000000000044E-2</v>
      </c>
    </row>
    <row r="13" spans="11:16">
      <c r="L13" s="105" t="s">
        <v>200</v>
      </c>
      <c r="M13" s="105" t="s">
        <v>201</v>
      </c>
      <c r="N13" s="105" t="s">
        <v>202</v>
      </c>
    </row>
    <row r="14" spans="11:16">
      <c r="K14" s="1" t="s">
        <v>443</v>
      </c>
      <c r="L14" s="1">
        <v>170000</v>
      </c>
      <c r="M14" s="1">
        <v>155000</v>
      </c>
      <c r="N14" s="1">
        <v>165000</v>
      </c>
    </row>
    <row r="15" spans="11:16">
      <c r="K15" s="1" t="s">
        <v>444</v>
      </c>
      <c r="L15" s="1">
        <v>70000</v>
      </c>
      <c r="M15" s="1">
        <v>70000</v>
      </c>
      <c r="N15" s="1">
        <v>65000</v>
      </c>
    </row>
    <row r="16" spans="11:16">
      <c r="K16" s="1" t="s">
        <v>60</v>
      </c>
      <c r="L16" s="1">
        <v>80000</v>
      </c>
      <c r="M16" s="1">
        <v>90000</v>
      </c>
      <c r="N16" s="1">
        <v>100000</v>
      </c>
    </row>
    <row r="17" spans="11:14">
      <c r="K17" s="1" t="s">
        <v>445</v>
      </c>
      <c r="L17" s="1">
        <v>30000</v>
      </c>
      <c r="M17" s="1">
        <v>30000</v>
      </c>
      <c r="N17" s="1">
        <v>30000</v>
      </c>
    </row>
    <row r="18" spans="11:14">
      <c r="K18" s="1" t="s">
        <v>64</v>
      </c>
      <c r="L18" s="1">
        <v>40000</v>
      </c>
      <c r="M18" s="1">
        <v>40000</v>
      </c>
      <c r="N18" s="1">
        <v>40000</v>
      </c>
    </row>
    <row r="21" spans="11:14">
      <c r="K21" s="1" t="s">
        <v>446</v>
      </c>
    </row>
    <row r="22" spans="11:14">
      <c r="K22" s="1" t="s">
        <v>447</v>
      </c>
      <c r="L22" s="1">
        <v>160000</v>
      </c>
    </row>
    <row r="24" spans="11:14">
      <c r="K24" s="1" t="s">
        <v>448</v>
      </c>
      <c r="L24" s="1">
        <v>25000</v>
      </c>
    </row>
    <row r="26" spans="11:14">
      <c r="K26" s="1" t="s">
        <v>449</v>
      </c>
      <c r="L26" s="1">
        <v>60000</v>
      </c>
    </row>
    <row r="27" spans="11:14">
      <c r="K27" s="1" t="s">
        <v>450</v>
      </c>
    </row>
    <row r="29" spans="11:14">
      <c r="K29" s="1" t="s">
        <v>451</v>
      </c>
      <c r="L29" s="1">
        <v>2000</v>
      </c>
    </row>
    <row r="31" spans="11:14">
      <c r="K31" s="1" t="s">
        <v>452</v>
      </c>
      <c r="L31" s="1">
        <v>20000</v>
      </c>
    </row>
    <row r="34" spans="11:15">
      <c r="L34" s="161" t="s">
        <v>304</v>
      </c>
      <c r="M34" s="161"/>
      <c r="N34" s="161"/>
      <c r="O34" s="161"/>
    </row>
    <row r="35" spans="11:15">
      <c r="K35" s="1" t="s">
        <v>208</v>
      </c>
      <c r="L35" s="105" t="s">
        <v>200</v>
      </c>
      <c r="M35" s="105" t="s">
        <v>201</v>
      </c>
      <c r="N35" s="105" t="s">
        <v>202</v>
      </c>
      <c r="O35" s="105" t="s">
        <v>306</v>
      </c>
    </row>
    <row r="36" spans="11:15">
      <c r="K36" s="1" t="s">
        <v>206</v>
      </c>
      <c r="L36" s="1">
        <f>L5*L10</f>
        <v>7200</v>
      </c>
      <c r="O36" s="1">
        <f t="shared" ref="O36:O41" si="0">SUM(L36:N36)</f>
        <v>7200</v>
      </c>
    </row>
    <row r="37" spans="11:15">
      <c r="K37" s="1" t="s">
        <v>207</v>
      </c>
      <c r="L37" s="1">
        <f>M5*L9</f>
        <v>196000</v>
      </c>
      <c r="M37" s="1">
        <f>M5*L10</f>
        <v>5600</v>
      </c>
      <c r="O37" s="1">
        <f t="shared" si="0"/>
        <v>201600</v>
      </c>
    </row>
    <row r="38" spans="11:15">
      <c r="K38" s="1" t="s">
        <v>318</v>
      </c>
      <c r="L38" s="1">
        <f>N5*L8</f>
        <v>87500</v>
      </c>
      <c r="M38" s="1">
        <f>N5*L9</f>
        <v>244999.99999999997</v>
      </c>
      <c r="N38" s="1">
        <f>N5*L10</f>
        <v>7000</v>
      </c>
      <c r="O38" s="1">
        <f t="shared" si="0"/>
        <v>339500</v>
      </c>
    </row>
    <row r="39" spans="11:15">
      <c r="K39" s="1" t="s">
        <v>319</v>
      </c>
      <c r="M39" s="1">
        <f>O5*L8</f>
        <v>105000</v>
      </c>
      <c r="N39" s="1">
        <f>O5*L9</f>
        <v>294000</v>
      </c>
      <c r="O39" s="1">
        <f t="shared" si="0"/>
        <v>399000</v>
      </c>
    </row>
    <row r="40" spans="11:15">
      <c r="K40" s="1" t="s">
        <v>320</v>
      </c>
      <c r="N40" s="1">
        <f>P5*L8</f>
        <v>90000</v>
      </c>
      <c r="O40" s="1">
        <f t="shared" si="0"/>
        <v>90000</v>
      </c>
    </row>
    <row r="41" spans="11:15" ht="16" thickBot="1">
      <c r="K41" s="1" t="s">
        <v>10</v>
      </c>
      <c r="L41" s="4">
        <f>SUM(L36:L40)</f>
        <v>290700</v>
      </c>
      <c r="M41" s="4">
        <f>SUM(M36:M40)</f>
        <v>355600</v>
      </c>
      <c r="N41" s="4">
        <f>SUM(N36:N40)</f>
        <v>391000</v>
      </c>
      <c r="O41" s="4">
        <f t="shared" si="0"/>
        <v>1037300</v>
      </c>
    </row>
    <row r="42" spans="11:15" ht="16" thickTop="1"/>
    <row r="43" spans="11:15">
      <c r="L43" s="161" t="s">
        <v>304</v>
      </c>
      <c r="M43" s="161"/>
      <c r="N43" s="161"/>
      <c r="O43" s="161"/>
    </row>
    <row r="44" spans="11:15">
      <c r="L44" s="105" t="s">
        <v>200</v>
      </c>
      <c r="M44" s="105" t="s">
        <v>201</v>
      </c>
      <c r="N44" s="105" t="s">
        <v>202</v>
      </c>
      <c r="O44" s="105" t="s">
        <v>306</v>
      </c>
    </row>
    <row r="45" spans="11:15">
      <c r="K45" s="1" t="s">
        <v>68</v>
      </c>
      <c r="L45" s="1">
        <f>L2</f>
        <v>43000</v>
      </c>
      <c r="M45" s="1">
        <f>L65</f>
        <v>28700</v>
      </c>
      <c r="N45" s="1">
        <f>M65</f>
        <v>24300</v>
      </c>
      <c r="O45" s="1">
        <f>+L45</f>
        <v>43000</v>
      </c>
    </row>
    <row r="46" spans="11:15">
      <c r="K46" s="1" t="s">
        <v>69</v>
      </c>
      <c r="L46" s="10">
        <f>L41</f>
        <v>290700</v>
      </c>
      <c r="M46" s="10">
        <f>M41</f>
        <v>355600</v>
      </c>
      <c r="N46" s="10">
        <f>N41</f>
        <v>391000</v>
      </c>
      <c r="O46" s="10">
        <f>SUM(L46:N46)</f>
        <v>1037300</v>
      </c>
    </row>
    <row r="47" spans="11:15">
      <c r="K47" s="20" t="s">
        <v>70</v>
      </c>
      <c r="L47" s="20">
        <f>+L46+L45</f>
        <v>333700</v>
      </c>
      <c r="M47" s="20">
        <f>+M46+M45</f>
        <v>384300</v>
      </c>
      <c r="N47" s="20">
        <f>+N46+N45</f>
        <v>415300</v>
      </c>
      <c r="O47" s="20">
        <f>+O46+O45</f>
        <v>1080300</v>
      </c>
    </row>
    <row r="49" spans="11:15">
      <c r="K49" s="1" t="s">
        <v>71</v>
      </c>
    </row>
    <row r="50" spans="11:15">
      <c r="K50" s="19" t="str">
        <f>K14</f>
        <v>Compras de Mercadorias</v>
      </c>
      <c r="L50" s="1">
        <f>L22</f>
        <v>160000</v>
      </c>
      <c r="M50" s="1">
        <f>L14</f>
        <v>170000</v>
      </c>
      <c r="N50" s="1">
        <f>M14</f>
        <v>155000</v>
      </c>
      <c r="O50" s="1">
        <f t="shared" ref="O50:O55" si="1">SUM(L50:N50)</f>
        <v>485000</v>
      </c>
    </row>
    <row r="51" spans="11:15">
      <c r="K51" s="19" t="str">
        <f t="shared" ref="K51:L53" si="2">K15</f>
        <v>Salários</v>
      </c>
      <c r="L51" s="1">
        <f>L15</f>
        <v>70000</v>
      </c>
      <c r="M51" s="1">
        <f>M15</f>
        <v>70000</v>
      </c>
      <c r="N51" s="1">
        <f>N15</f>
        <v>65000</v>
      </c>
      <c r="O51" s="1">
        <f t="shared" si="1"/>
        <v>205000</v>
      </c>
    </row>
    <row r="52" spans="11:15">
      <c r="K52" s="19" t="str">
        <f t="shared" si="2"/>
        <v>Propaganda</v>
      </c>
      <c r="L52" s="1">
        <f t="shared" si="2"/>
        <v>80000</v>
      </c>
      <c r="M52" s="1">
        <f>M16</f>
        <v>90000</v>
      </c>
      <c r="N52" s="1">
        <f>N16</f>
        <v>100000</v>
      </c>
      <c r="O52" s="1">
        <f t="shared" si="1"/>
        <v>270000</v>
      </c>
    </row>
    <row r="53" spans="11:15">
      <c r="K53" s="19" t="str">
        <f t="shared" si="2"/>
        <v>Aluguel</v>
      </c>
      <c r="L53" s="52">
        <f t="shared" si="2"/>
        <v>30000</v>
      </c>
      <c r="M53" s="52">
        <f>M17</f>
        <v>30000</v>
      </c>
      <c r="N53" s="52">
        <f>N17</f>
        <v>30000</v>
      </c>
      <c r="O53" s="52">
        <f t="shared" si="1"/>
        <v>90000</v>
      </c>
    </row>
    <row r="54" spans="11:15">
      <c r="K54" s="19" t="s">
        <v>453</v>
      </c>
      <c r="L54" s="10">
        <f>L24</f>
        <v>25000</v>
      </c>
      <c r="M54" s="10">
        <f>M24</f>
        <v>0</v>
      </c>
      <c r="N54" s="10">
        <f>N24</f>
        <v>0</v>
      </c>
      <c r="O54" s="52">
        <f t="shared" si="1"/>
        <v>25000</v>
      </c>
    </row>
    <row r="55" spans="11:15">
      <c r="K55" s="107" t="s">
        <v>75</v>
      </c>
      <c r="L55" s="129">
        <f>SUM(L50:L54)</f>
        <v>365000</v>
      </c>
      <c r="M55" s="129">
        <f>SUM(M50:M53)</f>
        <v>360000</v>
      </c>
      <c r="N55" s="129">
        <f>SUM(N50:N53)</f>
        <v>350000</v>
      </c>
      <c r="O55" s="129">
        <f t="shared" si="1"/>
        <v>1075000</v>
      </c>
    </row>
    <row r="57" spans="11:15">
      <c r="K57" s="20" t="s">
        <v>82</v>
      </c>
      <c r="L57" s="20">
        <f>L47-L55</f>
        <v>-31300</v>
      </c>
      <c r="M57" s="20">
        <f>M47-M55</f>
        <v>24300</v>
      </c>
      <c r="N57" s="20">
        <f>N47-N55</f>
        <v>65300</v>
      </c>
      <c r="O57" s="20">
        <f>SUM(L57:N57)</f>
        <v>58300</v>
      </c>
    </row>
    <row r="59" spans="11:15">
      <c r="K59" s="1" t="s">
        <v>77</v>
      </c>
    </row>
    <row r="60" spans="11:15">
      <c r="K60" s="19" t="s">
        <v>78</v>
      </c>
      <c r="L60" s="1">
        <v>60000</v>
      </c>
      <c r="M60" s="1">
        <v>0</v>
      </c>
      <c r="N60" s="1">
        <v>0</v>
      </c>
      <c r="O60" s="1">
        <f>SUM(L60:N60)</f>
        <v>60000</v>
      </c>
    </row>
    <row r="61" spans="11:15">
      <c r="K61" s="19" t="s">
        <v>79</v>
      </c>
      <c r="L61" s="1">
        <v>0</v>
      </c>
      <c r="M61" s="1">
        <v>0</v>
      </c>
      <c r="N61" s="1">
        <f>-SUM(L60:M60)</f>
        <v>-60000</v>
      </c>
      <c r="O61" s="1">
        <f>SUM(L61:N61)</f>
        <v>-60000</v>
      </c>
    </row>
    <row r="62" spans="11:15">
      <c r="K62" s="19" t="s">
        <v>80</v>
      </c>
      <c r="L62" s="10">
        <v>0</v>
      </c>
      <c r="M62" s="10">
        <v>0</v>
      </c>
      <c r="N62" s="10">
        <f>-L29</f>
        <v>-2000</v>
      </c>
      <c r="O62" s="10">
        <f>SUM(L62:N62)</f>
        <v>-2000</v>
      </c>
    </row>
    <row r="63" spans="11:15">
      <c r="K63" s="107" t="s">
        <v>81</v>
      </c>
      <c r="L63" s="129">
        <f>+L62+L61+L60</f>
        <v>60000</v>
      </c>
      <c r="M63" s="129">
        <f>+M62+M61+M60</f>
        <v>0</v>
      </c>
      <c r="N63" s="129">
        <f>+N62+N61+N60</f>
        <v>-62000</v>
      </c>
      <c r="O63" s="129">
        <f>SUM(L63:N63)</f>
        <v>-2000</v>
      </c>
    </row>
    <row r="64" spans="11:15">
      <c r="L64" s="10"/>
      <c r="M64" s="10"/>
      <c r="N64" s="10"/>
      <c r="O64" s="10"/>
    </row>
    <row r="65" spans="11:15" ht="16" thickBot="1">
      <c r="K65" s="126" t="s">
        <v>76</v>
      </c>
      <c r="L65" s="126">
        <f>L57+L63</f>
        <v>28700</v>
      </c>
      <c r="M65" s="126">
        <f>M57+M63</f>
        <v>24300</v>
      </c>
      <c r="N65" s="126">
        <f>N57+N63</f>
        <v>3300</v>
      </c>
      <c r="O65" s="126">
        <f>N65</f>
        <v>3300</v>
      </c>
    </row>
    <row r="66" spans="11:15" ht="16" thickTop="1"/>
    <row r="68" spans="11:15">
      <c r="K68" s="190" t="s">
        <v>454</v>
      </c>
      <c r="L68" s="190"/>
      <c r="M68" s="190"/>
      <c r="N68" s="190"/>
      <c r="O68" s="190"/>
    </row>
    <row r="69" spans="11:15">
      <c r="K69" s="190"/>
      <c r="L69" s="190"/>
      <c r="M69" s="190"/>
      <c r="N69" s="190"/>
      <c r="O69" s="190"/>
    </row>
    <row r="70" spans="11:15">
      <c r="K70" s="190"/>
      <c r="L70" s="190"/>
      <c r="M70" s="190"/>
      <c r="N70" s="190"/>
      <c r="O70" s="190"/>
    </row>
    <row r="71" spans="11:15">
      <c r="K71" s="190"/>
      <c r="L71" s="190"/>
      <c r="M71" s="190"/>
      <c r="N71" s="190"/>
      <c r="O71" s="190"/>
    </row>
    <row r="72" spans="11:15">
      <c r="K72" s="190"/>
      <c r="L72" s="190"/>
      <c r="M72" s="190"/>
      <c r="N72" s="190"/>
      <c r="O72" s="190"/>
    </row>
    <row r="73" spans="11:15">
      <c r="K73" s="190"/>
      <c r="L73" s="190"/>
      <c r="M73" s="190"/>
      <c r="N73" s="190"/>
      <c r="O73" s="190"/>
    </row>
    <row r="74" spans="11:15">
      <c r="K74" s="190"/>
      <c r="L74" s="190"/>
      <c r="M74" s="190"/>
      <c r="N74" s="190"/>
      <c r="O74" s="190"/>
    </row>
    <row r="75" spans="11:15">
      <c r="K75" s="190"/>
      <c r="L75" s="190"/>
      <c r="M75" s="190"/>
      <c r="N75" s="190"/>
      <c r="O75" s="190"/>
    </row>
  </sheetData>
  <mergeCells count="3">
    <mergeCell ref="L34:O34"/>
    <mergeCell ref="L43:O43"/>
    <mergeCell ref="K68:O75"/>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R52"/>
  <sheetViews>
    <sheetView topLeftCell="D1" zoomScale="125" zoomScaleNormal="125" zoomScalePageLayoutView="125" workbookViewId="0">
      <selection activeCell="L2" sqref="L2:R11"/>
    </sheetView>
  </sheetViews>
  <sheetFormatPr baseColWidth="10" defaultColWidth="10.83203125" defaultRowHeight="15" x14ac:dyDescent="0"/>
  <cols>
    <col min="1" max="16384" width="10.83203125" style="1"/>
  </cols>
  <sheetData>
    <row r="2" spans="12:18">
      <c r="L2" s="190" t="s">
        <v>455</v>
      </c>
      <c r="M2" s="190"/>
      <c r="N2" s="190"/>
      <c r="O2" s="190"/>
      <c r="P2" s="190"/>
      <c r="Q2" s="190"/>
      <c r="R2" s="190"/>
    </row>
    <row r="3" spans="12:18">
      <c r="L3" s="190"/>
      <c r="M3" s="190"/>
      <c r="N3" s="190"/>
      <c r="O3" s="190"/>
      <c r="P3" s="190"/>
      <c r="Q3" s="190"/>
      <c r="R3" s="190"/>
    </row>
    <row r="4" spans="12:18">
      <c r="L4" s="190"/>
      <c r="M4" s="190"/>
      <c r="N4" s="190"/>
      <c r="O4" s="190"/>
      <c r="P4" s="190"/>
      <c r="Q4" s="190"/>
      <c r="R4" s="190"/>
    </row>
    <row r="5" spans="12:18">
      <c r="L5" s="190"/>
      <c r="M5" s="190"/>
      <c r="N5" s="190"/>
      <c r="O5" s="190"/>
      <c r="P5" s="190"/>
      <c r="Q5" s="190"/>
      <c r="R5" s="190"/>
    </row>
    <row r="6" spans="12:18">
      <c r="L6" s="190"/>
      <c r="M6" s="190"/>
      <c r="N6" s="190"/>
      <c r="O6" s="190"/>
      <c r="P6" s="190"/>
      <c r="Q6" s="190"/>
      <c r="R6" s="190"/>
    </row>
    <row r="7" spans="12:18">
      <c r="L7" s="190"/>
      <c r="M7" s="190"/>
      <c r="N7" s="190"/>
      <c r="O7" s="190"/>
      <c r="P7" s="190"/>
      <c r="Q7" s="190"/>
      <c r="R7" s="190"/>
    </row>
    <row r="8" spans="12:18">
      <c r="L8" s="190"/>
      <c r="M8" s="190"/>
      <c r="N8" s="190"/>
      <c r="O8" s="190"/>
      <c r="P8" s="190"/>
      <c r="Q8" s="190"/>
      <c r="R8" s="190"/>
    </row>
    <row r="9" spans="12:18">
      <c r="L9" s="190"/>
      <c r="M9" s="190"/>
      <c r="N9" s="190"/>
      <c r="O9" s="190"/>
      <c r="P9" s="190"/>
      <c r="Q9" s="190"/>
      <c r="R9" s="190"/>
    </row>
    <row r="10" spans="12:18">
      <c r="L10" s="190"/>
      <c r="M10" s="190"/>
      <c r="N10" s="190"/>
      <c r="O10" s="190"/>
      <c r="P10" s="190"/>
      <c r="Q10" s="190"/>
      <c r="R10" s="190"/>
    </row>
    <row r="11" spans="12:18">
      <c r="L11" s="190"/>
      <c r="M11" s="190"/>
      <c r="N11" s="190"/>
      <c r="O11" s="190"/>
      <c r="P11" s="190"/>
      <c r="Q11" s="190"/>
      <c r="R11" s="190"/>
    </row>
    <row r="14" spans="12:18">
      <c r="L14" s="190" t="s">
        <v>456</v>
      </c>
      <c r="M14" s="190"/>
      <c r="N14" s="190"/>
      <c r="O14" s="190"/>
      <c r="P14" s="190"/>
      <c r="Q14" s="190"/>
      <c r="R14" s="190"/>
    </row>
    <row r="15" spans="12:18">
      <c r="L15" s="190"/>
      <c r="M15" s="190"/>
      <c r="N15" s="190"/>
      <c r="O15" s="190"/>
      <c r="P15" s="190"/>
      <c r="Q15" s="190"/>
      <c r="R15" s="190"/>
    </row>
    <row r="16" spans="12:18">
      <c r="L16" s="190"/>
      <c r="M16" s="190"/>
      <c r="N16" s="190"/>
      <c r="O16" s="190"/>
      <c r="P16" s="190"/>
      <c r="Q16" s="190"/>
      <c r="R16" s="190"/>
    </row>
    <row r="17" spans="12:18">
      <c r="L17" s="190"/>
      <c r="M17" s="190"/>
      <c r="N17" s="190"/>
      <c r="O17" s="190"/>
      <c r="P17" s="190"/>
      <c r="Q17" s="190"/>
      <c r="R17" s="190"/>
    </row>
    <row r="18" spans="12:18">
      <c r="L18" s="190"/>
      <c r="M18" s="190"/>
      <c r="N18" s="190"/>
      <c r="O18" s="190"/>
      <c r="P18" s="190"/>
      <c r="Q18" s="190"/>
      <c r="R18" s="190"/>
    </row>
    <row r="19" spans="12:18">
      <c r="L19" s="190"/>
      <c r="M19" s="190"/>
      <c r="N19" s="190"/>
      <c r="O19" s="190"/>
      <c r="P19" s="190"/>
      <c r="Q19" s="190"/>
      <c r="R19" s="190"/>
    </row>
    <row r="20" spans="12:18">
      <c r="L20" s="190"/>
      <c r="M20" s="190"/>
      <c r="N20" s="190"/>
      <c r="O20" s="190"/>
      <c r="P20" s="190"/>
      <c r="Q20" s="190"/>
      <c r="R20" s="190"/>
    </row>
    <row r="21" spans="12:18">
      <c r="L21" s="190"/>
      <c r="M21" s="190"/>
      <c r="N21" s="190"/>
      <c r="O21" s="190"/>
      <c r="P21" s="190"/>
      <c r="Q21" s="190"/>
      <c r="R21" s="190"/>
    </row>
    <row r="22" spans="12:18">
      <c r="L22" s="190"/>
      <c r="M22" s="190"/>
      <c r="N22" s="190"/>
      <c r="O22" s="190"/>
      <c r="P22" s="190"/>
      <c r="Q22" s="190"/>
      <c r="R22" s="190"/>
    </row>
    <row r="23" spans="12:18">
      <c r="L23" s="190"/>
      <c r="M23" s="190"/>
      <c r="N23" s="190"/>
      <c r="O23" s="190"/>
      <c r="P23" s="190"/>
      <c r="Q23" s="190"/>
      <c r="R23" s="190"/>
    </row>
    <row r="26" spans="12:18" ht="15" customHeight="1">
      <c r="L26" s="190" t="s">
        <v>457</v>
      </c>
      <c r="M26" s="190"/>
      <c r="N26" s="190"/>
      <c r="O26" s="190"/>
      <c r="P26" s="190"/>
      <c r="Q26" s="190"/>
      <c r="R26" s="190"/>
    </row>
    <row r="27" spans="12:18">
      <c r="L27" s="190"/>
      <c r="M27" s="190"/>
      <c r="N27" s="190"/>
      <c r="O27" s="190"/>
      <c r="P27" s="190"/>
      <c r="Q27" s="190"/>
      <c r="R27" s="190"/>
    </row>
    <row r="28" spans="12:18">
      <c r="L28" s="190"/>
      <c r="M28" s="190"/>
      <c r="N28" s="190"/>
      <c r="O28" s="190"/>
      <c r="P28" s="190"/>
      <c r="Q28" s="190"/>
      <c r="R28" s="190"/>
    </row>
    <row r="29" spans="12:18">
      <c r="L29" s="190"/>
      <c r="M29" s="190"/>
      <c r="N29" s="190"/>
      <c r="O29" s="190"/>
      <c r="P29" s="190"/>
      <c r="Q29" s="190"/>
      <c r="R29" s="190"/>
    </row>
    <row r="30" spans="12:18">
      <c r="L30" s="190"/>
      <c r="M30" s="190"/>
      <c r="N30" s="190"/>
      <c r="O30" s="190"/>
      <c r="P30" s="190"/>
      <c r="Q30" s="190"/>
      <c r="R30" s="190"/>
    </row>
    <row r="31" spans="12:18">
      <c r="L31" s="190"/>
      <c r="M31" s="190"/>
      <c r="N31" s="190"/>
      <c r="O31" s="190"/>
      <c r="P31" s="190"/>
      <c r="Q31" s="190"/>
      <c r="R31" s="190"/>
    </row>
    <row r="32" spans="12:18">
      <c r="L32" s="190"/>
      <c r="M32" s="190"/>
      <c r="N32" s="190"/>
      <c r="O32" s="190"/>
      <c r="P32" s="190"/>
      <c r="Q32" s="190"/>
      <c r="R32" s="190"/>
    </row>
    <row r="33" spans="12:18">
      <c r="L33" s="190"/>
      <c r="M33" s="190"/>
      <c r="N33" s="190"/>
      <c r="O33" s="190"/>
      <c r="P33" s="190"/>
      <c r="Q33" s="190"/>
      <c r="R33" s="190"/>
    </row>
    <row r="34" spans="12:18">
      <c r="L34" s="190"/>
      <c r="M34" s="190"/>
      <c r="N34" s="190"/>
      <c r="O34" s="190"/>
      <c r="P34" s="190"/>
      <c r="Q34" s="190"/>
      <c r="R34" s="190"/>
    </row>
    <row r="35" spans="12:18">
      <c r="L35" s="190"/>
      <c r="M35" s="190"/>
      <c r="N35" s="190"/>
      <c r="O35" s="190"/>
      <c r="P35" s="190"/>
      <c r="Q35" s="190"/>
      <c r="R35" s="190"/>
    </row>
    <row r="36" spans="12:18">
      <c r="L36" s="190"/>
      <c r="M36" s="190"/>
      <c r="N36" s="190"/>
      <c r="O36" s="190"/>
      <c r="P36" s="190"/>
      <c r="Q36" s="190"/>
      <c r="R36" s="190"/>
    </row>
    <row r="37" spans="12:18">
      <c r="L37" s="190"/>
      <c r="M37" s="190"/>
      <c r="N37" s="190"/>
      <c r="O37" s="190"/>
      <c r="P37" s="190"/>
      <c r="Q37" s="190"/>
      <c r="R37" s="190"/>
    </row>
    <row r="38" spans="12:18">
      <c r="L38" s="190"/>
      <c r="M38" s="190"/>
      <c r="N38" s="190"/>
      <c r="O38" s="190"/>
      <c r="P38" s="190"/>
      <c r="Q38" s="190"/>
      <c r="R38" s="190"/>
    </row>
    <row r="39" spans="12:18">
      <c r="L39" s="190"/>
      <c r="M39" s="190"/>
      <c r="N39" s="190"/>
      <c r="O39" s="190"/>
      <c r="P39" s="190"/>
      <c r="Q39" s="190"/>
      <c r="R39" s="190"/>
    </row>
    <row r="40" spans="12:18">
      <c r="L40" s="190"/>
      <c r="M40" s="190"/>
      <c r="N40" s="190"/>
      <c r="O40" s="190"/>
      <c r="P40" s="190"/>
      <c r="Q40" s="190"/>
      <c r="R40" s="190"/>
    </row>
    <row r="41" spans="12:18">
      <c r="L41" s="190"/>
      <c r="M41" s="190"/>
      <c r="N41" s="190"/>
      <c r="O41" s="190"/>
      <c r="P41" s="190"/>
      <c r="Q41" s="190"/>
      <c r="R41" s="190"/>
    </row>
    <row r="42" spans="12:18">
      <c r="L42" s="190"/>
      <c r="M42" s="190"/>
      <c r="N42" s="190"/>
      <c r="O42" s="190"/>
      <c r="P42" s="190"/>
      <c r="Q42" s="190"/>
      <c r="R42" s="190"/>
    </row>
    <row r="43" spans="12:18">
      <c r="L43" s="190"/>
      <c r="M43" s="190"/>
      <c r="N43" s="190"/>
      <c r="O43" s="190"/>
      <c r="P43" s="190"/>
      <c r="Q43" s="190"/>
      <c r="R43" s="190"/>
    </row>
    <row r="44" spans="12:18">
      <c r="L44" s="190"/>
      <c r="M44" s="190"/>
      <c r="N44" s="190"/>
      <c r="O44" s="190"/>
      <c r="P44" s="190"/>
      <c r="Q44" s="190"/>
      <c r="R44" s="190"/>
    </row>
    <row r="45" spans="12:18">
      <c r="L45" s="190"/>
      <c r="M45" s="190"/>
      <c r="N45" s="190"/>
      <c r="O45" s="190"/>
      <c r="P45" s="190"/>
      <c r="Q45" s="190"/>
      <c r="R45" s="190"/>
    </row>
    <row r="46" spans="12:18">
      <c r="L46" s="190"/>
      <c r="M46" s="190"/>
      <c r="N46" s="190"/>
      <c r="O46" s="190"/>
      <c r="P46" s="190"/>
      <c r="Q46" s="190"/>
      <c r="R46" s="190"/>
    </row>
    <row r="47" spans="12:18">
      <c r="L47" s="190"/>
      <c r="M47" s="190"/>
      <c r="N47" s="190"/>
      <c r="O47" s="190"/>
      <c r="P47" s="190"/>
      <c r="Q47" s="190"/>
      <c r="R47" s="190"/>
    </row>
    <row r="48" spans="12:18">
      <c r="L48" s="190"/>
      <c r="M48" s="190"/>
      <c r="N48" s="190"/>
      <c r="O48" s="190"/>
      <c r="P48" s="190"/>
      <c r="Q48" s="190"/>
      <c r="R48" s="190"/>
    </row>
    <row r="49" spans="12:18">
      <c r="L49" s="190"/>
      <c r="M49" s="190"/>
      <c r="N49" s="190"/>
      <c r="O49" s="190"/>
      <c r="P49" s="190"/>
      <c r="Q49" s="190"/>
      <c r="R49" s="190"/>
    </row>
    <row r="50" spans="12:18">
      <c r="L50" s="190"/>
      <c r="M50" s="190"/>
      <c r="N50" s="190"/>
      <c r="O50" s="190"/>
      <c r="P50" s="190"/>
      <c r="Q50" s="190"/>
      <c r="R50" s="190"/>
    </row>
    <row r="51" spans="12:18">
      <c r="L51" s="190"/>
      <c r="M51" s="190"/>
      <c r="N51" s="190"/>
      <c r="O51" s="190"/>
      <c r="P51" s="190"/>
      <c r="Q51" s="190"/>
      <c r="R51" s="190"/>
    </row>
    <row r="52" spans="12:18">
      <c r="L52" s="190"/>
      <c r="M52" s="190"/>
      <c r="N52" s="190"/>
      <c r="O52" s="190"/>
      <c r="P52" s="190"/>
      <c r="Q52" s="190"/>
      <c r="R52" s="190"/>
    </row>
  </sheetData>
  <mergeCells count="3">
    <mergeCell ref="L2:R11"/>
    <mergeCell ref="L14:R23"/>
    <mergeCell ref="L26:R52"/>
  </mergeCells>
  <pageMargins left="0.75" right="0.75" top="1" bottom="1" header="0.5" footer="0.5"/>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O73"/>
  <sheetViews>
    <sheetView topLeftCell="A34" workbookViewId="0">
      <selection activeCell="K43" sqref="K43:O65"/>
    </sheetView>
  </sheetViews>
  <sheetFormatPr baseColWidth="10" defaultColWidth="10.83203125" defaultRowHeight="15" x14ac:dyDescent="0"/>
  <cols>
    <col min="1" max="10" width="10.83203125" style="1"/>
    <col min="11" max="11" width="25.83203125" style="1" bestFit="1" customWidth="1"/>
    <col min="12" max="14" width="13.33203125" style="1" bestFit="1" customWidth="1"/>
    <col min="15" max="16384" width="10.83203125" style="1"/>
  </cols>
  <sheetData>
    <row r="3" spans="11:12">
      <c r="K3" s="1" t="s">
        <v>470</v>
      </c>
      <c r="L3" s="1">
        <v>30000</v>
      </c>
    </row>
    <row r="4" spans="11:12">
      <c r="K4" s="1" t="s">
        <v>458</v>
      </c>
    </row>
    <row r="5" spans="11:12">
      <c r="K5" s="1" t="s">
        <v>451</v>
      </c>
      <c r="L5" s="1">
        <v>1200</v>
      </c>
    </row>
    <row r="7" spans="11:12">
      <c r="K7" s="1" t="s">
        <v>459</v>
      </c>
      <c r="L7" s="1">
        <v>26000</v>
      </c>
    </row>
    <row r="9" spans="11:12">
      <c r="K9" s="1" t="s">
        <v>460</v>
      </c>
      <c r="L9" s="1">
        <v>151500</v>
      </c>
    </row>
    <row r="10" spans="11:12">
      <c r="K10" s="1" t="s">
        <v>461</v>
      </c>
      <c r="L10" s="1">
        <v>141000</v>
      </c>
    </row>
    <row r="11" spans="11:12">
      <c r="K11" s="1" t="s">
        <v>440</v>
      </c>
      <c r="L11" s="1">
        <v>7200</v>
      </c>
    </row>
    <row r="12" spans="11:12">
      <c r="K12" s="1" t="s">
        <v>267</v>
      </c>
      <c r="L12" s="1">
        <f>L9-L10-L11</f>
        <v>3300</v>
      </c>
    </row>
    <row r="15" spans="11:12">
      <c r="K15" s="1" t="s">
        <v>462</v>
      </c>
      <c r="L15" s="6">
        <v>0.2</v>
      </c>
    </row>
    <row r="16" spans="11:12">
      <c r="K16" s="1" t="s">
        <v>463</v>
      </c>
      <c r="L16" s="6">
        <v>0.75</v>
      </c>
    </row>
    <row r="17" spans="11:14">
      <c r="K17" s="1" t="s">
        <v>464</v>
      </c>
      <c r="L17" s="6">
        <v>0.04</v>
      </c>
    </row>
    <row r="18" spans="11:14">
      <c r="K18" s="1" t="s">
        <v>267</v>
      </c>
      <c r="L18" s="6">
        <v>0.01</v>
      </c>
    </row>
    <row r="20" spans="11:14">
      <c r="L20" s="119" t="s">
        <v>461</v>
      </c>
      <c r="M20" s="119" t="s">
        <v>440</v>
      </c>
      <c r="N20" s="119" t="s">
        <v>425</v>
      </c>
    </row>
    <row r="21" spans="11:14">
      <c r="K21" s="1" t="s">
        <v>465</v>
      </c>
      <c r="L21" s="1">
        <v>200000</v>
      </c>
      <c r="M21" s="1">
        <v>300000</v>
      </c>
      <c r="N21" s="1">
        <v>250000</v>
      </c>
    </row>
    <row r="22" spans="11:14">
      <c r="K22" s="1" t="s">
        <v>466</v>
      </c>
      <c r="L22" s="1">
        <v>120000</v>
      </c>
      <c r="M22" s="1">
        <v>180000</v>
      </c>
      <c r="N22" s="1">
        <v>150000</v>
      </c>
    </row>
    <row r="23" spans="11:14">
      <c r="K23" s="1" t="s">
        <v>467</v>
      </c>
      <c r="L23" s="1">
        <v>9000</v>
      </c>
      <c r="M23" s="1">
        <v>9000</v>
      </c>
      <c r="N23" s="1">
        <v>8000</v>
      </c>
    </row>
    <row r="24" spans="11:14">
      <c r="K24" s="1" t="s">
        <v>445</v>
      </c>
      <c r="L24" s="1">
        <v>15000</v>
      </c>
      <c r="M24" s="1">
        <v>15000</v>
      </c>
      <c r="N24" s="1">
        <v>15000</v>
      </c>
    </row>
    <row r="25" spans="11:14">
      <c r="K25" s="1" t="s">
        <v>60</v>
      </c>
      <c r="L25" s="1">
        <v>70000</v>
      </c>
      <c r="M25" s="1">
        <v>80000</v>
      </c>
      <c r="N25" s="1">
        <v>60000</v>
      </c>
    </row>
    <row r="26" spans="11:14">
      <c r="K26" s="1" t="s">
        <v>453</v>
      </c>
      <c r="L26" s="1">
        <v>8000</v>
      </c>
      <c r="M26" s="1">
        <v>0</v>
      </c>
      <c r="N26" s="1">
        <v>0</v>
      </c>
    </row>
    <row r="27" spans="11:14">
      <c r="K27" s="1" t="s">
        <v>64</v>
      </c>
      <c r="L27" s="1">
        <v>10000</v>
      </c>
      <c r="M27" s="1">
        <v>10000</v>
      </c>
      <c r="N27" s="1">
        <v>10000</v>
      </c>
    </row>
    <row r="29" spans="11:14">
      <c r="K29" s="1" t="s">
        <v>468</v>
      </c>
    </row>
    <row r="30" spans="11:14">
      <c r="K30" s="1" t="s">
        <v>469</v>
      </c>
      <c r="L30" s="1">
        <v>108000</v>
      </c>
    </row>
    <row r="32" spans="11:14">
      <c r="K32" s="1" t="s">
        <v>473</v>
      </c>
      <c r="L32" s="1">
        <v>20000</v>
      </c>
    </row>
    <row r="34" spans="11:15">
      <c r="L34" s="161" t="s">
        <v>304</v>
      </c>
      <c r="M34" s="161"/>
      <c r="N34" s="161"/>
      <c r="O34" s="161"/>
    </row>
    <row r="35" spans="11:15">
      <c r="K35" s="1" t="s">
        <v>208</v>
      </c>
      <c r="L35" s="119" t="s">
        <v>461</v>
      </c>
      <c r="M35" s="119" t="s">
        <v>440</v>
      </c>
      <c r="N35" s="119" t="s">
        <v>425</v>
      </c>
      <c r="O35" s="119" t="s">
        <v>306</v>
      </c>
    </row>
    <row r="36" spans="11:15">
      <c r="K36" s="1" t="s">
        <v>471</v>
      </c>
      <c r="L36" s="1">
        <f>L10</f>
        <v>141000</v>
      </c>
      <c r="M36" s="1">
        <f>L11</f>
        <v>7200</v>
      </c>
      <c r="O36" s="1">
        <f>SUM(L36:N36)</f>
        <v>148200</v>
      </c>
    </row>
    <row r="37" spans="11:15">
      <c r="K37" s="1" t="s">
        <v>472</v>
      </c>
      <c r="L37" s="1">
        <f>L21*L15</f>
        <v>40000</v>
      </c>
      <c r="M37" s="1">
        <f>L21*L16</f>
        <v>150000</v>
      </c>
      <c r="N37" s="1">
        <f>L21*L17</f>
        <v>8000</v>
      </c>
      <c r="O37" s="1">
        <f>SUM(L37:N37)</f>
        <v>198000</v>
      </c>
    </row>
    <row r="38" spans="11:15">
      <c r="K38" s="1" t="s">
        <v>206</v>
      </c>
      <c r="M38" s="1">
        <f>M21*L15</f>
        <v>60000</v>
      </c>
      <c r="N38" s="1">
        <f>M21*L16</f>
        <v>225000</v>
      </c>
      <c r="O38" s="1">
        <f>SUM(L38:N38)</f>
        <v>285000</v>
      </c>
    </row>
    <row r="39" spans="11:15">
      <c r="K39" s="1" t="s">
        <v>207</v>
      </c>
      <c r="N39" s="1">
        <f>N21*L15</f>
        <v>50000</v>
      </c>
      <c r="O39" s="1">
        <f>SUM(L39:N39)</f>
        <v>50000</v>
      </c>
    </row>
    <row r="40" spans="11:15" ht="16" thickBot="1">
      <c r="K40" s="1" t="s">
        <v>10</v>
      </c>
      <c r="L40" s="4">
        <f>SUM(L36:L39)</f>
        <v>181000</v>
      </c>
      <c r="M40" s="4">
        <f>SUM(M36:M39)</f>
        <v>217200</v>
      </c>
      <c r="N40" s="4">
        <f>SUM(N36:N39)</f>
        <v>283000</v>
      </c>
      <c r="O40" s="4">
        <f>SUM(L40:N40)</f>
        <v>681200</v>
      </c>
    </row>
    <row r="41" spans="11:15" ht="16" thickTop="1"/>
    <row r="43" spans="11:15">
      <c r="L43" s="161" t="s">
        <v>304</v>
      </c>
      <c r="M43" s="161"/>
      <c r="N43" s="161"/>
      <c r="O43" s="161"/>
    </row>
    <row r="44" spans="11:15">
      <c r="L44" s="119" t="s">
        <v>200</v>
      </c>
      <c r="M44" s="119" t="s">
        <v>201</v>
      </c>
      <c r="N44" s="119" t="s">
        <v>202</v>
      </c>
      <c r="O44" s="119" t="s">
        <v>306</v>
      </c>
    </row>
    <row r="45" spans="11:15">
      <c r="K45" s="1" t="s">
        <v>68</v>
      </c>
      <c r="L45" s="1">
        <f>L7</f>
        <v>26000</v>
      </c>
      <c r="M45" s="1">
        <f>L65</f>
        <v>27000</v>
      </c>
      <c r="N45" s="1">
        <f>M65</f>
        <v>20200</v>
      </c>
      <c r="O45" s="1">
        <f>+L45</f>
        <v>26000</v>
      </c>
    </row>
    <row r="46" spans="11:15">
      <c r="K46" s="1" t="s">
        <v>69</v>
      </c>
      <c r="L46" s="10">
        <f>L40</f>
        <v>181000</v>
      </c>
      <c r="M46" s="10">
        <f>M40</f>
        <v>217200</v>
      </c>
      <c r="N46" s="10">
        <f>N40</f>
        <v>283000</v>
      </c>
      <c r="O46" s="10">
        <f>SUM(L46:N46)</f>
        <v>681200</v>
      </c>
    </row>
    <row r="47" spans="11:15">
      <c r="K47" s="20" t="s">
        <v>70</v>
      </c>
      <c r="L47" s="20">
        <f>+L46+L45</f>
        <v>207000</v>
      </c>
      <c r="M47" s="20">
        <f>+M46+M45</f>
        <v>244200</v>
      </c>
      <c r="N47" s="20">
        <f>+N46+N45</f>
        <v>303200</v>
      </c>
      <c r="O47" s="20">
        <f>+O46+O45</f>
        <v>707200</v>
      </c>
    </row>
    <row r="49" spans="11:15">
      <c r="K49" s="1" t="s">
        <v>71</v>
      </c>
    </row>
    <row r="50" spans="11:15">
      <c r="K50" s="19" t="str">
        <f>K22</f>
        <v>Compra Mercadorias</v>
      </c>
      <c r="L50" s="1">
        <f>L30</f>
        <v>108000</v>
      </c>
      <c r="M50" s="1">
        <f>L22</f>
        <v>120000</v>
      </c>
      <c r="N50" s="1">
        <f>M22</f>
        <v>180000</v>
      </c>
      <c r="O50" s="1">
        <f t="shared" ref="O50:O55" si="0">SUM(L50:N50)</f>
        <v>408000</v>
      </c>
    </row>
    <row r="51" spans="11:15">
      <c r="K51" s="19" t="str">
        <f t="shared" ref="K51:N54" si="1">K23</f>
        <v>Salarios</v>
      </c>
      <c r="L51" s="19">
        <f t="shared" si="1"/>
        <v>9000</v>
      </c>
      <c r="M51" s="19">
        <f t="shared" si="1"/>
        <v>9000</v>
      </c>
      <c r="N51" s="19">
        <f t="shared" si="1"/>
        <v>8000</v>
      </c>
      <c r="O51" s="1">
        <f t="shared" si="0"/>
        <v>26000</v>
      </c>
    </row>
    <row r="52" spans="11:15">
      <c r="K52" s="19" t="str">
        <f t="shared" si="1"/>
        <v>Aluguel</v>
      </c>
      <c r="L52" s="19">
        <f t="shared" si="1"/>
        <v>15000</v>
      </c>
      <c r="M52" s="19">
        <f t="shared" si="1"/>
        <v>15000</v>
      </c>
      <c r="N52" s="19">
        <f t="shared" si="1"/>
        <v>15000</v>
      </c>
      <c r="O52" s="1">
        <f t="shared" si="0"/>
        <v>45000</v>
      </c>
    </row>
    <row r="53" spans="11:15">
      <c r="K53" s="19" t="str">
        <f t="shared" si="1"/>
        <v>Propaganda</v>
      </c>
      <c r="L53" s="19">
        <f t="shared" si="1"/>
        <v>70000</v>
      </c>
      <c r="M53" s="19">
        <f t="shared" si="1"/>
        <v>80000</v>
      </c>
      <c r="N53" s="19">
        <f t="shared" si="1"/>
        <v>60000</v>
      </c>
      <c r="O53" s="52">
        <f t="shared" si="0"/>
        <v>210000</v>
      </c>
    </row>
    <row r="54" spans="11:15">
      <c r="K54" s="19" t="str">
        <f t="shared" si="1"/>
        <v>Compra Equipamentos</v>
      </c>
      <c r="L54" s="10">
        <f>L26</f>
        <v>8000</v>
      </c>
      <c r="M54" s="10">
        <f>M26</f>
        <v>0</v>
      </c>
      <c r="N54" s="10">
        <f>N26</f>
        <v>0</v>
      </c>
      <c r="O54" s="52">
        <f t="shared" si="0"/>
        <v>8000</v>
      </c>
    </row>
    <row r="55" spans="11:15">
      <c r="K55" s="107" t="s">
        <v>75</v>
      </c>
      <c r="L55" s="129">
        <f>SUM(L50:L54)</f>
        <v>210000</v>
      </c>
      <c r="M55" s="129">
        <f>SUM(M50:M53)</f>
        <v>224000</v>
      </c>
      <c r="N55" s="129">
        <f>SUM(N50:N53)</f>
        <v>263000</v>
      </c>
      <c r="O55" s="129">
        <f t="shared" si="0"/>
        <v>697000</v>
      </c>
    </row>
    <row r="57" spans="11:15">
      <c r="K57" s="20" t="s">
        <v>82</v>
      </c>
      <c r="L57" s="20">
        <f>L47-L55</f>
        <v>-3000</v>
      </c>
      <c r="M57" s="20">
        <f>M47-M55</f>
        <v>20200</v>
      </c>
      <c r="N57" s="20">
        <f>N47-N55</f>
        <v>40200</v>
      </c>
      <c r="O57" s="20">
        <f>SUM(L57:N57)</f>
        <v>57400</v>
      </c>
    </row>
    <row r="59" spans="11:15">
      <c r="K59" s="1" t="s">
        <v>77</v>
      </c>
    </row>
    <row r="60" spans="11:15">
      <c r="K60" s="19" t="s">
        <v>78</v>
      </c>
      <c r="L60" s="1">
        <f>L3</f>
        <v>30000</v>
      </c>
      <c r="M60" s="1">
        <v>0</v>
      </c>
      <c r="N60" s="1">
        <v>0</v>
      </c>
      <c r="O60" s="1">
        <f>SUM(L60:N60)</f>
        <v>30000</v>
      </c>
    </row>
    <row r="61" spans="11:15">
      <c r="K61" s="19" t="s">
        <v>79</v>
      </c>
      <c r="L61" s="1">
        <v>0</v>
      </c>
      <c r="M61" s="1">
        <v>0</v>
      </c>
      <c r="N61" s="1">
        <f>-SUM(L60:M60)</f>
        <v>-30000</v>
      </c>
      <c r="O61" s="1">
        <f>SUM(L61:N61)</f>
        <v>-30000</v>
      </c>
    </row>
    <row r="62" spans="11:15">
      <c r="K62" s="19" t="s">
        <v>80</v>
      </c>
      <c r="L62" s="10">
        <v>0</v>
      </c>
      <c r="M62" s="10">
        <v>0</v>
      </c>
      <c r="N62" s="10">
        <f>-L5</f>
        <v>-1200</v>
      </c>
      <c r="O62" s="10">
        <f>SUM(L62:N62)</f>
        <v>-1200</v>
      </c>
    </row>
    <row r="63" spans="11:15">
      <c r="K63" s="107" t="s">
        <v>81</v>
      </c>
      <c r="L63" s="129">
        <f>+L62+L61+L60</f>
        <v>30000</v>
      </c>
      <c r="M63" s="129">
        <f>+M62+M61+M60</f>
        <v>0</v>
      </c>
      <c r="N63" s="129">
        <f>+N62+N61+N60</f>
        <v>-31200</v>
      </c>
      <c r="O63" s="129">
        <f>SUM(L63:N63)</f>
        <v>-1200</v>
      </c>
    </row>
    <row r="64" spans="11:15">
      <c r="L64" s="10"/>
      <c r="M64" s="10"/>
      <c r="N64" s="10"/>
      <c r="O64" s="10"/>
    </row>
    <row r="65" spans="11:15" ht="16" thickBot="1">
      <c r="K65" s="126" t="s">
        <v>76</v>
      </c>
      <c r="L65" s="126">
        <f>L57+L63</f>
        <v>27000</v>
      </c>
      <c r="M65" s="126">
        <f>M57+M63</f>
        <v>20200</v>
      </c>
      <c r="N65" s="126">
        <f>N57+N63</f>
        <v>9000</v>
      </c>
      <c r="O65" s="126">
        <f>N65</f>
        <v>9000</v>
      </c>
    </row>
    <row r="66" spans="11:15" ht="16" thickTop="1"/>
    <row r="68" spans="11:15">
      <c r="K68" s="190" t="s">
        <v>474</v>
      </c>
      <c r="L68" s="190"/>
      <c r="M68" s="190"/>
      <c r="N68" s="190"/>
      <c r="O68" s="190"/>
    </row>
    <row r="69" spans="11:15">
      <c r="K69" s="190"/>
      <c r="L69" s="190"/>
      <c r="M69" s="190"/>
      <c r="N69" s="190"/>
      <c r="O69" s="190"/>
    </row>
    <row r="70" spans="11:15">
      <c r="K70" s="190"/>
      <c r="L70" s="190"/>
      <c r="M70" s="190"/>
      <c r="N70" s="190"/>
      <c r="O70" s="190"/>
    </row>
    <row r="71" spans="11:15">
      <c r="K71" s="190"/>
      <c r="L71" s="190"/>
      <c r="M71" s="190"/>
      <c r="N71" s="190"/>
      <c r="O71" s="190"/>
    </row>
    <row r="72" spans="11:15">
      <c r="K72" s="190"/>
      <c r="L72" s="190"/>
      <c r="M72" s="190"/>
      <c r="N72" s="190"/>
      <c r="O72" s="190"/>
    </row>
    <row r="73" spans="11:15">
      <c r="K73" s="190"/>
      <c r="L73" s="190"/>
      <c r="M73" s="190"/>
      <c r="N73" s="190"/>
      <c r="O73" s="190"/>
    </row>
  </sheetData>
  <mergeCells count="3">
    <mergeCell ref="L34:O34"/>
    <mergeCell ref="L43:O43"/>
    <mergeCell ref="K68:O7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P90"/>
  <sheetViews>
    <sheetView topLeftCell="A20" workbookViewId="0">
      <selection activeCell="K70" sqref="K70:K89"/>
    </sheetView>
  </sheetViews>
  <sheetFormatPr baseColWidth="10" defaultColWidth="10.83203125" defaultRowHeight="15" x14ac:dyDescent="0"/>
  <cols>
    <col min="1" max="10" width="10.83203125" style="1"/>
    <col min="11" max="11" width="41" style="1" bestFit="1" customWidth="1"/>
    <col min="12" max="13" width="16.1640625" style="1" customWidth="1"/>
    <col min="14" max="15" width="13.33203125" style="1" bestFit="1" customWidth="1"/>
    <col min="16" max="16" width="11.83203125" style="1" bestFit="1" customWidth="1"/>
    <col min="17" max="16384" width="10.83203125" style="1"/>
  </cols>
  <sheetData>
    <row r="2" spans="11:13" ht="30">
      <c r="L2" s="118" t="s">
        <v>83</v>
      </c>
      <c r="M2" s="136" t="s">
        <v>384</v>
      </c>
    </row>
    <row r="3" spans="11:13">
      <c r="K3" s="137" t="s">
        <v>476</v>
      </c>
    </row>
    <row r="4" spans="11:13">
      <c r="K4" s="1" t="s">
        <v>475</v>
      </c>
      <c r="L4" s="1">
        <v>300000</v>
      </c>
      <c r="M4" s="1">
        <v>180000</v>
      </c>
    </row>
    <row r="6" spans="11:13">
      <c r="K6" s="137" t="s">
        <v>477</v>
      </c>
    </row>
    <row r="7" spans="11:13">
      <c r="K7" s="1" t="s">
        <v>478</v>
      </c>
      <c r="L7" s="1">
        <v>400000</v>
      </c>
      <c r="M7" s="1">
        <v>260000</v>
      </c>
    </row>
    <row r="8" spans="11:13">
      <c r="K8" s="1" t="s">
        <v>479</v>
      </c>
      <c r="L8" s="1">
        <v>500000</v>
      </c>
      <c r="M8" s="1">
        <v>310000</v>
      </c>
    </row>
    <row r="9" spans="11:13">
      <c r="K9" s="1" t="s">
        <v>480</v>
      </c>
      <c r="L9" s="1">
        <v>600000</v>
      </c>
      <c r="M9" s="1">
        <v>370000</v>
      </c>
    </row>
    <row r="10" spans="11:13">
      <c r="K10" s="1" t="s">
        <v>481</v>
      </c>
      <c r="L10" s="1">
        <v>480000</v>
      </c>
      <c r="M10" s="1">
        <v>240000</v>
      </c>
    </row>
    <row r="13" spans="11:13">
      <c r="K13" s="1" t="s">
        <v>482</v>
      </c>
      <c r="L13" s="6">
        <v>0.33</v>
      </c>
    </row>
    <row r="14" spans="11:13">
      <c r="K14" s="1" t="s">
        <v>483</v>
      </c>
      <c r="L14" s="6">
        <v>0.65</v>
      </c>
    </row>
    <row r="16" spans="11:13">
      <c r="K16" s="1" t="s">
        <v>484</v>
      </c>
      <c r="L16" s="6">
        <v>0.2</v>
      </c>
    </row>
    <row r="17" spans="11:13">
      <c r="K17" s="1" t="s">
        <v>485</v>
      </c>
      <c r="L17" s="6">
        <v>0.8</v>
      </c>
    </row>
    <row r="19" spans="11:13">
      <c r="K19" s="193" t="s">
        <v>486</v>
      </c>
      <c r="L19" s="1">
        <v>90000</v>
      </c>
    </row>
    <row r="20" spans="11:13">
      <c r="K20" s="193"/>
      <c r="L20" s="6">
        <v>0.12</v>
      </c>
      <c r="M20" s="1" t="s">
        <v>487</v>
      </c>
    </row>
    <row r="21" spans="11:13">
      <c r="K21" s="193"/>
      <c r="L21" s="1">
        <v>20000</v>
      </c>
      <c r="M21" s="1" t="s">
        <v>488</v>
      </c>
    </row>
    <row r="23" spans="11:13">
      <c r="K23" s="1" t="s">
        <v>74</v>
      </c>
      <c r="L23" s="1">
        <v>10000</v>
      </c>
    </row>
    <row r="25" spans="11:13">
      <c r="K25" s="1" t="s">
        <v>489</v>
      </c>
    </row>
    <row r="26" spans="11:13">
      <c r="K26" s="19" t="s">
        <v>479</v>
      </c>
      <c r="L26" s="1">
        <v>80000</v>
      </c>
    </row>
    <row r="27" spans="11:13">
      <c r="K27" s="19" t="s">
        <v>480</v>
      </c>
      <c r="L27" s="1">
        <v>48500</v>
      </c>
    </row>
    <row r="29" spans="11:13">
      <c r="K29" s="1" t="s">
        <v>490</v>
      </c>
      <c r="L29" s="1">
        <v>20000</v>
      </c>
    </row>
    <row r="30" spans="11:13">
      <c r="K30" s="1" t="s">
        <v>491</v>
      </c>
      <c r="L30" s="1">
        <v>18000</v>
      </c>
    </row>
    <row r="32" spans="11:13">
      <c r="K32" s="1" t="s">
        <v>494</v>
      </c>
    </row>
    <row r="33" spans="11:16">
      <c r="K33" s="1" t="s">
        <v>493</v>
      </c>
      <c r="L33" s="1">
        <v>10000</v>
      </c>
    </row>
    <row r="34" spans="11:16">
      <c r="K34" s="1" t="s">
        <v>495</v>
      </c>
      <c r="L34" s="1">
        <v>100000</v>
      </c>
    </row>
    <row r="35" spans="11:16">
      <c r="K35" s="1" t="s">
        <v>496</v>
      </c>
      <c r="L35" s="6">
        <v>0.01</v>
      </c>
    </row>
    <row r="36" spans="11:16">
      <c r="K36" s="1" t="s">
        <v>497</v>
      </c>
    </row>
    <row r="38" spans="11:16">
      <c r="L38" s="161" t="s">
        <v>13</v>
      </c>
      <c r="M38" s="161"/>
      <c r="N38" s="161"/>
      <c r="O38" s="161"/>
      <c r="P38" s="161"/>
    </row>
    <row r="39" spans="11:16">
      <c r="K39" s="1" t="s">
        <v>208</v>
      </c>
      <c r="L39" s="90">
        <v>1</v>
      </c>
      <c r="M39" s="90">
        <v>2</v>
      </c>
      <c r="N39" s="90">
        <v>3</v>
      </c>
      <c r="O39" s="90">
        <v>4</v>
      </c>
      <c r="P39" s="90" t="s">
        <v>102</v>
      </c>
    </row>
    <row r="40" spans="11:16">
      <c r="K40" s="1" t="s">
        <v>498</v>
      </c>
      <c r="L40" s="1">
        <f>L4*L14</f>
        <v>195000</v>
      </c>
      <c r="P40" s="1">
        <f>SUM(L40:O40)</f>
        <v>195000</v>
      </c>
    </row>
    <row r="41" spans="11:16">
      <c r="K41" s="1" t="s">
        <v>499</v>
      </c>
      <c r="L41" s="1">
        <f>L7*L13</f>
        <v>132000</v>
      </c>
      <c r="M41" s="1">
        <f>L7*L14</f>
        <v>260000</v>
      </c>
      <c r="P41" s="1">
        <f>SUM(L41:O41)</f>
        <v>392000</v>
      </c>
    </row>
    <row r="42" spans="11:16">
      <c r="K42" s="1" t="s">
        <v>500</v>
      </c>
      <c r="M42" s="1">
        <f>L8*L13</f>
        <v>165000</v>
      </c>
      <c r="N42" s="1">
        <f>L8*L14</f>
        <v>325000</v>
      </c>
      <c r="P42" s="1">
        <f>SUM(L42:O42)</f>
        <v>490000</v>
      </c>
    </row>
    <row r="43" spans="11:16">
      <c r="K43" s="1" t="s">
        <v>501</v>
      </c>
      <c r="N43" s="1">
        <f>L9*L13</f>
        <v>198000</v>
      </c>
      <c r="O43" s="1">
        <f>L9*L14</f>
        <v>390000</v>
      </c>
      <c r="P43" s="1">
        <f>SUM(L43:O43)</f>
        <v>588000</v>
      </c>
    </row>
    <row r="44" spans="11:16">
      <c r="K44" s="1" t="s">
        <v>502</v>
      </c>
      <c r="O44" s="1">
        <f>L10*L13</f>
        <v>158400</v>
      </c>
      <c r="P44" s="1">
        <f>SUM(L44:O44)</f>
        <v>158400</v>
      </c>
    </row>
    <row r="45" spans="11:16" ht="16" thickBot="1">
      <c r="K45" s="1" t="s">
        <v>10</v>
      </c>
      <c r="L45" s="4">
        <f>SUM(L40:L44)</f>
        <v>327000</v>
      </c>
      <c r="M45" s="4">
        <f>SUM(M40:M44)</f>
        <v>425000</v>
      </c>
      <c r="N45" s="4">
        <f>SUM(N40:N44)</f>
        <v>523000</v>
      </c>
      <c r="O45" s="4">
        <f>SUM(O40:O44)</f>
        <v>548400</v>
      </c>
      <c r="P45" s="4">
        <f>SUM(P40:P44)</f>
        <v>1823400</v>
      </c>
    </row>
    <row r="46" spans="11:16" ht="16" thickTop="1"/>
    <row r="48" spans="11:16">
      <c r="L48" s="161" t="s">
        <v>13</v>
      </c>
      <c r="M48" s="161"/>
      <c r="N48" s="161"/>
      <c r="O48" s="161"/>
      <c r="P48" s="161"/>
    </row>
    <row r="49" spans="11:16">
      <c r="L49" s="90">
        <v>1</v>
      </c>
      <c r="M49" s="90">
        <v>2</v>
      </c>
      <c r="N49" s="90">
        <v>3</v>
      </c>
      <c r="O49" s="90">
        <v>4</v>
      </c>
      <c r="P49" s="90" t="s">
        <v>102</v>
      </c>
    </row>
    <row r="50" spans="11:16">
      <c r="K50" s="1" t="s">
        <v>503</v>
      </c>
      <c r="L50" s="1">
        <f>M4*L17</f>
        <v>144000</v>
      </c>
      <c r="P50" s="1">
        <f>SUM(L50:O50)</f>
        <v>144000</v>
      </c>
    </row>
    <row r="51" spans="11:16">
      <c r="K51" s="1" t="s">
        <v>504</v>
      </c>
      <c r="L51" s="1">
        <f>M7*L16</f>
        <v>52000</v>
      </c>
      <c r="M51" s="1">
        <f>M7*L17</f>
        <v>208000</v>
      </c>
      <c r="P51" s="1">
        <f>SUM(L51:O51)</f>
        <v>260000</v>
      </c>
    </row>
    <row r="52" spans="11:16">
      <c r="K52" s="1" t="s">
        <v>505</v>
      </c>
      <c r="M52" s="1">
        <f>M8*L16</f>
        <v>62000</v>
      </c>
      <c r="N52" s="1">
        <f>M8*L17</f>
        <v>248000</v>
      </c>
      <c r="P52" s="1">
        <f>SUM(L52:O52)</f>
        <v>310000</v>
      </c>
    </row>
    <row r="53" spans="11:16">
      <c r="K53" s="1" t="s">
        <v>506</v>
      </c>
      <c r="N53" s="1">
        <f>M9*L16</f>
        <v>74000</v>
      </c>
      <c r="O53" s="1">
        <f>M9*L17</f>
        <v>296000</v>
      </c>
      <c r="P53" s="1">
        <f>SUM(L53:O53)</f>
        <v>370000</v>
      </c>
    </row>
    <row r="54" spans="11:16">
      <c r="K54" s="1" t="s">
        <v>507</v>
      </c>
      <c r="O54" s="1">
        <f>M10*L16</f>
        <v>48000</v>
      </c>
      <c r="P54" s="1">
        <f>SUM(L54:O54)</f>
        <v>48000</v>
      </c>
    </row>
    <row r="55" spans="11:16" ht="16" thickBot="1">
      <c r="K55" s="1" t="s">
        <v>509</v>
      </c>
      <c r="L55" s="4">
        <f>SUM(L50:L54)</f>
        <v>196000</v>
      </c>
      <c r="M55" s="4">
        <f>SUM(M50:M54)</f>
        <v>270000</v>
      </c>
      <c r="N55" s="4">
        <f>SUM(N50:N54)</f>
        <v>322000</v>
      </c>
      <c r="O55" s="4">
        <f>SUM(O50:O54)</f>
        <v>344000</v>
      </c>
      <c r="P55" s="4">
        <f>SUM(P50:P54)</f>
        <v>1132000</v>
      </c>
    </row>
    <row r="56" spans="11:16" ht="16" thickTop="1"/>
    <row r="58" spans="11:16">
      <c r="L58" s="161" t="s">
        <v>13</v>
      </c>
      <c r="M58" s="161"/>
      <c r="N58" s="161"/>
      <c r="O58" s="161"/>
      <c r="P58" s="161"/>
    </row>
    <row r="59" spans="11:16">
      <c r="L59" s="90">
        <v>1</v>
      </c>
      <c r="M59" s="90">
        <v>2</v>
      </c>
      <c r="N59" s="90">
        <v>3</v>
      </c>
      <c r="O59" s="90">
        <v>4</v>
      </c>
      <c r="P59" s="90" t="s">
        <v>102</v>
      </c>
    </row>
    <row r="60" spans="11:16">
      <c r="K60" s="1" t="s">
        <v>19</v>
      </c>
      <c r="L60" s="1">
        <f>L7</f>
        <v>400000</v>
      </c>
      <c r="M60" s="1">
        <f>L8</f>
        <v>500000</v>
      </c>
      <c r="N60" s="1">
        <f>L9</f>
        <v>600000</v>
      </c>
      <c r="O60" s="1">
        <f>L10</f>
        <v>480000</v>
      </c>
      <c r="P60" s="1">
        <f>SUM(L60:O60)</f>
        <v>1980000</v>
      </c>
    </row>
    <row r="61" spans="11:16">
      <c r="K61" s="1" t="s">
        <v>508</v>
      </c>
      <c r="L61" s="6">
        <f>$L$20</f>
        <v>0.12</v>
      </c>
      <c r="M61" s="6">
        <f>$L$20</f>
        <v>0.12</v>
      </c>
      <c r="N61" s="6">
        <f>$L$20</f>
        <v>0.12</v>
      </c>
      <c r="O61" s="6">
        <f>$L$20</f>
        <v>0.12</v>
      </c>
      <c r="P61" s="6">
        <f>$L$20</f>
        <v>0.12</v>
      </c>
    </row>
    <row r="62" spans="11:16">
      <c r="K62" s="1" t="s">
        <v>58</v>
      </c>
      <c r="L62" s="1">
        <f>L60*L61</f>
        <v>48000</v>
      </c>
      <c r="M62" s="1">
        <f>M60*M61</f>
        <v>60000</v>
      </c>
      <c r="N62" s="1">
        <f>N60*N61</f>
        <v>72000</v>
      </c>
      <c r="O62" s="1">
        <f>O60*O61</f>
        <v>57600</v>
      </c>
      <c r="P62" s="1">
        <f>P60*P61</f>
        <v>237600</v>
      </c>
    </row>
    <row r="63" spans="11:16">
      <c r="K63" s="1" t="s">
        <v>59</v>
      </c>
      <c r="L63" s="10">
        <f>$L$19-$L$21</f>
        <v>70000</v>
      </c>
      <c r="M63" s="10">
        <f>$L$19-$L$21</f>
        <v>70000</v>
      </c>
      <c r="N63" s="10">
        <f>$L$19-$L$21</f>
        <v>70000</v>
      </c>
      <c r="O63" s="10">
        <f>$L$19-$L$21</f>
        <v>70000</v>
      </c>
      <c r="P63" s="10">
        <f>SUM(L63:O63)</f>
        <v>280000</v>
      </c>
    </row>
    <row r="64" spans="11:16">
      <c r="K64" s="1" t="s">
        <v>510</v>
      </c>
      <c r="L64" s="1">
        <f>SUM(L62:L63)</f>
        <v>118000</v>
      </c>
      <c r="M64" s="1">
        <f>SUM(M62:M63)</f>
        <v>130000</v>
      </c>
      <c r="N64" s="1">
        <f>SUM(N62:N63)</f>
        <v>142000</v>
      </c>
      <c r="O64" s="1">
        <f>SUM(O62:O63)</f>
        <v>127600</v>
      </c>
      <c r="P64" s="1">
        <f>SUM(P62:P63)</f>
        <v>517600</v>
      </c>
    </row>
    <row r="68" spans="11:16">
      <c r="L68" s="161" t="s">
        <v>13</v>
      </c>
      <c r="M68" s="161"/>
      <c r="N68" s="161"/>
      <c r="O68" s="161"/>
      <c r="P68" s="161"/>
    </row>
    <row r="69" spans="11:16">
      <c r="L69" s="90">
        <v>1</v>
      </c>
      <c r="M69" s="90">
        <v>2</v>
      </c>
      <c r="N69" s="90">
        <v>3</v>
      </c>
      <c r="O69" s="90">
        <v>4</v>
      </c>
      <c r="P69" s="90" t="s">
        <v>102</v>
      </c>
    </row>
    <row r="70" spans="11:16">
      <c r="K70" s="1" t="s">
        <v>68</v>
      </c>
      <c r="L70" s="1">
        <f>L29</f>
        <v>20000</v>
      </c>
      <c r="M70" s="1">
        <f>L89</f>
        <v>23000</v>
      </c>
      <c r="N70" s="1">
        <f>M89</f>
        <v>18000</v>
      </c>
      <c r="O70" s="1">
        <f>N89</f>
        <v>18500</v>
      </c>
      <c r="P70" s="1">
        <f>L70</f>
        <v>20000</v>
      </c>
    </row>
    <row r="71" spans="11:16">
      <c r="K71" s="1" t="s">
        <v>69</v>
      </c>
      <c r="L71" s="10">
        <f>L45</f>
        <v>327000</v>
      </c>
      <c r="M71" s="10">
        <f>M45</f>
        <v>425000</v>
      </c>
      <c r="N71" s="10">
        <f>N45</f>
        <v>523000</v>
      </c>
      <c r="O71" s="10">
        <f>O45</f>
        <v>548400</v>
      </c>
      <c r="P71" s="1">
        <f>SUM(L71:O71)</f>
        <v>1823400</v>
      </c>
    </row>
    <row r="72" spans="11:16">
      <c r="K72" s="20" t="s">
        <v>70</v>
      </c>
      <c r="L72" s="20">
        <f>+L71+L70</f>
        <v>347000</v>
      </c>
      <c r="M72" s="20">
        <f>+M71+M70</f>
        <v>448000</v>
      </c>
      <c r="N72" s="20">
        <f>+N71+N70</f>
        <v>541000</v>
      </c>
      <c r="O72" s="20">
        <f>+O71+O70</f>
        <v>566900</v>
      </c>
      <c r="P72" s="20">
        <f>+P71+P70</f>
        <v>1843400</v>
      </c>
    </row>
    <row r="74" spans="11:16">
      <c r="K74" s="1" t="s">
        <v>71</v>
      </c>
    </row>
    <row r="75" spans="11:16">
      <c r="K75" s="19" t="s">
        <v>384</v>
      </c>
      <c r="L75" s="1">
        <f>L55</f>
        <v>196000</v>
      </c>
      <c r="M75" s="1">
        <f>M55</f>
        <v>270000</v>
      </c>
      <c r="N75" s="1">
        <f>N55</f>
        <v>322000</v>
      </c>
      <c r="O75" s="1">
        <f>O55</f>
        <v>344000</v>
      </c>
      <c r="P75" s="138">
        <f>SUM(L75:O75)</f>
        <v>1132000</v>
      </c>
    </row>
    <row r="76" spans="11:16">
      <c r="K76" s="19" t="s">
        <v>72</v>
      </c>
      <c r="L76" s="138">
        <f>L64</f>
        <v>118000</v>
      </c>
      <c r="M76" s="138">
        <f>M64</f>
        <v>130000</v>
      </c>
      <c r="N76" s="138">
        <f>N64</f>
        <v>142000</v>
      </c>
      <c r="O76" s="138">
        <f>O64</f>
        <v>127600</v>
      </c>
      <c r="P76" s="138">
        <f>SUM(L76:O76)</f>
        <v>517600</v>
      </c>
    </row>
    <row r="77" spans="11:16">
      <c r="K77" s="19" t="s">
        <v>74</v>
      </c>
      <c r="L77" s="138">
        <f>$L$23</f>
        <v>10000</v>
      </c>
      <c r="M77" s="138">
        <f>$L$23</f>
        <v>10000</v>
      </c>
      <c r="N77" s="138">
        <f>$L$23</f>
        <v>10000</v>
      </c>
      <c r="O77" s="138">
        <f>$L$23</f>
        <v>10000</v>
      </c>
      <c r="P77" s="138">
        <f>SUM(L77:O77)</f>
        <v>40000</v>
      </c>
    </row>
    <row r="78" spans="11:16">
      <c r="K78" s="19" t="s">
        <v>91</v>
      </c>
      <c r="L78" s="138">
        <v>0</v>
      </c>
      <c r="M78" s="138">
        <f>L26</f>
        <v>80000</v>
      </c>
      <c r="N78" s="138">
        <f>L27</f>
        <v>48500</v>
      </c>
      <c r="O78" s="138">
        <v>0</v>
      </c>
      <c r="P78" s="138">
        <f>SUM(L78:O78)</f>
        <v>128500</v>
      </c>
    </row>
    <row r="79" spans="11:16">
      <c r="K79" s="107" t="s">
        <v>75</v>
      </c>
      <c r="L79" s="139">
        <f>SUM(L75:L78)</f>
        <v>324000</v>
      </c>
      <c r="M79" s="139">
        <f>SUM(M75:M78)</f>
        <v>490000</v>
      </c>
      <c r="N79" s="139">
        <f>SUM(N75:N78)</f>
        <v>522500</v>
      </c>
      <c r="O79" s="139">
        <f>SUM(O75:O78)</f>
        <v>481600</v>
      </c>
      <c r="P79" s="139">
        <f>SUM(P75:P78)</f>
        <v>1818100</v>
      </c>
    </row>
    <row r="81" spans="11:16">
      <c r="K81" s="20" t="s">
        <v>82</v>
      </c>
      <c r="L81" s="20">
        <f>L72-L79</f>
        <v>23000</v>
      </c>
      <c r="M81" s="20">
        <f>M72-M79</f>
        <v>-42000</v>
      </c>
      <c r="N81" s="20">
        <f>N72-N79</f>
        <v>18500</v>
      </c>
      <c r="O81" s="20">
        <f>O72-O79</f>
        <v>85300</v>
      </c>
      <c r="P81" s="20">
        <f>P72-P79</f>
        <v>25300</v>
      </c>
    </row>
    <row r="83" spans="11:16">
      <c r="K83" s="1" t="s">
        <v>77</v>
      </c>
    </row>
    <row r="84" spans="11:16">
      <c r="K84" s="19" t="s">
        <v>78</v>
      </c>
      <c r="L84" s="1">
        <f>L28</f>
        <v>0</v>
      </c>
      <c r="M84" s="1">
        <v>60000</v>
      </c>
      <c r="N84" s="1">
        <v>0</v>
      </c>
      <c r="O84" s="1">
        <v>0</v>
      </c>
      <c r="P84" s="1">
        <f>SUM(L84:O84)</f>
        <v>60000</v>
      </c>
    </row>
    <row r="85" spans="11:16">
      <c r="K85" s="19" t="s">
        <v>79</v>
      </c>
      <c r="L85" s="1">
        <v>0</v>
      </c>
      <c r="M85" s="1">
        <v>0</v>
      </c>
      <c r="N85" s="1">
        <v>0</v>
      </c>
      <c r="O85" s="1">
        <f>-M84</f>
        <v>-60000</v>
      </c>
      <c r="P85" s="1">
        <f>SUM(L85:O85)</f>
        <v>-60000</v>
      </c>
    </row>
    <row r="86" spans="11:16">
      <c r="K86" s="19" t="s">
        <v>80</v>
      </c>
      <c r="L86" s="10">
        <v>0</v>
      </c>
      <c r="M86" s="10">
        <v>0</v>
      </c>
      <c r="N86" s="10">
        <v>0</v>
      </c>
      <c r="O86" s="10">
        <f>M84*L35*9</f>
        <v>5400</v>
      </c>
      <c r="P86" s="1">
        <f>-SUM(L86:O86)</f>
        <v>-5400</v>
      </c>
    </row>
    <row r="87" spans="11:16">
      <c r="K87" s="107" t="s">
        <v>81</v>
      </c>
      <c r="L87" s="129">
        <f>+L86+L85+L84</f>
        <v>0</v>
      </c>
      <c r="M87" s="129">
        <f>+M86+M85+M84</f>
        <v>60000</v>
      </c>
      <c r="N87" s="129">
        <f>+N86+N85+N84</f>
        <v>0</v>
      </c>
      <c r="O87" s="129">
        <f>+O86+O85+O84</f>
        <v>-54600</v>
      </c>
      <c r="P87" s="129">
        <f>+P86+P85+P84</f>
        <v>-5400</v>
      </c>
    </row>
    <row r="88" spans="11:16">
      <c r="L88" s="10"/>
      <c r="M88" s="10"/>
      <c r="N88" s="10"/>
      <c r="O88" s="10"/>
    </row>
    <row r="89" spans="11:16" ht="16" thickBot="1">
      <c r="K89" s="126" t="s">
        <v>76</v>
      </c>
      <c r="L89" s="126">
        <f>L81+L87</f>
        <v>23000</v>
      </c>
      <c r="M89" s="126">
        <f>M87+M81</f>
        <v>18000</v>
      </c>
      <c r="N89" s="126">
        <f>N87+N81</f>
        <v>18500</v>
      </c>
      <c r="O89" s="126">
        <f>O87+O81</f>
        <v>30700</v>
      </c>
      <c r="P89" s="126">
        <f>P87+P81</f>
        <v>19900</v>
      </c>
    </row>
    <row r="90" spans="11:16" ht="16" thickTop="1"/>
  </sheetData>
  <mergeCells count="5">
    <mergeCell ref="K19:K21"/>
    <mergeCell ref="L38:P38"/>
    <mergeCell ref="L48:P48"/>
    <mergeCell ref="L58:P58"/>
    <mergeCell ref="L68:P6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3:R40"/>
  <sheetViews>
    <sheetView topLeftCell="A11" workbookViewId="0">
      <selection activeCell="N49" sqref="N49"/>
    </sheetView>
  </sheetViews>
  <sheetFormatPr baseColWidth="10" defaultColWidth="10.83203125" defaultRowHeight="15" x14ac:dyDescent="0"/>
  <cols>
    <col min="1" max="16384" width="10.83203125" style="1"/>
  </cols>
  <sheetData>
    <row r="13" spans="11:18">
      <c r="K13" s="194" t="s">
        <v>511</v>
      </c>
      <c r="L13" s="194"/>
      <c r="M13" s="194"/>
      <c r="N13" s="194"/>
      <c r="O13" s="194"/>
      <c r="P13" s="194"/>
      <c r="Q13" s="194"/>
      <c r="R13" s="194"/>
    </row>
    <row r="14" spans="11:18">
      <c r="K14" s="194"/>
      <c r="L14" s="194"/>
      <c r="M14" s="194"/>
      <c r="N14" s="194"/>
      <c r="O14" s="194"/>
      <c r="P14" s="194"/>
      <c r="Q14" s="194"/>
      <c r="R14" s="194"/>
    </row>
    <row r="15" spans="11:18">
      <c r="K15" s="194"/>
      <c r="L15" s="194"/>
      <c r="M15" s="194"/>
      <c r="N15" s="194"/>
      <c r="O15" s="194"/>
      <c r="P15" s="194"/>
      <c r="Q15" s="194"/>
      <c r="R15" s="194"/>
    </row>
    <row r="16" spans="11:18">
      <c r="K16" s="194"/>
      <c r="L16" s="194"/>
      <c r="M16" s="194"/>
      <c r="N16" s="194"/>
      <c r="O16" s="194"/>
      <c r="P16" s="194"/>
      <c r="Q16" s="194"/>
      <c r="R16" s="194"/>
    </row>
    <row r="17" spans="11:18">
      <c r="K17" s="194"/>
      <c r="L17" s="194"/>
      <c r="M17" s="194"/>
      <c r="N17" s="194"/>
      <c r="O17" s="194"/>
      <c r="P17" s="194"/>
      <c r="Q17" s="194"/>
      <c r="R17" s="194"/>
    </row>
    <row r="18" spans="11:18">
      <c r="K18" s="194"/>
      <c r="L18" s="194"/>
      <c r="M18" s="194"/>
      <c r="N18" s="194"/>
      <c r="O18" s="194"/>
      <c r="P18" s="194"/>
      <c r="Q18" s="194"/>
      <c r="R18" s="194"/>
    </row>
    <row r="19" spans="11:18">
      <c r="K19" s="194"/>
      <c r="L19" s="194"/>
      <c r="M19" s="194"/>
      <c r="N19" s="194"/>
      <c r="O19" s="194"/>
      <c r="P19" s="194"/>
      <c r="Q19" s="194"/>
      <c r="R19" s="194"/>
    </row>
    <row r="20" spans="11:18">
      <c r="K20" s="194"/>
      <c r="L20" s="194"/>
      <c r="M20" s="194"/>
      <c r="N20" s="194"/>
      <c r="O20" s="194"/>
      <c r="P20" s="194"/>
      <c r="Q20" s="194"/>
      <c r="R20" s="194"/>
    </row>
    <row r="21" spans="11:18">
      <c r="K21" s="194"/>
      <c r="L21" s="194"/>
      <c r="M21" s="194"/>
      <c r="N21" s="194"/>
      <c r="O21" s="194"/>
      <c r="P21" s="194"/>
      <c r="Q21" s="194"/>
      <c r="R21" s="194"/>
    </row>
    <row r="22" spans="11:18">
      <c r="K22" s="194"/>
      <c r="L22" s="194"/>
      <c r="M22" s="194"/>
      <c r="N22" s="194"/>
      <c r="O22" s="194"/>
      <c r="P22" s="194"/>
      <c r="Q22" s="194"/>
      <c r="R22" s="194"/>
    </row>
    <row r="23" spans="11:18">
      <c r="K23" s="194"/>
      <c r="L23" s="194"/>
      <c r="M23" s="194"/>
      <c r="N23" s="194"/>
      <c r="O23" s="194"/>
      <c r="P23" s="194"/>
      <c r="Q23" s="194"/>
      <c r="R23" s="194"/>
    </row>
    <row r="24" spans="11:18">
      <c r="K24" s="194"/>
      <c r="L24" s="194"/>
      <c r="M24" s="194"/>
      <c r="N24" s="194"/>
      <c r="O24" s="194"/>
      <c r="P24" s="194"/>
      <c r="Q24" s="194"/>
      <c r="R24" s="194"/>
    </row>
    <row r="25" spans="11:18">
      <c r="K25" s="194"/>
      <c r="L25" s="194"/>
      <c r="M25" s="194"/>
      <c r="N25" s="194"/>
      <c r="O25" s="194"/>
      <c r="P25" s="194"/>
      <c r="Q25" s="194"/>
      <c r="R25" s="194"/>
    </row>
    <row r="26" spans="11:18">
      <c r="K26" s="194"/>
      <c r="L26" s="194"/>
      <c r="M26" s="194"/>
      <c r="N26" s="194"/>
      <c r="O26" s="194"/>
      <c r="P26" s="194"/>
      <c r="Q26" s="194"/>
      <c r="R26" s="194"/>
    </row>
    <row r="27" spans="11:18">
      <c r="K27" s="194"/>
      <c r="L27" s="194"/>
      <c r="M27" s="194"/>
      <c r="N27" s="194"/>
      <c r="O27" s="194"/>
      <c r="P27" s="194"/>
      <c r="Q27" s="194"/>
      <c r="R27" s="194"/>
    </row>
    <row r="28" spans="11:18">
      <c r="K28" s="194"/>
      <c r="L28" s="194"/>
      <c r="M28" s="194"/>
      <c r="N28" s="194"/>
      <c r="O28" s="194"/>
      <c r="P28" s="194"/>
      <c r="Q28" s="194"/>
      <c r="R28" s="194"/>
    </row>
    <row r="29" spans="11:18">
      <c r="K29" s="194"/>
      <c r="L29" s="194"/>
      <c r="M29" s="194"/>
      <c r="N29" s="194"/>
      <c r="O29" s="194"/>
      <c r="P29" s="194"/>
      <c r="Q29" s="194"/>
      <c r="R29" s="194"/>
    </row>
    <row r="30" spans="11:18">
      <c r="K30" s="194"/>
      <c r="L30" s="194"/>
      <c r="M30" s="194"/>
      <c r="N30" s="194"/>
      <c r="O30" s="194"/>
      <c r="P30" s="194"/>
      <c r="Q30" s="194"/>
      <c r="R30" s="194"/>
    </row>
    <row r="31" spans="11:18">
      <c r="K31" s="194"/>
      <c r="L31" s="194"/>
      <c r="M31" s="194"/>
      <c r="N31" s="194"/>
      <c r="O31" s="194"/>
      <c r="P31" s="194"/>
      <c r="Q31" s="194"/>
      <c r="R31" s="194"/>
    </row>
    <row r="32" spans="11:18">
      <c r="K32" s="194"/>
      <c r="L32" s="194"/>
      <c r="M32" s="194"/>
      <c r="N32" s="194"/>
      <c r="O32" s="194"/>
      <c r="P32" s="194"/>
      <c r="Q32" s="194"/>
      <c r="R32" s="194"/>
    </row>
    <row r="33" spans="11:18">
      <c r="K33" s="194"/>
      <c r="L33" s="194"/>
      <c r="M33" s="194"/>
      <c r="N33" s="194"/>
      <c r="O33" s="194"/>
      <c r="P33" s="194"/>
      <c r="Q33" s="194"/>
      <c r="R33" s="194"/>
    </row>
    <row r="34" spans="11:18">
      <c r="K34" s="194"/>
      <c r="L34" s="194"/>
      <c r="M34" s="194"/>
      <c r="N34" s="194"/>
      <c r="O34" s="194"/>
      <c r="P34" s="194"/>
      <c r="Q34" s="194"/>
      <c r="R34" s="194"/>
    </row>
    <row r="35" spans="11:18">
      <c r="K35" s="194"/>
      <c r="L35" s="194"/>
      <c r="M35" s="194"/>
      <c r="N35" s="194"/>
      <c r="O35" s="194"/>
      <c r="P35" s="194"/>
      <c r="Q35" s="194"/>
      <c r="R35" s="194"/>
    </row>
    <row r="36" spans="11:18">
      <c r="K36" s="194"/>
      <c r="L36" s="194"/>
      <c r="M36" s="194"/>
      <c r="N36" s="194"/>
      <c r="O36" s="194"/>
      <c r="P36" s="194"/>
      <c r="Q36" s="194"/>
      <c r="R36" s="194"/>
    </row>
    <row r="37" spans="11:18">
      <c r="K37" s="194"/>
      <c r="L37" s="194"/>
      <c r="M37" s="194"/>
      <c r="N37" s="194"/>
      <c r="O37" s="194"/>
      <c r="P37" s="194"/>
      <c r="Q37" s="194"/>
      <c r="R37" s="194"/>
    </row>
    <row r="38" spans="11:18">
      <c r="K38" s="194"/>
      <c r="L38" s="194"/>
      <c r="M38" s="194"/>
      <c r="N38" s="194"/>
      <c r="O38" s="194"/>
      <c r="P38" s="194"/>
      <c r="Q38" s="194"/>
      <c r="R38" s="194"/>
    </row>
    <row r="39" spans="11:18">
      <c r="K39" s="194"/>
      <c r="L39" s="194"/>
      <c r="M39" s="194"/>
      <c r="N39" s="194"/>
      <c r="O39" s="194"/>
      <c r="P39" s="194"/>
      <c r="Q39" s="194"/>
      <c r="R39" s="194"/>
    </row>
    <row r="40" spans="11:18">
      <c r="K40" s="194"/>
      <c r="L40" s="194"/>
      <c r="M40" s="194"/>
      <c r="N40" s="194"/>
      <c r="O40" s="194"/>
      <c r="P40" s="194"/>
      <c r="Q40" s="194"/>
      <c r="R40" s="194"/>
    </row>
  </sheetData>
  <mergeCells count="1">
    <mergeCell ref="K13:R40"/>
  </mergeCells>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workbookViewId="0">
      <selection sqref="A1:A29"/>
    </sheetView>
  </sheetViews>
  <sheetFormatPr baseColWidth="10" defaultColWidth="11" defaultRowHeight="15" x14ac:dyDescent="0"/>
  <cols>
    <col min="1" max="1" width="96.5" customWidth="1"/>
  </cols>
  <sheetData>
    <row r="1" spans="1:1">
      <c r="A1" s="24" t="s">
        <v>112</v>
      </c>
    </row>
    <row r="2" spans="1:1" ht="60">
      <c r="A2" s="24" t="s">
        <v>113</v>
      </c>
    </row>
    <row r="3" spans="1:1">
      <c r="A3" s="24" t="s">
        <v>114</v>
      </c>
    </row>
    <row r="4" spans="1:1">
      <c r="A4" s="24" t="s">
        <v>115</v>
      </c>
    </row>
    <row r="5" spans="1:1">
      <c r="A5" s="25" t="s">
        <v>116</v>
      </c>
    </row>
    <row r="6" spans="1:1" ht="30">
      <c r="A6" s="25" t="s">
        <v>117</v>
      </c>
    </row>
    <row r="7" spans="1:1" ht="30">
      <c r="A7" s="25" t="s">
        <v>118</v>
      </c>
    </row>
    <row r="8" spans="1:1">
      <c r="A8" s="25" t="s">
        <v>119</v>
      </c>
    </row>
    <row r="9" spans="1:1" ht="30">
      <c r="A9" s="25" t="s">
        <v>120</v>
      </c>
    </row>
    <row r="10" spans="1:1">
      <c r="A10" s="25" t="s">
        <v>121</v>
      </c>
    </row>
    <row r="11" spans="1:1">
      <c r="A11" s="24"/>
    </row>
    <row r="12" spans="1:1">
      <c r="A12" s="24"/>
    </row>
    <row r="13" spans="1:1">
      <c r="A13" s="24" t="s">
        <v>122</v>
      </c>
    </row>
    <row r="14" spans="1:1" ht="45">
      <c r="A14" s="24" t="s">
        <v>123</v>
      </c>
    </row>
    <row r="15" spans="1:1">
      <c r="A15" s="24" t="s">
        <v>124</v>
      </c>
    </row>
    <row r="16" spans="1:1" ht="75">
      <c r="A16" s="24" t="s">
        <v>125</v>
      </c>
    </row>
    <row r="17" spans="1:1">
      <c r="A17" s="24" t="s">
        <v>126</v>
      </c>
    </row>
    <row r="18" spans="1:1" ht="45">
      <c r="A18" s="24" t="s">
        <v>127</v>
      </c>
    </row>
    <row r="19" spans="1:1">
      <c r="A19" s="24" t="s">
        <v>128</v>
      </c>
    </row>
    <row r="20" spans="1:1" ht="45">
      <c r="A20" s="24" t="s">
        <v>129</v>
      </c>
    </row>
    <row r="21" spans="1:1" ht="30">
      <c r="A21" s="24" t="s">
        <v>130</v>
      </c>
    </row>
    <row r="22" spans="1:1" ht="90">
      <c r="A22" s="24" t="s">
        <v>131</v>
      </c>
    </row>
    <row r="23" spans="1:1" ht="30">
      <c r="A23" s="24" t="s">
        <v>132</v>
      </c>
    </row>
    <row r="24" spans="1:1" ht="60">
      <c r="A24" s="24" t="s">
        <v>133</v>
      </c>
    </row>
    <row r="25" spans="1:1" ht="30">
      <c r="A25" s="24" t="s">
        <v>134</v>
      </c>
    </row>
    <row r="26" spans="1:1" ht="150">
      <c r="A26" s="24" t="s">
        <v>135</v>
      </c>
    </row>
    <row r="27" spans="1:1" ht="30">
      <c r="A27" s="24" t="s">
        <v>136</v>
      </c>
    </row>
    <row r="28" spans="1:1" ht="30">
      <c r="A28" s="24" t="s">
        <v>137</v>
      </c>
    </row>
    <row r="29" spans="1:1" ht="60">
      <c r="A29" s="25" t="s">
        <v>138</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O140"/>
  <sheetViews>
    <sheetView topLeftCell="A35" workbookViewId="0">
      <selection activeCell="J54" sqref="J54:O140"/>
    </sheetView>
  </sheetViews>
  <sheetFormatPr baseColWidth="10" defaultColWidth="10.83203125" defaultRowHeight="15" x14ac:dyDescent="0"/>
  <cols>
    <col min="1" max="9" width="10.83203125" style="1"/>
    <col min="10" max="10" width="42" style="1" bestFit="1" customWidth="1"/>
    <col min="11" max="11" width="11.5" style="1" bestFit="1" customWidth="1"/>
    <col min="12" max="12" width="15.83203125" style="1" customWidth="1"/>
    <col min="13" max="16384" width="10.83203125" style="1"/>
  </cols>
  <sheetData>
    <row r="3" spans="10:12">
      <c r="J3" s="191" t="s">
        <v>308</v>
      </c>
      <c r="K3" s="192"/>
    </row>
    <row r="4" spans="10:12">
      <c r="J4" s="110" t="s">
        <v>89</v>
      </c>
      <c r="K4" s="140">
        <v>6000</v>
      </c>
    </row>
    <row r="5" spans="10:12">
      <c r="J5" s="112" t="s">
        <v>90</v>
      </c>
      <c r="K5" s="113">
        <v>36000</v>
      </c>
    </row>
    <row r="6" spans="10:12">
      <c r="J6" s="112" t="s">
        <v>307</v>
      </c>
      <c r="K6" s="113">
        <v>9800</v>
      </c>
    </row>
    <row r="7" spans="10:12">
      <c r="J7" s="112" t="s">
        <v>544</v>
      </c>
      <c r="K7" s="113">
        <v>110885</v>
      </c>
    </row>
    <row r="8" spans="10:12">
      <c r="J8" s="116" t="s">
        <v>11</v>
      </c>
      <c r="K8" s="117">
        <f>SUM(K4:K7)</f>
        <v>162685</v>
      </c>
    </row>
    <row r="9" spans="10:12">
      <c r="J9" s="191" t="s">
        <v>265</v>
      </c>
      <c r="K9" s="192"/>
    </row>
    <row r="10" spans="10:12">
      <c r="J10" s="110" t="s">
        <v>96</v>
      </c>
      <c r="K10" s="140">
        <v>32550</v>
      </c>
    </row>
    <row r="11" spans="10:12">
      <c r="J11" s="112" t="s">
        <v>98</v>
      </c>
      <c r="K11" s="113">
        <v>100000</v>
      </c>
    </row>
    <row r="12" spans="10:12">
      <c r="J12" s="120" t="s">
        <v>97</v>
      </c>
      <c r="K12" s="124">
        <v>30135</v>
      </c>
    </row>
    <row r="13" spans="10:12">
      <c r="J13" s="141" t="s">
        <v>11</v>
      </c>
      <c r="K13" s="142">
        <f>SUM(K10:K12)</f>
        <v>162685</v>
      </c>
    </row>
    <row r="15" spans="10:12">
      <c r="J15" s="1" t="s">
        <v>85</v>
      </c>
      <c r="K15" s="6">
        <v>0.3</v>
      </c>
      <c r="L15" s="1" t="s">
        <v>487</v>
      </c>
    </row>
    <row r="16" spans="10:12">
      <c r="J16" s="1" t="s">
        <v>313</v>
      </c>
      <c r="K16" s="6">
        <v>0.7</v>
      </c>
      <c r="L16" s="1" t="s">
        <v>487</v>
      </c>
    </row>
    <row r="18" spans="10:12">
      <c r="J18" s="1" t="s">
        <v>545</v>
      </c>
      <c r="K18" s="1">
        <v>60000</v>
      </c>
    </row>
    <row r="19" spans="10:12">
      <c r="J19" s="1" t="s">
        <v>546</v>
      </c>
      <c r="K19" s="1">
        <v>70000</v>
      </c>
    </row>
    <row r="20" spans="10:12">
      <c r="J20" s="1" t="s">
        <v>547</v>
      </c>
      <c r="K20" s="1">
        <v>80000</v>
      </c>
    </row>
    <row r="21" spans="10:12">
      <c r="J21" s="1" t="s">
        <v>548</v>
      </c>
      <c r="K21" s="1">
        <v>85000</v>
      </c>
    </row>
    <row r="22" spans="10:12">
      <c r="J22" s="1" t="s">
        <v>549</v>
      </c>
      <c r="K22" s="1">
        <v>55000</v>
      </c>
    </row>
    <row r="24" spans="10:12">
      <c r="J24" s="1" t="s">
        <v>361</v>
      </c>
      <c r="K24" s="6">
        <v>0.4</v>
      </c>
    </row>
    <row r="25" spans="10:12">
      <c r="J25" s="1" t="s">
        <v>362</v>
      </c>
      <c r="K25" s="6">
        <v>0.6</v>
      </c>
    </row>
    <row r="26" spans="10:12">
      <c r="J26" s="1" t="s">
        <v>512</v>
      </c>
    </row>
    <row r="28" spans="10:12">
      <c r="J28" s="1" t="s">
        <v>513</v>
      </c>
      <c r="K28" s="6">
        <v>0.2</v>
      </c>
      <c r="L28" s="1" t="s">
        <v>514</v>
      </c>
    </row>
    <row r="29" spans="10:12">
      <c r="K29" s="6"/>
    </row>
    <row r="30" spans="10:12">
      <c r="J30" s="1" t="s">
        <v>536</v>
      </c>
      <c r="K30" s="6"/>
    </row>
    <row r="31" spans="10:12">
      <c r="J31" s="1" t="s">
        <v>537</v>
      </c>
      <c r="K31" s="6">
        <v>0.25</v>
      </c>
    </row>
    <row r="32" spans="10:12">
      <c r="J32" s="1" t="s">
        <v>538</v>
      </c>
      <c r="K32" s="6">
        <v>0.75</v>
      </c>
    </row>
    <row r="34" spans="10:12">
      <c r="J34" s="1" t="s">
        <v>515</v>
      </c>
    </row>
    <row r="35" spans="10:12">
      <c r="J35" s="1" t="s">
        <v>516</v>
      </c>
      <c r="K35" s="1">
        <v>12000</v>
      </c>
    </row>
    <row r="36" spans="10:12">
      <c r="J36" s="1" t="s">
        <v>445</v>
      </c>
      <c r="K36" s="1">
        <v>1800</v>
      </c>
    </row>
    <row r="37" spans="10:12">
      <c r="J37" s="1" t="s">
        <v>518</v>
      </c>
      <c r="K37" s="6">
        <v>0.08</v>
      </c>
      <c r="L37" s="1" t="s">
        <v>487</v>
      </c>
    </row>
    <row r="38" spans="10:12">
      <c r="J38" s="1" t="s">
        <v>519</v>
      </c>
      <c r="K38" s="1">
        <v>2400</v>
      </c>
    </row>
    <row r="40" spans="10:12">
      <c r="J40" s="1" t="s">
        <v>520</v>
      </c>
    </row>
    <row r="41" spans="10:12">
      <c r="J41" s="19" t="s">
        <v>521</v>
      </c>
      <c r="K41" s="1">
        <v>3000</v>
      </c>
    </row>
    <row r="42" spans="10:12">
      <c r="J42" s="19" t="s">
        <v>522</v>
      </c>
      <c r="K42" s="1">
        <v>8000</v>
      </c>
    </row>
    <row r="44" spans="10:12">
      <c r="J44" s="1" t="s">
        <v>523</v>
      </c>
      <c r="K44" s="1">
        <v>5000</v>
      </c>
    </row>
    <row r="46" spans="10:12">
      <c r="J46" s="1" t="s">
        <v>78</v>
      </c>
    </row>
    <row r="47" spans="10:12">
      <c r="J47" s="1" t="s">
        <v>493</v>
      </c>
      <c r="K47" s="1">
        <v>1000</v>
      </c>
    </row>
    <row r="48" spans="10:12">
      <c r="J48" s="1" t="s">
        <v>495</v>
      </c>
      <c r="K48" s="1">
        <v>50000</v>
      </c>
    </row>
    <row r="49" spans="10:15">
      <c r="J49" s="1" t="s">
        <v>451</v>
      </c>
      <c r="K49" s="6">
        <v>0.01</v>
      </c>
    </row>
    <row r="50" spans="10:15">
      <c r="J50" s="1" t="s">
        <v>524</v>
      </c>
    </row>
    <row r="54" spans="10:15">
      <c r="K54" s="161" t="s">
        <v>525</v>
      </c>
      <c r="L54" s="161"/>
      <c r="M54" s="161"/>
      <c r="N54" s="143"/>
    </row>
    <row r="55" spans="10:15">
      <c r="J55" s="1" t="s">
        <v>208</v>
      </c>
      <c r="K55" s="90" t="s">
        <v>521</v>
      </c>
      <c r="L55" s="90" t="s">
        <v>522</v>
      </c>
      <c r="M55" s="90" t="s">
        <v>526</v>
      </c>
      <c r="N55" s="90" t="s">
        <v>329</v>
      </c>
    </row>
    <row r="56" spans="10:15">
      <c r="J56" s="1" t="s">
        <v>361</v>
      </c>
      <c r="K56" s="1">
        <f>K19*K24</f>
        <v>28000</v>
      </c>
      <c r="L56" s="1">
        <f>K20*K24</f>
        <v>32000</v>
      </c>
      <c r="M56" s="1">
        <f>K21*K24</f>
        <v>34000</v>
      </c>
      <c r="N56" s="1">
        <f>SUM(K56:M56)</f>
        <v>94000</v>
      </c>
    </row>
    <row r="57" spans="10:15">
      <c r="J57" s="1" t="s">
        <v>362</v>
      </c>
      <c r="K57" s="1">
        <f>K18*K25</f>
        <v>36000</v>
      </c>
      <c r="L57" s="1">
        <f>K19*K25</f>
        <v>42000</v>
      </c>
      <c r="M57" s="1">
        <f>K20*K25</f>
        <v>48000</v>
      </c>
      <c r="N57" s="1">
        <f>SUM(K57:M57)</f>
        <v>126000</v>
      </c>
    </row>
    <row r="58" spans="10:15" ht="16" thickBot="1">
      <c r="J58" s="1" t="s">
        <v>10</v>
      </c>
      <c r="K58" s="4">
        <f>SUM(K56:K57)</f>
        <v>64000</v>
      </c>
      <c r="L58" s="4">
        <f>SUM(L56:L57)</f>
        <v>74000</v>
      </c>
      <c r="M58" s="4">
        <f>SUM(M56:M57)</f>
        <v>82000</v>
      </c>
      <c r="N58" s="4">
        <f>SUM(N56:N57)</f>
        <v>220000</v>
      </c>
    </row>
    <row r="59" spans="10:15" ht="16" thickTop="1"/>
    <row r="61" spans="10:15">
      <c r="K61" s="161" t="s">
        <v>525</v>
      </c>
      <c r="L61" s="161"/>
      <c r="M61" s="161"/>
      <c r="N61" s="143"/>
    </row>
    <row r="62" spans="10:15">
      <c r="K62" s="90" t="s">
        <v>521</v>
      </c>
      <c r="L62" s="90" t="s">
        <v>522</v>
      </c>
      <c r="M62" s="90" t="s">
        <v>526</v>
      </c>
      <c r="N62" s="90" t="s">
        <v>329</v>
      </c>
      <c r="O62" s="90" t="s">
        <v>461</v>
      </c>
    </row>
    <row r="63" spans="10:15">
      <c r="J63" s="1" t="s">
        <v>527</v>
      </c>
      <c r="K63" s="1">
        <f>K16*K19</f>
        <v>49000</v>
      </c>
      <c r="L63" s="1">
        <f>K16*K20</f>
        <v>56000</v>
      </c>
      <c r="M63" s="1">
        <f>K16*K21</f>
        <v>59499.999999999993</v>
      </c>
      <c r="N63" s="1">
        <f>SUM(K63:M63)</f>
        <v>164500</v>
      </c>
      <c r="O63" s="1">
        <f>K16*K22</f>
        <v>38500</v>
      </c>
    </row>
    <row r="64" spans="10:15">
      <c r="J64" s="1" t="s">
        <v>528</v>
      </c>
      <c r="K64" s="10">
        <f>L63*$K$28</f>
        <v>11200</v>
      </c>
      <c r="L64" s="10">
        <f>M63*$K$28</f>
        <v>11900</v>
      </c>
      <c r="M64" s="10">
        <f>O63*$K$28</f>
        <v>7700</v>
      </c>
      <c r="N64" s="10">
        <f>M64</f>
        <v>7700</v>
      </c>
    </row>
    <row r="65" spans="10:14">
      <c r="J65" s="1" t="s">
        <v>529</v>
      </c>
      <c r="K65" s="1">
        <f>SUM(K63:K64)</f>
        <v>60200</v>
      </c>
      <c r="L65" s="1">
        <f>SUM(L63:L64)</f>
        <v>67900</v>
      </c>
      <c r="M65" s="1">
        <f>SUM(M63:M64)</f>
        <v>67200</v>
      </c>
      <c r="N65" s="1">
        <f>SUM(N63:N64)</f>
        <v>172200</v>
      </c>
    </row>
    <row r="66" spans="10:14">
      <c r="J66" s="1" t="s">
        <v>530</v>
      </c>
      <c r="K66" s="1">
        <f>-K6</f>
        <v>-9800</v>
      </c>
      <c r="L66" s="1">
        <f>-K64</f>
        <v>-11200</v>
      </c>
      <c r="M66" s="1">
        <f>-L64</f>
        <v>-11900</v>
      </c>
      <c r="N66" s="1">
        <f>K66</f>
        <v>-9800</v>
      </c>
    </row>
    <row r="67" spans="10:14" ht="16" thickBot="1">
      <c r="J67" s="4" t="s">
        <v>531</v>
      </c>
      <c r="K67" s="4">
        <f>SUM(K65:K66)</f>
        <v>50400</v>
      </c>
      <c r="L67" s="4">
        <f>SUM(L65:L66)</f>
        <v>56700</v>
      </c>
      <c r="M67" s="4">
        <f>SUM(M65:M66)</f>
        <v>55300</v>
      </c>
      <c r="N67" s="4">
        <f>SUM(N65:N66)</f>
        <v>162400</v>
      </c>
    </row>
    <row r="68" spans="10:14" ht="16" thickTop="1"/>
    <row r="71" spans="10:14">
      <c r="K71" s="161" t="s">
        <v>525</v>
      </c>
      <c r="L71" s="161"/>
      <c r="M71" s="161"/>
      <c r="N71" s="143"/>
    </row>
    <row r="72" spans="10:14">
      <c r="K72" s="90" t="s">
        <v>521</v>
      </c>
      <c r="L72" s="90" t="s">
        <v>522</v>
      </c>
      <c r="M72" s="90" t="s">
        <v>526</v>
      </c>
      <c r="N72" s="90" t="s">
        <v>329</v>
      </c>
    </row>
    <row r="73" spans="10:14">
      <c r="J73" s="1" t="s">
        <v>532</v>
      </c>
      <c r="K73" s="1">
        <f>K10</f>
        <v>32550</v>
      </c>
      <c r="N73" s="1">
        <f>SUM(K73:M73)</f>
        <v>32550</v>
      </c>
    </row>
    <row r="74" spans="10:14">
      <c r="J74" s="1" t="s">
        <v>533</v>
      </c>
      <c r="K74" s="1">
        <f>K67*K31</f>
        <v>12600</v>
      </c>
      <c r="L74" s="1">
        <f>K67*K32</f>
        <v>37800</v>
      </c>
      <c r="N74" s="1">
        <f>SUM(K74:M74)</f>
        <v>50400</v>
      </c>
    </row>
    <row r="75" spans="10:14">
      <c r="J75" s="1" t="s">
        <v>534</v>
      </c>
      <c r="L75" s="1">
        <f>L67*K31</f>
        <v>14175</v>
      </c>
      <c r="M75" s="1">
        <f>L67*K32</f>
        <v>42525</v>
      </c>
      <c r="N75" s="1">
        <f>SUM(K75:M75)</f>
        <v>56700</v>
      </c>
    </row>
    <row r="76" spans="10:14">
      <c r="J76" s="1" t="s">
        <v>535</v>
      </c>
      <c r="M76" s="1">
        <f>M67*K31</f>
        <v>13825</v>
      </c>
      <c r="N76" s="1">
        <f>SUM(K76:M76)</f>
        <v>13825</v>
      </c>
    </row>
    <row r="77" spans="10:14" ht="16" thickBot="1">
      <c r="J77" s="4" t="s">
        <v>75</v>
      </c>
      <c r="K77" s="4">
        <f>SUM(K73:K76)</f>
        <v>45150</v>
      </c>
      <c r="L77" s="4">
        <f>SUM(L73:L76)</f>
        <v>51975</v>
      </c>
      <c r="M77" s="4">
        <f>SUM(M73:M76)</f>
        <v>56350</v>
      </c>
      <c r="N77" s="4">
        <f>SUM(N73:N76)</f>
        <v>153475</v>
      </c>
    </row>
    <row r="78" spans="10:14" ht="16" thickTop="1"/>
    <row r="81" spans="10:14">
      <c r="K81" s="161" t="s">
        <v>525</v>
      </c>
      <c r="L81" s="161"/>
      <c r="M81" s="161"/>
      <c r="N81" s="143"/>
    </row>
    <row r="82" spans="10:14">
      <c r="K82" s="90" t="s">
        <v>521</v>
      </c>
      <c r="L82" s="90" t="s">
        <v>522</v>
      </c>
      <c r="M82" s="90" t="s">
        <v>526</v>
      </c>
      <c r="N82" s="90" t="s">
        <v>329</v>
      </c>
    </row>
    <row r="83" spans="10:14">
      <c r="J83" s="1" t="s">
        <v>516</v>
      </c>
      <c r="K83" s="1">
        <f>$K$35</f>
        <v>12000</v>
      </c>
      <c r="L83" s="1">
        <f>$K$35</f>
        <v>12000</v>
      </c>
      <c r="M83" s="1">
        <f>$K$35</f>
        <v>12000</v>
      </c>
      <c r="N83" s="1">
        <f>SUM(K83:M83)</f>
        <v>36000</v>
      </c>
    </row>
    <row r="84" spans="10:14">
      <c r="J84" s="1" t="s">
        <v>445</v>
      </c>
      <c r="K84" s="1">
        <f>$K$36</f>
        <v>1800</v>
      </c>
      <c r="L84" s="1">
        <f>$K$36</f>
        <v>1800</v>
      </c>
      <c r="M84" s="1">
        <f>$K$36</f>
        <v>1800</v>
      </c>
      <c r="N84" s="1">
        <f>SUM(K84:M84)</f>
        <v>5400</v>
      </c>
    </row>
    <row r="85" spans="10:14">
      <c r="J85" s="1" t="s">
        <v>517</v>
      </c>
      <c r="K85" s="10">
        <f>$K$37*K19</f>
        <v>5600</v>
      </c>
      <c r="L85" s="10">
        <f>$K$37*K20</f>
        <v>6400</v>
      </c>
      <c r="M85" s="10">
        <f>$K$37*K21</f>
        <v>6800</v>
      </c>
      <c r="N85" s="10">
        <f>SUM(K85:M85)</f>
        <v>18800</v>
      </c>
    </row>
    <row r="86" spans="10:14" ht="16" thickBot="1">
      <c r="J86" s="1" t="s">
        <v>251</v>
      </c>
      <c r="K86" s="4">
        <f>SUM(K83:K85)</f>
        <v>19400</v>
      </c>
      <c r="L86" s="4">
        <f>SUM(L83:L85)</f>
        <v>20200</v>
      </c>
      <c r="M86" s="4">
        <f>SUM(M83:M85)</f>
        <v>20600</v>
      </c>
      <c r="N86" s="4">
        <f>SUM(N83:N85)</f>
        <v>60200</v>
      </c>
    </row>
    <row r="87" spans="10:14" ht="16" thickTop="1"/>
    <row r="90" spans="10:14">
      <c r="K90" s="161" t="s">
        <v>525</v>
      </c>
      <c r="L90" s="161"/>
      <c r="M90" s="161"/>
      <c r="N90" s="143"/>
    </row>
    <row r="91" spans="10:14">
      <c r="K91" s="90" t="s">
        <v>521</v>
      </c>
      <c r="L91" s="90" t="s">
        <v>522</v>
      </c>
      <c r="M91" s="90" t="s">
        <v>526</v>
      </c>
      <c r="N91" s="90" t="s">
        <v>329</v>
      </c>
    </row>
    <row r="92" spans="10:14">
      <c r="J92" s="1" t="s">
        <v>68</v>
      </c>
      <c r="K92" s="1">
        <f>K4</f>
        <v>6000</v>
      </c>
      <c r="L92" s="1">
        <f>K110</f>
        <v>5450</v>
      </c>
      <c r="M92" s="1">
        <f>L110</f>
        <v>5275</v>
      </c>
      <c r="N92" s="1">
        <f>K92</f>
        <v>6000</v>
      </c>
    </row>
    <row r="93" spans="10:14">
      <c r="J93" s="1" t="s">
        <v>69</v>
      </c>
      <c r="K93" s="10">
        <f>K58</f>
        <v>64000</v>
      </c>
      <c r="L93" s="10">
        <f>L58</f>
        <v>74000</v>
      </c>
      <c r="M93" s="10">
        <f>M58</f>
        <v>82000</v>
      </c>
      <c r="N93" s="10">
        <f>SUM(K93:M93)</f>
        <v>220000</v>
      </c>
    </row>
    <row r="94" spans="10:14">
      <c r="J94" s="20" t="s">
        <v>70</v>
      </c>
      <c r="K94" s="20">
        <f>SUM(K92:K93)</f>
        <v>70000</v>
      </c>
      <c r="L94" s="20">
        <f>SUM(L92:L93)</f>
        <v>79450</v>
      </c>
      <c r="M94" s="20">
        <f>SUM(M92:M93)</f>
        <v>87275</v>
      </c>
      <c r="N94" s="20">
        <f>SUM(N92:N93)</f>
        <v>226000</v>
      </c>
    </row>
    <row r="96" spans="10:14">
      <c r="J96" s="1" t="s">
        <v>71</v>
      </c>
    </row>
    <row r="97" spans="10:14">
      <c r="J97" s="19" t="s">
        <v>384</v>
      </c>
      <c r="K97" s="1">
        <f>K77</f>
        <v>45150</v>
      </c>
      <c r="L97" s="1">
        <f>L77</f>
        <v>51975</v>
      </c>
      <c r="M97" s="1">
        <f>M77</f>
        <v>56350</v>
      </c>
      <c r="N97" s="1">
        <f>SUM(K97:M97)</f>
        <v>153475</v>
      </c>
    </row>
    <row r="98" spans="10:14">
      <c r="J98" s="19" t="s">
        <v>539</v>
      </c>
      <c r="K98" s="1">
        <f>K86</f>
        <v>19400</v>
      </c>
      <c r="L98" s="1">
        <f>L86</f>
        <v>20200</v>
      </c>
      <c r="M98" s="1">
        <f>M86</f>
        <v>20600</v>
      </c>
      <c r="N98" s="1">
        <f>SUM(K98:M98)</f>
        <v>60200</v>
      </c>
    </row>
    <row r="99" spans="10:14">
      <c r="J99" s="19" t="s">
        <v>453</v>
      </c>
      <c r="K99" s="10">
        <f>K41</f>
        <v>3000</v>
      </c>
      <c r="L99" s="10">
        <f>K42</f>
        <v>8000</v>
      </c>
      <c r="M99" s="10">
        <v>0</v>
      </c>
      <c r="N99" s="10">
        <f>SUM(K99:M99)</f>
        <v>11000</v>
      </c>
    </row>
    <row r="100" spans="10:14">
      <c r="J100" s="107" t="s">
        <v>75</v>
      </c>
      <c r="K100" s="20">
        <f>SUM(K97:K99)</f>
        <v>67550</v>
      </c>
      <c r="L100" s="20">
        <f>SUM(L97:L99)</f>
        <v>80175</v>
      </c>
      <c r="M100" s="20">
        <f>SUM(M97:M99)</f>
        <v>76950</v>
      </c>
      <c r="N100" s="20">
        <f>SUM(K100:M100)</f>
        <v>224675</v>
      </c>
    </row>
    <row r="102" spans="10:14">
      <c r="J102" s="20" t="s">
        <v>82</v>
      </c>
      <c r="K102" s="20">
        <f>K94-K100</f>
        <v>2450</v>
      </c>
      <c r="L102" s="20">
        <f>L94-L100</f>
        <v>-725</v>
      </c>
      <c r="M102" s="20">
        <f>M94-M100</f>
        <v>10325</v>
      </c>
      <c r="N102" s="20">
        <f>N94-N100</f>
        <v>1325</v>
      </c>
    </row>
    <row r="104" spans="10:14">
      <c r="J104" s="1" t="s">
        <v>77</v>
      </c>
    </row>
    <row r="105" spans="10:14">
      <c r="J105" s="19" t="s">
        <v>78</v>
      </c>
      <c r="K105" s="1">
        <v>3000</v>
      </c>
      <c r="L105" s="1">
        <v>6000</v>
      </c>
      <c r="M105" s="1">
        <v>0</v>
      </c>
      <c r="N105" s="1">
        <f>SUM(K105:M105)</f>
        <v>9000</v>
      </c>
    </row>
    <row r="106" spans="10:14">
      <c r="J106" s="19" t="s">
        <v>79</v>
      </c>
      <c r="K106" s="1">
        <v>0</v>
      </c>
      <c r="L106" s="1">
        <v>0</v>
      </c>
      <c r="M106" s="1">
        <v>-5000</v>
      </c>
      <c r="N106" s="1">
        <f>SUM(K106:M106)</f>
        <v>-5000</v>
      </c>
    </row>
    <row r="107" spans="10:14">
      <c r="J107" s="19" t="s">
        <v>80</v>
      </c>
      <c r="K107" s="10">
        <v>0</v>
      </c>
      <c r="L107" s="10">
        <v>0</v>
      </c>
      <c r="M107" s="10">
        <f>-(K105*K49*3)-(L105*2*K49)</f>
        <v>-210</v>
      </c>
      <c r="N107" s="10">
        <f>SUM(K107:M107)</f>
        <v>-210</v>
      </c>
    </row>
    <row r="108" spans="10:14">
      <c r="J108" s="107" t="s">
        <v>81</v>
      </c>
      <c r="K108" s="1">
        <f>SUM(K105:K107)</f>
        <v>3000</v>
      </c>
      <c r="L108" s="1">
        <f>SUM(L105:L107)</f>
        <v>6000</v>
      </c>
      <c r="M108" s="1">
        <f>SUM(M105:M107)</f>
        <v>-5210</v>
      </c>
      <c r="N108" s="1">
        <f>SUM(K108:M108)</f>
        <v>3790</v>
      </c>
    </row>
    <row r="110" spans="10:14" ht="16" thickBot="1">
      <c r="J110" s="126" t="s">
        <v>76</v>
      </c>
      <c r="K110" s="126">
        <f>K102+K108</f>
        <v>5450</v>
      </c>
      <c r="L110" s="126">
        <f>L102+L108</f>
        <v>5275</v>
      </c>
      <c r="M110" s="126">
        <f>M102+M108</f>
        <v>5115</v>
      </c>
      <c r="N110" s="126">
        <f>N102+N108</f>
        <v>5115</v>
      </c>
    </row>
    <row r="111" spans="10:14" ht="16" thickTop="1"/>
    <row r="114" spans="10:12">
      <c r="J114" s="195" t="s">
        <v>542</v>
      </c>
      <c r="K114" s="167"/>
      <c r="L114" s="196"/>
    </row>
    <row r="115" spans="10:12">
      <c r="J115" s="110" t="s">
        <v>104</v>
      </c>
      <c r="K115" s="144"/>
      <c r="L115" s="140">
        <f>SUM(K19:K21)</f>
        <v>235000</v>
      </c>
    </row>
    <row r="116" spans="10:12">
      <c r="J116" s="112" t="s">
        <v>84</v>
      </c>
      <c r="K116" s="11"/>
      <c r="L116" s="115">
        <f>-L115*K16</f>
        <v>-164500</v>
      </c>
    </row>
    <row r="117" spans="10:12">
      <c r="J117" s="112" t="s">
        <v>85</v>
      </c>
      <c r="K117" s="11"/>
      <c r="L117" s="113">
        <f>SUM(L115:L116)</f>
        <v>70500</v>
      </c>
    </row>
    <row r="118" spans="10:12">
      <c r="J118" s="112" t="s">
        <v>540</v>
      </c>
      <c r="K118" s="11"/>
      <c r="L118" s="113"/>
    </row>
    <row r="119" spans="10:12">
      <c r="J119" s="114" t="s">
        <v>516</v>
      </c>
      <c r="K119" s="11">
        <f>-K35*3</f>
        <v>-36000</v>
      </c>
      <c r="L119" s="113"/>
    </row>
    <row r="120" spans="10:12">
      <c r="J120" s="114" t="s">
        <v>445</v>
      </c>
      <c r="K120" s="11">
        <f>-K36*3</f>
        <v>-5400</v>
      </c>
      <c r="L120" s="113"/>
    </row>
    <row r="121" spans="10:12">
      <c r="J121" s="114" t="s">
        <v>517</v>
      </c>
      <c r="K121" s="11">
        <f>-K37*L115</f>
        <v>-18800</v>
      </c>
      <c r="L121" s="113"/>
    </row>
    <row r="122" spans="10:12">
      <c r="J122" s="114" t="s">
        <v>64</v>
      </c>
      <c r="K122" s="16">
        <f>-K38</f>
        <v>-2400</v>
      </c>
      <c r="L122" s="115">
        <f>SUM(K119:K122)</f>
        <v>-62600</v>
      </c>
    </row>
    <row r="123" spans="10:12">
      <c r="J123" s="112" t="s">
        <v>543</v>
      </c>
      <c r="K123" s="16"/>
      <c r="L123" s="113">
        <f>SUM(L117:L122)</f>
        <v>7900</v>
      </c>
    </row>
    <row r="124" spans="10:12">
      <c r="J124" s="112" t="s">
        <v>541</v>
      </c>
      <c r="K124" s="11"/>
      <c r="L124" s="115">
        <f>N107</f>
        <v>-210</v>
      </c>
    </row>
    <row r="125" spans="10:12">
      <c r="J125" s="120" t="s">
        <v>86</v>
      </c>
      <c r="K125" s="145"/>
      <c r="L125" s="124">
        <f>SUM(L123:L124)</f>
        <v>7690</v>
      </c>
    </row>
    <row r="129" spans="10:11">
      <c r="J129" s="191" t="s">
        <v>308</v>
      </c>
      <c r="K129" s="192"/>
    </row>
    <row r="130" spans="10:11">
      <c r="J130" s="110" t="s">
        <v>89</v>
      </c>
      <c r="K130" s="140">
        <f>N110</f>
        <v>5115</v>
      </c>
    </row>
    <row r="131" spans="10:11">
      <c r="J131" s="112" t="s">
        <v>90</v>
      </c>
      <c r="K131" s="113">
        <f>K21*K25</f>
        <v>51000</v>
      </c>
    </row>
    <row r="132" spans="10:11">
      <c r="J132" s="112" t="s">
        <v>307</v>
      </c>
      <c r="K132" s="113">
        <f>N64</f>
        <v>7700</v>
      </c>
    </row>
    <row r="133" spans="10:11">
      <c r="J133" s="112" t="s">
        <v>544</v>
      </c>
      <c r="K133" s="113">
        <f>K7+K41+K42-K38</f>
        <v>119485</v>
      </c>
    </row>
    <row r="134" spans="10:11">
      <c r="J134" s="116" t="s">
        <v>11</v>
      </c>
      <c r="K134" s="117">
        <f>SUM(K130:K133)</f>
        <v>183300</v>
      </c>
    </row>
    <row r="135" spans="10:11">
      <c r="J135" s="191" t="s">
        <v>265</v>
      </c>
      <c r="K135" s="192"/>
    </row>
    <row r="136" spans="10:11">
      <c r="J136" s="110" t="s">
        <v>96</v>
      </c>
      <c r="K136" s="140">
        <f>M67*K32</f>
        <v>41475</v>
      </c>
    </row>
    <row r="137" spans="10:11">
      <c r="J137" s="112" t="s">
        <v>550</v>
      </c>
      <c r="K137" s="113">
        <f>N105+N106</f>
        <v>4000</v>
      </c>
    </row>
    <row r="138" spans="10:11">
      <c r="J138" s="112" t="s">
        <v>98</v>
      </c>
      <c r="K138" s="113">
        <v>100000</v>
      </c>
    </row>
    <row r="139" spans="10:11">
      <c r="J139" s="120" t="s">
        <v>97</v>
      </c>
      <c r="K139" s="124">
        <f>30135+L125</f>
        <v>37825</v>
      </c>
    </row>
    <row r="140" spans="10:11">
      <c r="J140" s="141" t="s">
        <v>11</v>
      </c>
      <c r="K140" s="142">
        <f>SUM(K136:K139)</f>
        <v>183300</v>
      </c>
    </row>
  </sheetData>
  <mergeCells count="10">
    <mergeCell ref="K90:M90"/>
    <mergeCell ref="J114:L114"/>
    <mergeCell ref="J129:K129"/>
    <mergeCell ref="J135:K135"/>
    <mergeCell ref="J3:K3"/>
    <mergeCell ref="J9:K9"/>
    <mergeCell ref="K54:M54"/>
    <mergeCell ref="K61:M61"/>
    <mergeCell ref="K71:M71"/>
    <mergeCell ref="K81:M81"/>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146"/>
  <sheetViews>
    <sheetView topLeftCell="A92" workbookViewId="0">
      <selection activeCell="J92" sqref="J92:N116"/>
    </sheetView>
  </sheetViews>
  <sheetFormatPr baseColWidth="10" defaultColWidth="10.83203125" defaultRowHeight="15" x14ac:dyDescent="0"/>
  <cols>
    <col min="1" max="9" width="10.83203125" style="1"/>
    <col min="10" max="10" width="24.5" style="1" customWidth="1"/>
    <col min="11" max="11" width="10.5" style="1" bestFit="1" customWidth="1"/>
    <col min="12" max="12" width="11.5" style="1" bestFit="1" customWidth="1"/>
    <col min="13" max="13" width="10.5" style="1" bestFit="1" customWidth="1"/>
    <col min="14" max="16384" width="10.83203125" style="1"/>
  </cols>
  <sheetData>
    <row r="2" spans="10:11">
      <c r="J2" s="191" t="s">
        <v>308</v>
      </c>
      <c r="K2" s="192"/>
    </row>
    <row r="3" spans="10:11">
      <c r="J3" s="110" t="s">
        <v>89</v>
      </c>
      <c r="K3" s="140">
        <v>9000</v>
      </c>
    </row>
    <row r="4" spans="10:11">
      <c r="J4" s="112" t="s">
        <v>90</v>
      </c>
      <c r="K4" s="113">
        <v>48000</v>
      </c>
    </row>
    <row r="5" spans="10:11">
      <c r="J5" s="112" t="s">
        <v>307</v>
      </c>
      <c r="K5" s="113">
        <v>12600</v>
      </c>
    </row>
    <row r="6" spans="10:11">
      <c r="J6" s="112" t="s">
        <v>544</v>
      </c>
      <c r="K6" s="113">
        <v>214100</v>
      </c>
    </row>
    <row r="7" spans="10:11">
      <c r="J7" s="116" t="s">
        <v>11</v>
      </c>
      <c r="K7" s="117">
        <f>SUM(K3:K6)</f>
        <v>283700</v>
      </c>
    </row>
    <row r="8" spans="10:11">
      <c r="J8" s="191" t="s">
        <v>265</v>
      </c>
      <c r="K8" s="192"/>
    </row>
    <row r="9" spans="10:11">
      <c r="J9" s="110" t="s">
        <v>96</v>
      </c>
      <c r="K9" s="140">
        <v>18300</v>
      </c>
    </row>
    <row r="10" spans="10:11">
      <c r="J10" s="112" t="s">
        <v>98</v>
      </c>
      <c r="K10" s="113">
        <v>190000</v>
      </c>
    </row>
    <row r="11" spans="10:11">
      <c r="J11" s="120" t="s">
        <v>97</v>
      </c>
      <c r="K11" s="124">
        <v>75400</v>
      </c>
    </row>
    <row r="12" spans="10:11">
      <c r="J12" s="141" t="s">
        <v>11</v>
      </c>
      <c r="K12" s="142">
        <f>SUM(K9:K11)</f>
        <v>283700</v>
      </c>
    </row>
    <row r="14" spans="10:11">
      <c r="J14" s="1" t="s">
        <v>551</v>
      </c>
      <c r="K14" s="1">
        <v>60000</v>
      </c>
    </row>
    <row r="15" spans="10:11">
      <c r="J15" s="1" t="s">
        <v>549</v>
      </c>
      <c r="K15" s="1">
        <v>70000</v>
      </c>
    </row>
    <row r="16" spans="10:11">
      <c r="J16" s="1" t="s">
        <v>552</v>
      </c>
      <c r="K16" s="1">
        <v>85000</v>
      </c>
    </row>
    <row r="17" spans="10:12">
      <c r="J17" s="1" t="s">
        <v>553</v>
      </c>
      <c r="K17" s="1">
        <v>90000</v>
      </c>
    </row>
    <row r="18" spans="10:12">
      <c r="J18" s="1" t="s">
        <v>554</v>
      </c>
      <c r="K18" s="1">
        <v>50000</v>
      </c>
    </row>
    <row r="20" spans="10:12">
      <c r="J20" s="1" t="s">
        <v>361</v>
      </c>
      <c r="K20" s="6">
        <v>0.2</v>
      </c>
    </row>
    <row r="21" spans="10:12">
      <c r="J21" s="1" t="s">
        <v>362</v>
      </c>
      <c r="K21" s="6">
        <v>0.8</v>
      </c>
    </row>
    <row r="22" spans="10:12">
      <c r="J22" s="1" t="s">
        <v>512</v>
      </c>
    </row>
    <row r="24" spans="10:12">
      <c r="J24" s="1" t="s">
        <v>85</v>
      </c>
      <c r="K24" s="6">
        <v>0.4</v>
      </c>
      <c r="L24" s="1" t="s">
        <v>487</v>
      </c>
    </row>
    <row r="25" spans="10:12">
      <c r="J25" s="1" t="s">
        <v>313</v>
      </c>
      <c r="K25" s="6">
        <v>0.6</v>
      </c>
      <c r="L25" s="1" t="s">
        <v>487</v>
      </c>
    </row>
    <row r="27" spans="10:12">
      <c r="J27" s="1" t="s">
        <v>358</v>
      </c>
    </row>
    <row r="28" spans="10:12">
      <c r="J28" s="1" t="s">
        <v>467</v>
      </c>
      <c r="K28" s="1">
        <v>7500</v>
      </c>
    </row>
    <row r="29" spans="10:12">
      <c r="J29" s="1" t="s">
        <v>555</v>
      </c>
      <c r="K29" s="6">
        <v>0.06</v>
      </c>
      <c r="L29" s="1" t="s">
        <v>487</v>
      </c>
    </row>
    <row r="30" spans="10:12">
      <c r="J30" s="1" t="s">
        <v>60</v>
      </c>
      <c r="K30" s="1">
        <v>6000</v>
      </c>
    </row>
    <row r="31" spans="10:12">
      <c r="J31" s="1" t="s">
        <v>517</v>
      </c>
      <c r="K31" s="6">
        <v>0.04</v>
      </c>
      <c r="L31" s="1" t="s">
        <v>487</v>
      </c>
    </row>
    <row r="32" spans="10:12">
      <c r="J32" s="1" t="s">
        <v>556</v>
      </c>
      <c r="K32" s="1">
        <v>6000</v>
      </c>
      <c r="L32" s="1" t="s">
        <v>557</v>
      </c>
    </row>
    <row r="34" spans="10:12">
      <c r="J34" s="1" t="s">
        <v>558</v>
      </c>
      <c r="K34" s="6">
        <v>0.3</v>
      </c>
      <c r="L34" s="1" t="s">
        <v>559</v>
      </c>
    </row>
    <row r="36" spans="10:12">
      <c r="J36" s="1" t="s">
        <v>536</v>
      </c>
      <c r="K36" s="6"/>
    </row>
    <row r="37" spans="10:12">
      <c r="J37" s="1" t="s">
        <v>537</v>
      </c>
      <c r="K37" s="6">
        <v>0.5</v>
      </c>
    </row>
    <row r="38" spans="10:12">
      <c r="J38" s="1" t="s">
        <v>538</v>
      </c>
      <c r="K38" s="6">
        <v>0.5</v>
      </c>
    </row>
    <row r="40" spans="10:12">
      <c r="J40" s="1" t="s">
        <v>453</v>
      </c>
    </row>
    <row r="41" spans="10:12">
      <c r="J41" s="1" t="s">
        <v>461</v>
      </c>
      <c r="K41" s="1">
        <v>11500</v>
      </c>
    </row>
    <row r="42" spans="10:12">
      <c r="J42" s="1" t="s">
        <v>440</v>
      </c>
      <c r="K42" s="1">
        <v>3000</v>
      </c>
    </row>
    <row r="44" spans="10:12">
      <c r="J44" s="1" t="s">
        <v>560</v>
      </c>
      <c r="K44" s="1">
        <v>3500</v>
      </c>
    </row>
    <row r="46" spans="10:12">
      <c r="J46" s="1" t="s">
        <v>523</v>
      </c>
      <c r="K46" s="1">
        <v>8000</v>
      </c>
    </row>
    <row r="48" spans="10:12">
      <c r="J48" s="1" t="s">
        <v>78</v>
      </c>
    </row>
    <row r="49" spans="10:15">
      <c r="J49" s="1" t="s">
        <v>493</v>
      </c>
      <c r="K49" s="1">
        <v>1000</v>
      </c>
    </row>
    <row r="50" spans="10:15">
      <c r="J50" s="1" t="s">
        <v>495</v>
      </c>
      <c r="K50" s="1">
        <v>20000</v>
      </c>
    </row>
    <row r="51" spans="10:15">
      <c r="J51" s="1" t="s">
        <v>561</v>
      </c>
      <c r="K51" s="6">
        <v>0.01</v>
      </c>
      <c r="L51" s="1" t="s">
        <v>562</v>
      </c>
    </row>
    <row r="55" spans="10:15">
      <c r="K55" s="161" t="s">
        <v>525</v>
      </c>
      <c r="L55" s="161"/>
      <c r="M55" s="161"/>
      <c r="N55" s="143"/>
    </row>
    <row r="56" spans="10:15">
      <c r="J56" s="1" t="s">
        <v>208</v>
      </c>
      <c r="K56" s="90" t="s">
        <v>461</v>
      </c>
      <c r="L56" s="90" t="s">
        <v>440</v>
      </c>
      <c r="M56" s="90" t="s">
        <v>425</v>
      </c>
      <c r="N56" s="90" t="s">
        <v>329</v>
      </c>
    </row>
    <row r="57" spans="10:15">
      <c r="J57" s="1" t="s">
        <v>361</v>
      </c>
      <c r="K57" s="1">
        <f>K15*K20</f>
        <v>14000</v>
      </c>
      <c r="L57" s="1">
        <f>K16*K20</f>
        <v>17000</v>
      </c>
      <c r="M57" s="1">
        <f>K17*K20</f>
        <v>18000</v>
      </c>
      <c r="N57" s="1">
        <f>SUM(K57:M57)</f>
        <v>49000</v>
      </c>
    </row>
    <row r="58" spans="10:15">
      <c r="J58" s="1" t="s">
        <v>362</v>
      </c>
      <c r="K58" s="1">
        <f>K14*K21</f>
        <v>48000</v>
      </c>
      <c r="L58" s="1">
        <f>K15*K21</f>
        <v>56000</v>
      </c>
      <c r="M58" s="1">
        <f>K16*K21</f>
        <v>68000</v>
      </c>
      <c r="N58" s="1">
        <f>SUM(K58:M58)</f>
        <v>172000</v>
      </c>
    </row>
    <row r="59" spans="10:15" ht="16" thickBot="1">
      <c r="J59" s="1" t="s">
        <v>10</v>
      </c>
      <c r="K59" s="4">
        <f>SUM(K57:K58)</f>
        <v>62000</v>
      </c>
      <c r="L59" s="4">
        <f>SUM(L57:L58)</f>
        <v>73000</v>
      </c>
      <c r="M59" s="4">
        <f>SUM(M57:M58)</f>
        <v>86000</v>
      </c>
      <c r="N59" s="4">
        <f>SUM(N57:N58)</f>
        <v>221000</v>
      </c>
    </row>
    <row r="60" spans="10:15" ht="16" thickTop="1"/>
    <row r="62" spans="10:15">
      <c r="K62" s="161" t="s">
        <v>525</v>
      </c>
      <c r="L62" s="161"/>
      <c r="M62" s="161"/>
      <c r="N62" s="143"/>
    </row>
    <row r="63" spans="10:15">
      <c r="J63" s="20" t="s">
        <v>594</v>
      </c>
      <c r="K63" s="90" t="s">
        <v>461</v>
      </c>
      <c r="L63" s="90" t="s">
        <v>440</v>
      </c>
      <c r="M63" s="90" t="s">
        <v>425</v>
      </c>
      <c r="N63" s="90" t="s">
        <v>329</v>
      </c>
      <c r="O63" s="90" t="s">
        <v>200</v>
      </c>
    </row>
    <row r="64" spans="10:15">
      <c r="J64" s="1" t="s">
        <v>527</v>
      </c>
      <c r="K64" s="1">
        <f>K15*K25</f>
        <v>42000</v>
      </c>
      <c r="L64" s="1">
        <f>K16*K25</f>
        <v>51000</v>
      </c>
      <c r="M64" s="1">
        <f>K17*K25</f>
        <v>54000</v>
      </c>
      <c r="N64" s="1">
        <f>SUM(K64:M64)</f>
        <v>147000</v>
      </c>
      <c r="O64" s="1">
        <f>K18*K25</f>
        <v>30000</v>
      </c>
    </row>
    <row r="65" spans="10:14">
      <c r="J65" s="1" t="s">
        <v>528</v>
      </c>
      <c r="K65" s="10">
        <f>L64*$K$34</f>
        <v>15300</v>
      </c>
      <c r="L65" s="10">
        <f>M64*$K$34</f>
        <v>16200</v>
      </c>
      <c r="M65" s="10">
        <f>O64*$K$34</f>
        <v>9000</v>
      </c>
      <c r="N65" s="10">
        <f>M65</f>
        <v>9000</v>
      </c>
    </row>
    <row r="66" spans="10:14">
      <c r="J66" s="1" t="s">
        <v>529</v>
      </c>
      <c r="K66" s="1">
        <f>SUM(K64:K65)</f>
        <v>57300</v>
      </c>
      <c r="L66" s="1">
        <f>SUM(L64:L65)</f>
        <v>67200</v>
      </c>
      <c r="M66" s="1">
        <f>SUM(M64:M65)</f>
        <v>63000</v>
      </c>
      <c r="N66" s="1">
        <f>SUM(N64:N65)</f>
        <v>156000</v>
      </c>
    </row>
    <row r="67" spans="10:14">
      <c r="J67" s="1" t="s">
        <v>530</v>
      </c>
      <c r="K67" s="1">
        <f>K5</f>
        <v>12600</v>
      </c>
      <c r="L67" s="1">
        <f>K65</f>
        <v>15300</v>
      </c>
      <c r="M67" s="1">
        <f>L65</f>
        <v>16200</v>
      </c>
      <c r="N67" s="1">
        <f>K67</f>
        <v>12600</v>
      </c>
    </row>
    <row r="68" spans="10:14" ht="16" thickBot="1">
      <c r="J68" s="4" t="s">
        <v>531</v>
      </c>
      <c r="K68" s="4">
        <f>K66-K67</f>
        <v>44700</v>
      </c>
      <c r="L68" s="4">
        <f>L66-L67</f>
        <v>51900</v>
      </c>
      <c r="M68" s="4">
        <f>M66-M67</f>
        <v>46800</v>
      </c>
      <c r="N68" s="4">
        <f>N66-N67</f>
        <v>143400</v>
      </c>
    </row>
    <row r="69" spans="10:14" ht="16" thickTop="1"/>
    <row r="72" spans="10:14">
      <c r="K72" s="161" t="s">
        <v>525</v>
      </c>
      <c r="L72" s="161"/>
      <c r="M72" s="161"/>
      <c r="N72" s="143"/>
    </row>
    <row r="73" spans="10:14">
      <c r="K73" s="90" t="s">
        <v>461</v>
      </c>
      <c r="L73" s="90" t="s">
        <v>440</v>
      </c>
      <c r="M73" s="90" t="s">
        <v>425</v>
      </c>
      <c r="N73" s="90" t="s">
        <v>329</v>
      </c>
    </row>
    <row r="74" spans="10:14">
      <c r="J74" s="1" t="s">
        <v>535</v>
      </c>
      <c r="K74" s="1">
        <f>K9</f>
        <v>18300</v>
      </c>
      <c r="N74" s="1">
        <f>SUM(K74:M74)</f>
        <v>18300</v>
      </c>
    </row>
    <row r="75" spans="10:14">
      <c r="J75" s="1" t="s">
        <v>563</v>
      </c>
      <c r="K75" s="1">
        <f>K68*K37</f>
        <v>22350</v>
      </c>
      <c r="L75" s="1">
        <f>K68*K38</f>
        <v>22350</v>
      </c>
      <c r="N75" s="1">
        <f>SUM(K75:M75)</f>
        <v>44700</v>
      </c>
    </row>
    <row r="76" spans="10:14">
      <c r="J76" s="1" t="s">
        <v>564</v>
      </c>
      <c r="L76" s="1">
        <f>L68*K37</f>
        <v>25950</v>
      </c>
      <c r="M76" s="1">
        <f>L68*K38</f>
        <v>25950</v>
      </c>
      <c r="N76" s="1">
        <f>SUM(K76:M76)</f>
        <v>51900</v>
      </c>
    </row>
    <row r="77" spans="10:14">
      <c r="J77" s="1" t="s">
        <v>565</v>
      </c>
      <c r="M77" s="1">
        <f>M68*K37</f>
        <v>23400</v>
      </c>
      <c r="N77" s="1">
        <f>SUM(K77:M77)</f>
        <v>23400</v>
      </c>
    </row>
    <row r="78" spans="10:14" ht="16" thickBot="1">
      <c r="J78" s="4" t="s">
        <v>75</v>
      </c>
      <c r="K78" s="4">
        <f>SUM(K74:K77)</f>
        <v>40650</v>
      </c>
      <c r="L78" s="4">
        <f>SUM(L74:L77)</f>
        <v>48300</v>
      </c>
      <c r="M78" s="4">
        <f>SUM(M74:M77)</f>
        <v>49350</v>
      </c>
      <c r="N78" s="4">
        <f>SUM(N74:N77)</f>
        <v>138300</v>
      </c>
    </row>
    <row r="79" spans="10:14" ht="16" thickTop="1"/>
    <row r="82" spans="10:14">
      <c r="K82" s="161" t="s">
        <v>525</v>
      </c>
      <c r="L82" s="161"/>
      <c r="M82" s="161"/>
      <c r="N82" s="143"/>
    </row>
    <row r="83" spans="10:14">
      <c r="K83" s="90" t="s">
        <v>461</v>
      </c>
      <c r="L83" s="90" t="s">
        <v>440</v>
      </c>
      <c r="M83" s="90" t="s">
        <v>425</v>
      </c>
      <c r="N83" s="90" t="s">
        <v>329</v>
      </c>
    </row>
    <row r="84" spans="10:14">
      <c r="J84" s="1" t="s">
        <v>467</v>
      </c>
      <c r="K84" s="1">
        <f>$K$28</f>
        <v>7500</v>
      </c>
      <c r="L84" s="1">
        <f>$K$28</f>
        <v>7500</v>
      </c>
      <c r="M84" s="1">
        <f>$K$28</f>
        <v>7500</v>
      </c>
      <c r="N84" s="1">
        <f>SUM(K84:M84)</f>
        <v>22500</v>
      </c>
    </row>
    <row r="85" spans="10:14">
      <c r="J85" s="1" t="s">
        <v>555</v>
      </c>
      <c r="K85" s="1">
        <f>$K$29*K15</f>
        <v>4200</v>
      </c>
      <c r="L85" s="1">
        <f>$K$29*K16</f>
        <v>5100</v>
      </c>
      <c r="M85" s="1">
        <f>$K$29*K17</f>
        <v>5400</v>
      </c>
      <c r="N85" s="1">
        <f>SUM(K85:M85)</f>
        <v>14700</v>
      </c>
    </row>
    <row r="86" spans="10:14">
      <c r="J86" s="1" t="s">
        <v>60</v>
      </c>
      <c r="K86" s="1">
        <f>$K$30</f>
        <v>6000</v>
      </c>
      <c r="L86" s="1">
        <f>$K$30</f>
        <v>6000</v>
      </c>
      <c r="M86" s="1">
        <f>$K$30</f>
        <v>6000</v>
      </c>
      <c r="N86" s="1">
        <f>SUM(K86:M86)</f>
        <v>18000</v>
      </c>
    </row>
    <row r="87" spans="10:14">
      <c r="J87" s="1" t="s">
        <v>517</v>
      </c>
      <c r="K87" s="1">
        <f>$K$31*K15</f>
        <v>2800</v>
      </c>
      <c r="L87" s="1">
        <f>$K$31*K16</f>
        <v>3400</v>
      </c>
      <c r="M87" s="1">
        <f>$K$31*K17</f>
        <v>3600</v>
      </c>
      <c r="N87" s="10">
        <f>SUM(K87:M87)</f>
        <v>9800</v>
      </c>
    </row>
    <row r="88" spans="10:14" ht="16" thickBot="1">
      <c r="J88" s="1" t="s">
        <v>251</v>
      </c>
      <c r="K88" s="4">
        <f>SUM(K84:K87)</f>
        <v>20500</v>
      </c>
      <c r="L88" s="4">
        <f>SUM(L84:L87)</f>
        <v>22000</v>
      </c>
      <c r="M88" s="4">
        <f>SUM(M84:M87)</f>
        <v>22500</v>
      </c>
      <c r="N88" s="4">
        <f>SUM(N84:N87)</f>
        <v>65000</v>
      </c>
    </row>
    <row r="89" spans="10:14" ht="16" thickTop="1"/>
    <row r="92" spans="10:14">
      <c r="K92" s="161" t="s">
        <v>525</v>
      </c>
      <c r="L92" s="161"/>
      <c r="M92" s="161"/>
      <c r="N92" s="143"/>
    </row>
    <row r="93" spans="10:14">
      <c r="K93" s="90" t="s">
        <v>461</v>
      </c>
      <c r="L93" s="90" t="s">
        <v>440</v>
      </c>
      <c r="M93" s="90" t="s">
        <v>425</v>
      </c>
      <c r="N93" s="90" t="s">
        <v>329</v>
      </c>
    </row>
    <row r="94" spans="10:14">
      <c r="J94" s="1" t="s">
        <v>68</v>
      </c>
      <c r="K94" s="1">
        <f>K3</f>
        <v>9000</v>
      </c>
      <c r="L94" s="1">
        <f>K116</f>
        <v>8350</v>
      </c>
      <c r="M94" s="1">
        <f>L116</f>
        <v>8050</v>
      </c>
      <c r="N94" s="1">
        <f>K94</f>
        <v>9000</v>
      </c>
    </row>
    <row r="95" spans="10:14">
      <c r="J95" s="1" t="s">
        <v>69</v>
      </c>
      <c r="K95" s="10">
        <f>K59</f>
        <v>62000</v>
      </c>
      <c r="L95" s="10">
        <f>L59</f>
        <v>73000</v>
      </c>
      <c r="M95" s="10">
        <f>M59</f>
        <v>86000</v>
      </c>
      <c r="N95" s="10">
        <f>SUM(K95:M95)</f>
        <v>221000</v>
      </c>
    </row>
    <row r="96" spans="10:14">
      <c r="J96" s="20" t="s">
        <v>70</v>
      </c>
      <c r="K96" s="20">
        <f>SUM(K94:K95)</f>
        <v>71000</v>
      </c>
      <c r="L96" s="20">
        <f>SUM(L94:L95)</f>
        <v>81350</v>
      </c>
      <c r="M96" s="20">
        <f>SUM(M94:M95)</f>
        <v>94050</v>
      </c>
      <c r="N96" s="20">
        <f>SUM(N94:N95)</f>
        <v>230000</v>
      </c>
    </row>
    <row r="98" spans="10:14">
      <c r="J98" s="1" t="s">
        <v>71</v>
      </c>
    </row>
    <row r="99" spans="10:14">
      <c r="J99" s="19" t="s">
        <v>566</v>
      </c>
      <c r="K99" s="1">
        <f>K78</f>
        <v>40650</v>
      </c>
      <c r="L99" s="1">
        <f>L78</f>
        <v>48300</v>
      </c>
      <c r="M99" s="1">
        <f>M78</f>
        <v>49350</v>
      </c>
      <c r="N99" s="1">
        <f t="shared" ref="N99:N105" si="0">SUM(K99:M99)</f>
        <v>138300</v>
      </c>
    </row>
    <row r="100" spans="10:14">
      <c r="J100" s="19" t="str">
        <f t="shared" ref="J100:M103" si="1">J84</f>
        <v>Salarios</v>
      </c>
      <c r="K100" s="1">
        <f t="shared" si="1"/>
        <v>7500</v>
      </c>
      <c r="L100" s="1">
        <f t="shared" si="1"/>
        <v>7500</v>
      </c>
      <c r="M100" s="1">
        <f t="shared" si="1"/>
        <v>7500</v>
      </c>
      <c r="N100" s="1">
        <f t="shared" si="0"/>
        <v>22500</v>
      </c>
    </row>
    <row r="101" spans="10:14">
      <c r="J101" s="19" t="str">
        <f t="shared" si="1"/>
        <v>Expedicao</v>
      </c>
      <c r="K101" s="1">
        <f t="shared" si="1"/>
        <v>4200</v>
      </c>
      <c r="L101" s="1">
        <f t="shared" si="1"/>
        <v>5100</v>
      </c>
      <c r="M101" s="1">
        <f t="shared" si="1"/>
        <v>5400</v>
      </c>
      <c r="N101" s="1">
        <f t="shared" si="0"/>
        <v>14700</v>
      </c>
    </row>
    <row r="102" spans="10:14">
      <c r="J102" s="19" t="str">
        <f t="shared" si="1"/>
        <v>Propaganda</v>
      </c>
      <c r="K102" s="1">
        <f t="shared" si="1"/>
        <v>6000</v>
      </c>
      <c r="L102" s="1">
        <f t="shared" si="1"/>
        <v>6000</v>
      </c>
      <c r="M102" s="1">
        <f t="shared" si="1"/>
        <v>6000</v>
      </c>
      <c r="N102" s="1">
        <f t="shared" si="0"/>
        <v>18000</v>
      </c>
    </row>
    <row r="103" spans="10:14">
      <c r="J103" s="19" t="str">
        <f t="shared" si="1"/>
        <v>Outras</v>
      </c>
      <c r="K103" s="1">
        <f t="shared" si="1"/>
        <v>2800</v>
      </c>
      <c r="L103" s="1">
        <f t="shared" si="1"/>
        <v>3400</v>
      </c>
      <c r="M103" s="1">
        <f t="shared" si="1"/>
        <v>3600</v>
      </c>
      <c r="N103" s="1">
        <f t="shared" si="0"/>
        <v>9800</v>
      </c>
    </row>
    <row r="104" spans="10:14">
      <c r="J104" s="19" t="s">
        <v>453</v>
      </c>
      <c r="K104" s="52">
        <f>K41</f>
        <v>11500</v>
      </c>
      <c r="L104" s="52">
        <f>K42</f>
        <v>3000</v>
      </c>
      <c r="M104" s="52">
        <v>0</v>
      </c>
      <c r="N104" s="52">
        <f t="shared" si="0"/>
        <v>14500</v>
      </c>
    </row>
    <row r="105" spans="10:14">
      <c r="J105" s="19" t="str">
        <f>J44</f>
        <v>Dividendos Junho</v>
      </c>
      <c r="K105" s="10">
        <v>0</v>
      </c>
      <c r="L105" s="10">
        <v>0</v>
      </c>
      <c r="M105" s="10">
        <f>K44</f>
        <v>3500</v>
      </c>
      <c r="N105" s="52">
        <f t="shared" si="0"/>
        <v>3500</v>
      </c>
    </row>
    <row r="106" spans="10:14">
      <c r="J106" s="107" t="s">
        <v>75</v>
      </c>
      <c r="K106" s="20">
        <f>SUM(K99:K105)</f>
        <v>72650</v>
      </c>
      <c r="L106" s="20">
        <f>SUM(L99:L105)</f>
        <v>73300</v>
      </c>
      <c r="M106" s="20">
        <f>SUM(M99:M105)</f>
        <v>75350</v>
      </c>
      <c r="N106" s="20">
        <f>SUM(N99:N105)</f>
        <v>221300</v>
      </c>
    </row>
    <row r="108" spans="10:14">
      <c r="J108" s="20" t="s">
        <v>82</v>
      </c>
      <c r="K108" s="20">
        <f>K96-K106</f>
        <v>-1650</v>
      </c>
      <c r="L108" s="20">
        <f>L96-L106</f>
        <v>8050</v>
      </c>
      <c r="M108" s="20">
        <f>M96-M106</f>
        <v>18700</v>
      </c>
      <c r="N108" s="20">
        <f>N96-N106</f>
        <v>8700</v>
      </c>
    </row>
    <row r="110" spans="10:14">
      <c r="J110" s="1" t="s">
        <v>77</v>
      </c>
    </row>
    <row r="111" spans="10:14">
      <c r="J111" s="19" t="s">
        <v>78</v>
      </c>
      <c r="K111" s="1">
        <v>10000</v>
      </c>
      <c r="L111" s="1">
        <v>0</v>
      </c>
      <c r="M111" s="1">
        <v>0</v>
      </c>
      <c r="N111" s="1">
        <f>SUM(K111:M111)</f>
        <v>10000</v>
      </c>
    </row>
    <row r="112" spans="10:14">
      <c r="J112" s="19" t="s">
        <v>79</v>
      </c>
      <c r="K112" s="1">
        <v>0</v>
      </c>
      <c r="L112" s="1">
        <v>0</v>
      </c>
      <c r="M112" s="1">
        <f>-K111</f>
        <v>-10000</v>
      </c>
      <c r="N112" s="1">
        <f>SUM(K112:M112)</f>
        <v>-10000</v>
      </c>
    </row>
    <row r="113" spans="10:14">
      <c r="J113" s="19" t="s">
        <v>80</v>
      </c>
      <c r="K113" s="10">
        <v>0</v>
      </c>
      <c r="L113" s="10">
        <v>0</v>
      </c>
      <c r="M113" s="10">
        <f>-K111*K51*3</f>
        <v>-300</v>
      </c>
      <c r="N113" s="10">
        <f>SUM(K113:M113)</f>
        <v>-300</v>
      </c>
    </row>
    <row r="114" spans="10:14">
      <c r="J114" s="107" t="s">
        <v>81</v>
      </c>
      <c r="K114" s="1">
        <f>SUM(K111:K113)</f>
        <v>10000</v>
      </c>
      <c r="L114" s="1">
        <f>SUM(L111:L113)</f>
        <v>0</v>
      </c>
      <c r="M114" s="1">
        <f>SUM(M111:M113)</f>
        <v>-10300</v>
      </c>
      <c r="N114" s="1">
        <f>SUM(N111:N113)</f>
        <v>-300</v>
      </c>
    </row>
    <row r="116" spans="10:14" ht="16" thickBot="1">
      <c r="J116" s="126" t="s">
        <v>76</v>
      </c>
      <c r="K116" s="126">
        <f>K108+K114</f>
        <v>8350</v>
      </c>
      <c r="L116" s="126">
        <f>L108+L114</f>
        <v>8050</v>
      </c>
      <c r="M116" s="126">
        <f>M108+M114</f>
        <v>8400</v>
      </c>
      <c r="N116" s="126">
        <f>N108+N114</f>
        <v>8400</v>
      </c>
    </row>
    <row r="117" spans="10:14" ht="16" thickTop="1"/>
    <row r="120" spans="10:14">
      <c r="J120" s="195" t="s">
        <v>542</v>
      </c>
      <c r="K120" s="167"/>
      <c r="L120" s="196"/>
    </row>
    <row r="121" spans="10:14">
      <c r="J121" s="110" t="s">
        <v>104</v>
      </c>
      <c r="K121" s="144"/>
      <c r="L121" s="140">
        <f>SUM(K15:K17)</f>
        <v>245000</v>
      </c>
    </row>
    <row r="122" spans="10:14">
      <c r="J122" s="112" t="s">
        <v>84</v>
      </c>
      <c r="K122" s="11"/>
      <c r="L122" s="115">
        <f>-L121*K25</f>
        <v>-147000</v>
      </c>
    </row>
    <row r="123" spans="10:14">
      <c r="J123" s="112" t="s">
        <v>85</v>
      </c>
      <c r="K123" s="11"/>
      <c r="L123" s="113">
        <f>SUM(L121:L122)</f>
        <v>98000</v>
      </c>
    </row>
    <row r="124" spans="10:14">
      <c r="J124" s="112" t="s">
        <v>540</v>
      </c>
      <c r="K124" s="11"/>
      <c r="L124" s="113"/>
    </row>
    <row r="125" spans="10:14">
      <c r="J125" s="114" t="s">
        <v>467</v>
      </c>
      <c r="K125" s="11">
        <f>-N100</f>
        <v>-22500</v>
      </c>
      <c r="L125" s="113"/>
    </row>
    <row r="126" spans="10:14">
      <c r="J126" s="114" t="s">
        <v>555</v>
      </c>
      <c r="K126" s="11">
        <f>-N101</f>
        <v>-14700</v>
      </c>
      <c r="L126" s="113"/>
    </row>
    <row r="127" spans="10:14">
      <c r="J127" s="114" t="s">
        <v>60</v>
      </c>
      <c r="K127" s="11">
        <f>-N102</f>
        <v>-18000</v>
      </c>
      <c r="L127" s="113"/>
    </row>
    <row r="128" spans="10:14">
      <c r="J128" s="114" t="s">
        <v>517</v>
      </c>
      <c r="K128" s="11">
        <f>-N103</f>
        <v>-9800</v>
      </c>
      <c r="L128" s="115"/>
    </row>
    <row r="129" spans="10:12">
      <c r="J129" s="114" t="s">
        <v>64</v>
      </c>
      <c r="K129" s="16">
        <f>-K32</f>
        <v>-6000</v>
      </c>
      <c r="L129" s="115">
        <f>SUM(K125:K129)</f>
        <v>-71000</v>
      </c>
    </row>
    <row r="130" spans="10:12">
      <c r="J130" s="112" t="s">
        <v>543</v>
      </c>
      <c r="K130" s="16"/>
      <c r="L130" s="113">
        <f>SUM(L123:L129)</f>
        <v>27000</v>
      </c>
    </row>
    <row r="131" spans="10:12">
      <c r="J131" s="112" t="s">
        <v>541</v>
      </c>
      <c r="K131" s="11"/>
      <c r="L131" s="115">
        <f>N113</f>
        <v>-300</v>
      </c>
    </row>
    <row r="132" spans="10:12">
      <c r="J132" s="120" t="s">
        <v>86</v>
      </c>
      <c r="K132" s="145"/>
      <c r="L132" s="124">
        <f>SUM(L130:L131)</f>
        <v>26700</v>
      </c>
    </row>
    <row r="136" spans="10:12">
      <c r="J136" s="191" t="s">
        <v>308</v>
      </c>
      <c r="K136" s="192"/>
    </row>
    <row r="137" spans="10:12">
      <c r="J137" s="110" t="s">
        <v>89</v>
      </c>
      <c r="K137" s="140">
        <f>N116</f>
        <v>8400</v>
      </c>
    </row>
    <row r="138" spans="10:12">
      <c r="J138" s="112" t="s">
        <v>90</v>
      </c>
      <c r="K138" s="113">
        <f>K17*K21</f>
        <v>72000</v>
      </c>
    </row>
    <row r="139" spans="10:12">
      <c r="J139" s="112" t="s">
        <v>307</v>
      </c>
      <c r="K139" s="113">
        <f>N65</f>
        <v>9000</v>
      </c>
    </row>
    <row r="140" spans="10:12">
      <c r="J140" s="112" t="s">
        <v>544</v>
      </c>
      <c r="K140" s="113">
        <f>K6+K41+K42-K32</f>
        <v>222600</v>
      </c>
    </row>
    <row r="141" spans="10:12">
      <c r="J141" s="116" t="s">
        <v>11</v>
      </c>
      <c r="K141" s="117">
        <f>SUM(K137:K140)</f>
        <v>312000</v>
      </c>
    </row>
    <row r="142" spans="10:12">
      <c r="J142" s="191" t="s">
        <v>265</v>
      </c>
      <c r="K142" s="192"/>
    </row>
    <row r="143" spans="10:12">
      <c r="J143" s="110" t="s">
        <v>96</v>
      </c>
      <c r="K143" s="140">
        <f>M68*K38</f>
        <v>23400</v>
      </c>
    </row>
    <row r="144" spans="10:12">
      <c r="J144" s="112" t="s">
        <v>98</v>
      </c>
      <c r="K144" s="113">
        <f>K10</f>
        <v>190000</v>
      </c>
    </row>
    <row r="145" spans="10:11">
      <c r="J145" s="120" t="s">
        <v>97</v>
      </c>
      <c r="K145" s="124">
        <f>K11+L132-K44</f>
        <v>98600</v>
      </c>
    </row>
    <row r="146" spans="10:11">
      <c r="J146" s="141" t="s">
        <v>11</v>
      </c>
      <c r="K146" s="142">
        <f>SUM(K143:K145)</f>
        <v>312000</v>
      </c>
    </row>
  </sheetData>
  <mergeCells count="10">
    <mergeCell ref="K92:M92"/>
    <mergeCell ref="J120:L120"/>
    <mergeCell ref="J136:K136"/>
    <mergeCell ref="J142:K142"/>
    <mergeCell ref="J2:K2"/>
    <mergeCell ref="J8:K8"/>
    <mergeCell ref="K55:M55"/>
    <mergeCell ref="K62:M62"/>
    <mergeCell ref="K72:M72"/>
    <mergeCell ref="K82:M82"/>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8:Q103"/>
  <sheetViews>
    <sheetView topLeftCell="A46" workbookViewId="0">
      <selection activeCell="I80" sqref="I80"/>
    </sheetView>
  </sheetViews>
  <sheetFormatPr baseColWidth="10" defaultColWidth="10.83203125" defaultRowHeight="15" x14ac:dyDescent="0"/>
  <cols>
    <col min="1" max="16384" width="10.83203125" style="1"/>
  </cols>
  <sheetData>
    <row r="48" spans="12:17">
      <c r="L48" s="190" t="s">
        <v>567</v>
      </c>
      <c r="M48" s="190"/>
      <c r="N48" s="190"/>
      <c r="O48" s="190"/>
      <c r="P48" s="190"/>
      <c r="Q48" s="190"/>
    </row>
    <row r="49" spans="12:17">
      <c r="L49" s="190"/>
      <c r="M49" s="190"/>
      <c r="N49" s="190"/>
      <c r="O49" s="190"/>
      <c r="P49" s="190"/>
      <c r="Q49" s="190"/>
    </row>
    <row r="50" spans="12:17">
      <c r="L50" s="190"/>
      <c r="M50" s="190"/>
      <c r="N50" s="190"/>
      <c r="O50" s="190"/>
      <c r="P50" s="190"/>
      <c r="Q50" s="190"/>
    </row>
    <row r="51" spans="12:17">
      <c r="L51" s="190"/>
      <c r="M51" s="190"/>
      <c r="N51" s="190"/>
      <c r="O51" s="190"/>
      <c r="P51" s="190"/>
      <c r="Q51" s="190"/>
    </row>
    <row r="52" spans="12:17">
      <c r="L52" s="190"/>
      <c r="M52" s="190"/>
      <c r="N52" s="190"/>
      <c r="O52" s="190"/>
      <c r="P52" s="190"/>
      <c r="Q52" s="190"/>
    </row>
    <row r="53" spans="12:17">
      <c r="L53" s="190"/>
      <c r="M53" s="190"/>
      <c r="N53" s="190"/>
      <c r="O53" s="190"/>
      <c r="P53" s="190"/>
      <c r="Q53" s="190"/>
    </row>
    <row r="54" spans="12:17">
      <c r="L54" s="190"/>
      <c r="M54" s="190"/>
      <c r="N54" s="190"/>
      <c r="O54" s="190"/>
      <c r="P54" s="190"/>
      <c r="Q54" s="190"/>
    </row>
    <row r="55" spans="12:17">
      <c r="L55" s="190"/>
      <c r="M55" s="190"/>
      <c r="N55" s="190"/>
      <c r="O55" s="190"/>
      <c r="P55" s="190"/>
      <c r="Q55" s="190"/>
    </row>
    <row r="56" spans="12:17">
      <c r="L56" s="190"/>
      <c r="M56" s="190"/>
      <c r="N56" s="190"/>
      <c r="O56" s="190"/>
      <c r="P56" s="190"/>
      <c r="Q56" s="190"/>
    </row>
    <row r="57" spans="12:17">
      <c r="L57" s="190"/>
      <c r="M57" s="190"/>
      <c r="N57" s="190"/>
      <c r="O57" s="190"/>
      <c r="P57" s="190"/>
      <c r="Q57" s="190"/>
    </row>
    <row r="58" spans="12:17">
      <c r="L58" s="190"/>
      <c r="M58" s="190"/>
      <c r="N58" s="190"/>
      <c r="O58" s="190"/>
      <c r="P58" s="190"/>
      <c r="Q58" s="190"/>
    </row>
    <row r="59" spans="12:17">
      <c r="L59" s="190"/>
      <c r="M59" s="190"/>
      <c r="N59" s="190"/>
      <c r="O59" s="190"/>
      <c r="P59" s="190"/>
      <c r="Q59" s="190"/>
    </row>
    <row r="60" spans="12:17">
      <c r="L60" s="190"/>
      <c r="M60" s="190"/>
      <c r="N60" s="190"/>
      <c r="O60" s="190"/>
      <c r="P60" s="190"/>
      <c r="Q60" s="190"/>
    </row>
    <row r="61" spans="12:17">
      <c r="L61" s="190"/>
      <c r="M61" s="190"/>
      <c r="N61" s="190"/>
      <c r="O61" s="190"/>
      <c r="P61" s="190"/>
      <c r="Q61" s="190"/>
    </row>
    <row r="62" spans="12:17">
      <c r="L62" s="190"/>
      <c r="M62" s="190"/>
      <c r="N62" s="190"/>
      <c r="O62" s="190"/>
      <c r="P62" s="190"/>
      <c r="Q62" s="190"/>
    </row>
    <row r="63" spans="12:17">
      <c r="L63" s="190"/>
      <c r="M63" s="190"/>
      <c r="N63" s="190"/>
      <c r="O63" s="190"/>
      <c r="P63" s="190"/>
      <c r="Q63" s="190"/>
    </row>
    <row r="64" spans="12:17">
      <c r="L64" s="190"/>
      <c r="M64" s="190"/>
      <c r="N64" s="190"/>
      <c r="O64" s="190"/>
      <c r="P64" s="190"/>
      <c r="Q64" s="190"/>
    </row>
    <row r="65" spans="12:17">
      <c r="L65" s="190"/>
      <c r="M65" s="190"/>
      <c r="N65" s="190"/>
      <c r="O65" s="190"/>
      <c r="P65" s="190"/>
      <c r="Q65" s="190"/>
    </row>
    <row r="66" spans="12:17">
      <c r="L66" s="190"/>
      <c r="M66" s="190"/>
      <c r="N66" s="190"/>
      <c r="O66" s="190"/>
      <c r="P66" s="190"/>
      <c r="Q66" s="190"/>
    </row>
    <row r="67" spans="12:17">
      <c r="L67" s="190"/>
      <c r="M67" s="190"/>
      <c r="N67" s="190"/>
      <c r="O67" s="190"/>
      <c r="P67" s="190"/>
      <c r="Q67" s="190"/>
    </row>
    <row r="68" spans="12:17">
      <c r="L68" s="190"/>
      <c r="M68" s="190"/>
      <c r="N68" s="190"/>
      <c r="O68" s="190"/>
      <c r="P68" s="190"/>
      <c r="Q68" s="190"/>
    </row>
    <row r="69" spans="12:17">
      <c r="L69" s="190"/>
      <c r="M69" s="190"/>
      <c r="N69" s="190"/>
      <c r="O69" s="190"/>
      <c r="P69" s="190"/>
      <c r="Q69" s="190"/>
    </row>
    <row r="70" spans="12:17">
      <c r="L70" s="190"/>
      <c r="M70" s="190"/>
      <c r="N70" s="190"/>
      <c r="O70" s="190"/>
      <c r="P70" s="190"/>
      <c r="Q70" s="190"/>
    </row>
    <row r="71" spans="12:17">
      <c r="L71" s="190"/>
      <c r="M71" s="190"/>
      <c r="N71" s="190"/>
      <c r="O71" s="190"/>
      <c r="P71" s="190"/>
      <c r="Q71" s="190"/>
    </row>
    <row r="72" spans="12:17">
      <c r="L72" s="190"/>
      <c r="M72" s="190"/>
      <c r="N72" s="190"/>
      <c r="O72" s="190"/>
      <c r="P72" s="190"/>
      <c r="Q72" s="190"/>
    </row>
    <row r="73" spans="12:17">
      <c r="L73" s="190"/>
      <c r="M73" s="190"/>
      <c r="N73" s="190"/>
      <c r="O73" s="190"/>
      <c r="P73" s="190"/>
      <c r="Q73" s="190"/>
    </row>
    <row r="74" spans="12:17">
      <c r="L74" s="190"/>
      <c r="M74" s="190"/>
      <c r="N74" s="190"/>
      <c r="O74" s="190"/>
      <c r="P74" s="190"/>
      <c r="Q74" s="190"/>
    </row>
    <row r="77" spans="12:17">
      <c r="L77" s="190" t="s">
        <v>568</v>
      </c>
      <c r="M77" s="190"/>
      <c r="N77" s="190"/>
      <c r="O77" s="190"/>
      <c r="P77" s="190"/>
      <c r="Q77" s="190"/>
    </row>
    <row r="78" spans="12:17">
      <c r="L78" s="190"/>
      <c r="M78" s="190"/>
      <c r="N78" s="190"/>
      <c r="O78" s="190"/>
      <c r="P78" s="190"/>
      <c r="Q78" s="190"/>
    </row>
    <row r="79" spans="12:17">
      <c r="L79" s="190"/>
      <c r="M79" s="190"/>
      <c r="N79" s="190"/>
      <c r="O79" s="190"/>
      <c r="P79" s="190"/>
      <c r="Q79" s="190"/>
    </row>
    <row r="80" spans="12:17">
      <c r="L80" s="190"/>
      <c r="M80" s="190"/>
      <c r="N80" s="190"/>
      <c r="O80" s="190"/>
      <c r="P80" s="190"/>
      <c r="Q80" s="190"/>
    </row>
    <row r="81" spans="12:17">
      <c r="L81" s="190"/>
      <c r="M81" s="190"/>
      <c r="N81" s="190"/>
      <c r="O81" s="190"/>
      <c r="P81" s="190"/>
      <c r="Q81" s="190"/>
    </row>
    <row r="82" spans="12:17">
      <c r="L82" s="190"/>
      <c r="M82" s="190"/>
      <c r="N82" s="190"/>
      <c r="O82" s="190"/>
      <c r="P82" s="190"/>
      <c r="Q82" s="190"/>
    </row>
    <row r="83" spans="12:17">
      <c r="L83" s="190"/>
      <c r="M83" s="190"/>
      <c r="N83" s="190"/>
      <c r="O83" s="190"/>
      <c r="P83" s="190"/>
      <c r="Q83" s="190"/>
    </row>
    <row r="84" spans="12:17">
      <c r="L84" s="190"/>
      <c r="M84" s="190"/>
      <c r="N84" s="190"/>
      <c r="O84" s="190"/>
      <c r="P84" s="190"/>
      <c r="Q84" s="190"/>
    </row>
    <row r="85" spans="12:17">
      <c r="L85" s="190"/>
      <c r="M85" s="190"/>
      <c r="N85" s="190"/>
      <c r="O85" s="190"/>
      <c r="P85" s="190"/>
      <c r="Q85" s="190"/>
    </row>
    <row r="86" spans="12:17">
      <c r="L86" s="190"/>
      <c r="M86" s="190"/>
      <c r="N86" s="190"/>
      <c r="O86" s="190"/>
      <c r="P86" s="190"/>
      <c r="Q86" s="190"/>
    </row>
    <row r="87" spans="12:17">
      <c r="L87" s="190"/>
      <c r="M87" s="190"/>
      <c r="N87" s="190"/>
      <c r="O87" s="190"/>
      <c r="P87" s="190"/>
      <c r="Q87" s="190"/>
    </row>
    <row r="88" spans="12:17">
      <c r="L88" s="190"/>
      <c r="M88" s="190"/>
      <c r="N88" s="190"/>
      <c r="O88" s="190"/>
      <c r="P88" s="190"/>
      <c r="Q88" s="190"/>
    </row>
    <row r="89" spans="12:17">
      <c r="L89" s="190"/>
      <c r="M89" s="190"/>
      <c r="N89" s="190"/>
      <c r="O89" s="190"/>
      <c r="P89" s="190"/>
      <c r="Q89" s="190"/>
    </row>
    <row r="90" spans="12:17">
      <c r="L90" s="190"/>
      <c r="M90" s="190"/>
      <c r="N90" s="190"/>
      <c r="O90" s="190"/>
      <c r="P90" s="190"/>
      <c r="Q90" s="190"/>
    </row>
    <row r="91" spans="12:17">
      <c r="L91" s="190"/>
      <c r="M91" s="190"/>
      <c r="N91" s="190"/>
      <c r="O91" s="190"/>
      <c r="P91" s="190"/>
      <c r="Q91" s="190"/>
    </row>
    <row r="92" spans="12:17">
      <c r="L92" s="190"/>
      <c r="M92" s="190"/>
      <c r="N92" s="190"/>
      <c r="O92" s="190"/>
      <c r="P92" s="190"/>
      <c r="Q92" s="190"/>
    </row>
    <row r="93" spans="12:17">
      <c r="L93" s="190"/>
      <c r="M93" s="190"/>
      <c r="N93" s="190"/>
      <c r="O93" s="190"/>
      <c r="P93" s="190"/>
      <c r="Q93" s="190"/>
    </row>
    <row r="94" spans="12:17">
      <c r="L94" s="190"/>
      <c r="M94" s="190"/>
      <c r="N94" s="190"/>
      <c r="O94" s="190"/>
      <c r="P94" s="190"/>
      <c r="Q94" s="190"/>
    </row>
    <row r="95" spans="12:17">
      <c r="L95" s="190"/>
      <c r="M95" s="190"/>
      <c r="N95" s="190"/>
      <c r="O95" s="190"/>
      <c r="P95" s="190"/>
      <c r="Q95" s="190"/>
    </row>
    <row r="96" spans="12:17">
      <c r="L96" s="190"/>
      <c r="M96" s="190"/>
      <c r="N96" s="190"/>
      <c r="O96" s="190"/>
      <c r="P96" s="190"/>
      <c r="Q96" s="190"/>
    </row>
    <row r="97" spans="12:17">
      <c r="L97" s="190"/>
      <c r="M97" s="190"/>
      <c r="N97" s="190"/>
      <c r="O97" s="190"/>
      <c r="P97" s="190"/>
      <c r="Q97" s="190"/>
    </row>
    <row r="98" spans="12:17">
      <c r="L98" s="190"/>
      <c r="M98" s="190"/>
      <c r="N98" s="190"/>
      <c r="O98" s="190"/>
      <c r="P98" s="190"/>
      <c r="Q98" s="190"/>
    </row>
    <row r="99" spans="12:17">
      <c r="L99" s="190"/>
      <c r="M99" s="190"/>
      <c r="N99" s="190"/>
      <c r="O99" s="190"/>
      <c r="P99" s="190"/>
      <c r="Q99" s="190"/>
    </row>
    <row r="100" spans="12:17">
      <c r="L100" s="190"/>
      <c r="M100" s="190"/>
      <c r="N100" s="190"/>
      <c r="O100" s="190"/>
      <c r="P100" s="190"/>
      <c r="Q100" s="190"/>
    </row>
    <row r="101" spans="12:17">
      <c r="L101" s="190"/>
      <c r="M101" s="190"/>
      <c r="N101" s="190"/>
      <c r="O101" s="190"/>
      <c r="P101" s="190"/>
      <c r="Q101" s="190"/>
    </row>
    <row r="102" spans="12:17">
      <c r="L102" s="190"/>
      <c r="M102" s="190"/>
      <c r="N102" s="190"/>
      <c r="O102" s="190"/>
      <c r="P102" s="190"/>
      <c r="Q102" s="190"/>
    </row>
    <row r="103" spans="12:17">
      <c r="L103" s="190"/>
      <c r="M103" s="190"/>
      <c r="N103" s="190"/>
      <c r="O103" s="190"/>
      <c r="P103" s="190"/>
      <c r="Q103" s="190"/>
    </row>
  </sheetData>
  <mergeCells count="2">
    <mergeCell ref="L48:Q74"/>
    <mergeCell ref="L77:Q103"/>
  </mergeCells>
  <pageMargins left="0.75" right="0.75" top="1" bottom="1" header="0.5" footer="0.5"/>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T154"/>
  <sheetViews>
    <sheetView topLeftCell="E122" workbookViewId="0">
      <selection activeCell="I142" sqref="I142"/>
    </sheetView>
  </sheetViews>
  <sheetFormatPr baseColWidth="10" defaultColWidth="10.83203125" defaultRowHeight="15" x14ac:dyDescent="0"/>
  <cols>
    <col min="1" max="10" width="10.83203125" style="1"/>
    <col min="11" max="11" width="41.6640625" style="1" customWidth="1"/>
    <col min="12" max="12" width="11.5" style="1" bestFit="1" customWidth="1"/>
    <col min="13" max="13" width="11.83203125" style="1" bestFit="1" customWidth="1"/>
    <col min="14" max="14" width="10.83203125" style="1"/>
    <col min="15" max="15" width="11.83203125" style="1" bestFit="1" customWidth="1"/>
    <col min="16" max="16" width="10.83203125" style="1"/>
    <col min="17" max="17" width="11.83203125" style="1" bestFit="1" customWidth="1"/>
    <col min="18" max="16384" width="10.83203125" style="1"/>
  </cols>
  <sheetData>
    <row r="3" spans="11:20">
      <c r="K3" s="1" t="s">
        <v>569</v>
      </c>
      <c r="L3" s="1">
        <v>10000</v>
      </c>
    </row>
    <row r="4" spans="11:20">
      <c r="K4" s="1" t="s">
        <v>100</v>
      </c>
      <c r="L4" s="1">
        <v>8</v>
      </c>
    </row>
    <row r="6" spans="11:20">
      <c r="L6" s="164" t="s">
        <v>570</v>
      </c>
      <c r="M6" s="164"/>
      <c r="N6" s="164"/>
      <c r="O6" s="164" t="s">
        <v>571</v>
      </c>
      <c r="P6" s="164"/>
      <c r="Q6" s="164"/>
      <c r="R6" s="164"/>
      <c r="S6" s="164"/>
      <c r="T6" s="164"/>
    </row>
    <row r="7" spans="11:20">
      <c r="L7" s="146" t="s">
        <v>521</v>
      </c>
      <c r="M7" s="146" t="s">
        <v>522</v>
      </c>
      <c r="N7" s="146" t="s">
        <v>526</v>
      </c>
      <c r="O7" s="146" t="s">
        <v>461</v>
      </c>
      <c r="P7" s="146" t="s">
        <v>440</v>
      </c>
      <c r="Q7" s="146" t="s">
        <v>425</v>
      </c>
      <c r="R7" s="146" t="s">
        <v>200</v>
      </c>
      <c r="S7" s="146" t="s">
        <v>201</v>
      </c>
      <c r="T7" s="146" t="s">
        <v>202</v>
      </c>
    </row>
    <row r="8" spans="11:20">
      <c r="K8" s="1" t="s">
        <v>83</v>
      </c>
      <c r="L8" s="2">
        <v>20000</v>
      </c>
      <c r="M8" s="2">
        <v>24000</v>
      </c>
      <c r="N8" s="2">
        <v>28000</v>
      </c>
      <c r="O8" s="2">
        <v>35000</v>
      </c>
      <c r="P8" s="2">
        <v>45000</v>
      </c>
      <c r="Q8" s="2">
        <v>60000</v>
      </c>
      <c r="R8" s="2">
        <v>40000</v>
      </c>
      <c r="S8" s="2">
        <v>36000</v>
      </c>
      <c r="T8" s="2">
        <v>32000</v>
      </c>
    </row>
    <row r="11" spans="11:20">
      <c r="K11" s="1" t="s">
        <v>572</v>
      </c>
      <c r="L11" s="6">
        <v>0.9</v>
      </c>
      <c r="M11" s="1" t="s">
        <v>573</v>
      </c>
    </row>
    <row r="13" spans="11:20">
      <c r="K13" s="1" t="s">
        <v>255</v>
      </c>
      <c r="L13" s="1">
        <v>5</v>
      </c>
    </row>
    <row r="15" spans="11:20">
      <c r="K15" s="1" t="s">
        <v>574</v>
      </c>
    </row>
    <row r="16" spans="11:20">
      <c r="K16" s="1" t="s">
        <v>575</v>
      </c>
      <c r="L16" s="6">
        <v>0.5</v>
      </c>
    </row>
    <row r="17" spans="11:13">
      <c r="K17" s="1" t="s">
        <v>576</v>
      </c>
      <c r="L17" s="6">
        <v>0.5</v>
      </c>
    </row>
    <row r="19" spans="11:13">
      <c r="K19" s="1" t="s">
        <v>347</v>
      </c>
    </row>
    <row r="20" spans="11:13">
      <c r="K20" s="1" t="s">
        <v>363</v>
      </c>
      <c r="L20" s="6">
        <v>0.25</v>
      </c>
    </row>
    <row r="21" spans="11:13">
      <c r="K21" s="1" t="s">
        <v>577</v>
      </c>
      <c r="L21" s="6">
        <v>0.5</v>
      </c>
    </row>
    <row r="22" spans="11:13">
      <c r="K22" s="1" t="s">
        <v>578</v>
      </c>
      <c r="L22" s="6">
        <v>0.25</v>
      </c>
    </row>
    <row r="24" spans="11:13">
      <c r="K24" s="1" t="s">
        <v>358</v>
      </c>
    </row>
    <row r="25" spans="11:13">
      <c r="K25" s="1" t="s">
        <v>516</v>
      </c>
      <c r="L25" s="1">
        <v>1</v>
      </c>
      <c r="M25" s="1" t="s">
        <v>145</v>
      </c>
    </row>
    <row r="26" spans="11:13">
      <c r="K26" s="1" t="s">
        <v>467</v>
      </c>
      <c r="L26" s="1">
        <v>22000</v>
      </c>
    </row>
    <row r="27" spans="11:13">
      <c r="K27" s="1" t="s">
        <v>579</v>
      </c>
      <c r="L27" s="1">
        <v>14000</v>
      </c>
    </row>
    <row r="28" spans="11:13">
      <c r="K28" s="1" t="s">
        <v>62</v>
      </c>
      <c r="L28" s="1">
        <v>1200</v>
      </c>
    </row>
    <row r="29" spans="11:13">
      <c r="K29" s="1" t="s">
        <v>64</v>
      </c>
      <c r="L29" s="1">
        <v>1500</v>
      </c>
    </row>
    <row r="30" spans="11:13">
      <c r="K30" s="1" t="s">
        <v>580</v>
      </c>
      <c r="L30" s="1">
        <v>3000</v>
      </c>
    </row>
    <row r="32" spans="11:13">
      <c r="K32" s="1" t="s">
        <v>582</v>
      </c>
      <c r="L32" s="1">
        <v>25000</v>
      </c>
    </row>
    <row r="34" spans="11:15">
      <c r="K34" s="1" t="s">
        <v>583</v>
      </c>
      <c r="L34" s="1">
        <v>12000</v>
      </c>
    </row>
    <row r="37" spans="11:15">
      <c r="K37" s="191" t="s">
        <v>260</v>
      </c>
      <c r="L37" s="192"/>
    </row>
    <row r="38" spans="11:15">
      <c r="K38" s="110" t="s">
        <v>89</v>
      </c>
      <c r="L38" s="140">
        <v>14000</v>
      </c>
      <c r="N38" s="119" t="s">
        <v>522</v>
      </c>
      <c r="O38" s="119" t="s">
        <v>526</v>
      </c>
    </row>
    <row r="39" spans="11:15">
      <c r="K39" s="112" t="s">
        <v>584</v>
      </c>
      <c r="L39" s="113">
        <v>216000</v>
      </c>
      <c r="M39" s="147" t="s">
        <v>588</v>
      </c>
      <c r="N39" s="119">
        <v>48000</v>
      </c>
      <c r="O39" s="119">
        <v>168000</v>
      </c>
    </row>
    <row r="40" spans="11:15">
      <c r="K40" s="112" t="s">
        <v>585</v>
      </c>
      <c r="L40" s="113">
        <v>157500</v>
      </c>
    </row>
    <row r="41" spans="11:15">
      <c r="K41" s="112" t="s">
        <v>586</v>
      </c>
      <c r="L41" s="113">
        <v>14400</v>
      </c>
    </row>
    <row r="42" spans="11:15">
      <c r="K42" s="112" t="s">
        <v>587</v>
      </c>
      <c r="L42" s="113">
        <v>172700</v>
      </c>
    </row>
    <row r="43" spans="11:15">
      <c r="K43" s="116" t="s">
        <v>11</v>
      </c>
      <c r="L43" s="117">
        <f>SUM(L38:L42)</f>
        <v>574600</v>
      </c>
    </row>
    <row r="44" spans="11:15">
      <c r="K44" s="191" t="s">
        <v>265</v>
      </c>
      <c r="L44" s="192"/>
    </row>
    <row r="45" spans="11:15">
      <c r="K45" s="110" t="s">
        <v>589</v>
      </c>
      <c r="L45" s="140">
        <v>85750</v>
      </c>
    </row>
    <row r="46" spans="11:15">
      <c r="K46" s="112" t="s">
        <v>590</v>
      </c>
      <c r="L46" s="113">
        <v>12000</v>
      </c>
    </row>
    <row r="47" spans="11:15">
      <c r="K47" s="112" t="s">
        <v>98</v>
      </c>
      <c r="L47" s="113">
        <v>300000</v>
      </c>
    </row>
    <row r="48" spans="11:15">
      <c r="K48" s="112" t="s">
        <v>97</v>
      </c>
      <c r="L48" s="113">
        <v>176850</v>
      </c>
    </row>
    <row r="49" spans="11:19">
      <c r="K49" s="116" t="s">
        <v>11</v>
      </c>
      <c r="L49" s="117">
        <f>SUM(L45:L48)</f>
        <v>574600</v>
      </c>
    </row>
    <row r="52" spans="11:19">
      <c r="K52" s="1" t="s">
        <v>492</v>
      </c>
    </row>
    <row r="53" spans="11:19">
      <c r="K53" s="1" t="s">
        <v>493</v>
      </c>
      <c r="L53" s="1">
        <v>1000</v>
      </c>
    </row>
    <row r="54" spans="11:19">
      <c r="K54" s="1" t="s">
        <v>495</v>
      </c>
      <c r="L54" s="108">
        <v>40000</v>
      </c>
    </row>
    <row r="55" spans="11:19">
      <c r="K55" s="1" t="s">
        <v>451</v>
      </c>
      <c r="L55" s="6">
        <v>0.01</v>
      </c>
    </row>
    <row r="57" spans="11:19">
      <c r="K57" s="1" t="s">
        <v>591</v>
      </c>
    </row>
    <row r="58" spans="11:19">
      <c r="K58" s="1" t="s">
        <v>592</v>
      </c>
    </row>
    <row r="60" spans="11:19">
      <c r="K60" s="20" t="s">
        <v>593</v>
      </c>
      <c r="L60" s="148" t="s">
        <v>522</v>
      </c>
      <c r="M60" s="148" t="s">
        <v>526</v>
      </c>
      <c r="N60" s="150" t="s">
        <v>461</v>
      </c>
      <c r="O60" s="150" t="s">
        <v>440</v>
      </c>
      <c r="P60" s="150" t="s">
        <v>425</v>
      </c>
      <c r="Q60" s="150" t="s">
        <v>13</v>
      </c>
      <c r="R60" s="149" t="s">
        <v>200</v>
      </c>
      <c r="S60" s="89" t="s">
        <v>201</v>
      </c>
    </row>
    <row r="61" spans="11:19">
      <c r="K61" s="1" t="s">
        <v>19</v>
      </c>
      <c r="L61" s="2">
        <f>M8</f>
        <v>24000</v>
      </c>
      <c r="M61" s="2">
        <f>N8</f>
        <v>28000</v>
      </c>
      <c r="N61" s="151">
        <f>O8</f>
        <v>35000</v>
      </c>
      <c r="O61" s="151">
        <f>P8</f>
        <v>45000</v>
      </c>
      <c r="P61" s="151">
        <f>Q8</f>
        <v>60000</v>
      </c>
      <c r="Q61" s="151">
        <f>SUM(N61:P61)</f>
        <v>140000</v>
      </c>
      <c r="R61" s="2">
        <f>R8</f>
        <v>40000</v>
      </c>
      <c r="S61" s="2">
        <f>S8</f>
        <v>36000</v>
      </c>
    </row>
    <row r="62" spans="11:19">
      <c r="K62" s="1" t="s">
        <v>0</v>
      </c>
      <c r="L62" s="1">
        <f t="shared" ref="L62:S62" si="0">$L$4</f>
        <v>8</v>
      </c>
      <c r="M62" s="1">
        <f t="shared" si="0"/>
        <v>8</v>
      </c>
      <c r="N62" s="152">
        <f t="shared" si="0"/>
        <v>8</v>
      </c>
      <c r="O62" s="152">
        <f t="shared" si="0"/>
        <v>8</v>
      </c>
      <c r="P62" s="152">
        <f t="shared" si="0"/>
        <v>8</v>
      </c>
      <c r="Q62" s="152">
        <f t="shared" si="0"/>
        <v>8</v>
      </c>
      <c r="R62" s="1">
        <f t="shared" si="0"/>
        <v>8</v>
      </c>
      <c r="S62" s="1">
        <f t="shared" si="0"/>
        <v>8</v>
      </c>
    </row>
    <row r="63" spans="11:19" ht="16" thickBot="1">
      <c r="K63" s="1" t="s">
        <v>1</v>
      </c>
      <c r="L63" s="4">
        <f t="shared" ref="L63:S63" si="1">+L61*L62</f>
        <v>192000</v>
      </c>
      <c r="M63" s="4">
        <f t="shared" si="1"/>
        <v>224000</v>
      </c>
      <c r="N63" s="153">
        <f t="shared" si="1"/>
        <v>280000</v>
      </c>
      <c r="O63" s="153">
        <f t="shared" si="1"/>
        <v>360000</v>
      </c>
      <c r="P63" s="153">
        <f t="shared" si="1"/>
        <v>480000</v>
      </c>
      <c r="Q63" s="153">
        <f t="shared" si="1"/>
        <v>1120000</v>
      </c>
      <c r="R63" s="4">
        <f t="shared" si="1"/>
        <v>320000</v>
      </c>
      <c r="S63" s="4">
        <f t="shared" si="1"/>
        <v>288000</v>
      </c>
    </row>
    <row r="64" spans="11:19" ht="16" thickTop="1"/>
    <row r="65" spans="11:17">
      <c r="L65" s="161" t="s">
        <v>304</v>
      </c>
      <c r="M65" s="161"/>
      <c r="N65" s="161"/>
      <c r="O65" s="161"/>
    </row>
    <row r="66" spans="11:17">
      <c r="K66" s="20" t="s">
        <v>208</v>
      </c>
      <c r="L66" s="154" t="s">
        <v>461</v>
      </c>
      <c r="M66" s="154" t="s">
        <v>440</v>
      </c>
      <c r="N66" s="154" t="s">
        <v>425</v>
      </c>
      <c r="O66" s="128" t="s">
        <v>306</v>
      </c>
    </row>
    <row r="67" spans="11:17">
      <c r="K67" s="1" t="s">
        <v>522</v>
      </c>
      <c r="L67" s="89">
        <f>L63*L22</f>
        <v>48000</v>
      </c>
      <c r="M67" s="148"/>
      <c r="N67" s="148"/>
      <c r="O67" s="1">
        <f>SUM(L67:N67)</f>
        <v>48000</v>
      </c>
    </row>
    <row r="68" spans="11:17">
      <c r="K68" s="1" t="s">
        <v>526</v>
      </c>
      <c r="L68" s="1">
        <f>M63*L21</f>
        <v>112000</v>
      </c>
      <c r="M68" s="1">
        <f>M63*L22</f>
        <v>56000</v>
      </c>
      <c r="O68" s="1">
        <f>SUM(L68:N68)</f>
        <v>168000</v>
      </c>
    </row>
    <row r="69" spans="11:17">
      <c r="K69" s="1" t="s">
        <v>461</v>
      </c>
      <c r="L69" s="1">
        <f>N63*L20</f>
        <v>70000</v>
      </c>
      <c r="M69" s="1">
        <f>N63*L21</f>
        <v>140000</v>
      </c>
      <c r="N69" s="1">
        <f>N63*L22</f>
        <v>70000</v>
      </c>
      <c r="O69" s="1">
        <f>SUM(L69:N69)</f>
        <v>280000</v>
      </c>
    </row>
    <row r="70" spans="11:17">
      <c r="K70" s="1" t="s">
        <v>440</v>
      </c>
      <c r="M70" s="1">
        <f>O63*L20</f>
        <v>90000</v>
      </c>
      <c r="N70" s="1">
        <f>O63*L21</f>
        <v>180000</v>
      </c>
      <c r="O70" s="1">
        <f>SUM(L70:N70)</f>
        <v>270000</v>
      </c>
    </row>
    <row r="71" spans="11:17">
      <c r="K71" s="1" t="s">
        <v>425</v>
      </c>
      <c r="N71" s="1">
        <f>P63*L20</f>
        <v>120000</v>
      </c>
      <c r="O71" s="1">
        <f>SUM(L71:N71)</f>
        <v>120000</v>
      </c>
    </row>
    <row r="72" spans="11:17" ht="16" thickBot="1">
      <c r="K72" s="1" t="s">
        <v>10</v>
      </c>
      <c r="L72" s="4">
        <f>SUM(L67:L71)</f>
        <v>230000</v>
      </c>
      <c r="M72" s="4">
        <f>SUM(M68:M71)</f>
        <v>286000</v>
      </c>
      <c r="N72" s="4">
        <f>SUM(N68:N71)</f>
        <v>370000</v>
      </c>
      <c r="O72" s="4">
        <f>SUM(O67:O71)</f>
        <v>886000</v>
      </c>
    </row>
    <row r="73" spans="11:17" ht="16" thickTop="1"/>
    <row r="76" spans="11:17">
      <c r="L76" s="161" t="s">
        <v>304</v>
      </c>
      <c r="M76" s="161"/>
      <c r="N76" s="161"/>
      <c r="O76" s="161"/>
      <c r="P76" s="9"/>
    </row>
    <row r="77" spans="11:17">
      <c r="K77" s="154"/>
      <c r="L77" s="154" t="s">
        <v>461</v>
      </c>
      <c r="M77" s="154" t="s">
        <v>440</v>
      </c>
      <c r="N77" s="154" t="s">
        <v>425</v>
      </c>
      <c r="O77" s="128" t="s">
        <v>306</v>
      </c>
      <c r="P77" s="128" t="s">
        <v>200</v>
      </c>
      <c r="Q77" s="128" t="s">
        <v>201</v>
      </c>
    </row>
    <row r="78" spans="11:17">
      <c r="K78" s="1" t="s">
        <v>595</v>
      </c>
      <c r="L78" s="2">
        <f>N61</f>
        <v>35000</v>
      </c>
      <c r="M78" s="2">
        <f>O61</f>
        <v>45000</v>
      </c>
      <c r="N78" s="2">
        <f>P61</f>
        <v>60000</v>
      </c>
      <c r="O78" s="2">
        <f>SUM(L78:N78)</f>
        <v>140000</v>
      </c>
      <c r="P78" s="2">
        <f>R61</f>
        <v>40000</v>
      </c>
      <c r="Q78" s="2">
        <f>S61</f>
        <v>36000</v>
      </c>
    </row>
    <row r="79" spans="11:17">
      <c r="K79" s="1" t="s">
        <v>596</v>
      </c>
      <c r="L79" s="7">
        <f>$L$11*M78</f>
        <v>40500</v>
      </c>
      <c r="M79" s="7">
        <f>$L$11*N78</f>
        <v>54000</v>
      </c>
      <c r="N79" s="7">
        <f>$L$11*P78</f>
        <v>36000</v>
      </c>
      <c r="O79" s="7">
        <f>N79</f>
        <v>36000</v>
      </c>
      <c r="P79" s="7">
        <f>$L$11*Q78</f>
        <v>32400</v>
      </c>
    </row>
    <row r="80" spans="11:17">
      <c r="K80" s="1" t="s">
        <v>529</v>
      </c>
      <c r="L80" s="2">
        <f>SUM(L78:L79)</f>
        <v>75500</v>
      </c>
      <c r="M80" s="2">
        <f>SUM(M78:M79)</f>
        <v>99000</v>
      </c>
      <c r="N80" s="2">
        <f>SUM(N78:N79)</f>
        <v>96000</v>
      </c>
      <c r="O80" s="2">
        <f>SUM(O78:O79)</f>
        <v>176000</v>
      </c>
      <c r="P80" s="2">
        <f>SUM(P78:P79)</f>
        <v>72400</v>
      </c>
    </row>
    <row r="81" spans="11:16">
      <c r="K81" s="1" t="s">
        <v>597</v>
      </c>
      <c r="L81" s="7">
        <f>L78*L11</f>
        <v>31500</v>
      </c>
      <c r="M81" s="7">
        <f>L79</f>
        <v>40500</v>
      </c>
      <c r="N81" s="7">
        <f>M79</f>
        <v>54000</v>
      </c>
      <c r="O81" s="7">
        <f>L81</f>
        <v>31500</v>
      </c>
      <c r="P81" s="7"/>
    </row>
    <row r="82" spans="11:16">
      <c r="K82" s="1" t="s">
        <v>598</v>
      </c>
      <c r="L82" s="2">
        <f>L80-L81</f>
        <v>44000</v>
      </c>
      <c r="M82" s="2">
        <f>M80-M81</f>
        <v>58500</v>
      </c>
      <c r="N82" s="2">
        <f>N80-N81</f>
        <v>42000</v>
      </c>
      <c r="O82" s="2">
        <f>O80-O81</f>
        <v>144500</v>
      </c>
    </row>
    <row r="83" spans="11:16">
      <c r="K83" s="1" t="s">
        <v>599</v>
      </c>
      <c r="L83" s="10">
        <f>$L$13</f>
        <v>5</v>
      </c>
      <c r="M83" s="10">
        <f>$L$13</f>
        <v>5</v>
      </c>
      <c r="N83" s="10">
        <f>$L$13</f>
        <v>5</v>
      </c>
      <c r="O83" s="10">
        <f>$L$13</f>
        <v>5</v>
      </c>
      <c r="P83" s="7"/>
    </row>
    <row r="84" spans="11:16" ht="16" thickBot="1">
      <c r="K84" s="4" t="s">
        <v>600</v>
      </c>
      <c r="L84" s="4">
        <f>L82*L83</f>
        <v>220000</v>
      </c>
      <c r="M84" s="4">
        <f>M82*M83</f>
        <v>292500</v>
      </c>
      <c r="N84" s="4">
        <f>N82*N83</f>
        <v>210000</v>
      </c>
      <c r="O84" s="4">
        <f>O82*O83</f>
        <v>722500</v>
      </c>
      <c r="P84" s="2"/>
    </row>
    <row r="85" spans="11:16" ht="16" thickTop="1"/>
    <row r="87" spans="11:16">
      <c r="L87" s="161" t="s">
        <v>304</v>
      </c>
      <c r="M87" s="161"/>
      <c r="N87" s="161"/>
      <c r="O87" s="161"/>
    </row>
    <row r="88" spans="11:16">
      <c r="K88" s="20" t="s">
        <v>601</v>
      </c>
      <c r="L88" s="154" t="s">
        <v>461</v>
      </c>
      <c r="M88" s="154" t="s">
        <v>440</v>
      </c>
      <c r="N88" s="154" t="s">
        <v>425</v>
      </c>
      <c r="O88" s="128" t="s">
        <v>306</v>
      </c>
    </row>
    <row r="89" spans="11:16">
      <c r="K89" s="1" t="s">
        <v>526</v>
      </c>
      <c r="L89" s="1">
        <f>L45</f>
        <v>85750</v>
      </c>
      <c r="O89" s="1">
        <f>SUM(L89:N89)</f>
        <v>85750</v>
      </c>
    </row>
    <row r="90" spans="11:16">
      <c r="K90" s="1" t="s">
        <v>461</v>
      </c>
      <c r="L90" s="1">
        <f>L84*L16</f>
        <v>110000</v>
      </c>
      <c r="M90" s="1">
        <f>L84*L17</f>
        <v>110000</v>
      </c>
      <c r="O90" s="1">
        <f>SUM(L90:N90)</f>
        <v>220000</v>
      </c>
    </row>
    <row r="91" spans="11:16">
      <c r="K91" s="1" t="s">
        <v>440</v>
      </c>
      <c r="M91" s="1">
        <f>M84*L16</f>
        <v>146250</v>
      </c>
      <c r="N91" s="1">
        <f>M84*L17</f>
        <v>146250</v>
      </c>
      <c r="O91" s="1">
        <f>SUM(L91:N91)</f>
        <v>292500</v>
      </c>
    </row>
    <row r="92" spans="11:16">
      <c r="K92" s="1" t="s">
        <v>425</v>
      </c>
      <c r="N92" s="1">
        <f>N84*L16</f>
        <v>105000</v>
      </c>
      <c r="O92" s="1">
        <f>SUM(L92:N92)</f>
        <v>105000</v>
      </c>
    </row>
    <row r="93" spans="11:16" ht="16" thickBot="1">
      <c r="K93" s="4" t="s">
        <v>11</v>
      </c>
      <c r="L93" s="4">
        <f>SUM(L89:L92)</f>
        <v>195750</v>
      </c>
      <c r="M93" s="4">
        <f>SUM(M89:M92)</f>
        <v>256250</v>
      </c>
      <c r="N93" s="4">
        <f>SUM(N89:N92)</f>
        <v>251250</v>
      </c>
      <c r="O93" s="4">
        <f>SUM(O89:O92)</f>
        <v>703250</v>
      </c>
    </row>
    <row r="94" spans="11:16" ht="16" thickTop="1"/>
    <row r="97" spans="11:15">
      <c r="L97" s="161" t="s">
        <v>525</v>
      </c>
      <c r="M97" s="161"/>
      <c r="N97" s="161"/>
      <c r="O97" s="143"/>
    </row>
    <row r="98" spans="11:15">
      <c r="L98" s="90" t="s">
        <v>461</v>
      </c>
      <c r="M98" s="90" t="s">
        <v>440</v>
      </c>
      <c r="N98" s="90" t="s">
        <v>425</v>
      </c>
      <c r="O98" s="90" t="s">
        <v>329</v>
      </c>
    </row>
    <row r="99" spans="11:15">
      <c r="K99" s="1" t="s">
        <v>68</v>
      </c>
      <c r="L99" s="1">
        <f>L38</f>
        <v>14000</v>
      </c>
      <c r="M99" s="1">
        <f>L121</f>
        <v>10250</v>
      </c>
      <c r="N99" s="1">
        <f>M121</f>
        <v>10000</v>
      </c>
      <c r="O99" s="1">
        <f>L99</f>
        <v>14000</v>
      </c>
    </row>
    <row r="100" spans="11:15">
      <c r="K100" s="1" t="s">
        <v>69</v>
      </c>
      <c r="L100" s="10">
        <f>L72</f>
        <v>230000</v>
      </c>
      <c r="M100" s="10">
        <f>M72</f>
        <v>286000</v>
      </c>
      <c r="N100" s="10">
        <f>N72</f>
        <v>370000</v>
      </c>
      <c r="O100" s="10">
        <f>SUM(L100:N100)</f>
        <v>886000</v>
      </c>
    </row>
    <row r="101" spans="11:15">
      <c r="K101" s="20" t="s">
        <v>70</v>
      </c>
      <c r="L101" s="20">
        <f>SUM(L99:L100)</f>
        <v>244000</v>
      </c>
      <c r="M101" s="20">
        <f>SUM(M99:M100)</f>
        <v>296250</v>
      </c>
      <c r="N101" s="20">
        <f>SUM(N99:N100)</f>
        <v>380000</v>
      </c>
      <c r="O101" s="20">
        <f>SUM(O99:O100)</f>
        <v>900000</v>
      </c>
    </row>
    <row r="103" spans="11:15">
      <c r="K103" s="1" t="s">
        <v>71</v>
      </c>
    </row>
    <row r="104" spans="11:15">
      <c r="K104" s="19" t="s">
        <v>566</v>
      </c>
      <c r="L104" s="1">
        <f>L93</f>
        <v>195750</v>
      </c>
      <c r="M104" s="1">
        <f>M93</f>
        <v>256250</v>
      </c>
      <c r="N104" s="1">
        <f>N93</f>
        <v>251250</v>
      </c>
      <c r="O104" s="1">
        <f>SUM(L104:N104)</f>
        <v>703250</v>
      </c>
    </row>
    <row r="105" spans="11:15">
      <c r="K105" s="19" t="str">
        <f>K25</f>
        <v>Comissoes</v>
      </c>
      <c r="L105" s="1">
        <f>$L$25*N61</f>
        <v>35000</v>
      </c>
      <c r="M105" s="1">
        <f>$L$25*O61</f>
        <v>45000</v>
      </c>
      <c r="N105" s="1">
        <f>$L$25*P61</f>
        <v>60000</v>
      </c>
      <c r="O105" s="1">
        <f>SUM(L105:N105)</f>
        <v>140000</v>
      </c>
    </row>
    <row r="106" spans="11:15">
      <c r="K106" s="19" t="str">
        <f>K26</f>
        <v>Salarios</v>
      </c>
      <c r="L106" s="1">
        <f>$L$26</f>
        <v>22000</v>
      </c>
      <c r="M106" s="1">
        <f>$L$26</f>
        <v>22000</v>
      </c>
      <c r="N106" s="1">
        <f>$L$26</f>
        <v>22000</v>
      </c>
      <c r="O106" s="1">
        <f>SUM(L106:N106)</f>
        <v>66000</v>
      </c>
    </row>
    <row r="107" spans="11:15">
      <c r="K107" s="19" t="str">
        <f>K27</f>
        <v>Utilidades</v>
      </c>
      <c r="L107" s="1">
        <f>$L$27</f>
        <v>14000</v>
      </c>
      <c r="M107" s="1">
        <f>$L$27</f>
        <v>14000</v>
      </c>
      <c r="N107" s="1">
        <f>$L$27</f>
        <v>14000</v>
      </c>
      <c r="O107" s="1">
        <f>SUM(L107:N107)</f>
        <v>42000</v>
      </c>
    </row>
    <row r="108" spans="11:15">
      <c r="K108" s="19" t="str">
        <f>K30</f>
        <v>Diversas</v>
      </c>
      <c r="L108" s="1">
        <f>$L$30</f>
        <v>3000</v>
      </c>
      <c r="M108" s="1">
        <f>$L$30</f>
        <v>3000</v>
      </c>
      <c r="N108" s="1">
        <f>$L$30</f>
        <v>3000</v>
      </c>
      <c r="O108" s="1">
        <f>SUM(L108:N108)</f>
        <v>9000</v>
      </c>
    </row>
    <row r="109" spans="11:15">
      <c r="K109" s="19" t="s">
        <v>581</v>
      </c>
      <c r="L109" s="1">
        <v>0</v>
      </c>
      <c r="M109" s="1">
        <f>L32</f>
        <v>25000</v>
      </c>
      <c r="N109" s="52">
        <v>0</v>
      </c>
      <c r="O109" s="52">
        <f>SUM(M109:N109)</f>
        <v>25000</v>
      </c>
    </row>
    <row r="110" spans="11:15">
      <c r="K110" s="19" t="s">
        <v>74</v>
      </c>
      <c r="L110" s="10">
        <f>L34</f>
        <v>12000</v>
      </c>
      <c r="M110" s="10">
        <v>0</v>
      </c>
      <c r="N110" s="10">
        <v>0</v>
      </c>
      <c r="O110" s="52">
        <f>SUM(L110:N110)</f>
        <v>12000</v>
      </c>
    </row>
    <row r="111" spans="11:15">
      <c r="K111" s="107" t="s">
        <v>75</v>
      </c>
      <c r="L111" s="129">
        <f>SUM(L104:L110)</f>
        <v>281750</v>
      </c>
      <c r="M111" s="129">
        <f>SUM(M104:M110)</f>
        <v>365250</v>
      </c>
      <c r="N111" s="129">
        <f>SUM(N104:N110)</f>
        <v>350250</v>
      </c>
      <c r="O111" s="20">
        <f>SUM(O104:O110)</f>
        <v>997250</v>
      </c>
    </row>
    <row r="113" spans="11:15">
      <c r="K113" s="20" t="s">
        <v>82</v>
      </c>
      <c r="L113" s="20">
        <f>L101-L111</f>
        <v>-37750</v>
      </c>
      <c r="M113" s="20">
        <f>M101-M111</f>
        <v>-69000</v>
      </c>
      <c r="N113" s="20">
        <f>N101-N111</f>
        <v>29750</v>
      </c>
      <c r="O113" s="20">
        <f>O101-O111</f>
        <v>-97250</v>
      </c>
    </row>
    <row r="115" spans="11:15">
      <c r="K115" s="1" t="s">
        <v>77</v>
      </c>
    </row>
    <row r="116" spans="11:15">
      <c r="K116" s="19" t="s">
        <v>78</v>
      </c>
      <c r="L116" s="1">
        <v>48000</v>
      </c>
      <c r="M116" s="1">
        <v>79000</v>
      </c>
      <c r="N116" s="1">
        <v>0</v>
      </c>
      <c r="O116" s="1">
        <f>SUM(L116:N116)</f>
        <v>127000</v>
      </c>
    </row>
    <row r="117" spans="11:15">
      <c r="K117" s="19" t="s">
        <v>79</v>
      </c>
      <c r="L117" s="1">
        <v>0</v>
      </c>
      <c r="M117" s="1">
        <v>0</v>
      </c>
      <c r="N117" s="1">
        <v>-16000</v>
      </c>
      <c r="O117" s="1">
        <f>SUM(L117:N117)</f>
        <v>-16000</v>
      </c>
    </row>
    <row r="118" spans="11:15">
      <c r="K118" s="19" t="s">
        <v>80</v>
      </c>
      <c r="L118" s="52">
        <v>0</v>
      </c>
      <c r="M118" s="10">
        <v>0</v>
      </c>
      <c r="N118" s="10">
        <f>-L116*L55*3-M116*L55*2</f>
        <v>-3020</v>
      </c>
      <c r="O118" s="10">
        <f>SUM(L118:N118)</f>
        <v>-3020</v>
      </c>
    </row>
    <row r="119" spans="11:15">
      <c r="K119" s="107" t="s">
        <v>81</v>
      </c>
      <c r="L119" s="1">
        <f>SUM(L116:L118)</f>
        <v>48000</v>
      </c>
      <c r="M119" s="1">
        <f>SUM(M116:M118)</f>
        <v>79000</v>
      </c>
      <c r="N119" s="1">
        <f>SUM(N116:N118)</f>
        <v>-19020</v>
      </c>
      <c r="O119" s="1">
        <f>SUM(O116:O118)</f>
        <v>107980</v>
      </c>
    </row>
    <row r="121" spans="11:15" ht="16" thickBot="1">
      <c r="K121" s="126" t="s">
        <v>76</v>
      </c>
      <c r="L121" s="126">
        <f>L113+L119</f>
        <v>10250</v>
      </c>
      <c r="M121" s="126">
        <f>M113+M119</f>
        <v>10000</v>
      </c>
      <c r="N121" s="126">
        <f>N113+N119</f>
        <v>10730</v>
      </c>
      <c r="O121" s="126">
        <f>O113+O119</f>
        <v>10730</v>
      </c>
    </row>
    <row r="122" spans="11:15" ht="16" thickTop="1"/>
    <row r="125" spans="11:15">
      <c r="K125" s="191" t="s">
        <v>602</v>
      </c>
      <c r="L125" s="162"/>
      <c r="M125" s="192"/>
    </row>
    <row r="126" spans="11:15">
      <c r="K126" s="110" t="s">
        <v>104</v>
      </c>
      <c r="L126" s="144"/>
      <c r="M126" s="140">
        <f>Q63</f>
        <v>1120000</v>
      </c>
    </row>
    <row r="127" spans="11:15">
      <c r="K127" s="112" t="s">
        <v>84</v>
      </c>
      <c r="L127" s="11"/>
      <c r="M127" s="115">
        <f>-Q61*L13</f>
        <v>-700000</v>
      </c>
    </row>
    <row r="128" spans="11:15">
      <c r="K128" s="112" t="s">
        <v>85</v>
      </c>
      <c r="L128" s="11"/>
      <c r="M128" s="113">
        <f>SUM(M126:M127)</f>
        <v>420000</v>
      </c>
    </row>
    <row r="129" spans="11:13">
      <c r="K129" s="112" t="s">
        <v>540</v>
      </c>
      <c r="L129" s="11"/>
      <c r="M129" s="113"/>
    </row>
    <row r="130" spans="11:13">
      <c r="K130" s="114" t="s">
        <v>516</v>
      </c>
      <c r="L130" s="11">
        <f>-O105</f>
        <v>-140000</v>
      </c>
      <c r="M130" s="113"/>
    </row>
    <row r="131" spans="11:13">
      <c r="K131" s="114" t="s">
        <v>467</v>
      </c>
      <c r="L131" s="11">
        <f>-O106</f>
        <v>-66000</v>
      </c>
      <c r="M131" s="113"/>
    </row>
    <row r="132" spans="11:13">
      <c r="K132" s="114" t="s">
        <v>579</v>
      </c>
      <c r="L132" s="11">
        <f>-O107</f>
        <v>-42000</v>
      </c>
      <c r="M132" s="113"/>
    </row>
    <row r="133" spans="11:13">
      <c r="K133" s="114" t="s">
        <v>62</v>
      </c>
      <c r="L133" s="11">
        <f>-L28*3</f>
        <v>-3600</v>
      </c>
      <c r="M133" s="113"/>
    </row>
    <row r="134" spans="11:13">
      <c r="K134" s="114" t="s">
        <v>64</v>
      </c>
      <c r="L134" s="11">
        <f>-L29*3</f>
        <v>-4500</v>
      </c>
      <c r="M134" s="113"/>
    </row>
    <row r="135" spans="11:13">
      <c r="K135" s="114" t="s">
        <v>580</v>
      </c>
      <c r="L135" s="16">
        <f>-O108</f>
        <v>-9000</v>
      </c>
      <c r="M135" s="115">
        <f>SUM(L130:L135)</f>
        <v>-265100</v>
      </c>
    </row>
    <row r="136" spans="11:13">
      <c r="K136" s="112" t="s">
        <v>543</v>
      </c>
      <c r="L136" s="11"/>
      <c r="M136" s="113">
        <f>SUM(M128:M135)</f>
        <v>154900</v>
      </c>
    </row>
    <row r="137" spans="11:13">
      <c r="K137" s="112" t="s">
        <v>541</v>
      </c>
      <c r="L137" s="11"/>
      <c r="M137" s="115">
        <f>O118</f>
        <v>-3020</v>
      </c>
    </row>
    <row r="138" spans="11:13">
      <c r="K138" s="120" t="s">
        <v>86</v>
      </c>
      <c r="L138" s="145"/>
      <c r="M138" s="124">
        <f>SUM(M136:M137)</f>
        <v>151880</v>
      </c>
    </row>
    <row r="141" spans="11:13">
      <c r="K141" s="191" t="s">
        <v>260</v>
      </c>
      <c r="L141" s="192"/>
    </row>
    <row r="142" spans="11:13">
      <c r="K142" s="110" t="s">
        <v>89</v>
      </c>
      <c r="L142" s="140">
        <f>O121</f>
        <v>10730</v>
      </c>
    </row>
    <row r="143" spans="11:13">
      <c r="K143" s="112" t="s">
        <v>584</v>
      </c>
      <c r="L143" s="113">
        <f>P63*(L21+L22)+O63*L22</f>
        <v>450000</v>
      </c>
    </row>
    <row r="144" spans="11:13">
      <c r="K144" s="112" t="s">
        <v>585</v>
      </c>
      <c r="L144" s="113">
        <f>O79*L13</f>
        <v>180000</v>
      </c>
    </row>
    <row r="145" spans="11:12">
      <c r="K145" s="112" t="s">
        <v>586</v>
      </c>
      <c r="L145" s="113">
        <f>L41-(L28*3)</f>
        <v>10800</v>
      </c>
    </row>
    <row r="146" spans="11:12">
      <c r="K146" s="112" t="s">
        <v>587</v>
      </c>
      <c r="L146" s="113">
        <f>L42+L32-(L29*3)</f>
        <v>193200</v>
      </c>
    </row>
    <row r="147" spans="11:12">
      <c r="K147" s="116" t="s">
        <v>11</v>
      </c>
      <c r="L147" s="117">
        <f>SUM(L142:L146)</f>
        <v>844730</v>
      </c>
    </row>
    <row r="148" spans="11:12">
      <c r="K148" s="191" t="s">
        <v>265</v>
      </c>
      <c r="L148" s="192"/>
    </row>
    <row r="149" spans="11:12">
      <c r="K149" s="110" t="s">
        <v>589</v>
      </c>
      <c r="L149" s="140">
        <f>N84*L17</f>
        <v>105000</v>
      </c>
    </row>
    <row r="150" spans="11:12">
      <c r="K150" s="112" t="s">
        <v>590</v>
      </c>
      <c r="L150" s="113">
        <v>12000</v>
      </c>
    </row>
    <row r="151" spans="11:12">
      <c r="K151" s="112" t="s">
        <v>603</v>
      </c>
      <c r="L151" s="113">
        <f>O116+O117</f>
        <v>111000</v>
      </c>
    </row>
    <row r="152" spans="11:12">
      <c r="K152" s="112" t="s">
        <v>98</v>
      </c>
      <c r="L152" s="113">
        <v>300000</v>
      </c>
    </row>
    <row r="153" spans="11:12">
      <c r="K153" s="112" t="s">
        <v>97</v>
      </c>
      <c r="L153" s="113">
        <f>L48+M138-L34</f>
        <v>316730</v>
      </c>
    </row>
    <row r="154" spans="11:12">
      <c r="K154" s="116" t="s">
        <v>11</v>
      </c>
      <c r="L154" s="117">
        <f>SUM(L149:L153)</f>
        <v>844730</v>
      </c>
    </row>
  </sheetData>
  <mergeCells count="11">
    <mergeCell ref="K148:L148"/>
    <mergeCell ref="L6:N6"/>
    <mergeCell ref="O6:T6"/>
    <mergeCell ref="K37:L37"/>
    <mergeCell ref="K44:L44"/>
    <mergeCell ref="L65:O65"/>
    <mergeCell ref="L76:O76"/>
    <mergeCell ref="L87:O87"/>
    <mergeCell ref="L97:N97"/>
    <mergeCell ref="K125:M125"/>
    <mergeCell ref="K141:L141"/>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AS75"/>
  <sheetViews>
    <sheetView topLeftCell="AE30" zoomScale="115" zoomScaleNormal="115" zoomScalePageLayoutView="115" workbookViewId="0">
      <selection activeCell="AK47" sqref="AK47"/>
    </sheetView>
  </sheetViews>
  <sheetFormatPr baseColWidth="10" defaultColWidth="8.83203125" defaultRowHeight="15" x14ac:dyDescent="0"/>
  <cols>
    <col min="1" max="16" width="8.83203125" style="1"/>
    <col min="17" max="17" width="64" style="39" bestFit="1" customWidth="1"/>
    <col min="18" max="23" width="11.6640625" style="40" customWidth="1"/>
    <col min="24" max="24" width="12.6640625" style="40" customWidth="1"/>
    <col min="25" max="27" width="8.83203125" style="1"/>
    <col min="28" max="28" width="64" style="39" bestFit="1" customWidth="1"/>
    <col min="29" max="34" width="11.6640625" style="40" customWidth="1"/>
    <col min="35" max="35" width="12.6640625" style="40" customWidth="1"/>
    <col min="36" max="37" width="8.83203125" style="1"/>
    <col min="38" max="38" width="64" style="39" bestFit="1" customWidth="1"/>
    <col min="39" max="44" width="11.6640625" style="40" customWidth="1"/>
    <col min="45" max="45" width="12.6640625" style="40" customWidth="1"/>
    <col min="46" max="16384" width="8.83203125" style="1"/>
  </cols>
  <sheetData>
    <row r="1" spans="17:45">
      <c r="Q1" s="169" t="s">
        <v>139</v>
      </c>
      <c r="R1" s="169"/>
      <c r="S1" s="169"/>
      <c r="T1" s="169"/>
      <c r="U1" s="169"/>
      <c r="V1" s="169"/>
      <c r="W1" s="169"/>
      <c r="X1" s="26"/>
      <c r="AB1" s="169" t="s">
        <v>139</v>
      </c>
      <c r="AC1" s="169"/>
      <c r="AD1" s="169"/>
      <c r="AE1" s="169"/>
      <c r="AF1" s="169"/>
      <c r="AG1" s="169"/>
      <c r="AH1" s="169"/>
      <c r="AI1" s="26"/>
      <c r="AL1" s="169" t="s">
        <v>139</v>
      </c>
      <c r="AM1" s="169"/>
      <c r="AN1" s="169"/>
      <c r="AO1" s="169"/>
      <c r="AP1" s="169"/>
      <c r="AQ1" s="169"/>
      <c r="AR1" s="169"/>
      <c r="AS1" s="26"/>
    </row>
    <row r="2" spans="17:45">
      <c r="Q2" s="27"/>
      <c r="R2" s="28"/>
      <c r="S2" s="28"/>
      <c r="T2" s="28"/>
      <c r="U2" s="28"/>
      <c r="V2" s="28"/>
      <c r="W2" s="28"/>
      <c r="X2" s="26"/>
      <c r="AB2" s="27"/>
      <c r="AC2" s="28"/>
      <c r="AD2" s="28"/>
      <c r="AE2" s="28"/>
      <c r="AF2" s="28"/>
      <c r="AG2" s="28"/>
      <c r="AH2" s="28"/>
      <c r="AI2" s="26"/>
      <c r="AL2" s="27"/>
      <c r="AM2" s="28"/>
      <c r="AN2" s="28"/>
      <c r="AO2" s="28"/>
      <c r="AP2" s="28"/>
      <c r="AQ2" s="28"/>
      <c r="AR2" s="28"/>
      <c r="AS2" s="26"/>
    </row>
    <row r="3" spans="17:45">
      <c r="Q3" s="29" t="s">
        <v>140</v>
      </c>
      <c r="R3" s="170" t="s">
        <v>141</v>
      </c>
      <c r="S3" s="170"/>
      <c r="T3" s="170"/>
      <c r="U3" s="170"/>
      <c r="V3" s="170" t="s">
        <v>142</v>
      </c>
      <c r="W3" s="170"/>
      <c r="X3" s="26"/>
      <c r="AB3" s="29" t="s">
        <v>140</v>
      </c>
      <c r="AC3" s="170" t="s">
        <v>141</v>
      </c>
      <c r="AD3" s="170"/>
      <c r="AE3" s="170"/>
      <c r="AF3" s="170"/>
      <c r="AG3" s="170" t="s">
        <v>142</v>
      </c>
      <c r="AH3" s="170"/>
      <c r="AI3" s="26"/>
      <c r="AL3" s="29" t="s">
        <v>140</v>
      </c>
      <c r="AM3" s="170" t="s">
        <v>141</v>
      </c>
      <c r="AN3" s="170"/>
      <c r="AO3" s="170"/>
      <c r="AP3" s="170"/>
      <c r="AQ3" s="170" t="s">
        <v>142</v>
      </c>
      <c r="AR3" s="170"/>
      <c r="AS3" s="26"/>
    </row>
    <row r="4" spans="17:45">
      <c r="Q4" s="27"/>
      <c r="R4" s="30">
        <v>1</v>
      </c>
      <c r="S4" s="30">
        <v>2</v>
      </c>
      <c r="T4" s="30">
        <v>3</v>
      </c>
      <c r="U4" s="30">
        <v>4</v>
      </c>
      <c r="V4" s="30">
        <v>1</v>
      </c>
      <c r="W4" s="30">
        <v>2</v>
      </c>
      <c r="X4" s="26"/>
      <c r="AB4" s="27"/>
      <c r="AC4" s="30">
        <v>1</v>
      </c>
      <c r="AD4" s="30">
        <v>2</v>
      </c>
      <c r="AE4" s="30">
        <v>3</v>
      </c>
      <c r="AF4" s="30">
        <v>4</v>
      </c>
      <c r="AG4" s="30">
        <v>1</v>
      </c>
      <c r="AH4" s="30">
        <v>2</v>
      </c>
      <c r="AI4" s="26"/>
      <c r="AL4" s="27"/>
      <c r="AM4" s="30">
        <v>1</v>
      </c>
      <c r="AN4" s="30">
        <v>2</v>
      </c>
      <c r="AO4" s="30">
        <v>3</v>
      </c>
      <c r="AP4" s="30">
        <v>4</v>
      </c>
      <c r="AQ4" s="30">
        <v>1</v>
      </c>
      <c r="AR4" s="30">
        <v>2</v>
      </c>
      <c r="AS4" s="26"/>
    </row>
    <row r="5" spans="17:45">
      <c r="Q5" s="27" t="s">
        <v>143</v>
      </c>
      <c r="R5" s="31">
        <v>40000</v>
      </c>
      <c r="S5" s="31">
        <v>60000</v>
      </c>
      <c r="T5" s="31">
        <v>100000</v>
      </c>
      <c r="U5" s="31">
        <v>50000</v>
      </c>
      <c r="V5" s="31">
        <v>70000</v>
      </c>
      <c r="W5" s="31">
        <v>80000</v>
      </c>
      <c r="X5" s="26"/>
      <c r="AB5" s="27" t="s">
        <v>143</v>
      </c>
      <c r="AC5" s="31">
        <v>40000</v>
      </c>
      <c r="AD5" s="31">
        <v>75000</v>
      </c>
      <c r="AE5" s="31">
        <v>100000</v>
      </c>
      <c r="AF5" s="31">
        <v>50000</v>
      </c>
      <c r="AG5" s="31">
        <v>70000</v>
      </c>
      <c r="AH5" s="31">
        <v>80000</v>
      </c>
      <c r="AI5" s="26"/>
      <c r="AL5" s="27" t="s">
        <v>143</v>
      </c>
      <c r="AM5" s="31">
        <v>50000</v>
      </c>
      <c r="AN5" s="31">
        <v>70000</v>
      </c>
      <c r="AO5" s="31">
        <v>120000</v>
      </c>
      <c r="AP5" s="31">
        <v>80000</v>
      </c>
      <c r="AQ5" s="31">
        <v>90000</v>
      </c>
      <c r="AR5" s="31">
        <v>100000</v>
      </c>
      <c r="AS5" s="26"/>
    </row>
    <row r="6" spans="17:45">
      <c r="Q6" s="27"/>
      <c r="R6" s="28"/>
      <c r="S6" s="28"/>
      <c r="T6" s="28"/>
      <c r="U6" s="28"/>
      <c r="V6" s="28"/>
      <c r="W6" s="28"/>
      <c r="X6" s="26"/>
      <c r="AB6" s="27"/>
      <c r="AC6" s="28"/>
      <c r="AD6" s="28"/>
      <c r="AE6" s="28"/>
      <c r="AF6" s="28"/>
      <c r="AG6" s="28"/>
      <c r="AH6" s="28"/>
      <c r="AI6" s="26"/>
      <c r="AL6" s="27"/>
      <c r="AM6" s="28"/>
      <c r="AN6" s="28"/>
      <c r="AO6" s="28"/>
      <c r="AP6" s="28"/>
      <c r="AQ6" s="28"/>
      <c r="AR6" s="28"/>
      <c r="AS6" s="26"/>
    </row>
    <row r="7" spans="17:45">
      <c r="Q7" s="32" t="s">
        <v>144</v>
      </c>
      <c r="R7" s="28">
        <v>8</v>
      </c>
      <c r="S7" s="33" t="s">
        <v>145</v>
      </c>
      <c r="T7" s="33"/>
      <c r="U7" s="33"/>
      <c r="V7" s="33"/>
      <c r="W7" s="33"/>
      <c r="X7" s="26"/>
      <c r="AB7" s="32" t="s">
        <v>144</v>
      </c>
      <c r="AC7" s="28">
        <v>8</v>
      </c>
      <c r="AD7" s="33" t="s">
        <v>145</v>
      </c>
      <c r="AE7" s="33"/>
      <c r="AF7" s="33"/>
      <c r="AG7" s="33"/>
      <c r="AH7" s="33"/>
      <c r="AI7" s="26"/>
      <c r="AL7" s="32" t="s">
        <v>144</v>
      </c>
      <c r="AM7" s="28">
        <v>7</v>
      </c>
      <c r="AN7" s="33" t="s">
        <v>145</v>
      </c>
      <c r="AO7" s="33"/>
      <c r="AP7" s="33"/>
      <c r="AQ7" s="33"/>
      <c r="AR7" s="33"/>
      <c r="AS7" s="26"/>
    </row>
    <row r="8" spans="17:45">
      <c r="Q8" s="32" t="s">
        <v>146</v>
      </c>
      <c r="R8" s="31">
        <v>65000</v>
      </c>
      <c r="S8" s="33"/>
      <c r="T8" s="33"/>
      <c r="U8" s="33"/>
      <c r="V8" s="33"/>
      <c r="W8" s="33"/>
      <c r="X8" s="26"/>
      <c r="AB8" s="32" t="s">
        <v>146</v>
      </c>
      <c r="AC8" s="31">
        <v>65000</v>
      </c>
      <c r="AD8" s="33"/>
      <c r="AE8" s="33"/>
      <c r="AF8" s="33"/>
      <c r="AG8" s="33"/>
      <c r="AH8" s="33"/>
      <c r="AI8" s="26"/>
      <c r="AL8" s="32" t="s">
        <v>146</v>
      </c>
      <c r="AM8" s="31">
        <v>65000</v>
      </c>
      <c r="AN8" s="33"/>
      <c r="AO8" s="33"/>
      <c r="AP8" s="33"/>
      <c r="AQ8" s="33"/>
      <c r="AR8" s="33"/>
      <c r="AS8" s="26"/>
    </row>
    <row r="9" spans="17:45">
      <c r="Q9" s="32" t="s">
        <v>147</v>
      </c>
      <c r="R9" s="34">
        <v>0.75</v>
      </c>
      <c r="S9" s="33"/>
      <c r="T9" s="33"/>
      <c r="U9" s="33"/>
      <c r="V9" s="33"/>
      <c r="W9" s="33"/>
      <c r="X9" s="26"/>
      <c r="AB9" s="32" t="s">
        <v>147</v>
      </c>
      <c r="AC9" s="34">
        <v>0.75</v>
      </c>
      <c r="AD9" s="33"/>
      <c r="AE9" s="33"/>
      <c r="AF9" s="33"/>
      <c r="AG9" s="33"/>
      <c r="AH9" s="33"/>
      <c r="AI9" s="26"/>
      <c r="AL9" s="32" t="s">
        <v>147</v>
      </c>
      <c r="AM9" s="34">
        <v>0.75</v>
      </c>
      <c r="AN9" s="33"/>
      <c r="AO9" s="33"/>
      <c r="AP9" s="33"/>
      <c r="AQ9" s="33"/>
      <c r="AR9" s="33"/>
      <c r="AS9" s="26"/>
    </row>
    <row r="10" spans="17:45">
      <c r="Q10" s="32" t="s">
        <v>148</v>
      </c>
      <c r="R10" s="34">
        <v>0.25</v>
      </c>
      <c r="S10" s="33"/>
      <c r="T10" s="33"/>
      <c r="U10" s="33"/>
      <c r="V10" s="33"/>
      <c r="W10" s="33"/>
      <c r="X10" s="26"/>
      <c r="AB10" s="32" t="s">
        <v>148</v>
      </c>
      <c r="AC10" s="34">
        <v>0.25</v>
      </c>
      <c r="AD10" s="33"/>
      <c r="AE10" s="33"/>
      <c r="AF10" s="33"/>
      <c r="AG10" s="33"/>
      <c r="AH10" s="33"/>
      <c r="AI10" s="26"/>
      <c r="AL10" s="32" t="s">
        <v>148</v>
      </c>
      <c r="AM10" s="34">
        <v>0.25</v>
      </c>
      <c r="AN10" s="33"/>
      <c r="AO10" s="33"/>
      <c r="AP10" s="33"/>
      <c r="AQ10" s="33"/>
      <c r="AR10" s="33"/>
      <c r="AS10" s="26"/>
    </row>
    <row r="11" spans="17:45">
      <c r="Q11" s="32" t="s">
        <v>149</v>
      </c>
      <c r="R11" s="34">
        <v>0.3</v>
      </c>
      <c r="S11" s="171" t="s">
        <v>150</v>
      </c>
      <c r="T11" s="171"/>
      <c r="U11" s="171"/>
      <c r="V11" s="171"/>
      <c r="W11" s="171"/>
      <c r="X11" s="26"/>
      <c r="AB11" s="32" t="s">
        <v>149</v>
      </c>
      <c r="AC11" s="34">
        <v>0.3</v>
      </c>
      <c r="AD11" s="171" t="s">
        <v>150</v>
      </c>
      <c r="AE11" s="171"/>
      <c r="AF11" s="171"/>
      <c r="AG11" s="171"/>
      <c r="AH11" s="171"/>
      <c r="AI11" s="26"/>
      <c r="AL11" s="32" t="s">
        <v>149</v>
      </c>
      <c r="AM11" s="34">
        <v>0.3</v>
      </c>
      <c r="AN11" s="171" t="s">
        <v>150</v>
      </c>
      <c r="AO11" s="171"/>
      <c r="AP11" s="171"/>
      <c r="AQ11" s="171"/>
      <c r="AR11" s="171"/>
      <c r="AS11" s="26"/>
    </row>
    <row r="12" spans="17:45">
      <c r="Q12" s="32" t="s">
        <v>151</v>
      </c>
      <c r="R12" s="31">
        <v>12000</v>
      </c>
      <c r="S12" s="33" t="s">
        <v>152</v>
      </c>
      <c r="T12" s="33"/>
      <c r="U12" s="33"/>
      <c r="V12" s="33"/>
      <c r="W12" s="33"/>
      <c r="X12" s="26"/>
      <c r="AB12" s="32" t="s">
        <v>151</v>
      </c>
      <c r="AC12" s="31">
        <v>12000</v>
      </c>
      <c r="AD12" s="33" t="s">
        <v>152</v>
      </c>
      <c r="AE12" s="33"/>
      <c r="AF12" s="33"/>
      <c r="AG12" s="33"/>
      <c r="AH12" s="33"/>
      <c r="AI12" s="26"/>
      <c r="AL12" s="32" t="s">
        <v>151</v>
      </c>
      <c r="AM12" s="31">
        <v>12000</v>
      </c>
      <c r="AN12" s="33" t="s">
        <v>152</v>
      </c>
      <c r="AO12" s="33"/>
      <c r="AP12" s="33"/>
      <c r="AQ12" s="33"/>
      <c r="AR12" s="33"/>
      <c r="AS12" s="26"/>
    </row>
    <row r="13" spans="17:45">
      <c r="Q13" s="32" t="s">
        <v>153</v>
      </c>
      <c r="R13" s="28">
        <v>5</v>
      </c>
      <c r="S13" s="33" t="s">
        <v>154</v>
      </c>
      <c r="T13" s="33"/>
      <c r="U13" s="33"/>
      <c r="V13" s="33"/>
      <c r="W13" s="33"/>
      <c r="X13" s="26"/>
      <c r="AB13" s="32" t="s">
        <v>153</v>
      </c>
      <c r="AC13" s="28">
        <v>5</v>
      </c>
      <c r="AD13" s="33" t="s">
        <v>154</v>
      </c>
      <c r="AE13" s="33"/>
      <c r="AF13" s="33"/>
      <c r="AG13" s="33"/>
      <c r="AH13" s="33"/>
      <c r="AI13" s="26"/>
      <c r="AL13" s="32" t="s">
        <v>153</v>
      </c>
      <c r="AM13" s="28">
        <v>5</v>
      </c>
      <c r="AN13" s="33" t="s">
        <v>154</v>
      </c>
      <c r="AO13" s="33"/>
      <c r="AP13" s="33"/>
      <c r="AQ13" s="33"/>
      <c r="AR13" s="33"/>
      <c r="AS13" s="26"/>
    </row>
    <row r="14" spans="17:45">
      <c r="Q14" s="32" t="s">
        <v>155</v>
      </c>
      <c r="R14" s="34">
        <v>0.5</v>
      </c>
      <c r="S14" s="171" t="s">
        <v>156</v>
      </c>
      <c r="T14" s="171"/>
      <c r="U14" s="171"/>
      <c r="V14" s="171"/>
      <c r="W14" s="171"/>
      <c r="X14" s="26"/>
      <c r="AB14" s="32" t="s">
        <v>155</v>
      </c>
      <c r="AC14" s="34">
        <v>0.5</v>
      </c>
      <c r="AD14" s="171" t="s">
        <v>156</v>
      </c>
      <c r="AE14" s="171"/>
      <c r="AF14" s="171"/>
      <c r="AG14" s="171"/>
      <c r="AH14" s="171"/>
      <c r="AI14" s="26"/>
      <c r="AL14" s="32" t="s">
        <v>155</v>
      </c>
      <c r="AM14" s="34">
        <v>0.5</v>
      </c>
      <c r="AN14" s="171" t="s">
        <v>156</v>
      </c>
      <c r="AO14" s="171"/>
      <c r="AP14" s="171"/>
      <c r="AQ14" s="171"/>
      <c r="AR14" s="171"/>
      <c r="AS14" s="26"/>
    </row>
    <row r="15" spans="17:45">
      <c r="Q15" s="32" t="s">
        <v>157</v>
      </c>
      <c r="R15" s="31">
        <v>23000</v>
      </c>
      <c r="S15" s="33" t="s">
        <v>154</v>
      </c>
      <c r="T15" s="33"/>
      <c r="U15" s="33"/>
      <c r="V15" s="33"/>
      <c r="W15" s="33"/>
      <c r="X15" s="26"/>
      <c r="AB15" s="32" t="s">
        <v>157</v>
      </c>
      <c r="AC15" s="31">
        <v>23000</v>
      </c>
      <c r="AD15" s="33" t="s">
        <v>154</v>
      </c>
      <c r="AE15" s="33"/>
      <c r="AF15" s="33"/>
      <c r="AG15" s="33"/>
      <c r="AH15" s="33"/>
      <c r="AI15" s="26"/>
      <c r="AL15" s="32" t="s">
        <v>157</v>
      </c>
      <c r="AM15" s="31">
        <v>23000</v>
      </c>
      <c r="AN15" s="33" t="s">
        <v>154</v>
      </c>
      <c r="AO15" s="33"/>
      <c r="AP15" s="33"/>
      <c r="AQ15" s="33"/>
      <c r="AR15" s="33"/>
      <c r="AS15" s="26"/>
    </row>
    <row r="16" spans="17:45">
      <c r="Q16" s="32" t="s">
        <v>158</v>
      </c>
      <c r="R16" s="28">
        <v>0.8</v>
      </c>
      <c r="S16" s="33" t="s">
        <v>159</v>
      </c>
      <c r="T16" s="33"/>
      <c r="U16" s="33"/>
      <c r="V16" s="33"/>
      <c r="W16" s="33"/>
      <c r="X16" s="26"/>
      <c r="AB16" s="32" t="s">
        <v>158</v>
      </c>
      <c r="AC16" s="28">
        <v>0.8</v>
      </c>
      <c r="AD16" s="33" t="s">
        <v>159</v>
      </c>
      <c r="AE16" s="33"/>
      <c r="AF16" s="33"/>
      <c r="AG16" s="33"/>
      <c r="AH16" s="33"/>
      <c r="AI16" s="26"/>
      <c r="AL16" s="32" t="s">
        <v>158</v>
      </c>
      <c r="AM16" s="28">
        <v>0.8</v>
      </c>
      <c r="AN16" s="33" t="s">
        <v>159</v>
      </c>
      <c r="AO16" s="33"/>
      <c r="AP16" s="33"/>
      <c r="AQ16" s="33"/>
      <c r="AR16" s="33"/>
      <c r="AS16" s="26"/>
    </row>
    <row r="17" spans="17:45">
      <c r="Q17" s="32" t="s">
        <v>160</v>
      </c>
      <c r="R17" s="34">
        <v>0.6</v>
      </c>
      <c r="S17" s="171" t="s">
        <v>161</v>
      </c>
      <c r="T17" s="171"/>
      <c r="U17" s="171"/>
      <c r="V17" s="171"/>
      <c r="W17" s="171"/>
      <c r="X17" s="26"/>
      <c r="AB17" s="32" t="s">
        <v>160</v>
      </c>
      <c r="AC17" s="34">
        <v>0.6</v>
      </c>
      <c r="AD17" s="171" t="s">
        <v>161</v>
      </c>
      <c r="AE17" s="171"/>
      <c r="AF17" s="171"/>
      <c r="AG17" s="171"/>
      <c r="AH17" s="171"/>
      <c r="AI17" s="26"/>
      <c r="AL17" s="32" t="s">
        <v>160</v>
      </c>
      <c r="AM17" s="34">
        <v>0.6</v>
      </c>
      <c r="AN17" s="171" t="s">
        <v>161</v>
      </c>
      <c r="AO17" s="171"/>
      <c r="AP17" s="171"/>
      <c r="AQ17" s="171"/>
      <c r="AR17" s="171"/>
      <c r="AS17" s="26"/>
    </row>
    <row r="18" spans="17:45">
      <c r="Q18" s="32" t="s">
        <v>162</v>
      </c>
      <c r="R18" s="34">
        <v>0.4</v>
      </c>
      <c r="S18" s="171" t="s">
        <v>163</v>
      </c>
      <c r="T18" s="171"/>
      <c r="U18" s="171"/>
      <c r="V18" s="171"/>
      <c r="W18" s="171"/>
      <c r="X18" s="26"/>
      <c r="AB18" s="32" t="s">
        <v>162</v>
      </c>
      <c r="AC18" s="34">
        <v>0.4</v>
      </c>
      <c r="AD18" s="171" t="s">
        <v>163</v>
      </c>
      <c r="AE18" s="171"/>
      <c r="AF18" s="171"/>
      <c r="AG18" s="171"/>
      <c r="AH18" s="171"/>
      <c r="AI18" s="26"/>
      <c r="AL18" s="32" t="s">
        <v>162</v>
      </c>
      <c r="AM18" s="34">
        <v>0.4</v>
      </c>
      <c r="AN18" s="171" t="s">
        <v>163</v>
      </c>
      <c r="AO18" s="171"/>
      <c r="AP18" s="171"/>
      <c r="AQ18" s="171"/>
      <c r="AR18" s="171"/>
      <c r="AS18" s="26"/>
    </row>
    <row r="19" spans="17:45">
      <c r="Q19" s="32" t="s">
        <v>164</v>
      </c>
      <c r="R19" s="31">
        <v>81500</v>
      </c>
      <c r="S19" s="33"/>
      <c r="T19" s="33"/>
      <c r="U19" s="33"/>
      <c r="V19" s="33"/>
      <c r="W19" s="33"/>
      <c r="X19" s="26"/>
      <c r="AB19" s="32" t="s">
        <v>164</v>
      </c>
      <c r="AC19" s="31">
        <v>81500</v>
      </c>
      <c r="AD19" s="33"/>
      <c r="AE19" s="33"/>
      <c r="AF19" s="33"/>
      <c r="AG19" s="33"/>
      <c r="AH19" s="33"/>
      <c r="AI19" s="26"/>
      <c r="AL19" s="32" t="s">
        <v>164</v>
      </c>
      <c r="AM19" s="31">
        <v>81500</v>
      </c>
      <c r="AN19" s="33"/>
      <c r="AO19" s="33"/>
      <c r="AP19" s="33"/>
      <c r="AQ19" s="33"/>
      <c r="AR19" s="33"/>
      <c r="AS19" s="26"/>
    </row>
    <row r="20" spans="17:45">
      <c r="Q20" s="32"/>
      <c r="R20" s="26"/>
      <c r="S20" s="26"/>
      <c r="T20" s="26"/>
      <c r="U20" s="26"/>
      <c r="V20" s="26"/>
      <c r="W20" s="26"/>
      <c r="X20" s="26"/>
      <c r="AB20" s="32"/>
      <c r="AC20" s="26"/>
      <c r="AD20" s="26"/>
      <c r="AE20" s="26"/>
      <c r="AF20" s="26"/>
      <c r="AG20" s="26"/>
      <c r="AH20" s="26"/>
      <c r="AI20" s="26"/>
      <c r="AL20" s="32"/>
      <c r="AM20" s="26"/>
      <c r="AN20" s="26"/>
      <c r="AO20" s="26"/>
      <c r="AP20" s="26"/>
      <c r="AQ20" s="26"/>
      <c r="AR20" s="26"/>
      <c r="AS20" s="26"/>
    </row>
    <row r="21" spans="17:45">
      <c r="Q21" s="172" t="s">
        <v>165</v>
      </c>
      <c r="R21" s="172"/>
      <c r="S21" s="172"/>
      <c r="T21" s="172"/>
      <c r="U21" s="172"/>
      <c r="V21" s="172"/>
      <c r="W21" s="172"/>
      <c r="X21" s="28"/>
      <c r="AB21" s="172" t="s">
        <v>165</v>
      </c>
      <c r="AC21" s="172"/>
      <c r="AD21" s="172"/>
      <c r="AE21" s="172"/>
      <c r="AF21" s="172"/>
      <c r="AG21" s="172"/>
      <c r="AH21" s="172"/>
      <c r="AI21" s="28"/>
      <c r="AL21" s="172" t="s">
        <v>165</v>
      </c>
      <c r="AM21" s="172"/>
      <c r="AN21" s="172"/>
      <c r="AO21" s="172"/>
      <c r="AP21" s="172"/>
      <c r="AQ21" s="172"/>
      <c r="AR21" s="172"/>
      <c r="AS21" s="28"/>
    </row>
    <row r="22" spans="17:45">
      <c r="Q22" s="173" t="s">
        <v>166</v>
      </c>
      <c r="R22" s="173"/>
      <c r="S22" s="173"/>
      <c r="T22" s="173"/>
      <c r="U22" s="173"/>
      <c r="V22" s="173"/>
      <c r="W22" s="173"/>
      <c r="X22" s="28"/>
      <c r="AB22" s="173" t="s">
        <v>166</v>
      </c>
      <c r="AC22" s="173"/>
      <c r="AD22" s="173"/>
      <c r="AE22" s="173"/>
      <c r="AF22" s="173"/>
      <c r="AG22" s="173"/>
      <c r="AH22" s="173"/>
      <c r="AI22" s="28"/>
      <c r="AL22" s="173" t="s">
        <v>166</v>
      </c>
      <c r="AM22" s="173"/>
      <c r="AN22" s="173"/>
      <c r="AO22" s="173"/>
      <c r="AP22" s="173"/>
      <c r="AQ22" s="173"/>
      <c r="AR22" s="173"/>
      <c r="AS22" s="28"/>
    </row>
    <row r="23" spans="17:45">
      <c r="Q23" s="27"/>
      <c r="R23" s="28"/>
      <c r="S23" s="28"/>
      <c r="T23" s="28"/>
      <c r="U23" s="28"/>
      <c r="V23" s="28"/>
      <c r="W23" s="28"/>
      <c r="X23" s="28"/>
      <c r="AB23" s="27"/>
      <c r="AC23" s="28"/>
      <c r="AD23" s="28"/>
      <c r="AE23" s="28"/>
      <c r="AF23" s="28"/>
      <c r="AG23" s="28"/>
      <c r="AH23" s="28"/>
      <c r="AI23" s="28"/>
      <c r="AL23" s="27"/>
      <c r="AM23" s="28"/>
      <c r="AN23" s="28"/>
      <c r="AO23" s="28"/>
      <c r="AP23" s="28"/>
      <c r="AQ23" s="28"/>
      <c r="AR23" s="28"/>
      <c r="AS23" s="28"/>
    </row>
    <row r="24" spans="17:45">
      <c r="Q24" s="35" t="s">
        <v>167</v>
      </c>
      <c r="R24" s="170" t="s">
        <v>141</v>
      </c>
      <c r="S24" s="170"/>
      <c r="T24" s="170"/>
      <c r="U24" s="170"/>
      <c r="V24" s="170" t="s">
        <v>142</v>
      </c>
      <c r="W24" s="170"/>
      <c r="X24" s="36"/>
      <c r="AB24" s="35" t="s">
        <v>167</v>
      </c>
      <c r="AC24" s="170" t="s">
        <v>141</v>
      </c>
      <c r="AD24" s="170"/>
      <c r="AE24" s="170"/>
      <c r="AF24" s="170"/>
      <c r="AG24" s="170" t="s">
        <v>142</v>
      </c>
      <c r="AH24" s="170"/>
      <c r="AI24" s="36"/>
      <c r="AL24" s="35" t="s">
        <v>167</v>
      </c>
      <c r="AM24" s="170" t="s">
        <v>141</v>
      </c>
      <c r="AN24" s="170"/>
      <c r="AO24" s="170"/>
      <c r="AP24" s="170"/>
      <c r="AQ24" s="170" t="s">
        <v>142</v>
      </c>
      <c r="AR24" s="170"/>
      <c r="AS24" s="36"/>
    </row>
    <row r="25" spans="17:45">
      <c r="Q25" s="27"/>
      <c r="R25" s="36">
        <v>1</v>
      </c>
      <c r="S25" s="36">
        <v>2</v>
      </c>
      <c r="T25" s="36">
        <v>3</v>
      </c>
      <c r="U25" s="36">
        <v>4</v>
      </c>
      <c r="V25" s="36">
        <v>1</v>
      </c>
      <c r="W25" s="36">
        <v>2</v>
      </c>
      <c r="X25" s="36"/>
      <c r="AB25" s="27"/>
      <c r="AC25" s="36">
        <v>1</v>
      </c>
      <c r="AD25" s="36">
        <v>2</v>
      </c>
      <c r="AE25" s="36">
        <v>3</v>
      </c>
      <c r="AF25" s="36">
        <v>4</v>
      </c>
      <c r="AG25" s="36">
        <v>1</v>
      </c>
      <c r="AH25" s="36">
        <v>2</v>
      </c>
      <c r="AI25" s="36"/>
      <c r="AL25" s="27"/>
      <c r="AM25" s="36">
        <v>1</v>
      </c>
      <c r="AN25" s="36">
        <v>2</v>
      </c>
      <c r="AO25" s="36">
        <v>3</v>
      </c>
      <c r="AP25" s="36">
        <v>4</v>
      </c>
      <c r="AQ25" s="36">
        <v>1</v>
      </c>
      <c r="AR25" s="36">
        <v>2</v>
      </c>
      <c r="AS25" s="36"/>
    </row>
    <row r="26" spans="17:45">
      <c r="Q26" s="27" t="s">
        <v>143</v>
      </c>
      <c r="R26" s="31">
        <f t="shared" ref="R26:W26" si="0">R5</f>
        <v>40000</v>
      </c>
      <c r="S26" s="31">
        <f t="shared" si="0"/>
        <v>60000</v>
      </c>
      <c r="T26" s="31">
        <f t="shared" si="0"/>
        <v>100000</v>
      </c>
      <c r="U26" s="31">
        <f t="shared" si="0"/>
        <v>50000</v>
      </c>
      <c r="V26" s="31">
        <f t="shared" si="0"/>
        <v>70000</v>
      </c>
      <c r="W26" s="31">
        <f t="shared" si="0"/>
        <v>80000</v>
      </c>
      <c r="X26" s="28"/>
      <c r="AB26" s="27" t="s">
        <v>143</v>
      </c>
      <c r="AC26" s="31">
        <f t="shared" ref="AC26:AH26" si="1">AC5</f>
        <v>40000</v>
      </c>
      <c r="AD26" s="31">
        <f t="shared" si="1"/>
        <v>75000</v>
      </c>
      <c r="AE26" s="31">
        <f t="shared" si="1"/>
        <v>100000</v>
      </c>
      <c r="AF26" s="31">
        <f t="shared" si="1"/>
        <v>50000</v>
      </c>
      <c r="AG26" s="31">
        <f t="shared" si="1"/>
        <v>70000</v>
      </c>
      <c r="AH26" s="31">
        <f t="shared" si="1"/>
        <v>80000</v>
      </c>
      <c r="AI26" s="28"/>
      <c r="AL26" s="27" t="s">
        <v>143</v>
      </c>
      <c r="AM26" s="31">
        <f t="shared" ref="AM26:AR26" si="2">AM5</f>
        <v>50000</v>
      </c>
      <c r="AN26" s="31">
        <f t="shared" si="2"/>
        <v>70000</v>
      </c>
      <c r="AO26" s="31">
        <f t="shared" si="2"/>
        <v>120000</v>
      </c>
      <c r="AP26" s="31">
        <f t="shared" si="2"/>
        <v>80000</v>
      </c>
      <c r="AQ26" s="31">
        <f t="shared" si="2"/>
        <v>90000</v>
      </c>
      <c r="AR26" s="31">
        <f t="shared" si="2"/>
        <v>100000</v>
      </c>
      <c r="AS26" s="28"/>
    </row>
    <row r="27" spans="17:45">
      <c r="Q27" s="27" t="s">
        <v>168</v>
      </c>
      <c r="R27" s="42">
        <f t="shared" ref="R27:W27" si="3">$R$7</f>
        <v>8</v>
      </c>
      <c r="S27" s="42">
        <f t="shared" si="3"/>
        <v>8</v>
      </c>
      <c r="T27" s="42">
        <f t="shared" si="3"/>
        <v>8</v>
      </c>
      <c r="U27" s="42">
        <f t="shared" si="3"/>
        <v>8</v>
      </c>
      <c r="V27" s="42">
        <f t="shared" si="3"/>
        <v>8</v>
      </c>
      <c r="W27" s="42">
        <f t="shared" si="3"/>
        <v>8</v>
      </c>
      <c r="X27" s="28"/>
      <c r="AB27" s="27" t="s">
        <v>168</v>
      </c>
      <c r="AC27" s="42">
        <f t="shared" ref="AC27:AH27" si="4">$R$7</f>
        <v>8</v>
      </c>
      <c r="AD27" s="42">
        <f t="shared" si="4"/>
        <v>8</v>
      </c>
      <c r="AE27" s="42">
        <f t="shared" si="4"/>
        <v>8</v>
      </c>
      <c r="AF27" s="42">
        <f t="shared" si="4"/>
        <v>8</v>
      </c>
      <c r="AG27" s="42">
        <f t="shared" si="4"/>
        <v>8</v>
      </c>
      <c r="AH27" s="42">
        <f t="shared" si="4"/>
        <v>8</v>
      </c>
      <c r="AI27" s="28"/>
      <c r="AL27" s="27" t="s">
        <v>168</v>
      </c>
      <c r="AM27" s="42">
        <f t="shared" ref="AM27:AR27" si="5">$AM$7</f>
        <v>7</v>
      </c>
      <c r="AN27" s="42">
        <f t="shared" si="5"/>
        <v>7</v>
      </c>
      <c r="AO27" s="42">
        <f t="shared" si="5"/>
        <v>7</v>
      </c>
      <c r="AP27" s="42">
        <f t="shared" si="5"/>
        <v>7</v>
      </c>
      <c r="AQ27" s="42">
        <f t="shared" si="5"/>
        <v>7</v>
      </c>
      <c r="AR27" s="42">
        <f t="shared" si="5"/>
        <v>7</v>
      </c>
      <c r="AS27" s="28"/>
    </row>
    <row r="28" spans="17:45" ht="16" thickBot="1">
      <c r="Q28" s="27" t="s">
        <v>169</v>
      </c>
      <c r="R28" s="41">
        <f t="shared" ref="R28:W28" si="6">+R26*R27</f>
        <v>320000</v>
      </c>
      <c r="S28" s="41">
        <f t="shared" si="6"/>
        <v>480000</v>
      </c>
      <c r="T28" s="41">
        <f t="shared" si="6"/>
        <v>800000</v>
      </c>
      <c r="U28" s="41">
        <f t="shared" si="6"/>
        <v>400000</v>
      </c>
      <c r="V28" s="41">
        <f t="shared" si="6"/>
        <v>560000</v>
      </c>
      <c r="W28" s="41">
        <f t="shared" si="6"/>
        <v>640000</v>
      </c>
      <c r="X28" s="28"/>
      <c r="AB28" s="27" t="s">
        <v>169</v>
      </c>
      <c r="AC28" s="41">
        <f t="shared" ref="AC28:AH28" si="7">+AC26*AC27</f>
        <v>320000</v>
      </c>
      <c r="AD28" s="41">
        <f t="shared" si="7"/>
        <v>600000</v>
      </c>
      <c r="AE28" s="41">
        <f t="shared" si="7"/>
        <v>800000</v>
      </c>
      <c r="AF28" s="41">
        <f t="shared" si="7"/>
        <v>400000</v>
      </c>
      <c r="AG28" s="41">
        <f t="shared" si="7"/>
        <v>560000</v>
      </c>
      <c r="AH28" s="41">
        <f t="shared" si="7"/>
        <v>640000</v>
      </c>
      <c r="AI28" s="28"/>
      <c r="AL28" s="27" t="s">
        <v>169</v>
      </c>
      <c r="AM28" s="41">
        <f t="shared" ref="AM28:AR28" si="8">+AM26*AM27</f>
        <v>350000</v>
      </c>
      <c r="AN28" s="41">
        <f t="shared" si="8"/>
        <v>490000</v>
      </c>
      <c r="AO28" s="41">
        <f t="shared" si="8"/>
        <v>840000</v>
      </c>
      <c r="AP28" s="41">
        <f t="shared" si="8"/>
        <v>560000</v>
      </c>
      <c r="AQ28" s="41">
        <f t="shared" si="8"/>
        <v>630000</v>
      </c>
      <c r="AR28" s="41">
        <f t="shared" si="8"/>
        <v>700000</v>
      </c>
      <c r="AS28" s="28"/>
    </row>
    <row r="29" spans="17:45" ht="16" thickTop="1">
      <c r="Q29" s="27"/>
      <c r="R29" s="28"/>
      <c r="S29" s="28"/>
      <c r="T29" s="28"/>
      <c r="U29" s="28"/>
      <c r="V29" s="28"/>
      <c r="W29" s="28"/>
      <c r="X29" s="28"/>
      <c r="AB29" s="27"/>
      <c r="AC29" s="28"/>
      <c r="AD29" s="28"/>
      <c r="AE29" s="28"/>
      <c r="AF29" s="28"/>
      <c r="AG29" s="28"/>
      <c r="AH29" s="28"/>
      <c r="AI29" s="28"/>
      <c r="AL29" s="27"/>
      <c r="AM29" s="28"/>
      <c r="AN29" s="28"/>
      <c r="AO29" s="28"/>
      <c r="AP29" s="28"/>
      <c r="AQ29" s="28"/>
      <c r="AR29" s="28"/>
      <c r="AS29" s="28"/>
    </row>
    <row r="30" spans="17:45">
      <c r="Q30" s="35" t="s">
        <v>170</v>
      </c>
      <c r="R30" s="170" t="s">
        <v>141</v>
      </c>
      <c r="S30" s="170"/>
      <c r="T30" s="170"/>
      <c r="U30" s="170"/>
      <c r="V30" s="37"/>
      <c r="W30" s="28"/>
      <c r="X30" s="28"/>
      <c r="AB30" s="35" t="s">
        <v>170</v>
      </c>
      <c r="AC30" s="170" t="s">
        <v>141</v>
      </c>
      <c r="AD30" s="170"/>
      <c r="AE30" s="170"/>
      <c r="AF30" s="170"/>
      <c r="AG30" s="37"/>
      <c r="AH30" s="28"/>
      <c r="AI30" s="28"/>
      <c r="AL30" s="35" t="s">
        <v>170</v>
      </c>
      <c r="AM30" s="170" t="s">
        <v>141</v>
      </c>
      <c r="AN30" s="170"/>
      <c r="AO30" s="170"/>
      <c r="AP30" s="170"/>
      <c r="AQ30" s="37"/>
      <c r="AR30" s="28"/>
      <c r="AS30" s="28"/>
    </row>
    <row r="31" spans="17:45">
      <c r="Q31" s="27"/>
      <c r="R31" s="37">
        <v>1</v>
      </c>
      <c r="S31" s="37">
        <v>2</v>
      </c>
      <c r="T31" s="37">
        <v>3</v>
      </c>
      <c r="U31" s="37">
        <v>4</v>
      </c>
      <c r="V31" s="37" t="s">
        <v>12</v>
      </c>
      <c r="W31" s="28"/>
      <c r="X31" s="28"/>
      <c r="AB31" s="27"/>
      <c r="AC31" s="37">
        <v>1</v>
      </c>
      <c r="AD31" s="37">
        <v>2</v>
      </c>
      <c r="AE31" s="37">
        <v>3</v>
      </c>
      <c r="AF31" s="37">
        <v>4</v>
      </c>
      <c r="AG31" s="37" t="s">
        <v>12</v>
      </c>
      <c r="AH31" s="28"/>
      <c r="AI31" s="28"/>
      <c r="AL31" s="27"/>
      <c r="AM31" s="37">
        <v>1</v>
      </c>
      <c r="AN31" s="37">
        <v>2</v>
      </c>
      <c r="AO31" s="37">
        <v>3</v>
      </c>
      <c r="AP31" s="37">
        <v>4</v>
      </c>
      <c r="AQ31" s="37" t="s">
        <v>12</v>
      </c>
      <c r="AR31" s="28"/>
      <c r="AS31" s="28"/>
    </row>
    <row r="32" spans="17:45">
      <c r="Q32" s="27" t="s">
        <v>171</v>
      </c>
      <c r="R32" s="42">
        <f>R8</f>
        <v>65000</v>
      </c>
      <c r="S32" s="28"/>
      <c r="T32" s="28"/>
      <c r="U32" s="28"/>
      <c r="V32" s="43">
        <f>SUM(R32:U32)</f>
        <v>65000</v>
      </c>
      <c r="W32" s="28"/>
      <c r="X32" s="28"/>
      <c r="AB32" s="27" t="s">
        <v>171</v>
      </c>
      <c r="AC32" s="42">
        <f>AC8</f>
        <v>65000</v>
      </c>
      <c r="AD32" s="28"/>
      <c r="AE32" s="28"/>
      <c r="AF32" s="28"/>
      <c r="AG32" s="43">
        <f>SUM(AC32:AF32)</f>
        <v>65000</v>
      </c>
      <c r="AH32" s="28"/>
      <c r="AI32" s="28"/>
      <c r="AL32" s="27" t="s">
        <v>171</v>
      </c>
      <c r="AM32" s="42">
        <f>AM8</f>
        <v>65000</v>
      </c>
      <c r="AN32" s="28"/>
      <c r="AO32" s="28"/>
      <c r="AP32" s="28"/>
      <c r="AQ32" s="43">
        <f>SUM(AM32:AP32)</f>
        <v>65000</v>
      </c>
      <c r="AR32" s="28"/>
      <c r="AS32" s="28"/>
    </row>
    <row r="33" spans="17:45">
      <c r="Q33" s="27" t="s">
        <v>172</v>
      </c>
      <c r="R33" s="43">
        <f>R28*R9</f>
        <v>240000</v>
      </c>
      <c r="S33" s="42">
        <f>+R28*R10</f>
        <v>80000</v>
      </c>
      <c r="T33" s="28"/>
      <c r="U33" s="28"/>
      <c r="V33" s="43">
        <f>SUM(R33:U33)</f>
        <v>320000</v>
      </c>
      <c r="W33" s="28"/>
      <c r="X33" s="28"/>
      <c r="AB33" s="27" t="s">
        <v>172</v>
      </c>
      <c r="AC33" s="43">
        <f>AC28*AC9</f>
        <v>240000</v>
      </c>
      <c r="AD33" s="42">
        <f>+AC28*AC10</f>
        <v>80000</v>
      </c>
      <c r="AE33" s="28"/>
      <c r="AF33" s="28"/>
      <c r="AG33" s="43">
        <f>SUM(AC33:AF33)</f>
        <v>320000</v>
      </c>
      <c r="AH33" s="28"/>
      <c r="AI33" s="28"/>
      <c r="AL33" s="27" t="s">
        <v>172</v>
      </c>
      <c r="AM33" s="43">
        <f>AM28*AM9</f>
        <v>262500</v>
      </c>
      <c r="AN33" s="42">
        <f>+AM28*AM10</f>
        <v>87500</v>
      </c>
      <c r="AO33" s="28"/>
      <c r="AP33" s="28"/>
      <c r="AQ33" s="43">
        <f>SUM(AM33:AP33)</f>
        <v>350000</v>
      </c>
      <c r="AR33" s="28"/>
      <c r="AS33" s="28"/>
    </row>
    <row r="34" spans="17:45">
      <c r="Q34" s="27" t="s">
        <v>173</v>
      </c>
      <c r="R34" s="28"/>
      <c r="S34" s="43">
        <f>S28*R9</f>
        <v>360000</v>
      </c>
      <c r="T34" s="43">
        <f>S28*R10</f>
        <v>120000</v>
      </c>
      <c r="U34" s="28"/>
      <c r="V34" s="43">
        <f>SUM(R34:U34)</f>
        <v>480000</v>
      </c>
      <c r="W34" s="28"/>
      <c r="X34" s="28"/>
      <c r="AB34" s="27" t="s">
        <v>173</v>
      </c>
      <c r="AC34" s="28"/>
      <c r="AD34" s="43">
        <f>AD28*AC9</f>
        <v>450000</v>
      </c>
      <c r="AE34" s="43">
        <f>AD28*AC10</f>
        <v>150000</v>
      </c>
      <c r="AF34" s="28"/>
      <c r="AG34" s="43">
        <f>SUM(AC34:AF34)</f>
        <v>600000</v>
      </c>
      <c r="AH34" s="28"/>
      <c r="AI34" s="28"/>
      <c r="AL34" s="27" t="s">
        <v>173</v>
      </c>
      <c r="AM34" s="28"/>
      <c r="AN34" s="43">
        <f>AN28*AM9</f>
        <v>367500</v>
      </c>
      <c r="AO34" s="43">
        <f>AN28*AM10</f>
        <v>122500</v>
      </c>
      <c r="AP34" s="28"/>
      <c r="AQ34" s="43">
        <f>SUM(AM34:AP34)</f>
        <v>490000</v>
      </c>
      <c r="AR34" s="28"/>
      <c r="AS34" s="28"/>
    </row>
    <row r="35" spans="17:45">
      <c r="Q35" s="27" t="s">
        <v>174</v>
      </c>
      <c r="R35" s="28"/>
      <c r="S35" s="28"/>
      <c r="T35" s="43">
        <f>T28*R9</f>
        <v>600000</v>
      </c>
      <c r="U35" s="43">
        <f>T28*R10</f>
        <v>200000</v>
      </c>
      <c r="V35" s="43">
        <f>SUM(R35:U35)</f>
        <v>800000</v>
      </c>
      <c r="W35" s="28"/>
      <c r="X35" s="28"/>
      <c r="AB35" s="27" t="s">
        <v>174</v>
      </c>
      <c r="AC35" s="28"/>
      <c r="AD35" s="28"/>
      <c r="AE35" s="43">
        <f>AE28*AC9</f>
        <v>600000</v>
      </c>
      <c r="AF35" s="43">
        <f>AE28*AC10</f>
        <v>200000</v>
      </c>
      <c r="AG35" s="43">
        <f>SUM(AC35:AF35)</f>
        <v>800000</v>
      </c>
      <c r="AH35" s="28"/>
      <c r="AI35" s="28"/>
      <c r="AL35" s="27" t="s">
        <v>174</v>
      </c>
      <c r="AM35" s="28"/>
      <c r="AN35" s="28"/>
      <c r="AO35" s="43">
        <f>AO28*AM9</f>
        <v>630000</v>
      </c>
      <c r="AP35" s="43">
        <f>AO28*AM10</f>
        <v>210000</v>
      </c>
      <c r="AQ35" s="43">
        <f>SUM(AM35:AP35)</f>
        <v>840000</v>
      </c>
      <c r="AR35" s="28"/>
      <c r="AS35" s="28"/>
    </row>
    <row r="36" spans="17:45">
      <c r="Q36" s="27" t="s">
        <v>175</v>
      </c>
      <c r="R36" s="28"/>
      <c r="S36" s="28"/>
      <c r="T36" s="28"/>
      <c r="U36" s="43">
        <f>U28*R9</f>
        <v>300000</v>
      </c>
      <c r="V36" s="43">
        <f>SUM(R36:U36)</f>
        <v>300000</v>
      </c>
      <c r="W36" s="28"/>
      <c r="X36" s="28"/>
      <c r="AB36" s="27" t="s">
        <v>175</v>
      </c>
      <c r="AC36" s="28"/>
      <c r="AD36" s="28"/>
      <c r="AE36" s="28"/>
      <c r="AF36" s="43">
        <f>AF28*AC9</f>
        <v>300000</v>
      </c>
      <c r="AG36" s="43">
        <f>SUM(AC36:AF36)</f>
        <v>300000</v>
      </c>
      <c r="AH36" s="28"/>
      <c r="AI36" s="28"/>
      <c r="AL36" s="27" t="s">
        <v>175</v>
      </c>
      <c r="AM36" s="28"/>
      <c r="AN36" s="28"/>
      <c r="AO36" s="28"/>
      <c r="AP36" s="43">
        <f>AP28*AM9</f>
        <v>420000</v>
      </c>
      <c r="AQ36" s="43">
        <f>SUM(AM36:AP36)</f>
        <v>420000</v>
      </c>
      <c r="AR36" s="28"/>
      <c r="AS36" s="28"/>
    </row>
    <row r="37" spans="17:45" ht="16" thickBot="1">
      <c r="Q37" s="27" t="s">
        <v>176</v>
      </c>
      <c r="R37" s="44">
        <f>SUM(R32:R36)</f>
        <v>305000</v>
      </c>
      <c r="S37" s="44">
        <f>SUM(S32:S36)</f>
        <v>440000</v>
      </c>
      <c r="T37" s="44">
        <f>SUM(T32:T36)</f>
        <v>720000</v>
      </c>
      <c r="U37" s="44">
        <f>SUM(U32:U36)</f>
        <v>500000</v>
      </c>
      <c r="V37" s="44">
        <f>SUM(V32:V36)</f>
        <v>1965000</v>
      </c>
      <c r="W37" s="28"/>
      <c r="X37" s="28"/>
      <c r="AB37" s="27" t="s">
        <v>176</v>
      </c>
      <c r="AC37" s="44">
        <f>SUM(AC32:AC36)</f>
        <v>305000</v>
      </c>
      <c r="AD37" s="44">
        <f>SUM(AD32:AD36)</f>
        <v>530000</v>
      </c>
      <c r="AE37" s="44">
        <f>SUM(AE32:AE36)</f>
        <v>750000</v>
      </c>
      <c r="AF37" s="44">
        <f>SUM(AF32:AF36)</f>
        <v>500000</v>
      </c>
      <c r="AG37" s="44">
        <f>SUM(AG32:AG36)</f>
        <v>2085000</v>
      </c>
      <c r="AH37" s="28"/>
      <c r="AI37" s="28"/>
      <c r="AL37" s="27" t="s">
        <v>176</v>
      </c>
      <c r="AM37" s="44">
        <f>SUM(AM32:AM36)</f>
        <v>327500</v>
      </c>
      <c r="AN37" s="44">
        <f>SUM(AN32:AN36)</f>
        <v>455000</v>
      </c>
      <c r="AO37" s="44">
        <f>SUM(AO32:AO36)</f>
        <v>752500</v>
      </c>
      <c r="AP37" s="44">
        <f>SUM(AP32:AP36)</f>
        <v>630000</v>
      </c>
      <c r="AQ37" s="44">
        <f>SUM(AQ32:AQ36)</f>
        <v>2165000</v>
      </c>
      <c r="AR37" s="28"/>
      <c r="AS37" s="28"/>
    </row>
    <row r="38" spans="17:45" ht="16" thickTop="1">
      <c r="Q38" s="27"/>
      <c r="R38" s="28"/>
      <c r="S38" s="28"/>
      <c r="T38" s="28"/>
      <c r="U38" s="28"/>
      <c r="V38" s="28"/>
      <c r="W38" s="28"/>
      <c r="X38" s="28"/>
      <c r="AB38" s="27"/>
      <c r="AC38" s="28"/>
      <c r="AD38" s="28"/>
      <c r="AE38" s="28"/>
      <c r="AF38" s="28"/>
      <c r="AG38" s="28"/>
      <c r="AH38" s="28"/>
      <c r="AI38" s="28"/>
      <c r="AL38" s="27"/>
      <c r="AM38" s="28"/>
      <c r="AN38" s="28"/>
      <c r="AO38" s="28"/>
      <c r="AP38" s="28"/>
      <c r="AQ38" s="28"/>
      <c r="AR38" s="28"/>
      <c r="AS38" s="28"/>
    </row>
    <row r="39" spans="17:45">
      <c r="Q39" s="35" t="s">
        <v>177</v>
      </c>
      <c r="R39" s="170" t="s">
        <v>141</v>
      </c>
      <c r="S39" s="170"/>
      <c r="T39" s="170"/>
      <c r="U39" s="170"/>
      <c r="V39" s="30"/>
      <c r="W39" s="170" t="s">
        <v>142</v>
      </c>
      <c r="X39" s="170"/>
      <c r="AB39" s="35" t="s">
        <v>177</v>
      </c>
      <c r="AC39" s="170" t="s">
        <v>141</v>
      </c>
      <c r="AD39" s="170"/>
      <c r="AE39" s="170"/>
      <c r="AF39" s="170"/>
      <c r="AG39" s="30"/>
      <c r="AH39" s="170" t="s">
        <v>142</v>
      </c>
      <c r="AI39" s="170"/>
      <c r="AL39" s="35" t="s">
        <v>177</v>
      </c>
      <c r="AM39" s="170" t="s">
        <v>141</v>
      </c>
      <c r="AN39" s="170"/>
      <c r="AO39" s="170"/>
      <c r="AP39" s="170"/>
      <c r="AQ39" s="30"/>
      <c r="AR39" s="170" t="s">
        <v>142</v>
      </c>
      <c r="AS39" s="170"/>
    </row>
    <row r="40" spans="17:45">
      <c r="Q40" s="27"/>
      <c r="R40" s="30">
        <v>1</v>
      </c>
      <c r="S40" s="30">
        <v>2</v>
      </c>
      <c r="T40" s="30">
        <v>3</v>
      </c>
      <c r="U40" s="30">
        <v>4</v>
      </c>
      <c r="V40" s="30" t="s">
        <v>12</v>
      </c>
      <c r="W40" s="30">
        <v>1</v>
      </c>
      <c r="X40" s="30">
        <v>2</v>
      </c>
      <c r="AB40" s="27"/>
      <c r="AC40" s="30">
        <v>1</v>
      </c>
      <c r="AD40" s="30">
        <v>2</v>
      </c>
      <c r="AE40" s="30">
        <v>3</v>
      </c>
      <c r="AF40" s="30">
        <v>4</v>
      </c>
      <c r="AG40" s="30" t="s">
        <v>12</v>
      </c>
      <c r="AH40" s="30">
        <v>1</v>
      </c>
      <c r="AI40" s="30">
        <v>2</v>
      </c>
      <c r="AL40" s="27"/>
      <c r="AM40" s="30">
        <v>1</v>
      </c>
      <c r="AN40" s="30">
        <v>2</v>
      </c>
      <c r="AO40" s="30">
        <v>3</v>
      </c>
      <c r="AP40" s="30">
        <v>4</v>
      </c>
      <c r="AQ40" s="30" t="s">
        <v>12</v>
      </c>
      <c r="AR40" s="30">
        <v>1</v>
      </c>
      <c r="AS40" s="30">
        <v>2</v>
      </c>
    </row>
    <row r="41" spans="17:45">
      <c r="Q41" s="27" t="s">
        <v>143</v>
      </c>
      <c r="R41" s="46">
        <f>R26</f>
        <v>40000</v>
      </c>
      <c r="S41" s="46">
        <f>S26</f>
        <v>60000</v>
      </c>
      <c r="T41" s="46">
        <f>T26</f>
        <v>100000</v>
      </c>
      <c r="U41" s="46">
        <f>U26</f>
        <v>50000</v>
      </c>
      <c r="V41" s="46">
        <f>SUM(R41:U41)</f>
        <v>250000</v>
      </c>
      <c r="W41" s="46">
        <f>V26</f>
        <v>70000</v>
      </c>
      <c r="X41" s="46">
        <f>W26</f>
        <v>80000</v>
      </c>
      <c r="Y41" s="31"/>
      <c r="AB41" s="27" t="s">
        <v>143</v>
      </c>
      <c r="AC41" s="46">
        <f>AC26</f>
        <v>40000</v>
      </c>
      <c r="AD41" s="46">
        <f>AD26</f>
        <v>75000</v>
      </c>
      <c r="AE41" s="46">
        <f>AE26</f>
        <v>100000</v>
      </c>
      <c r="AF41" s="46">
        <f>AF26</f>
        <v>50000</v>
      </c>
      <c r="AG41" s="46">
        <f>SUM(AC41:AF41)</f>
        <v>265000</v>
      </c>
      <c r="AH41" s="46">
        <f>AG26</f>
        <v>70000</v>
      </c>
      <c r="AI41" s="46">
        <f>AH26</f>
        <v>80000</v>
      </c>
      <c r="AL41" s="27" t="s">
        <v>143</v>
      </c>
      <c r="AM41" s="46">
        <f>AM26</f>
        <v>50000</v>
      </c>
      <c r="AN41" s="46">
        <f>AN26</f>
        <v>70000</v>
      </c>
      <c r="AO41" s="46">
        <f>AO26</f>
        <v>120000</v>
      </c>
      <c r="AP41" s="46">
        <f>AP26</f>
        <v>80000</v>
      </c>
      <c r="AQ41" s="46">
        <f>SUM(AM41:AP41)</f>
        <v>320000</v>
      </c>
      <c r="AR41" s="46">
        <f>AQ26</f>
        <v>90000</v>
      </c>
      <c r="AS41" s="46">
        <f>AR26</f>
        <v>100000</v>
      </c>
    </row>
    <row r="42" spans="17:45">
      <c r="Q42" s="27" t="s">
        <v>178</v>
      </c>
      <c r="R42" s="45">
        <f>S41*$R$11</f>
        <v>18000</v>
      </c>
      <c r="S42" s="45">
        <f>T41*$R$11</f>
        <v>30000</v>
      </c>
      <c r="T42" s="45">
        <f>U41*$R$11</f>
        <v>15000</v>
      </c>
      <c r="U42" s="45">
        <f>W41*$R$11</f>
        <v>21000</v>
      </c>
      <c r="V42" s="45">
        <f>+U42</f>
        <v>21000</v>
      </c>
      <c r="W42" s="45">
        <f>X41*$R$11</f>
        <v>24000</v>
      </c>
      <c r="X42" s="46"/>
      <c r="AB42" s="27" t="s">
        <v>178</v>
      </c>
      <c r="AC42" s="45">
        <f>AD41*$R$11</f>
        <v>22500</v>
      </c>
      <c r="AD42" s="45">
        <f>AE41*$R$11</f>
        <v>30000</v>
      </c>
      <c r="AE42" s="45">
        <f>AF41*$R$11</f>
        <v>15000</v>
      </c>
      <c r="AF42" s="45">
        <f>AH41*$R$11</f>
        <v>21000</v>
      </c>
      <c r="AG42" s="45">
        <f>+AF42</f>
        <v>21000</v>
      </c>
      <c r="AH42" s="45">
        <f>AI41*$R$11</f>
        <v>24000</v>
      </c>
      <c r="AI42" s="46"/>
      <c r="AL42" s="27" t="s">
        <v>178</v>
      </c>
      <c r="AM42" s="45">
        <f>AN41*$R$11</f>
        <v>21000</v>
      </c>
      <c r="AN42" s="45">
        <f>AO41*$R$11</f>
        <v>36000</v>
      </c>
      <c r="AO42" s="45">
        <f>AP41*$R$11</f>
        <v>24000</v>
      </c>
      <c r="AP42" s="45">
        <f>AR41*$R$11</f>
        <v>27000</v>
      </c>
      <c r="AQ42" s="45">
        <f>+AP42</f>
        <v>27000</v>
      </c>
      <c r="AR42" s="45">
        <f>AS41*$R$11</f>
        <v>30000</v>
      </c>
      <c r="AS42" s="46"/>
    </row>
    <row r="43" spans="17:45">
      <c r="Q43" s="27" t="s">
        <v>179</v>
      </c>
      <c r="R43" s="46">
        <f t="shared" ref="R43:W43" si="9">SUM(R41:R42)</f>
        <v>58000</v>
      </c>
      <c r="S43" s="46">
        <f t="shared" si="9"/>
        <v>90000</v>
      </c>
      <c r="T43" s="46">
        <f t="shared" si="9"/>
        <v>115000</v>
      </c>
      <c r="U43" s="46">
        <f t="shared" si="9"/>
        <v>71000</v>
      </c>
      <c r="V43" s="46">
        <f t="shared" si="9"/>
        <v>271000</v>
      </c>
      <c r="W43" s="46">
        <f t="shared" si="9"/>
        <v>94000</v>
      </c>
      <c r="X43" s="46"/>
      <c r="AB43" s="27" t="s">
        <v>179</v>
      </c>
      <c r="AC43" s="46">
        <f t="shared" ref="AC43:AH43" si="10">SUM(AC41:AC42)</f>
        <v>62500</v>
      </c>
      <c r="AD43" s="46">
        <f t="shared" si="10"/>
        <v>105000</v>
      </c>
      <c r="AE43" s="46">
        <f t="shared" si="10"/>
        <v>115000</v>
      </c>
      <c r="AF43" s="46">
        <f t="shared" si="10"/>
        <v>71000</v>
      </c>
      <c r="AG43" s="46">
        <f t="shared" si="10"/>
        <v>286000</v>
      </c>
      <c r="AH43" s="46">
        <f t="shared" si="10"/>
        <v>94000</v>
      </c>
      <c r="AI43" s="46"/>
      <c r="AL43" s="27" t="s">
        <v>179</v>
      </c>
      <c r="AM43" s="46">
        <f t="shared" ref="AM43:AR43" si="11">SUM(AM41:AM42)</f>
        <v>71000</v>
      </c>
      <c r="AN43" s="46">
        <f t="shared" si="11"/>
        <v>106000</v>
      </c>
      <c r="AO43" s="46">
        <f t="shared" si="11"/>
        <v>144000</v>
      </c>
      <c r="AP43" s="46">
        <f t="shared" si="11"/>
        <v>107000</v>
      </c>
      <c r="AQ43" s="46">
        <f t="shared" si="11"/>
        <v>347000</v>
      </c>
      <c r="AR43" s="46">
        <f t="shared" si="11"/>
        <v>120000</v>
      </c>
      <c r="AS43" s="46"/>
    </row>
    <row r="44" spans="17:45">
      <c r="Q44" s="27" t="s">
        <v>180</v>
      </c>
      <c r="R44" s="46">
        <f>R12</f>
        <v>12000</v>
      </c>
      <c r="S44" s="46">
        <f>R42</f>
        <v>18000</v>
      </c>
      <c r="T44" s="46">
        <f>S42</f>
        <v>30000</v>
      </c>
      <c r="U44" s="46">
        <f>T42</f>
        <v>15000</v>
      </c>
      <c r="V44" s="46">
        <f>+R44</f>
        <v>12000</v>
      </c>
      <c r="W44" s="46">
        <f>V42</f>
        <v>21000</v>
      </c>
      <c r="X44" s="46"/>
      <c r="AB44" s="27" t="s">
        <v>180</v>
      </c>
      <c r="AC44" s="46">
        <f>AC12</f>
        <v>12000</v>
      </c>
      <c r="AD44" s="46">
        <f>AC42</f>
        <v>22500</v>
      </c>
      <c r="AE44" s="46">
        <f>AD42</f>
        <v>30000</v>
      </c>
      <c r="AF44" s="46">
        <f>AE42</f>
        <v>15000</v>
      </c>
      <c r="AG44" s="46">
        <f>+AC44</f>
        <v>12000</v>
      </c>
      <c r="AH44" s="46">
        <f>AG42</f>
        <v>21000</v>
      </c>
      <c r="AI44" s="46"/>
      <c r="AL44" s="27" t="s">
        <v>180</v>
      </c>
      <c r="AM44" s="46">
        <f>AM12</f>
        <v>12000</v>
      </c>
      <c r="AN44" s="46">
        <f>AM42</f>
        <v>21000</v>
      </c>
      <c r="AO44" s="46">
        <f>AN42</f>
        <v>36000</v>
      </c>
      <c r="AP44" s="46">
        <f>AO42</f>
        <v>24000</v>
      </c>
      <c r="AQ44" s="46">
        <f>+AM44</f>
        <v>12000</v>
      </c>
      <c r="AR44" s="46">
        <f>AQ42</f>
        <v>27000</v>
      </c>
      <c r="AS44" s="46"/>
    </row>
    <row r="45" spans="17:45" ht="16" thickBot="1">
      <c r="Q45" s="27" t="s">
        <v>181</v>
      </c>
      <c r="R45" s="47">
        <f t="shared" ref="R45:W45" si="12">+R43-R44</f>
        <v>46000</v>
      </c>
      <c r="S45" s="47">
        <f t="shared" si="12"/>
        <v>72000</v>
      </c>
      <c r="T45" s="47">
        <f t="shared" si="12"/>
        <v>85000</v>
      </c>
      <c r="U45" s="47">
        <f t="shared" si="12"/>
        <v>56000</v>
      </c>
      <c r="V45" s="47">
        <f t="shared" si="12"/>
        <v>259000</v>
      </c>
      <c r="W45" s="47">
        <f t="shared" si="12"/>
        <v>73000</v>
      </c>
      <c r="X45" s="46"/>
      <c r="AB45" s="27" t="s">
        <v>181</v>
      </c>
      <c r="AC45" s="47">
        <f t="shared" ref="AC45:AH45" si="13">+AC43-AC44</f>
        <v>50500</v>
      </c>
      <c r="AD45" s="47">
        <f t="shared" si="13"/>
        <v>82500</v>
      </c>
      <c r="AE45" s="47">
        <f t="shared" si="13"/>
        <v>85000</v>
      </c>
      <c r="AF45" s="47">
        <f t="shared" si="13"/>
        <v>56000</v>
      </c>
      <c r="AG45" s="47">
        <f t="shared" si="13"/>
        <v>274000</v>
      </c>
      <c r="AH45" s="47">
        <f t="shared" si="13"/>
        <v>73000</v>
      </c>
      <c r="AI45" s="46"/>
      <c r="AL45" s="27" t="s">
        <v>181</v>
      </c>
      <c r="AM45" s="47">
        <f t="shared" ref="AM45:AR45" si="14">+AM43-AM44</f>
        <v>59000</v>
      </c>
      <c r="AN45" s="47">
        <f t="shared" si="14"/>
        <v>85000</v>
      </c>
      <c r="AO45" s="47">
        <f t="shared" si="14"/>
        <v>108000</v>
      </c>
      <c r="AP45" s="47">
        <f t="shared" si="14"/>
        <v>83000</v>
      </c>
      <c r="AQ45" s="47">
        <f t="shared" si="14"/>
        <v>335000</v>
      </c>
      <c r="AR45" s="47">
        <f t="shared" si="14"/>
        <v>93000</v>
      </c>
      <c r="AS45" s="46"/>
    </row>
    <row r="46" spans="17:45" ht="16" thickTop="1">
      <c r="Q46" s="27"/>
      <c r="R46" s="28"/>
      <c r="S46" s="28"/>
      <c r="T46" s="28"/>
      <c r="U46" s="28"/>
      <c r="V46" s="28"/>
      <c r="W46" s="28"/>
      <c r="X46" s="28"/>
      <c r="AB46" s="27"/>
      <c r="AC46" s="28"/>
      <c r="AD46" s="28"/>
      <c r="AE46" s="28"/>
      <c r="AF46" s="28"/>
      <c r="AG46" s="28"/>
      <c r="AH46" s="28"/>
      <c r="AI46" s="28"/>
      <c r="AL46" s="27"/>
      <c r="AM46" s="28"/>
      <c r="AN46" s="28"/>
      <c r="AO46" s="28"/>
      <c r="AP46" s="28"/>
      <c r="AQ46" s="28"/>
      <c r="AR46" s="28"/>
      <c r="AS46" s="28"/>
    </row>
    <row r="47" spans="17:45">
      <c r="Q47" s="35" t="s">
        <v>182</v>
      </c>
      <c r="R47" s="170" t="s">
        <v>141</v>
      </c>
      <c r="S47" s="170"/>
      <c r="T47" s="170"/>
      <c r="U47" s="170"/>
      <c r="V47" s="37"/>
      <c r="W47" s="30" t="s">
        <v>142</v>
      </c>
      <c r="X47" s="28"/>
      <c r="AB47" s="35" t="s">
        <v>182</v>
      </c>
      <c r="AC47" s="170" t="s">
        <v>141</v>
      </c>
      <c r="AD47" s="170"/>
      <c r="AE47" s="170"/>
      <c r="AF47" s="170"/>
      <c r="AG47" s="37"/>
      <c r="AH47" s="30" t="s">
        <v>142</v>
      </c>
      <c r="AI47" s="28"/>
      <c r="AL47" s="35" t="s">
        <v>182</v>
      </c>
      <c r="AM47" s="170" t="s">
        <v>141</v>
      </c>
      <c r="AN47" s="170"/>
      <c r="AO47" s="170"/>
      <c r="AP47" s="170"/>
      <c r="AQ47" s="37"/>
      <c r="AR47" s="30" t="s">
        <v>142</v>
      </c>
      <c r="AS47" s="28"/>
    </row>
    <row r="48" spans="17:45">
      <c r="Q48" s="27"/>
      <c r="R48" s="30">
        <v>1</v>
      </c>
      <c r="S48" s="30">
        <v>2</v>
      </c>
      <c r="T48" s="30">
        <v>3</v>
      </c>
      <c r="U48" s="30">
        <v>4</v>
      </c>
      <c r="V48" s="37" t="s">
        <v>12</v>
      </c>
      <c r="W48" s="37">
        <v>1</v>
      </c>
      <c r="X48" s="28"/>
      <c r="AB48" s="27"/>
      <c r="AC48" s="30">
        <v>1</v>
      </c>
      <c r="AD48" s="30">
        <v>2</v>
      </c>
      <c r="AE48" s="30">
        <v>3</v>
      </c>
      <c r="AF48" s="30">
        <v>4</v>
      </c>
      <c r="AG48" s="37" t="s">
        <v>12</v>
      </c>
      <c r="AH48" s="37">
        <v>1</v>
      </c>
      <c r="AI48" s="28"/>
      <c r="AL48" s="27"/>
      <c r="AM48" s="30">
        <v>1</v>
      </c>
      <c r="AN48" s="30">
        <v>2</v>
      </c>
      <c r="AO48" s="30">
        <v>3</v>
      </c>
      <c r="AP48" s="30">
        <v>4</v>
      </c>
      <c r="AQ48" s="37" t="s">
        <v>12</v>
      </c>
      <c r="AR48" s="37">
        <v>1</v>
      </c>
      <c r="AS48" s="28"/>
    </row>
    <row r="49" spans="17:45">
      <c r="Q49" s="27" t="s">
        <v>183</v>
      </c>
      <c r="R49" s="48">
        <f t="shared" ref="R49:W49" si="15">R45</f>
        <v>46000</v>
      </c>
      <c r="S49" s="48">
        <f t="shared" si="15"/>
        <v>72000</v>
      </c>
      <c r="T49" s="48">
        <f t="shared" si="15"/>
        <v>85000</v>
      </c>
      <c r="U49" s="48">
        <f t="shared" si="15"/>
        <v>56000</v>
      </c>
      <c r="V49" s="48">
        <f t="shared" si="15"/>
        <v>259000</v>
      </c>
      <c r="W49" s="48">
        <f t="shared" si="15"/>
        <v>73000</v>
      </c>
      <c r="X49" s="28"/>
      <c r="AB49" s="27" t="s">
        <v>183</v>
      </c>
      <c r="AC49" s="48">
        <f t="shared" ref="AC49:AH49" si="16">AC45</f>
        <v>50500</v>
      </c>
      <c r="AD49" s="48">
        <f t="shared" si="16"/>
        <v>82500</v>
      </c>
      <c r="AE49" s="48">
        <f t="shared" si="16"/>
        <v>85000</v>
      </c>
      <c r="AF49" s="48">
        <f t="shared" si="16"/>
        <v>56000</v>
      </c>
      <c r="AG49" s="48">
        <f t="shared" si="16"/>
        <v>274000</v>
      </c>
      <c r="AH49" s="48">
        <f t="shared" si="16"/>
        <v>73000</v>
      </c>
      <c r="AI49" s="28"/>
      <c r="AL49" s="27" t="s">
        <v>183</v>
      </c>
      <c r="AM49" s="48">
        <f t="shared" ref="AM49:AR49" si="17">AM45</f>
        <v>59000</v>
      </c>
      <c r="AN49" s="48">
        <f t="shared" si="17"/>
        <v>85000</v>
      </c>
      <c r="AO49" s="48">
        <f t="shared" si="17"/>
        <v>108000</v>
      </c>
      <c r="AP49" s="48">
        <f t="shared" si="17"/>
        <v>83000</v>
      </c>
      <c r="AQ49" s="48">
        <f t="shared" si="17"/>
        <v>335000</v>
      </c>
      <c r="AR49" s="48">
        <f t="shared" si="17"/>
        <v>93000</v>
      </c>
      <c r="AS49" s="28"/>
    </row>
    <row r="50" spans="17:45">
      <c r="Q50" s="27" t="s">
        <v>184</v>
      </c>
      <c r="R50" s="38">
        <f t="shared" ref="R50:W50" si="18">$R$13</f>
        <v>5</v>
      </c>
      <c r="S50" s="38">
        <f t="shared" si="18"/>
        <v>5</v>
      </c>
      <c r="T50" s="38">
        <f t="shared" si="18"/>
        <v>5</v>
      </c>
      <c r="U50" s="38">
        <f t="shared" si="18"/>
        <v>5</v>
      </c>
      <c r="V50" s="38">
        <f t="shared" si="18"/>
        <v>5</v>
      </c>
      <c r="W50" s="38">
        <f t="shared" si="18"/>
        <v>5</v>
      </c>
      <c r="X50" s="28"/>
      <c r="AB50" s="27" t="s">
        <v>184</v>
      </c>
      <c r="AC50" s="38">
        <f t="shared" ref="AC50:AH50" si="19">$R$13</f>
        <v>5</v>
      </c>
      <c r="AD50" s="38">
        <f t="shared" si="19"/>
        <v>5</v>
      </c>
      <c r="AE50" s="38">
        <f t="shared" si="19"/>
        <v>5</v>
      </c>
      <c r="AF50" s="38">
        <f t="shared" si="19"/>
        <v>5</v>
      </c>
      <c r="AG50" s="38">
        <f t="shared" si="19"/>
        <v>5</v>
      </c>
      <c r="AH50" s="38">
        <f t="shared" si="19"/>
        <v>5</v>
      </c>
      <c r="AI50" s="28"/>
      <c r="AL50" s="27" t="s">
        <v>184</v>
      </c>
      <c r="AM50" s="38">
        <f t="shared" ref="AM50:AR50" si="20">$R$13</f>
        <v>5</v>
      </c>
      <c r="AN50" s="38">
        <f t="shared" si="20"/>
        <v>5</v>
      </c>
      <c r="AO50" s="38">
        <f t="shared" si="20"/>
        <v>5</v>
      </c>
      <c r="AP50" s="38">
        <f t="shared" si="20"/>
        <v>5</v>
      </c>
      <c r="AQ50" s="38">
        <f t="shared" si="20"/>
        <v>5</v>
      </c>
      <c r="AR50" s="38">
        <f t="shared" si="20"/>
        <v>5</v>
      </c>
      <c r="AS50" s="28"/>
    </row>
    <row r="51" spans="17:45">
      <c r="Q51" s="27" t="s">
        <v>185</v>
      </c>
      <c r="R51" s="46">
        <f t="shared" ref="R51:W51" si="21">+R49*R50</f>
        <v>230000</v>
      </c>
      <c r="S51" s="46">
        <f t="shared" si="21"/>
        <v>360000</v>
      </c>
      <c r="T51" s="46">
        <f t="shared" si="21"/>
        <v>425000</v>
      </c>
      <c r="U51" s="46">
        <f t="shared" si="21"/>
        <v>280000</v>
      </c>
      <c r="V51" s="46">
        <f t="shared" si="21"/>
        <v>1295000</v>
      </c>
      <c r="W51" s="46">
        <f t="shared" si="21"/>
        <v>365000</v>
      </c>
      <c r="X51" s="28"/>
      <c r="AB51" s="27" t="s">
        <v>185</v>
      </c>
      <c r="AC51" s="46">
        <f t="shared" ref="AC51:AH51" si="22">+AC49*AC50</f>
        <v>252500</v>
      </c>
      <c r="AD51" s="46">
        <f t="shared" si="22"/>
        <v>412500</v>
      </c>
      <c r="AE51" s="46">
        <f t="shared" si="22"/>
        <v>425000</v>
      </c>
      <c r="AF51" s="46">
        <f t="shared" si="22"/>
        <v>280000</v>
      </c>
      <c r="AG51" s="46">
        <f t="shared" si="22"/>
        <v>1370000</v>
      </c>
      <c r="AH51" s="46">
        <f t="shared" si="22"/>
        <v>365000</v>
      </c>
      <c r="AI51" s="28"/>
      <c r="AL51" s="27" t="s">
        <v>185</v>
      </c>
      <c r="AM51" s="46">
        <f t="shared" ref="AM51:AR51" si="23">+AM49*AM50</f>
        <v>295000</v>
      </c>
      <c r="AN51" s="46">
        <f t="shared" si="23"/>
        <v>425000</v>
      </c>
      <c r="AO51" s="46">
        <f t="shared" si="23"/>
        <v>540000</v>
      </c>
      <c r="AP51" s="46">
        <f t="shared" si="23"/>
        <v>415000</v>
      </c>
      <c r="AQ51" s="46">
        <f t="shared" si="23"/>
        <v>1675000</v>
      </c>
      <c r="AR51" s="46">
        <f t="shared" si="23"/>
        <v>465000</v>
      </c>
      <c r="AS51" s="28"/>
    </row>
    <row r="52" spans="17:45">
      <c r="Q52" s="27" t="s">
        <v>186</v>
      </c>
      <c r="R52" s="45">
        <f>+S49*$R$14</f>
        <v>36000</v>
      </c>
      <c r="S52" s="45">
        <f>+T49*$R$14</f>
        <v>42500</v>
      </c>
      <c r="T52" s="45">
        <f>+U49*$R$14</f>
        <v>28000</v>
      </c>
      <c r="U52" s="45">
        <f>+W49*$R$14</f>
        <v>36500</v>
      </c>
      <c r="V52" s="45">
        <f>+U52</f>
        <v>36500</v>
      </c>
      <c r="W52" s="28"/>
      <c r="X52" s="28"/>
      <c r="AB52" s="27" t="s">
        <v>186</v>
      </c>
      <c r="AC52" s="45">
        <f>+AD49*$R$14</f>
        <v>41250</v>
      </c>
      <c r="AD52" s="45">
        <f>+AE49*$R$14</f>
        <v>42500</v>
      </c>
      <c r="AE52" s="45">
        <f>+AF49*$R$14</f>
        <v>28000</v>
      </c>
      <c r="AF52" s="45">
        <f>+AH49*$R$14</f>
        <v>36500</v>
      </c>
      <c r="AG52" s="45">
        <f>+AF52</f>
        <v>36500</v>
      </c>
      <c r="AH52" s="28"/>
      <c r="AI52" s="28"/>
      <c r="AL52" s="27" t="s">
        <v>186</v>
      </c>
      <c r="AM52" s="45">
        <f>+AN49*$R$14</f>
        <v>42500</v>
      </c>
      <c r="AN52" s="45">
        <f>+AO49*$R$14</f>
        <v>54000</v>
      </c>
      <c r="AO52" s="45">
        <f>+AP49*$R$14</f>
        <v>41500</v>
      </c>
      <c r="AP52" s="45">
        <f>+AR49*$R$14</f>
        <v>46500</v>
      </c>
      <c r="AQ52" s="45">
        <f>+AP52</f>
        <v>46500</v>
      </c>
      <c r="AR52" s="28"/>
      <c r="AS52" s="28"/>
    </row>
    <row r="53" spans="17:45">
      <c r="Q53" s="27" t="s">
        <v>187</v>
      </c>
      <c r="R53" s="46">
        <f>SUM(R51:R52)</f>
        <v>266000</v>
      </c>
      <c r="S53" s="46">
        <f>SUM(S51:S52)</f>
        <v>402500</v>
      </c>
      <c r="T53" s="46">
        <f>SUM(T51:T52)</f>
        <v>453000</v>
      </c>
      <c r="U53" s="46">
        <f>SUM(U51:U52)</f>
        <v>316500</v>
      </c>
      <c r="V53" s="46">
        <f>SUM(V51:V52)</f>
        <v>1331500</v>
      </c>
      <c r="W53" s="28"/>
      <c r="X53" s="28"/>
      <c r="AB53" s="27" t="s">
        <v>187</v>
      </c>
      <c r="AC53" s="46">
        <f>SUM(AC51:AC52)</f>
        <v>293750</v>
      </c>
      <c r="AD53" s="46">
        <f>SUM(AD51:AD52)</f>
        <v>455000</v>
      </c>
      <c r="AE53" s="46">
        <f>SUM(AE51:AE52)</f>
        <v>453000</v>
      </c>
      <c r="AF53" s="46">
        <f>SUM(AF51:AF52)</f>
        <v>316500</v>
      </c>
      <c r="AG53" s="46">
        <f>SUM(AG51:AG52)</f>
        <v>1406500</v>
      </c>
      <c r="AH53" s="28"/>
      <c r="AI53" s="28"/>
      <c r="AL53" s="27" t="s">
        <v>187</v>
      </c>
      <c r="AM53" s="46">
        <f>SUM(AM51:AM52)</f>
        <v>337500</v>
      </c>
      <c r="AN53" s="46">
        <f>SUM(AN51:AN52)</f>
        <v>479000</v>
      </c>
      <c r="AO53" s="46">
        <f>SUM(AO51:AO52)</f>
        <v>581500</v>
      </c>
      <c r="AP53" s="46">
        <f>SUM(AP51:AP52)</f>
        <v>461500</v>
      </c>
      <c r="AQ53" s="46">
        <f>SUM(AQ51:AQ52)</f>
        <v>1721500</v>
      </c>
      <c r="AR53" s="28"/>
      <c r="AS53" s="28"/>
    </row>
    <row r="54" spans="17:45">
      <c r="Q54" s="27" t="s">
        <v>188</v>
      </c>
      <c r="R54" s="49">
        <f>+R15</f>
        <v>23000</v>
      </c>
      <c r="S54" s="50">
        <f>R52</f>
        <v>36000</v>
      </c>
      <c r="T54" s="50">
        <f>S52</f>
        <v>42500</v>
      </c>
      <c r="U54" s="50">
        <f>T52</f>
        <v>28000</v>
      </c>
      <c r="V54" s="49">
        <f>+R54</f>
        <v>23000</v>
      </c>
      <c r="W54" s="28"/>
      <c r="X54" s="28"/>
      <c r="AB54" s="27" t="s">
        <v>188</v>
      </c>
      <c r="AC54" s="49">
        <f>+AC15</f>
        <v>23000</v>
      </c>
      <c r="AD54" s="50">
        <f>AC52</f>
        <v>41250</v>
      </c>
      <c r="AE54" s="50">
        <f>AD52</f>
        <v>42500</v>
      </c>
      <c r="AF54" s="50">
        <f>AE52</f>
        <v>28000</v>
      </c>
      <c r="AG54" s="49">
        <f>+AC54</f>
        <v>23000</v>
      </c>
      <c r="AH54" s="28"/>
      <c r="AI54" s="28"/>
      <c r="AL54" s="27" t="s">
        <v>188</v>
      </c>
      <c r="AM54" s="49">
        <f>+AM15</f>
        <v>23000</v>
      </c>
      <c r="AN54" s="50">
        <f>AM52</f>
        <v>42500</v>
      </c>
      <c r="AO54" s="50">
        <f>AN52</f>
        <v>54000</v>
      </c>
      <c r="AP54" s="50">
        <f>AO52</f>
        <v>41500</v>
      </c>
      <c r="AQ54" s="49">
        <f>+AM54</f>
        <v>23000</v>
      </c>
      <c r="AR54" s="28"/>
      <c r="AS54" s="28"/>
    </row>
    <row r="55" spans="17:45">
      <c r="Q55" s="27" t="s">
        <v>189</v>
      </c>
      <c r="R55" s="48">
        <f>+R53-R54</f>
        <v>243000</v>
      </c>
      <c r="S55" s="48">
        <f>+S53-S54</f>
        <v>366500</v>
      </c>
      <c r="T55" s="48">
        <f>+T53-T54</f>
        <v>410500</v>
      </c>
      <c r="U55" s="48">
        <f>+U53-U54</f>
        <v>288500</v>
      </c>
      <c r="V55" s="48">
        <f>+V53-V54</f>
        <v>1308500</v>
      </c>
      <c r="W55" s="28"/>
      <c r="X55" s="28"/>
      <c r="AB55" s="27" t="s">
        <v>189</v>
      </c>
      <c r="AC55" s="48">
        <f>+AC53-AC54</f>
        <v>270750</v>
      </c>
      <c r="AD55" s="48">
        <f>+AD53-AD54</f>
        <v>413750</v>
      </c>
      <c r="AE55" s="48">
        <f>+AE53-AE54</f>
        <v>410500</v>
      </c>
      <c r="AF55" s="48">
        <f>+AF53-AF54</f>
        <v>288500</v>
      </c>
      <c r="AG55" s="48">
        <f>+AG53-AG54</f>
        <v>1383500</v>
      </c>
      <c r="AH55" s="28"/>
      <c r="AI55" s="28"/>
      <c r="AL55" s="27" t="s">
        <v>189</v>
      </c>
      <c r="AM55" s="48">
        <f>+AM53-AM54</f>
        <v>314500</v>
      </c>
      <c r="AN55" s="48">
        <f>+AN53-AN54</f>
        <v>436500</v>
      </c>
      <c r="AO55" s="48">
        <f>+AO53-AO54</f>
        <v>527500</v>
      </c>
      <c r="AP55" s="48">
        <f>+AP53-AP54</f>
        <v>420000</v>
      </c>
      <c r="AQ55" s="48">
        <f>+AQ53-AQ54</f>
        <v>1698500</v>
      </c>
      <c r="AR55" s="28"/>
      <c r="AS55" s="28"/>
    </row>
    <row r="56" spans="17:45">
      <c r="Q56" s="27" t="s">
        <v>190</v>
      </c>
      <c r="R56" s="42">
        <f>$R$16</f>
        <v>0.8</v>
      </c>
      <c r="S56" s="42">
        <f>$R$16</f>
        <v>0.8</v>
      </c>
      <c r="T56" s="42">
        <f>$R$16</f>
        <v>0.8</v>
      </c>
      <c r="U56" s="42">
        <f>$R$16</f>
        <v>0.8</v>
      </c>
      <c r="V56" s="42">
        <f>$R$16</f>
        <v>0.8</v>
      </c>
      <c r="W56" s="28"/>
      <c r="X56" s="28"/>
      <c r="AB56" s="27" t="s">
        <v>190</v>
      </c>
      <c r="AC56" s="42">
        <f>$R$16</f>
        <v>0.8</v>
      </c>
      <c r="AD56" s="42">
        <f>$R$16</f>
        <v>0.8</v>
      </c>
      <c r="AE56" s="42">
        <f>$R$16</f>
        <v>0.8</v>
      </c>
      <c r="AF56" s="42">
        <f>$R$16</f>
        <v>0.8</v>
      </c>
      <c r="AG56" s="42">
        <f>$R$16</f>
        <v>0.8</v>
      </c>
      <c r="AH56" s="28"/>
      <c r="AI56" s="28"/>
      <c r="AL56" s="27" t="s">
        <v>190</v>
      </c>
      <c r="AM56" s="42">
        <f>$R$16</f>
        <v>0.8</v>
      </c>
      <c r="AN56" s="42">
        <f>$R$16</f>
        <v>0.8</v>
      </c>
      <c r="AO56" s="42">
        <f>$R$16</f>
        <v>0.8</v>
      </c>
      <c r="AP56" s="42">
        <f>$R$16</f>
        <v>0.8</v>
      </c>
      <c r="AQ56" s="42">
        <f>$R$16</f>
        <v>0.8</v>
      </c>
      <c r="AR56" s="28"/>
      <c r="AS56" s="28"/>
    </row>
    <row r="57" spans="17:45" ht="16" thickBot="1">
      <c r="Q57" s="27" t="s">
        <v>191</v>
      </c>
      <c r="R57" s="44">
        <f>+R55*R56</f>
        <v>194400</v>
      </c>
      <c r="S57" s="44">
        <f>+S55*S56</f>
        <v>293200</v>
      </c>
      <c r="T57" s="44">
        <f>+T55*T56</f>
        <v>328400</v>
      </c>
      <c r="U57" s="44">
        <f>+U55*U56</f>
        <v>230800</v>
      </c>
      <c r="V57" s="44">
        <f>+V55*V56</f>
        <v>1046800</v>
      </c>
      <c r="W57" s="28"/>
      <c r="X57" s="28"/>
      <c r="AB57" s="27" t="s">
        <v>191</v>
      </c>
      <c r="AC57" s="44">
        <f>+AC55*AC56</f>
        <v>216600</v>
      </c>
      <c r="AD57" s="44">
        <f>+AD55*AD56</f>
        <v>331000</v>
      </c>
      <c r="AE57" s="44">
        <f>+AE55*AE56</f>
        <v>328400</v>
      </c>
      <c r="AF57" s="44">
        <f>+AF55*AF56</f>
        <v>230800</v>
      </c>
      <c r="AG57" s="44">
        <f>+AG55*AG56</f>
        <v>1106800</v>
      </c>
      <c r="AH57" s="28"/>
      <c r="AI57" s="28"/>
      <c r="AL57" s="27" t="s">
        <v>191</v>
      </c>
      <c r="AM57" s="44">
        <f>+AM55*AM56</f>
        <v>251600</v>
      </c>
      <c r="AN57" s="44">
        <f>+AN55*AN56</f>
        <v>349200</v>
      </c>
      <c r="AO57" s="44">
        <f>+AO55*AO56</f>
        <v>422000</v>
      </c>
      <c r="AP57" s="44">
        <f>+AP55*AP56</f>
        <v>336000</v>
      </c>
      <c r="AQ57" s="44">
        <f>+AQ55*AQ56</f>
        <v>1358800</v>
      </c>
      <c r="AR57" s="28"/>
      <c r="AS57" s="28"/>
    </row>
    <row r="58" spans="17:45" ht="16" thickTop="1">
      <c r="Q58" s="27"/>
      <c r="R58" s="28"/>
      <c r="S58" s="28"/>
      <c r="T58" s="28"/>
      <c r="U58" s="28"/>
      <c r="V58" s="28"/>
      <c r="W58" s="28"/>
      <c r="X58" s="28"/>
      <c r="AB58" s="27"/>
      <c r="AC58" s="28"/>
      <c r="AD58" s="28"/>
      <c r="AE58" s="28"/>
      <c r="AF58" s="28"/>
      <c r="AG58" s="28"/>
      <c r="AH58" s="28"/>
      <c r="AI58" s="28"/>
      <c r="AL58" s="27"/>
      <c r="AM58" s="28"/>
      <c r="AN58" s="28"/>
      <c r="AO58" s="28"/>
      <c r="AP58" s="28"/>
      <c r="AQ58" s="28"/>
      <c r="AR58" s="28"/>
      <c r="AS58" s="28"/>
    </row>
    <row r="59" spans="17:45">
      <c r="Q59" s="35" t="s">
        <v>192</v>
      </c>
      <c r="R59" s="170" t="s">
        <v>141</v>
      </c>
      <c r="S59" s="170"/>
      <c r="T59" s="170"/>
      <c r="U59" s="170"/>
      <c r="V59" s="30"/>
      <c r="W59" s="28"/>
      <c r="X59" s="28"/>
      <c r="AB59" s="35" t="s">
        <v>192</v>
      </c>
      <c r="AC59" s="170" t="s">
        <v>141</v>
      </c>
      <c r="AD59" s="170"/>
      <c r="AE59" s="170"/>
      <c r="AF59" s="170"/>
      <c r="AG59" s="30"/>
      <c r="AH59" s="28"/>
      <c r="AI59" s="28"/>
      <c r="AL59" s="35" t="s">
        <v>192</v>
      </c>
      <c r="AM59" s="170" t="s">
        <v>141</v>
      </c>
      <c r="AN59" s="170"/>
      <c r="AO59" s="170"/>
      <c r="AP59" s="170"/>
      <c r="AQ59" s="30"/>
      <c r="AR59" s="28"/>
      <c r="AS59" s="28"/>
    </row>
    <row r="60" spans="17:45">
      <c r="Q60" s="27"/>
      <c r="R60" s="30">
        <v>1</v>
      </c>
      <c r="S60" s="30">
        <v>2</v>
      </c>
      <c r="T60" s="30">
        <v>3</v>
      </c>
      <c r="U60" s="30">
        <v>4</v>
      </c>
      <c r="V60" s="30" t="s">
        <v>12</v>
      </c>
      <c r="W60" s="28"/>
      <c r="X60" s="28"/>
      <c r="AB60" s="27"/>
      <c r="AC60" s="30">
        <v>1</v>
      </c>
      <c r="AD60" s="30">
        <v>2</v>
      </c>
      <c r="AE60" s="30">
        <v>3</v>
      </c>
      <c r="AF60" s="30">
        <v>4</v>
      </c>
      <c r="AG60" s="30" t="s">
        <v>12</v>
      </c>
      <c r="AH60" s="28"/>
      <c r="AI60" s="28"/>
      <c r="AL60" s="27"/>
      <c r="AM60" s="30">
        <v>1</v>
      </c>
      <c r="AN60" s="30">
        <v>2</v>
      </c>
      <c r="AO60" s="30">
        <v>3</v>
      </c>
      <c r="AP60" s="30">
        <v>4</v>
      </c>
      <c r="AQ60" s="30" t="s">
        <v>12</v>
      </c>
      <c r="AR60" s="28"/>
      <c r="AS60" s="28"/>
    </row>
    <row r="61" spans="17:45">
      <c r="Q61" s="27" t="s">
        <v>193</v>
      </c>
      <c r="R61" s="42">
        <f>R19</f>
        <v>81500</v>
      </c>
      <c r="S61" s="42"/>
      <c r="T61" s="42"/>
      <c r="U61" s="42"/>
      <c r="V61" s="42">
        <f>SUM(R61:U61)</f>
        <v>81500</v>
      </c>
      <c r="W61" s="28"/>
      <c r="X61" s="28"/>
      <c r="AB61" s="27" t="s">
        <v>193</v>
      </c>
      <c r="AC61" s="42">
        <f>AC19</f>
        <v>81500</v>
      </c>
      <c r="AD61" s="42"/>
      <c r="AE61" s="42"/>
      <c r="AF61" s="42"/>
      <c r="AG61" s="42">
        <f>SUM(AC61:AF61)</f>
        <v>81500</v>
      </c>
      <c r="AH61" s="28"/>
      <c r="AI61" s="28"/>
      <c r="AL61" s="27" t="s">
        <v>193</v>
      </c>
      <c r="AM61" s="42">
        <f>AM19</f>
        <v>81500</v>
      </c>
      <c r="AN61" s="42"/>
      <c r="AO61" s="42"/>
      <c r="AP61" s="42"/>
      <c r="AQ61" s="42">
        <f>SUM(AM61:AP61)</f>
        <v>81500</v>
      </c>
      <c r="AR61" s="28"/>
      <c r="AS61" s="28"/>
    </row>
    <row r="62" spans="17:45">
      <c r="Q62" s="27" t="s">
        <v>194</v>
      </c>
      <c r="R62" s="42">
        <f>R57*R17</f>
        <v>116640</v>
      </c>
      <c r="S62" s="42">
        <f>R57*R18</f>
        <v>77760</v>
      </c>
      <c r="T62" s="42"/>
      <c r="U62" s="42"/>
      <c r="V62" s="42">
        <f>SUM(R62:U62)</f>
        <v>194400</v>
      </c>
      <c r="W62" s="28"/>
      <c r="X62" s="28"/>
      <c r="AB62" s="27" t="s">
        <v>194</v>
      </c>
      <c r="AC62" s="42">
        <f>AC57*AC17</f>
        <v>129960</v>
      </c>
      <c r="AD62" s="42">
        <f>AC57*AC18</f>
        <v>86640</v>
      </c>
      <c r="AE62" s="42"/>
      <c r="AF62" s="42"/>
      <c r="AG62" s="42">
        <f>SUM(AC62:AF62)</f>
        <v>216600</v>
      </c>
      <c r="AH62" s="28"/>
      <c r="AI62" s="28"/>
      <c r="AL62" s="27" t="s">
        <v>194</v>
      </c>
      <c r="AM62" s="42">
        <f>AM57*AM17</f>
        <v>150960</v>
      </c>
      <c r="AN62" s="42">
        <f>AM57*AM18</f>
        <v>100640</v>
      </c>
      <c r="AO62" s="42"/>
      <c r="AP62" s="42"/>
      <c r="AQ62" s="42">
        <f>SUM(AM62:AP62)</f>
        <v>251600</v>
      </c>
      <c r="AR62" s="28"/>
      <c r="AS62" s="28"/>
    </row>
    <row r="63" spans="17:45">
      <c r="Q63" s="27" t="s">
        <v>195</v>
      </c>
      <c r="R63" s="42"/>
      <c r="S63" s="42">
        <f>+S57*R17</f>
        <v>175920</v>
      </c>
      <c r="T63" s="42">
        <f>+S57*R18</f>
        <v>117280</v>
      </c>
      <c r="U63" s="42"/>
      <c r="V63" s="42">
        <f>SUM(R63:U63)</f>
        <v>293200</v>
      </c>
      <c r="W63" s="28"/>
      <c r="X63" s="28"/>
      <c r="AB63" s="27" t="s">
        <v>195</v>
      </c>
      <c r="AC63" s="42"/>
      <c r="AD63" s="42">
        <f>+AD57*AC17</f>
        <v>198600</v>
      </c>
      <c r="AE63" s="42">
        <f>+AD57*AC18</f>
        <v>132400</v>
      </c>
      <c r="AF63" s="42"/>
      <c r="AG63" s="42">
        <f>SUM(AC63:AF63)</f>
        <v>331000</v>
      </c>
      <c r="AH63" s="28"/>
      <c r="AI63" s="28"/>
      <c r="AL63" s="27" t="s">
        <v>195</v>
      </c>
      <c r="AM63" s="42"/>
      <c r="AN63" s="42">
        <f>+AN57*AM17</f>
        <v>209520</v>
      </c>
      <c r="AO63" s="42">
        <f>+AN57*AM18</f>
        <v>139680</v>
      </c>
      <c r="AP63" s="42"/>
      <c r="AQ63" s="42">
        <f>SUM(AM63:AP63)</f>
        <v>349200</v>
      </c>
      <c r="AR63" s="28"/>
      <c r="AS63" s="28"/>
    </row>
    <row r="64" spans="17:45">
      <c r="Q64" s="27" t="s">
        <v>196</v>
      </c>
      <c r="R64" s="42"/>
      <c r="S64" s="42"/>
      <c r="T64" s="42">
        <f>+T57*R17</f>
        <v>197040</v>
      </c>
      <c r="U64" s="42">
        <f>+T57*R18</f>
        <v>131360</v>
      </c>
      <c r="V64" s="42">
        <f>SUM(R64:U64)</f>
        <v>328400</v>
      </c>
      <c r="W64" s="28"/>
      <c r="X64" s="28"/>
      <c r="AB64" s="27" t="s">
        <v>196</v>
      </c>
      <c r="AC64" s="42"/>
      <c r="AD64" s="42"/>
      <c r="AE64" s="42">
        <f>+AE57*AC17</f>
        <v>197040</v>
      </c>
      <c r="AF64" s="42">
        <f>+AE57*AC18</f>
        <v>131360</v>
      </c>
      <c r="AG64" s="42">
        <f>SUM(AC64:AF64)</f>
        <v>328400</v>
      </c>
      <c r="AH64" s="28"/>
      <c r="AI64" s="28"/>
      <c r="AL64" s="27" t="s">
        <v>196</v>
      </c>
      <c r="AM64" s="42"/>
      <c r="AN64" s="42"/>
      <c r="AO64" s="42">
        <f>+AO57*AM17</f>
        <v>253200</v>
      </c>
      <c r="AP64" s="42">
        <f>+AO57*AM18</f>
        <v>168800</v>
      </c>
      <c r="AQ64" s="42">
        <f>SUM(AM64:AP64)</f>
        <v>422000</v>
      </c>
      <c r="AR64" s="28"/>
      <c r="AS64" s="28"/>
    </row>
    <row r="65" spans="17:45">
      <c r="Q65" s="27" t="s">
        <v>197</v>
      </c>
      <c r="R65" s="42"/>
      <c r="S65" s="42"/>
      <c r="T65" s="42"/>
      <c r="U65" s="42">
        <f>+U57*R17</f>
        <v>138480</v>
      </c>
      <c r="V65" s="42">
        <f>SUM(R65:U65)</f>
        <v>138480</v>
      </c>
      <c r="W65" s="28"/>
      <c r="X65" s="28"/>
      <c r="AB65" s="27" t="s">
        <v>197</v>
      </c>
      <c r="AC65" s="42"/>
      <c r="AD65" s="42"/>
      <c r="AE65" s="42"/>
      <c r="AF65" s="42">
        <f>+AF57*AC17</f>
        <v>138480</v>
      </c>
      <c r="AG65" s="42">
        <f>SUM(AC65:AF65)</f>
        <v>138480</v>
      </c>
      <c r="AH65" s="28"/>
      <c r="AI65" s="28"/>
      <c r="AL65" s="27" t="s">
        <v>197</v>
      </c>
      <c r="AM65" s="42"/>
      <c r="AN65" s="42"/>
      <c r="AO65" s="42"/>
      <c r="AP65" s="42">
        <f>+AP57*AM17</f>
        <v>201600</v>
      </c>
      <c r="AQ65" s="42">
        <f>SUM(AM65:AP65)</f>
        <v>201600</v>
      </c>
      <c r="AR65" s="28"/>
      <c r="AS65" s="28"/>
    </row>
    <row r="66" spans="17:45" ht="16" thickBot="1">
      <c r="Q66" s="27" t="s">
        <v>198</v>
      </c>
      <c r="R66" s="41">
        <f>SUM(R61:R65)</f>
        <v>198140</v>
      </c>
      <c r="S66" s="41">
        <f>SUM(S61:S65)</f>
        <v>253680</v>
      </c>
      <c r="T66" s="41">
        <f>SUM(T61:T65)</f>
        <v>314320</v>
      </c>
      <c r="U66" s="41">
        <f>SUM(U61:U65)</f>
        <v>269840</v>
      </c>
      <c r="V66" s="41">
        <f>SUM(V61:V65)</f>
        <v>1035980</v>
      </c>
      <c r="W66" s="28"/>
      <c r="X66" s="28"/>
      <c r="AB66" s="27" t="s">
        <v>198</v>
      </c>
      <c r="AC66" s="41">
        <f>SUM(AC61:AC65)</f>
        <v>211460</v>
      </c>
      <c r="AD66" s="41">
        <f>SUM(AD61:AD65)</f>
        <v>285240</v>
      </c>
      <c r="AE66" s="41">
        <f>SUM(AE61:AE65)</f>
        <v>329440</v>
      </c>
      <c r="AF66" s="41">
        <f>SUM(AF61:AF65)</f>
        <v>269840</v>
      </c>
      <c r="AG66" s="41">
        <f>SUM(AG61:AG65)</f>
        <v>1095980</v>
      </c>
      <c r="AH66" s="28"/>
      <c r="AI66" s="28"/>
      <c r="AL66" s="27" t="s">
        <v>198</v>
      </c>
      <c r="AM66" s="41">
        <f>SUM(AM61:AM65)</f>
        <v>232460</v>
      </c>
      <c r="AN66" s="41">
        <f>SUM(AN61:AN65)</f>
        <v>310160</v>
      </c>
      <c r="AO66" s="41">
        <f>SUM(AO61:AO65)</f>
        <v>392880</v>
      </c>
      <c r="AP66" s="41">
        <f>SUM(AP61:AP65)</f>
        <v>370400</v>
      </c>
      <c r="AQ66" s="41">
        <f>SUM(AQ61:AQ65)</f>
        <v>1305900</v>
      </c>
      <c r="AR66" s="28"/>
      <c r="AS66" s="28"/>
    </row>
    <row r="67" spans="17:45" ht="16" thickTop="1">
      <c r="Q67" s="27"/>
      <c r="R67" s="28"/>
      <c r="S67" s="28"/>
      <c r="T67" s="28"/>
      <c r="U67" s="28"/>
      <c r="V67" s="28"/>
      <c r="W67" s="28"/>
      <c r="X67" s="28"/>
      <c r="AB67" s="27"/>
      <c r="AC67" s="28"/>
      <c r="AD67" s="28"/>
      <c r="AE67" s="28"/>
      <c r="AF67" s="28"/>
      <c r="AG67" s="28"/>
      <c r="AH67" s="28"/>
      <c r="AI67" s="28"/>
      <c r="AL67" s="27"/>
      <c r="AM67" s="28"/>
      <c r="AN67" s="28"/>
      <c r="AO67" s="28"/>
      <c r="AP67" s="28"/>
      <c r="AQ67" s="28"/>
      <c r="AR67" s="28"/>
      <c r="AS67" s="28"/>
    </row>
    <row r="68" spans="17:45">
      <c r="Q68" s="27"/>
      <c r="R68" s="28"/>
      <c r="S68" s="28"/>
      <c r="T68" s="28"/>
      <c r="U68" s="28"/>
      <c r="V68" s="28"/>
      <c r="W68" s="28"/>
      <c r="X68" s="28"/>
      <c r="AB68" s="27"/>
      <c r="AC68" s="28"/>
      <c r="AD68" s="28"/>
      <c r="AE68" s="28"/>
      <c r="AF68" s="28"/>
      <c r="AG68" s="28"/>
      <c r="AH68" s="28"/>
      <c r="AI68" s="28"/>
      <c r="AL68" s="27"/>
      <c r="AM68" s="28"/>
      <c r="AN68" s="28"/>
      <c r="AO68" s="28"/>
      <c r="AP68" s="28"/>
      <c r="AQ68" s="28"/>
      <c r="AR68" s="28"/>
      <c r="AS68" s="28"/>
    </row>
    <row r="69" spans="17:45">
      <c r="Q69" s="27"/>
      <c r="R69" s="28"/>
      <c r="S69" s="28"/>
      <c r="T69" s="28"/>
      <c r="U69" s="28"/>
      <c r="V69" s="28"/>
      <c r="W69" s="28"/>
      <c r="X69" s="28"/>
      <c r="AB69" s="174" t="s">
        <v>199</v>
      </c>
      <c r="AC69" s="174"/>
      <c r="AD69" s="174"/>
      <c r="AE69" s="174"/>
      <c r="AF69" s="174"/>
      <c r="AG69" s="174"/>
      <c r="AH69" s="28"/>
      <c r="AI69" s="28"/>
      <c r="AL69" s="174" t="s">
        <v>199</v>
      </c>
      <c r="AM69" s="174"/>
      <c r="AN69" s="174"/>
      <c r="AO69" s="174"/>
      <c r="AP69" s="174"/>
      <c r="AQ69" s="174"/>
      <c r="AR69" s="28"/>
      <c r="AS69" s="28"/>
    </row>
    <row r="70" spans="17:45">
      <c r="Q70" s="27"/>
      <c r="R70" s="28"/>
      <c r="S70" s="28"/>
      <c r="T70" s="28"/>
      <c r="U70" s="28"/>
      <c r="V70" s="28"/>
      <c r="W70" s="28"/>
      <c r="X70" s="28"/>
      <c r="AB70" s="174"/>
      <c r="AC70" s="174"/>
      <c r="AD70" s="174"/>
      <c r="AE70" s="174"/>
      <c r="AF70" s="174"/>
      <c r="AG70" s="174"/>
      <c r="AH70" s="28"/>
      <c r="AI70" s="28"/>
      <c r="AL70" s="174"/>
      <c r="AM70" s="174"/>
      <c r="AN70" s="174"/>
      <c r="AO70" s="174"/>
      <c r="AP70" s="174"/>
      <c r="AQ70" s="174"/>
      <c r="AR70" s="28"/>
      <c r="AS70" s="28"/>
    </row>
    <row r="71" spans="17:45">
      <c r="Q71" s="27"/>
      <c r="R71" s="28"/>
      <c r="S71" s="28"/>
      <c r="T71" s="28"/>
      <c r="U71" s="28"/>
      <c r="V71" s="28"/>
      <c r="W71" s="28"/>
      <c r="X71" s="28"/>
      <c r="AB71" s="174"/>
      <c r="AC71" s="174"/>
      <c r="AD71" s="174"/>
      <c r="AE71" s="174"/>
      <c r="AF71" s="174"/>
      <c r="AG71" s="174"/>
      <c r="AH71" s="28"/>
      <c r="AI71" s="28"/>
      <c r="AL71" s="174"/>
      <c r="AM71" s="174"/>
      <c r="AN71" s="174"/>
      <c r="AO71" s="174"/>
      <c r="AP71" s="174"/>
      <c r="AQ71" s="174"/>
      <c r="AR71" s="28"/>
      <c r="AS71" s="28"/>
    </row>
    <row r="72" spans="17:45">
      <c r="Q72" s="27"/>
      <c r="R72" s="28"/>
      <c r="S72" s="28"/>
      <c r="T72" s="28"/>
      <c r="U72" s="28"/>
      <c r="V72" s="28"/>
      <c r="W72" s="28"/>
      <c r="X72" s="28"/>
      <c r="AB72" s="174"/>
      <c r="AC72" s="174"/>
      <c r="AD72" s="174"/>
      <c r="AE72" s="174"/>
      <c r="AF72" s="174"/>
      <c r="AG72" s="174"/>
      <c r="AH72" s="28"/>
      <c r="AI72" s="28"/>
      <c r="AL72" s="174"/>
      <c r="AM72" s="174"/>
      <c r="AN72" s="174"/>
      <c r="AO72" s="174"/>
      <c r="AP72" s="174"/>
      <c r="AQ72" s="174"/>
      <c r="AR72" s="28"/>
      <c r="AS72" s="28"/>
    </row>
    <row r="73" spans="17:45">
      <c r="Q73" s="27"/>
      <c r="R73" s="28"/>
      <c r="S73" s="28"/>
      <c r="T73" s="28"/>
      <c r="U73" s="28"/>
      <c r="V73" s="28"/>
      <c r="W73" s="28"/>
      <c r="X73" s="28"/>
      <c r="AB73" s="27"/>
      <c r="AC73" s="28"/>
      <c r="AD73" s="28"/>
      <c r="AE73" s="28"/>
      <c r="AF73" s="28"/>
      <c r="AG73" s="28"/>
      <c r="AH73" s="28"/>
      <c r="AI73" s="28"/>
      <c r="AL73" s="27"/>
      <c r="AM73" s="28"/>
      <c r="AN73" s="28"/>
      <c r="AO73" s="28"/>
      <c r="AP73" s="28"/>
      <c r="AQ73" s="28"/>
      <c r="AR73" s="28"/>
      <c r="AS73" s="28"/>
    </row>
    <row r="74" spans="17:45">
      <c r="Q74" s="27"/>
      <c r="R74" s="28"/>
      <c r="S74" s="28"/>
      <c r="T74" s="28"/>
      <c r="U74" s="28"/>
      <c r="V74" s="28"/>
      <c r="W74" s="28"/>
      <c r="X74" s="28"/>
      <c r="AB74" s="27"/>
      <c r="AC74" s="28"/>
      <c r="AD74" s="28"/>
      <c r="AE74" s="28"/>
      <c r="AF74" s="28"/>
      <c r="AG74" s="28"/>
      <c r="AH74" s="28"/>
      <c r="AI74" s="28"/>
      <c r="AL74" s="27"/>
      <c r="AM74" s="28"/>
      <c r="AN74" s="28"/>
      <c r="AO74" s="28"/>
      <c r="AP74" s="28"/>
      <c r="AQ74" s="28"/>
      <c r="AR74" s="28"/>
      <c r="AS74" s="28"/>
    </row>
    <row r="75" spans="17:45">
      <c r="Q75" s="27"/>
      <c r="R75" s="28"/>
      <c r="S75" s="28"/>
      <c r="T75" s="28"/>
      <c r="U75" s="28"/>
      <c r="V75" s="28"/>
      <c r="W75" s="28"/>
      <c r="X75" s="28"/>
      <c r="AB75" s="27"/>
      <c r="AC75" s="28"/>
      <c r="AD75" s="28"/>
      <c r="AE75" s="28"/>
      <c r="AF75" s="28"/>
      <c r="AG75" s="28"/>
      <c r="AH75" s="28"/>
      <c r="AI75" s="28"/>
      <c r="AL75" s="27"/>
      <c r="AM75" s="28"/>
      <c r="AN75" s="28"/>
      <c r="AO75" s="28"/>
      <c r="AP75" s="28"/>
      <c r="AQ75" s="28"/>
      <c r="AR75" s="28"/>
      <c r="AS75" s="28"/>
    </row>
  </sheetData>
  <mergeCells count="50">
    <mergeCell ref="AM30:AP30"/>
    <mergeCell ref="AM39:AP39"/>
    <mergeCell ref="AR39:AS39"/>
    <mergeCell ref="AM47:AP47"/>
    <mergeCell ref="AM59:AP59"/>
    <mergeCell ref="AN17:AR17"/>
    <mergeCell ref="AN18:AR18"/>
    <mergeCell ref="AL21:AR21"/>
    <mergeCell ref="AL22:AR22"/>
    <mergeCell ref="AM24:AP24"/>
    <mergeCell ref="AQ24:AR24"/>
    <mergeCell ref="AH39:AI39"/>
    <mergeCell ref="AC47:AF47"/>
    <mergeCell ref="AC59:AF59"/>
    <mergeCell ref="AB69:AG72"/>
    <mergeCell ref="AL69:AQ72"/>
    <mergeCell ref="AL1:AR1"/>
    <mergeCell ref="AM3:AP3"/>
    <mergeCell ref="AQ3:AR3"/>
    <mergeCell ref="AN11:AR11"/>
    <mergeCell ref="AN14:AR14"/>
    <mergeCell ref="AC30:AF30"/>
    <mergeCell ref="R39:U39"/>
    <mergeCell ref="W39:X39"/>
    <mergeCell ref="R47:U47"/>
    <mergeCell ref="R59:U59"/>
    <mergeCell ref="R30:U30"/>
    <mergeCell ref="AC39:AF39"/>
    <mergeCell ref="AB1:AH1"/>
    <mergeCell ref="AC3:AF3"/>
    <mergeCell ref="AG3:AH3"/>
    <mergeCell ref="AD11:AH11"/>
    <mergeCell ref="AD14:AH14"/>
    <mergeCell ref="AD17:AH17"/>
    <mergeCell ref="S18:W18"/>
    <mergeCell ref="Q21:W21"/>
    <mergeCell ref="Q22:W22"/>
    <mergeCell ref="R24:U24"/>
    <mergeCell ref="V24:W24"/>
    <mergeCell ref="S17:W17"/>
    <mergeCell ref="AD18:AH18"/>
    <mergeCell ref="AB21:AH21"/>
    <mergeCell ref="AB22:AH22"/>
    <mergeCell ref="AC24:AF24"/>
    <mergeCell ref="AG24:AH24"/>
    <mergeCell ref="Q1:W1"/>
    <mergeCell ref="R3:U3"/>
    <mergeCell ref="V3:W3"/>
    <mergeCell ref="S11:W11"/>
    <mergeCell ref="S14:W14"/>
  </mergeCells>
  <pageMargins left="0.511811024" right="0.511811024" top="0.78740157499999996" bottom="0.78740157499999996" header="0.31496062000000002" footer="0.31496062000000002"/>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T29"/>
  <sheetViews>
    <sheetView topLeftCell="E1" zoomScale="115" zoomScaleNormal="115" zoomScalePageLayoutView="115" workbookViewId="0">
      <selection activeCell="O4" sqref="O4:S5"/>
    </sheetView>
  </sheetViews>
  <sheetFormatPr baseColWidth="10" defaultColWidth="8.83203125" defaultRowHeight="15" x14ac:dyDescent="0"/>
  <cols>
    <col min="1" max="14" width="8.83203125" style="1"/>
    <col min="15" max="15" width="25.6640625" style="1" bestFit="1" customWidth="1"/>
    <col min="16" max="16" width="10.5" style="1" bestFit="1" customWidth="1"/>
    <col min="17" max="18" width="10.83203125" style="1" bestFit="1" customWidth="1"/>
    <col min="19" max="19" width="12" style="1" bestFit="1" customWidth="1"/>
    <col min="20" max="20" width="14.5" style="1" customWidth="1"/>
    <col min="21" max="21" width="13.5" style="1" customWidth="1"/>
    <col min="22" max="16384" width="8.83203125" style="1"/>
  </cols>
  <sheetData>
    <row r="4" spans="15:19">
      <c r="P4" s="23" t="s">
        <v>200</v>
      </c>
      <c r="Q4" s="23" t="s">
        <v>201</v>
      </c>
      <c r="R4" s="23" t="s">
        <v>202</v>
      </c>
      <c r="S4" s="23" t="s">
        <v>11</v>
      </c>
    </row>
    <row r="5" spans="15:19">
      <c r="O5" s="1" t="s">
        <v>143</v>
      </c>
      <c r="P5" s="1">
        <v>600000</v>
      </c>
      <c r="Q5" s="1">
        <v>900000</v>
      </c>
      <c r="R5" s="1">
        <v>500000</v>
      </c>
      <c r="S5" s="1">
        <f>SUM(P5:R5)</f>
        <v>2000000</v>
      </c>
    </row>
    <row r="10" spans="15:19">
      <c r="O10" s="32" t="s">
        <v>203</v>
      </c>
      <c r="P10" s="34">
        <v>0.2</v>
      </c>
    </row>
    <row r="11" spans="15:19">
      <c r="O11" s="32" t="s">
        <v>204</v>
      </c>
      <c r="P11" s="34">
        <v>0.7</v>
      </c>
    </row>
    <row r="12" spans="15:19">
      <c r="O12" s="32" t="s">
        <v>205</v>
      </c>
      <c r="P12" s="34">
        <v>0.1</v>
      </c>
    </row>
    <row r="14" spans="15:19">
      <c r="O14" s="1" t="s">
        <v>206</v>
      </c>
      <c r="P14" s="1">
        <v>430000</v>
      </c>
    </row>
    <row r="15" spans="15:19">
      <c r="O15" s="1" t="s">
        <v>207</v>
      </c>
      <c r="P15" s="1">
        <v>540000</v>
      </c>
    </row>
    <row r="18" spans="15:20">
      <c r="O18" s="35" t="s">
        <v>208</v>
      </c>
      <c r="P18" s="170" t="s">
        <v>141</v>
      </c>
      <c r="Q18" s="170"/>
      <c r="R18" s="170"/>
      <c r="S18" s="170"/>
      <c r="T18" s="37"/>
    </row>
    <row r="19" spans="15:20">
      <c r="O19" s="27"/>
      <c r="P19" s="37" t="s">
        <v>200</v>
      </c>
      <c r="Q19" s="37" t="s">
        <v>201</v>
      </c>
      <c r="R19" s="37" t="s">
        <v>202</v>
      </c>
      <c r="S19" s="37" t="s">
        <v>11</v>
      </c>
    </row>
    <row r="20" spans="15:20">
      <c r="O20" s="27" t="s">
        <v>171</v>
      </c>
      <c r="P20" s="42">
        <f>+P14*P12</f>
        <v>43000</v>
      </c>
      <c r="Q20" s="42"/>
      <c r="R20" s="42"/>
      <c r="S20" s="1">
        <f>SUM(P20:R20)</f>
        <v>43000</v>
      </c>
    </row>
    <row r="21" spans="15:20">
      <c r="O21" s="27" t="s">
        <v>172</v>
      </c>
      <c r="P21" s="42">
        <f>+P15*P11</f>
        <v>378000</v>
      </c>
      <c r="Q21" s="42">
        <f>+P15*P12</f>
        <v>54000</v>
      </c>
      <c r="R21" s="42"/>
      <c r="S21" s="1">
        <f>SUM(P21:R21)</f>
        <v>432000</v>
      </c>
    </row>
    <row r="22" spans="15:20">
      <c r="O22" s="27" t="s">
        <v>173</v>
      </c>
      <c r="P22" s="42">
        <f>+P5*P10</f>
        <v>120000</v>
      </c>
      <c r="Q22" s="42">
        <f>P5*P11</f>
        <v>420000</v>
      </c>
      <c r="R22" s="42">
        <f>P5*P12</f>
        <v>60000</v>
      </c>
      <c r="S22" s="1">
        <f>SUM(P22:R22)</f>
        <v>600000</v>
      </c>
    </row>
    <row r="23" spans="15:20">
      <c r="O23" s="27" t="s">
        <v>174</v>
      </c>
      <c r="P23" s="42"/>
      <c r="Q23" s="42">
        <f>+Q5*P10</f>
        <v>180000</v>
      </c>
      <c r="R23" s="42">
        <f>+Q5*P11</f>
        <v>630000</v>
      </c>
      <c r="S23" s="1">
        <f>SUM(P23:R23)</f>
        <v>810000</v>
      </c>
    </row>
    <row r="24" spans="15:20">
      <c r="O24" s="27" t="s">
        <v>175</v>
      </c>
      <c r="P24" s="42"/>
      <c r="Q24" s="42"/>
      <c r="R24" s="42">
        <f>+R5*P10</f>
        <v>100000</v>
      </c>
      <c r="S24" s="1">
        <f>SUM(P24:R24)</f>
        <v>100000</v>
      </c>
    </row>
    <row r="25" spans="15:20" ht="16" thickBot="1">
      <c r="O25" s="27" t="s">
        <v>176</v>
      </c>
      <c r="P25" s="41">
        <f>SUM(P20:P24)</f>
        <v>541000</v>
      </c>
      <c r="Q25" s="41">
        <f>SUM(Q20:Q24)</f>
        <v>654000</v>
      </c>
      <c r="R25" s="41">
        <f>SUM(R22:R24)</f>
        <v>790000</v>
      </c>
      <c r="S25" s="41">
        <f>SUM(S20:S24)</f>
        <v>1985000</v>
      </c>
    </row>
    <row r="26" spans="15:20" ht="16" thickTop="1"/>
    <row r="29" spans="15:20">
      <c r="O29" s="1" t="s">
        <v>209</v>
      </c>
      <c r="P29" s="1">
        <f>+(Q5*P12)+(R5*P11)+(R5*P12)</f>
        <v>490000</v>
      </c>
    </row>
  </sheetData>
  <mergeCells count="1">
    <mergeCell ref="P18:S18"/>
  </mergeCells>
  <pageMargins left="0.511811024" right="0.511811024" top="0.78740157499999996" bottom="0.78740157499999996" header="0.31496062000000002" footer="0.31496062000000002"/>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Q19"/>
  <sheetViews>
    <sheetView workbookViewId="0">
      <selection activeCell="K4" sqref="K4:O5"/>
    </sheetView>
  </sheetViews>
  <sheetFormatPr baseColWidth="10" defaultColWidth="10.83203125" defaultRowHeight="15" x14ac:dyDescent="0"/>
  <cols>
    <col min="1" max="10" width="10.83203125" style="52"/>
    <col min="11" max="11" width="38" style="52" bestFit="1" customWidth="1"/>
    <col min="12" max="16384" width="10.83203125" style="52"/>
  </cols>
  <sheetData>
    <row r="4" spans="11:17">
      <c r="L4" s="23" t="s">
        <v>200</v>
      </c>
      <c r="M4" s="23" t="s">
        <v>201</v>
      </c>
      <c r="N4" s="23" t="s">
        <v>202</v>
      </c>
      <c r="O4" s="23" t="s">
        <v>210</v>
      </c>
    </row>
    <row r="5" spans="11:17">
      <c r="K5" s="52" t="s">
        <v>143</v>
      </c>
      <c r="L5" s="53">
        <v>30000</v>
      </c>
      <c r="M5" s="53">
        <v>45000</v>
      </c>
      <c r="N5" s="53">
        <v>60000</v>
      </c>
      <c r="O5" s="53">
        <v>50000</v>
      </c>
    </row>
    <row r="8" spans="11:17">
      <c r="K8" s="52" t="s">
        <v>211</v>
      </c>
      <c r="L8" s="6">
        <v>0.1</v>
      </c>
      <c r="M8" s="175" t="s">
        <v>212</v>
      </c>
      <c r="N8" s="175"/>
      <c r="O8" s="175"/>
      <c r="P8" s="175"/>
      <c r="Q8" s="175"/>
    </row>
    <row r="9" spans="11:17">
      <c r="K9" s="52" t="s">
        <v>213</v>
      </c>
      <c r="L9" s="53">
        <v>3000</v>
      </c>
    </row>
    <row r="13" spans="11:17">
      <c r="K13" s="56" t="s">
        <v>274</v>
      </c>
      <c r="L13" s="57" t="str">
        <f t="shared" ref="L13:O14" si="0">L4</f>
        <v>Julho</v>
      </c>
      <c r="M13" s="57" t="str">
        <f t="shared" si="0"/>
        <v>Agosto</v>
      </c>
      <c r="N13" s="57" t="str">
        <f t="shared" si="0"/>
        <v>Setembro</v>
      </c>
      <c r="O13" s="57" t="str">
        <f t="shared" si="0"/>
        <v>Outubro</v>
      </c>
    </row>
    <row r="14" spans="11:17">
      <c r="K14" s="58" t="s">
        <v>143</v>
      </c>
      <c r="L14" s="54">
        <f t="shared" si="0"/>
        <v>30000</v>
      </c>
      <c r="M14" s="54">
        <f t="shared" si="0"/>
        <v>45000</v>
      </c>
      <c r="N14" s="54">
        <f t="shared" si="0"/>
        <v>60000</v>
      </c>
      <c r="O14" s="54">
        <f t="shared" si="0"/>
        <v>50000</v>
      </c>
    </row>
    <row r="15" spans="11:17">
      <c r="K15" s="58" t="s">
        <v>214</v>
      </c>
      <c r="L15" s="55">
        <f>+M14*$L$8</f>
        <v>4500</v>
      </c>
      <c r="M15" s="55">
        <f>+N14*$L$8</f>
        <v>6000</v>
      </c>
      <c r="N15" s="55">
        <f>+O14*$L$8</f>
        <v>5000</v>
      </c>
      <c r="O15" s="55"/>
    </row>
    <row r="16" spans="11:17">
      <c r="K16" s="58" t="s">
        <v>179</v>
      </c>
      <c r="L16" s="54">
        <f>+L15+L14</f>
        <v>34500</v>
      </c>
      <c r="M16" s="54">
        <f>+M15+M14</f>
        <v>51000</v>
      </c>
      <c r="N16" s="54">
        <f>+N15+N14</f>
        <v>65000</v>
      </c>
      <c r="O16" s="54"/>
    </row>
    <row r="17" spans="11:15">
      <c r="K17" s="58" t="s">
        <v>180</v>
      </c>
      <c r="L17" s="54">
        <f>+L9</f>
        <v>3000</v>
      </c>
      <c r="M17" s="54">
        <f>+L15</f>
        <v>4500</v>
      </c>
      <c r="N17" s="54">
        <f>+M15</f>
        <v>6000</v>
      </c>
      <c r="O17" s="54"/>
    </row>
    <row r="18" spans="11:15" ht="16" thickBot="1">
      <c r="K18" s="58" t="s">
        <v>181</v>
      </c>
      <c r="L18" s="59">
        <f>+L16-L17</f>
        <v>31500</v>
      </c>
      <c r="M18" s="59">
        <f>+M16-M17</f>
        <v>46500</v>
      </c>
      <c r="N18" s="59">
        <f>+N16-N17</f>
        <v>59000</v>
      </c>
      <c r="O18" s="59"/>
    </row>
    <row r="19" spans="11:15" ht="16" thickTop="1"/>
  </sheetData>
  <mergeCells count="1">
    <mergeCell ref="M8:Q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S24"/>
  <sheetViews>
    <sheetView topLeftCell="K1" workbookViewId="0">
      <selection activeCell="M5" sqref="M5:R7"/>
    </sheetView>
  </sheetViews>
  <sheetFormatPr baseColWidth="10" defaultColWidth="10.83203125" defaultRowHeight="16" x14ac:dyDescent="0"/>
  <cols>
    <col min="1" max="12" width="10.83203125" style="51"/>
    <col min="13" max="13" width="57.33203125" style="51" bestFit="1" customWidth="1"/>
    <col min="14" max="14" width="17.6640625" style="51" customWidth="1"/>
    <col min="15" max="15" width="15.33203125" style="51" customWidth="1"/>
    <col min="16" max="16" width="17.33203125" style="51" customWidth="1"/>
    <col min="17" max="17" width="16.33203125" style="51" customWidth="1"/>
    <col min="18" max="18" width="16.5" style="51" customWidth="1"/>
    <col min="19" max="19" width="17" style="51" bestFit="1" customWidth="1"/>
    <col min="20" max="16384" width="10.83203125" style="51"/>
  </cols>
  <sheetData>
    <row r="2" spans="13:19">
      <c r="M2" s="51" t="s">
        <v>215</v>
      </c>
      <c r="N2" s="51">
        <v>2</v>
      </c>
    </row>
    <row r="3" spans="13:19">
      <c r="M3" s="51" t="s">
        <v>216</v>
      </c>
      <c r="N3" s="60">
        <v>3</v>
      </c>
    </row>
    <row r="5" spans="13:19">
      <c r="N5" s="176" t="s">
        <v>102</v>
      </c>
      <c r="O5" s="176"/>
      <c r="P5" s="176"/>
      <c r="Q5" s="176"/>
      <c r="R5" s="61" t="s">
        <v>103</v>
      </c>
    </row>
    <row r="6" spans="13:19">
      <c r="N6" s="61" t="s">
        <v>217</v>
      </c>
      <c r="O6" s="61" t="s">
        <v>218</v>
      </c>
      <c r="P6" s="61" t="s">
        <v>219</v>
      </c>
      <c r="Q6" s="61" t="s">
        <v>220</v>
      </c>
      <c r="R6" s="61" t="s">
        <v>217</v>
      </c>
    </row>
    <row r="7" spans="13:19">
      <c r="M7" s="51" t="s">
        <v>221</v>
      </c>
      <c r="N7" s="60">
        <v>60000</v>
      </c>
      <c r="O7" s="60">
        <v>90000</v>
      </c>
      <c r="P7" s="60">
        <v>150000</v>
      </c>
      <c r="Q7" s="60">
        <v>100000</v>
      </c>
      <c r="R7" s="60">
        <v>80000</v>
      </c>
    </row>
    <row r="9" spans="13:19">
      <c r="M9" s="51" t="s">
        <v>223</v>
      </c>
      <c r="N9" s="62">
        <v>0.2</v>
      </c>
      <c r="O9" s="51" t="s">
        <v>222</v>
      </c>
    </row>
    <row r="10" spans="13:19">
      <c r="M10" s="51" t="s">
        <v>224</v>
      </c>
      <c r="N10" s="60">
        <v>36000</v>
      </c>
    </row>
    <row r="13" spans="13:19">
      <c r="M13" s="63" t="s">
        <v>225</v>
      </c>
      <c r="N13" s="177" t="s">
        <v>141</v>
      </c>
      <c r="O13" s="177"/>
      <c r="P13" s="177"/>
      <c r="Q13" s="177"/>
      <c r="R13" s="64"/>
      <c r="S13" s="65" t="s">
        <v>142</v>
      </c>
    </row>
    <row r="14" spans="13:19">
      <c r="M14" s="66"/>
      <c r="N14" s="65">
        <v>1</v>
      </c>
      <c r="O14" s="65">
        <v>2</v>
      </c>
      <c r="P14" s="65">
        <v>3</v>
      </c>
      <c r="Q14" s="65">
        <v>4</v>
      </c>
      <c r="R14" s="64" t="s">
        <v>12</v>
      </c>
      <c r="S14" s="64">
        <v>1</v>
      </c>
    </row>
    <row r="15" spans="13:19">
      <c r="M15" s="66" t="s">
        <v>183</v>
      </c>
      <c r="N15" s="67">
        <f>N7</f>
        <v>60000</v>
      </c>
      <c r="O15" s="67">
        <f>O7</f>
        <v>90000</v>
      </c>
      <c r="P15" s="67">
        <f>P7</f>
        <v>150000</v>
      </c>
      <c r="Q15" s="67">
        <f>Q7</f>
        <v>100000</v>
      </c>
      <c r="R15" s="67">
        <f>SUM(N15:Q15)</f>
        <v>400000</v>
      </c>
      <c r="S15" s="67">
        <f>+R7</f>
        <v>80000</v>
      </c>
    </row>
    <row r="16" spans="13:19">
      <c r="M16" s="66" t="s">
        <v>226</v>
      </c>
      <c r="N16" s="75">
        <f t="shared" ref="N16:S16" si="0">$N$3</f>
        <v>3</v>
      </c>
      <c r="O16" s="75">
        <f t="shared" si="0"/>
        <v>3</v>
      </c>
      <c r="P16" s="75">
        <f t="shared" si="0"/>
        <v>3</v>
      </c>
      <c r="Q16" s="75">
        <f t="shared" si="0"/>
        <v>3</v>
      </c>
      <c r="R16" s="75">
        <f t="shared" si="0"/>
        <v>3</v>
      </c>
      <c r="S16" s="75">
        <f t="shared" si="0"/>
        <v>3</v>
      </c>
    </row>
    <row r="17" spans="13:19">
      <c r="M17" s="66" t="s">
        <v>227</v>
      </c>
      <c r="N17" s="68">
        <f t="shared" ref="N17:S17" si="1">+N15*N16</f>
        <v>180000</v>
      </c>
      <c r="O17" s="68">
        <f t="shared" si="1"/>
        <v>270000</v>
      </c>
      <c r="P17" s="68">
        <f t="shared" si="1"/>
        <v>450000</v>
      </c>
      <c r="Q17" s="68">
        <f t="shared" si="1"/>
        <v>300000</v>
      </c>
      <c r="R17" s="68">
        <f t="shared" si="1"/>
        <v>1200000</v>
      </c>
      <c r="S17" s="68">
        <f t="shared" si="1"/>
        <v>240000</v>
      </c>
    </row>
    <row r="18" spans="13:19">
      <c r="M18" s="66" t="s">
        <v>228</v>
      </c>
      <c r="N18" s="69">
        <f>+O17*$N$9</f>
        <v>54000</v>
      </c>
      <c r="O18" s="69">
        <f>+P17*$N$9</f>
        <v>90000</v>
      </c>
      <c r="P18" s="69">
        <f>+Q17*$N$9</f>
        <v>60000</v>
      </c>
      <c r="Q18" s="69">
        <f>+S17*$N$9</f>
        <v>48000</v>
      </c>
      <c r="R18" s="69">
        <f>+Q18</f>
        <v>48000</v>
      </c>
      <c r="S18" s="70"/>
    </row>
    <row r="19" spans="13:19">
      <c r="M19" s="66" t="s">
        <v>229</v>
      </c>
      <c r="N19" s="68">
        <f>SUM(N17:N18)</f>
        <v>234000</v>
      </c>
      <c r="O19" s="68">
        <f>SUM(O17:O18)</f>
        <v>360000</v>
      </c>
      <c r="P19" s="68">
        <f>SUM(P17:P18)</f>
        <v>510000</v>
      </c>
      <c r="Q19" s="68">
        <f>SUM(Q17:Q18)</f>
        <v>348000</v>
      </c>
      <c r="R19" s="68">
        <f>SUM(R17:R18)</f>
        <v>1248000</v>
      </c>
      <c r="S19" s="70"/>
    </row>
    <row r="20" spans="13:19">
      <c r="M20" s="66" t="s">
        <v>230</v>
      </c>
      <c r="N20" s="71">
        <f>+N10</f>
        <v>36000</v>
      </c>
      <c r="O20" s="72">
        <f>N18</f>
        <v>54000</v>
      </c>
      <c r="P20" s="72">
        <f>O18</f>
        <v>90000</v>
      </c>
      <c r="Q20" s="72">
        <f>P18</f>
        <v>60000</v>
      </c>
      <c r="R20" s="71">
        <f>+N20</f>
        <v>36000</v>
      </c>
      <c r="S20" s="70"/>
    </row>
    <row r="21" spans="13:19">
      <c r="M21" s="66" t="s">
        <v>189</v>
      </c>
      <c r="N21" s="67">
        <f>+N19-N20</f>
        <v>198000</v>
      </c>
      <c r="O21" s="67">
        <f>+O19-O20</f>
        <v>306000</v>
      </c>
      <c r="P21" s="67">
        <f>+P19-P20</f>
        <v>420000</v>
      </c>
      <c r="Q21" s="67">
        <f>+Q19-Q20</f>
        <v>288000</v>
      </c>
      <c r="R21" s="67">
        <f>+R19-R20</f>
        <v>1212000</v>
      </c>
      <c r="S21" s="70"/>
    </row>
    <row r="22" spans="13:19">
      <c r="M22" s="66" t="s">
        <v>190</v>
      </c>
      <c r="N22" s="73">
        <f>+$N$2</f>
        <v>2</v>
      </c>
      <c r="O22" s="73">
        <f>+$N$2</f>
        <v>2</v>
      </c>
      <c r="P22" s="73">
        <f>+$N$2</f>
        <v>2</v>
      </c>
      <c r="Q22" s="73">
        <f>+$N$2</f>
        <v>2</v>
      </c>
      <c r="R22" s="73">
        <f>+$N$2</f>
        <v>2</v>
      </c>
      <c r="S22" s="70"/>
    </row>
    <row r="23" spans="13:19" ht="17" thickBot="1">
      <c r="M23" s="66" t="s">
        <v>191</v>
      </c>
      <c r="N23" s="74">
        <f>+N21*N22</f>
        <v>396000</v>
      </c>
      <c r="O23" s="74">
        <f>+O21*O22</f>
        <v>612000</v>
      </c>
      <c r="P23" s="74">
        <f>+P21*P22</f>
        <v>840000</v>
      </c>
      <c r="Q23" s="74">
        <f>+Q21*Q22</f>
        <v>576000</v>
      </c>
      <c r="R23" s="74">
        <f>+R21*R22</f>
        <v>2424000</v>
      </c>
      <c r="S23" s="70"/>
    </row>
    <row r="24" spans="13:19" ht="17" thickTop="1"/>
  </sheetData>
  <mergeCells count="2">
    <mergeCell ref="N5:Q5"/>
    <mergeCell ref="N13:Q1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R34"/>
  <sheetViews>
    <sheetView topLeftCell="G1" workbookViewId="0">
      <selection activeCell="M3" sqref="M3:Q5"/>
    </sheetView>
  </sheetViews>
  <sheetFormatPr baseColWidth="10" defaultColWidth="10.83203125" defaultRowHeight="15" x14ac:dyDescent="0"/>
  <cols>
    <col min="1" max="12" width="10.83203125" style="52"/>
    <col min="13" max="13" width="35.83203125" style="52" bestFit="1" customWidth="1"/>
    <col min="14" max="16384" width="10.83203125" style="52"/>
  </cols>
  <sheetData>
    <row r="3" spans="13:18">
      <c r="N3" s="21"/>
      <c r="O3" s="21"/>
      <c r="P3" s="21"/>
      <c r="Q3" s="21"/>
    </row>
    <row r="4" spans="13:18">
      <c r="N4" s="23" t="s">
        <v>217</v>
      </c>
      <c r="O4" s="23" t="s">
        <v>218</v>
      </c>
      <c r="P4" s="23" t="s">
        <v>219</v>
      </c>
      <c r="Q4" s="23" t="s">
        <v>220</v>
      </c>
    </row>
    <row r="5" spans="13:18">
      <c r="M5" s="52" t="s">
        <v>221</v>
      </c>
      <c r="N5" s="53">
        <v>5000</v>
      </c>
      <c r="O5" s="53">
        <v>4400</v>
      </c>
      <c r="P5" s="53">
        <v>4500</v>
      </c>
      <c r="Q5" s="53">
        <v>4900</v>
      </c>
    </row>
    <row r="8" spans="13:18">
      <c r="M8" s="52" t="s">
        <v>231</v>
      </c>
      <c r="N8" s="52">
        <v>0.4</v>
      </c>
    </row>
    <row r="9" spans="13:18">
      <c r="M9" s="52" t="s">
        <v>232</v>
      </c>
      <c r="N9" s="52">
        <v>11</v>
      </c>
    </row>
    <row r="13" spans="13:18" ht="15" customHeight="1">
      <c r="M13" s="76"/>
      <c r="N13" s="76"/>
      <c r="O13" s="76"/>
      <c r="P13" s="76"/>
      <c r="Q13" s="76"/>
      <c r="R13" s="76"/>
    </row>
    <row r="14" spans="13:18">
      <c r="M14" s="1"/>
      <c r="N14" s="1"/>
      <c r="O14" s="1"/>
      <c r="P14" s="1"/>
      <c r="Q14" s="1"/>
      <c r="R14" s="1"/>
    </row>
    <row r="15" spans="13:18">
      <c r="M15" s="1"/>
      <c r="N15" s="165" t="s">
        <v>13</v>
      </c>
      <c r="O15" s="165"/>
      <c r="P15" s="165"/>
      <c r="Q15" s="165"/>
      <c r="R15" s="9"/>
    </row>
    <row r="16" spans="13:18">
      <c r="M16" s="1"/>
      <c r="N16" s="3" t="str">
        <f t="shared" ref="N16:Q17" si="0">N4</f>
        <v>1º</v>
      </c>
      <c r="O16" s="3" t="str">
        <f t="shared" si="0"/>
        <v>2º</v>
      </c>
      <c r="P16" s="3" t="str">
        <f t="shared" si="0"/>
        <v>3º</v>
      </c>
      <c r="Q16" s="3" t="str">
        <f t="shared" si="0"/>
        <v>4º</v>
      </c>
      <c r="R16" s="5" t="s">
        <v>12</v>
      </c>
    </row>
    <row r="17" spans="13:18">
      <c r="M17" s="1" t="s">
        <v>18</v>
      </c>
      <c r="N17" s="2">
        <f t="shared" si="0"/>
        <v>5000</v>
      </c>
      <c r="O17" s="2">
        <f t="shared" si="0"/>
        <v>4400</v>
      </c>
      <c r="P17" s="2">
        <f t="shared" si="0"/>
        <v>4500</v>
      </c>
      <c r="Q17" s="2">
        <f t="shared" si="0"/>
        <v>4900</v>
      </c>
      <c r="R17" s="2">
        <f>SUM(N17:Q17)</f>
        <v>18800</v>
      </c>
    </row>
    <row r="18" spans="13:18">
      <c r="M18" s="1" t="s">
        <v>38</v>
      </c>
      <c r="N18" s="1">
        <f>$N$8</f>
        <v>0.4</v>
      </c>
      <c r="O18" s="1">
        <f>$N$8</f>
        <v>0.4</v>
      </c>
      <c r="P18" s="1">
        <f>$N$8</f>
        <v>0.4</v>
      </c>
      <c r="Q18" s="1">
        <f>$N$8</f>
        <v>0.4</v>
      </c>
      <c r="R18" s="1">
        <f>$N$8</f>
        <v>0.4</v>
      </c>
    </row>
    <row r="19" spans="13:18">
      <c r="M19" s="1" t="s">
        <v>39</v>
      </c>
      <c r="N19" s="2">
        <f>+N18*N17</f>
        <v>2000</v>
      </c>
      <c r="O19" s="2">
        <f>+O18*O17</f>
        <v>1760</v>
      </c>
      <c r="P19" s="2">
        <f>+P18*P17</f>
        <v>1800</v>
      </c>
      <c r="Q19" s="2">
        <f>+Q18*Q17</f>
        <v>1960</v>
      </c>
      <c r="R19" s="2">
        <f>+R18*R17</f>
        <v>7520</v>
      </c>
    </row>
    <row r="20" spans="13:18">
      <c r="M20" s="1" t="s">
        <v>40</v>
      </c>
      <c r="N20" s="1">
        <f>+$N$9</f>
        <v>11</v>
      </c>
      <c r="O20" s="1">
        <f>+$N$9</f>
        <v>11</v>
      </c>
      <c r="P20" s="1">
        <f>+$N$9</f>
        <v>11</v>
      </c>
      <c r="Q20" s="1">
        <f>+$N$9</f>
        <v>11</v>
      </c>
      <c r="R20" s="1">
        <f>+$N$9</f>
        <v>11</v>
      </c>
    </row>
    <row r="21" spans="13:18" ht="16" thickBot="1">
      <c r="M21" s="1" t="s">
        <v>41</v>
      </c>
      <c r="N21" s="4">
        <f>+N20*N19</f>
        <v>22000</v>
      </c>
      <c r="O21" s="4">
        <f>+O20*O19</f>
        <v>19360</v>
      </c>
      <c r="P21" s="4">
        <f>+P20*P19</f>
        <v>19800</v>
      </c>
      <c r="Q21" s="4">
        <f>+Q20*Q19</f>
        <v>21560</v>
      </c>
      <c r="R21" s="4">
        <f>+R20*R19</f>
        <v>82720</v>
      </c>
    </row>
    <row r="22" spans="13:18" ht="16" thickTop="1">
      <c r="M22" s="1"/>
      <c r="N22" s="1"/>
      <c r="O22" s="1"/>
      <c r="P22" s="1"/>
      <c r="Q22" s="1"/>
      <c r="R22" s="1"/>
    </row>
    <row r="23" spans="13:18">
      <c r="M23" s="1"/>
      <c r="N23" s="1"/>
      <c r="O23" s="1"/>
      <c r="P23" s="1"/>
      <c r="Q23" s="1"/>
      <c r="R23" s="1"/>
    </row>
    <row r="24" spans="13:18">
      <c r="M24" s="1"/>
      <c r="N24" s="1"/>
      <c r="O24" s="1"/>
      <c r="P24" s="1"/>
      <c r="Q24" s="1"/>
      <c r="R24" s="1"/>
    </row>
    <row r="25" spans="13:18" ht="15" customHeight="1">
      <c r="M25" s="76"/>
      <c r="N25" s="165" t="s">
        <v>13</v>
      </c>
      <c r="O25" s="165"/>
      <c r="P25" s="165"/>
      <c r="Q25" s="165"/>
      <c r="R25" s="9"/>
    </row>
    <row r="26" spans="13:18">
      <c r="N26" s="3" t="str">
        <f>N16</f>
        <v>1º</v>
      </c>
      <c r="O26" s="3" t="str">
        <f>O16</f>
        <v>2º</v>
      </c>
      <c r="P26" s="3" t="str">
        <f>P16</f>
        <v>3º</v>
      </c>
      <c r="Q26" s="3" t="str">
        <f>Q16</f>
        <v>4º</v>
      </c>
      <c r="R26" s="5" t="s">
        <v>12</v>
      </c>
    </row>
    <row r="27" spans="13:18">
      <c r="M27" s="1" t="s">
        <v>18</v>
      </c>
      <c r="N27" s="53">
        <f>N5</f>
        <v>5000</v>
      </c>
      <c r="O27" s="53">
        <f>O5</f>
        <v>4400</v>
      </c>
      <c r="P27" s="53">
        <f>P5</f>
        <v>4500</v>
      </c>
      <c r="Q27" s="53">
        <f>Q5</f>
        <v>4900</v>
      </c>
      <c r="R27" s="53">
        <f>SUM(N27:Q27)</f>
        <v>18800</v>
      </c>
    </row>
    <row r="28" spans="13:18">
      <c r="M28" s="1" t="s">
        <v>38</v>
      </c>
      <c r="N28" s="52">
        <f>$N$8</f>
        <v>0.4</v>
      </c>
      <c r="O28" s="52">
        <f>$N$8</f>
        <v>0.4</v>
      </c>
      <c r="P28" s="52">
        <f>$N$8</f>
        <v>0.4</v>
      </c>
      <c r="Q28" s="52">
        <f>$N$8</f>
        <v>0.4</v>
      </c>
      <c r="R28" s="52">
        <f>$N$8</f>
        <v>0.4</v>
      </c>
    </row>
    <row r="29" spans="13:18">
      <c r="M29" s="1" t="s">
        <v>39</v>
      </c>
      <c r="N29" s="2">
        <f>+N28*N27</f>
        <v>2000</v>
      </c>
      <c r="O29" s="2">
        <f>+O28*O27</f>
        <v>1760</v>
      </c>
      <c r="P29" s="2">
        <f>+P28*P27</f>
        <v>1800</v>
      </c>
      <c r="Q29" s="2">
        <f>+Q28*Q27</f>
        <v>1960</v>
      </c>
      <c r="R29" s="2">
        <f>+R28*R27</f>
        <v>7520</v>
      </c>
    </row>
    <row r="30" spans="13:18">
      <c r="M30" s="52" t="s">
        <v>233</v>
      </c>
      <c r="N30" s="53">
        <v>1800</v>
      </c>
      <c r="O30" s="53">
        <v>1800</v>
      </c>
      <c r="P30" s="53">
        <v>1800</v>
      </c>
      <c r="Q30" s="53">
        <v>1800</v>
      </c>
      <c r="R30" s="53">
        <f>SUM(N30:Q30)</f>
        <v>7200</v>
      </c>
    </row>
    <row r="31" spans="13:18">
      <c r="M31" s="52" t="s">
        <v>234</v>
      </c>
      <c r="N31" s="53">
        <f>IF(N29-N30&lt;0,0,N29-N30)</f>
        <v>200</v>
      </c>
      <c r="O31" s="53">
        <f>IF(O29-O30&lt;0,0,O29-O30)</f>
        <v>0</v>
      </c>
      <c r="P31" s="53">
        <f>IF(P29-P30&lt;0,0,P29-P30)</f>
        <v>0</v>
      </c>
      <c r="Q31" s="53">
        <f>IF(Q29-Q30&lt;0,0,Q29-Q30)</f>
        <v>160</v>
      </c>
      <c r="R31" s="53">
        <f>SUM(N31:Q31)</f>
        <v>360</v>
      </c>
    </row>
    <row r="32" spans="13:18">
      <c r="M32" s="52" t="s">
        <v>235</v>
      </c>
      <c r="N32" s="52">
        <f>+N30*$N$9</f>
        <v>19800</v>
      </c>
      <c r="O32" s="52">
        <f>+O30*$N$9</f>
        <v>19800</v>
      </c>
      <c r="P32" s="52">
        <f>+P30*$N$9</f>
        <v>19800</v>
      </c>
      <c r="Q32" s="52">
        <f>+Q30*$N$9</f>
        <v>19800</v>
      </c>
      <c r="R32" s="52">
        <f>SUM(N32:Q32)</f>
        <v>79200</v>
      </c>
    </row>
    <row r="33" spans="13:18">
      <c r="M33" s="52" t="s">
        <v>236</v>
      </c>
      <c r="N33" s="10">
        <f>+N31*$N$9*1.5</f>
        <v>3300</v>
      </c>
      <c r="O33" s="10">
        <f>+O31*$N$9*1.5</f>
        <v>0</v>
      </c>
      <c r="P33" s="10">
        <f>+P31*$N$9*1.5</f>
        <v>0</v>
      </c>
      <c r="Q33" s="10">
        <f>+Q31*$N$9*1.5</f>
        <v>2640</v>
      </c>
      <c r="R33" s="10">
        <f>SUM(N33:Q33)</f>
        <v>5940</v>
      </c>
    </row>
    <row r="34" spans="13:18">
      <c r="M34" s="52" t="s">
        <v>237</v>
      </c>
      <c r="N34" s="52">
        <f>+N33+N32</f>
        <v>23100</v>
      </c>
      <c r="O34" s="52">
        <f>+O33+O32</f>
        <v>19800</v>
      </c>
      <c r="P34" s="52">
        <f>+P33+P32</f>
        <v>19800</v>
      </c>
      <c r="Q34" s="52">
        <f>+Q33+Q32</f>
        <v>22440</v>
      </c>
      <c r="R34" s="52">
        <f>SUM(N34:Q34)</f>
        <v>85140</v>
      </c>
    </row>
  </sheetData>
  <mergeCells count="2">
    <mergeCell ref="N15:Q15"/>
    <mergeCell ref="N25:Q25"/>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29"/>
  <sheetViews>
    <sheetView workbookViewId="0">
      <selection activeCell="M3" sqref="M3:Q4"/>
    </sheetView>
  </sheetViews>
  <sheetFormatPr baseColWidth="10" defaultColWidth="10.83203125" defaultRowHeight="15" x14ac:dyDescent="0"/>
  <cols>
    <col min="1" max="12" width="10.83203125" style="1"/>
    <col min="13" max="13" width="23.6640625" style="1" bestFit="1" customWidth="1"/>
    <col min="14" max="17" width="11" style="1" bestFit="1" customWidth="1"/>
    <col min="18" max="18" width="11.5" style="1" bestFit="1" customWidth="1"/>
    <col min="19" max="16384" width="10.83203125" style="1"/>
  </cols>
  <sheetData>
    <row r="3" spans="13:18">
      <c r="M3" s="52"/>
      <c r="N3" s="23" t="s">
        <v>217</v>
      </c>
      <c r="O3" s="23" t="s">
        <v>218</v>
      </c>
      <c r="P3" s="23" t="s">
        <v>219</v>
      </c>
      <c r="Q3" s="23" t="s">
        <v>220</v>
      </c>
    </row>
    <row r="4" spans="13:18">
      <c r="M4" s="52" t="s">
        <v>238</v>
      </c>
      <c r="N4" s="53">
        <v>5000</v>
      </c>
      <c r="O4" s="53">
        <v>4800</v>
      </c>
      <c r="P4" s="53">
        <v>5200</v>
      </c>
      <c r="Q4" s="53">
        <v>5400</v>
      </c>
    </row>
    <row r="7" spans="13:18">
      <c r="M7" s="1" t="s">
        <v>241</v>
      </c>
      <c r="N7" s="1">
        <v>1.75</v>
      </c>
    </row>
    <row r="8" spans="13:18">
      <c r="M8" s="1" t="s">
        <v>239</v>
      </c>
      <c r="N8" s="1">
        <v>35000</v>
      </c>
    </row>
    <row r="9" spans="13:18">
      <c r="M9" s="1" t="s">
        <v>240</v>
      </c>
      <c r="N9" s="1">
        <v>15000</v>
      </c>
    </row>
    <row r="13" spans="13:18">
      <c r="N13" s="165" t="s">
        <v>13</v>
      </c>
      <c r="O13" s="165"/>
      <c r="P13" s="165"/>
      <c r="Q13" s="165"/>
      <c r="R13" s="9"/>
    </row>
    <row r="14" spans="13:18">
      <c r="N14" s="3" t="str">
        <f t="shared" ref="N14:Q15" si="0">N3</f>
        <v>1º</v>
      </c>
      <c r="O14" s="3" t="str">
        <f t="shared" si="0"/>
        <v>2º</v>
      </c>
      <c r="P14" s="3" t="str">
        <f t="shared" si="0"/>
        <v>3º</v>
      </c>
      <c r="Q14" s="3" t="str">
        <f t="shared" si="0"/>
        <v>4º</v>
      </c>
      <c r="R14" s="5" t="s">
        <v>12</v>
      </c>
    </row>
    <row r="15" spans="13:18">
      <c r="M15" s="1" t="s">
        <v>42</v>
      </c>
      <c r="N15" s="2">
        <f t="shared" si="0"/>
        <v>5000</v>
      </c>
      <c r="O15" s="2">
        <f t="shared" si="0"/>
        <v>4800</v>
      </c>
      <c r="P15" s="2">
        <f t="shared" si="0"/>
        <v>5200</v>
      </c>
      <c r="Q15" s="2">
        <f t="shared" si="0"/>
        <v>5400</v>
      </c>
      <c r="R15" s="2">
        <f>SUM(N15:Q15)</f>
        <v>20400</v>
      </c>
    </row>
    <row r="16" spans="13:18">
      <c r="M16" s="1" t="s">
        <v>43</v>
      </c>
      <c r="N16" s="1">
        <f>$N$7</f>
        <v>1.75</v>
      </c>
      <c r="O16" s="1">
        <f>$N$7</f>
        <v>1.75</v>
      </c>
      <c r="P16" s="1">
        <f>$N$7</f>
        <v>1.75</v>
      </c>
      <c r="Q16" s="1">
        <f>$N$7</f>
        <v>1.75</v>
      </c>
      <c r="R16" s="1">
        <v>4</v>
      </c>
    </row>
    <row r="17" spans="13:19">
      <c r="M17" s="1" t="s">
        <v>45</v>
      </c>
      <c r="N17" s="77">
        <f>+N16*N15</f>
        <v>8750</v>
      </c>
      <c r="O17" s="77">
        <f>+O16*O15</f>
        <v>8400</v>
      </c>
      <c r="P17" s="77">
        <f>+P16*P15</f>
        <v>9100</v>
      </c>
      <c r="Q17" s="77">
        <f>+Q16*Q15</f>
        <v>9450</v>
      </c>
      <c r="R17" s="77">
        <f>+R16*R15</f>
        <v>81600</v>
      </c>
      <c r="S17" s="77"/>
    </row>
    <row r="18" spans="13:19">
      <c r="M18" s="1" t="s">
        <v>44</v>
      </c>
      <c r="N18" s="78">
        <f>$N$8</f>
        <v>35000</v>
      </c>
      <c r="O18" s="78">
        <f>$N$8</f>
        <v>35000</v>
      </c>
      <c r="P18" s="78">
        <f>$N$8</f>
        <v>35000</v>
      </c>
      <c r="Q18" s="78">
        <f>$N$8</f>
        <v>35000</v>
      </c>
      <c r="R18" s="78">
        <f>SUM(N18:Q18)</f>
        <v>140000</v>
      </c>
      <c r="S18" s="77"/>
    </row>
    <row r="19" spans="13:19">
      <c r="M19" s="1" t="s">
        <v>46</v>
      </c>
      <c r="N19" s="77">
        <f>+N18+N17</f>
        <v>43750</v>
      </c>
      <c r="O19" s="77">
        <f>+O18+O17</f>
        <v>43400</v>
      </c>
      <c r="P19" s="77">
        <f>+P18+P17</f>
        <v>44100</v>
      </c>
      <c r="Q19" s="77">
        <f>+Q18+Q17</f>
        <v>44450</v>
      </c>
      <c r="R19" s="77">
        <f>SUM(N19:Q19)</f>
        <v>175700</v>
      </c>
      <c r="S19" s="77"/>
    </row>
    <row r="20" spans="13:19">
      <c r="M20" s="1" t="s">
        <v>47</v>
      </c>
      <c r="N20" s="77">
        <f>$N$9</f>
        <v>15000</v>
      </c>
      <c r="O20" s="77">
        <f>$N$9</f>
        <v>15000</v>
      </c>
      <c r="P20" s="77">
        <f>$N$9</f>
        <v>15000</v>
      </c>
      <c r="Q20" s="77">
        <f>$N$9</f>
        <v>15000</v>
      </c>
      <c r="R20" s="77">
        <f>SUM(N20:Q20)</f>
        <v>60000</v>
      </c>
      <c r="S20" s="77"/>
    </row>
    <row r="21" spans="13:19" ht="16" thickBot="1">
      <c r="M21" s="1" t="s">
        <v>242</v>
      </c>
      <c r="N21" s="79">
        <f>+N19-N20</f>
        <v>28750</v>
      </c>
      <c r="O21" s="79">
        <f>+O19-O20</f>
        <v>28400</v>
      </c>
      <c r="P21" s="79">
        <f>+P19-P20</f>
        <v>29100</v>
      </c>
      <c r="Q21" s="79">
        <f>+Q19-Q20</f>
        <v>29450</v>
      </c>
      <c r="R21" s="79">
        <f>SUM(N21:Q21)</f>
        <v>115700</v>
      </c>
      <c r="S21" s="77"/>
    </row>
    <row r="22" spans="13:19" ht="16" thickTop="1"/>
    <row r="26" spans="13:19">
      <c r="M26" s="1" t="s">
        <v>46</v>
      </c>
      <c r="N26" s="1">
        <f>+R19</f>
        <v>175700</v>
      </c>
    </row>
    <row r="27" spans="13:19">
      <c r="M27" s="1" t="s">
        <v>42</v>
      </c>
      <c r="N27" s="1">
        <f>+R15</f>
        <v>20400</v>
      </c>
    </row>
    <row r="28" spans="13:19" ht="16" thickBot="1">
      <c r="M28" s="1" t="s">
        <v>48</v>
      </c>
      <c r="N28" s="4">
        <f>+N26/N27</f>
        <v>8.6127450980392162</v>
      </c>
    </row>
    <row r="29" spans="13:19" ht="16" thickTop="1"/>
  </sheetData>
  <mergeCells count="1">
    <mergeCell ref="N13:Q13"/>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33</vt:i4>
      </vt:variant>
    </vt:vector>
  </HeadingPairs>
  <TitlesOfParts>
    <vt:vector size="33" baseType="lpstr">
      <vt:lpstr>acomp</vt:lpstr>
      <vt:lpstr>resolvido</vt:lpstr>
      <vt:lpstr>Questoes</vt:lpstr>
      <vt:lpstr>aplica</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Bitti , Eugenio</dc:creator>
  <cp:lastModifiedBy>Bitti , Eugenio</cp:lastModifiedBy>
  <dcterms:created xsi:type="dcterms:W3CDTF">2015-02-11T14:15:03Z</dcterms:created>
  <dcterms:modified xsi:type="dcterms:W3CDTF">2015-03-02T19:31:26Z</dcterms:modified>
</cp:coreProperties>
</file>