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140" tabRatio="904" firstSheet="2" activeTab="7"/>
  </bookViews>
  <sheets>
    <sheet name="substituicao econ" sheetId="1" r:id="rId1"/>
    <sheet name="QUESTÕES" sheetId="2" r:id="rId2"/>
    <sheet name="PREVISAO de demanda (temporais)" sheetId="3" r:id="rId3"/>
    <sheet name="PREVISÃO DEMANDA (causais)" sheetId="4" r:id="rId4"/>
    <sheet name="Consumo de materiais" sheetId="5" r:id="rId5"/>
    <sheet name="Custo de materiais" sheetId="6" r:id="rId6"/>
    <sheet name="Margem" sheetId="7" r:id="rId7"/>
    <sheet name="Resultado" sheetId="8" r:id="rId8"/>
    <sheet name="PE" sheetId="9" r:id="rId9"/>
    <sheet name="PED" sheetId="10" r:id="rId10"/>
    <sheet name="fluxo de caixa" sheetId="11" r:id="rId11"/>
  </sheets>
  <definedNames>
    <definedName name="_xlnm.Print_Area" localSheetId="1">'QUESTÕES'!$A$1:$J$38</definedName>
    <definedName name="solver_adj" localSheetId="1" hidden="1">'QUESTÕES'!$J$4:$J$6</definedName>
    <definedName name="solver_cvg" localSheetId="1" hidden="1">0.00001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'QUESTÕES'!$E$4:$E$9</definedName>
    <definedName name="solver_lhs2" localSheetId="1" hidden="1">'QUESTÕES'!$J$4:$J$6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'QUESTÕES'!$H$29</definedName>
    <definedName name="solver_pre" localSheetId="1" hidden="1">0.00001</definedName>
    <definedName name="solver_rel1" localSheetId="1" hidden="1">1</definedName>
    <definedName name="solver_rel2" localSheetId="1" hidden="1">3</definedName>
    <definedName name="solver_rhs1" localSheetId="1" hidden="1">'QUESTÕES'!$D$4:$D$9</definedName>
    <definedName name="solver_rhs2" localSheetId="1" hidden="1">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<sst xmlns="http://schemas.openxmlformats.org/spreadsheetml/2006/main" count="264" uniqueCount="192">
  <si>
    <t>Descrição</t>
  </si>
  <si>
    <t>Lista de materiais</t>
  </si>
  <si>
    <t>Unidade</t>
  </si>
  <si>
    <t>Farinha de trigo</t>
  </si>
  <si>
    <t>Ovo</t>
  </si>
  <si>
    <t>Leite</t>
  </si>
  <si>
    <t>Queijo muzzarela</t>
  </si>
  <si>
    <t>Molho de tomate</t>
  </si>
  <si>
    <t>Presunto</t>
  </si>
  <si>
    <t>kg</t>
  </si>
  <si>
    <t>un.</t>
  </si>
  <si>
    <t>L</t>
  </si>
  <si>
    <t>Material</t>
  </si>
  <si>
    <t>Preço</t>
  </si>
  <si>
    <t>Margem</t>
  </si>
  <si>
    <t>Impostos</t>
  </si>
  <si>
    <t>Margem unitária</t>
  </si>
  <si>
    <t>Faturamento</t>
  </si>
  <si>
    <t>Pizza presunto</t>
  </si>
  <si>
    <t>Pizza marguerita</t>
  </si>
  <si>
    <t>Consumo de material por produto</t>
  </si>
  <si>
    <t>Quantidade</t>
  </si>
  <si>
    <t>Total</t>
  </si>
  <si>
    <t>Custo de materiais por produto</t>
  </si>
  <si>
    <t>Unitário</t>
  </si>
  <si>
    <t>Produto</t>
  </si>
  <si>
    <t>Imposto%</t>
  </si>
  <si>
    <t>Imposto</t>
  </si>
  <si>
    <t>Margem Total</t>
  </si>
  <si>
    <t>%Margem un.</t>
  </si>
  <si>
    <t>%Margem tot.</t>
  </si>
  <si>
    <t>Custo fixo (-)</t>
  </si>
  <si>
    <t>Imposto (-)</t>
  </si>
  <si>
    <t>Custo variável (-)</t>
  </si>
  <si>
    <t>Margem total da empresa</t>
  </si>
  <si>
    <t>CF</t>
  </si>
  <si>
    <t>Fatura</t>
  </si>
  <si>
    <t>Passo</t>
  </si>
  <si>
    <t>CV</t>
  </si>
  <si>
    <t>CT</t>
  </si>
  <si>
    <t>Resultado econômico</t>
  </si>
  <si>
    <t>ÁRVORE DOS PRODUTOS E COEFICIENTE DE MATERIAIS</t>
  </si>
  <si>
    <t>QUESTOES</t>
  </si>
  <si>
    <t>1. Fazer um planilha mostrando o consumo de materiais para o dado plano de vendas (MRP)</t>
  </si>
  <si>
    <t>2. Fazer um planilha mostrando o custo de materiais por produto (Unitário e Total)</t>
  </si>
  <si>
    <t>3. Fazer um planilha mostrando a margem por produto (Unitário e Total) e percentuais</t>
  </si>
  <si>
    <t xml:space="preserve">R$ </t>
  </si>
  <si>
    <t xml:space="preserve">% </t>
  </si>
  <si>
    <t>5. Fazer gráfico de ponto de equilibrio, onde variando-se qualquer parâmetro obtenha-se o novo ponto de equilibrio</t>
  </si>
  <si>
    <t>Pizza muzzarela</t>
  </si>
  <si>
    <t>restrições</t>
  </si>
  <si>
    <t>Resultado/LUCRO</t>
  </si>
  <si>
    <t>Dados as tabelas 1, 2 e 3</t>
  </si>
  <si>
    <t>(Tab1)</t>
  </si>
  <si>
    <t>Lista de Produtos (Tab 2)</t>
  </si>
  <si>
    <t>Tabela 3</t>
  </si>
  <si>
    <t>Mg cont</t>
  </si>
  <si>
    <t>4. Fazer planilha de resultados agregados para a empresa, como o modelo ao lado</t>
  </si>
  <si>
    <t>s/vendas</t>
  </si>
  <si>
    <t>Custo variável total</t>
  </si>
  <si>
    <t>Custo var uni</t>
  </si>
  <si>
    <t>Preço un.</t>
  </si>
  <si>
    <t>Custo UNIT</t>
  </si>
  <si>
    <t>Custo total</t>
  </si>
  <si>
    <t>sem/impostos</t>
  </si>
  <si>
    <t>Preço unitário</t>
  </si>
  <si>
    <t>Tab 4</t>
  </si>
  <si>
    <t>utilizacao</t>
  </si>
  <si>
    <t>com</t>
  </si>
  <si>
    <t>7. Calcular e Fazer comentários sobre o mix de produtos respondendo qual o melhor produto, sabendo que existem restrições de matérias primas (t.1.).</t>
  </si>
  <si>
    <t>LUCRO</t>
  </si>
  <si>
    <t>n</t>
  </si>
  <si>
    <t>A</t>
  </si>
  <si>
    <t>B</t>
  </si>
  <si>
    <t>Q</t>
  </si>
  <si>
    <t>e.ponto</t>
  </si>
  <si>
    <t>P1</t>
  </si>
  <si>
    <t>P1 = 15 - b.Q</t>
  </si>
  <si>
    <t>b</t>
  </si>
  <si>
    <t>P2 = 19 - bQ</t>
  </si>
  <si>
    <t>P3 = 17 - bQ</t>
  </si>
  <si>
    <t>P2</t>
  </si>
  <si>
    <t>P3</t>
  </si>
  <si>
    <t>QUAL O MIX ÓTIMO?</t>
  </si>
  <si>
    <t>DESAFIO</t>
  </si>
  <si>
    <t>FUNÇÃO PRODUÇÃO</t>
  </si>
  <si>
    <t>DRE</t>
  </si>
  <si>
    <t>EBITDA</t>
  </si>
  <si>
    <t>LUCRO OPERACIONAL</t>
  </si>
  <si>
    <t>DEPRECIAÇÃO?</t>
  </si>
  <si>
    <t>FLUXO DE CAIXA PROSPECTIVO (TIR, VPL, PAY BACK)</t>
  </si>
  <si>
    <t>"CONTABILIDADES" FINANCEIRA E GERENCIAL</t>
  </si>
  <si>
    <t>DEBATES SOBRE:</t>
  </si>
  <si>
    <t>8. Mostrar resultados usando o custeio por absorção.</t>
  </si>
  <si>
    <t>(=) LUCRO BRUTO</t>
  </si>
  <si>
    <t>(-) DESPESAS OPERACIONAIS</t>
  </si>
  <si>
    <t>. Administrativas</t>
  </si>
  <si>
    <t xml:space="preserve">(=) EBITDA (LAJIDA) </t>
  </si>
  <si>
    <t>(A OPERAÇÃO ESTÁ RENDENDO CAIXA NESTE VALOR) ESTE VALOR DEVE SER SUFICIENTE PARA PAGAR OS JUROS LÍQUIDOS</t>
  </si>
  <si>
    <t xml:space="preserve"> E O IMPOSTO DE RENDA, BEM COMO OS DIVIDENDOS (REM K QUE REPÕE O KAPITAL INICIAL) AQUI OS FLUXOS </t>
  </si>
  <si>
    <t>DAÍ A IMPORTÂNCIA DE CALCULAR ROI = EBITDA/INVESTIMENTO</t>
  </si>
  <si>
    <t>ROI</t>
  </si>
  <si>
    <t>CPV</t>
  </si>
  <si>
    <t>CUSTOS VARIÁVEIS</t>
  </si>
  <si>
    <t>CUSTOS FIXOS</t>
  </si>
  <si>
    <t>DEP</t>
  </si>
  <si>
    <t>INVESTIMENTO</t>
  </si>
  <si>
    <t>VIDA CONTÁBIL</t>
  </si>
  <si>
    <t>DEP ANUAL</t>
  </si>
  <si>
    <t xml:space="preserve"> (=) RECEITA LÍQUIDA DE VENDAS</t>
  </si>
  <si>
    <r>
      <t xml:space="preserve">(-) CPV/CMV/CSP (aqui entra a </t>
    </r>
    <r>
      <rPr>
        <b/>
        <i/>
        <sz val="10"/>
        <rFont val="Cambria"/>
        <family val="1"/>
      </rPr>
      <t>depreciação</t>
    </r>
    <r>
      <rPr>
        <sz val="10"/>
        <rFont val="Cambria"/>
        <family val="1"/>
      </rPr>
      <t xml:space="preserve"> econômica/financeira/real) maq e eqptos e etc...E A QUESTÃO DE CALCULAR CPV incluindo DEPf.</t>
    </r>
  </si>
  <si>
    <t>[(DEPRECIAÇÕES] O PROBLEMA QUE NA CONTABILIDADE FINANCEIRA OS SENTIDOS SÃO TRATADOS COMO IGUAIS......DEPf = DEP contábil</t>
  </si>
  <si>
    <t>. Vendas (COMISSÕES, POR EXEMPLO)</t>
  </si>
  <si>
    <t>. Gerais</t>
  </si>
  <si>
    <t>(=) LUCRO OPERACIONAL</t>
  </si>
  <si>
    <t>(+) DEPRECIAÇÃO (aquela que entrou no CPV; isto é, a DEPf)</t>
  </si>
  <si>
    <t xml:space="preserve">(A OPERAÇÃO ESTÁ RENDENDO CAIXA NESTE VALOR) ESTE VALOR DEVE SER SUFICIENTE PARA PAGAR OS JUROS LÍQUIDOS E O IMPOSTO DE RENDA, BEM COMO OS DIVIDENDOS (REM K QUE REPÕE O KAPITAL INICIAL) AQUI OS FLUXOS </t>
  </si>
  <si>
    <t>(-) Depreciação/amortização/exaustão (contábil)</t>
  </si>
  <si>
    <r>
      <t xml:space="preserve">(=) LUCRO LÍQUIDO, DEPOIS DO IR (LADIR) = </t>
    </r>
    <r>
      <rPr>
        <b/>
        <sz val="10"/>
        <rFont val="Cambria"/>
        <family val="1"/>
      </rPr>
      <t>EBITDA - IR</t>
    </r>
  </si>
  <si>
    <t>VIDA CONTÁBIL [ANOS]</t>
  </si>
  <si>
    <t>R$/MÊS</t>
  </si>
  <si>
    <t xml:space="preserve"> (=) LUCRO ANTES DO IR e CS (LAIR) - LUCRO TRIBUTÁVEL</t>
  </si>
  <si>
    <t>(-) Provisão para IR e CS (30%)</t>
  </si>
  <si>
    <t>TIR</t>
  </si>
  <si>
    <t>Resultado - EBITDA</t>
  </si>
  <si>
    <t>depreciaçao</t>
  </si>
  <si>
    <t>contábil</t>
  </si>
  <si>
    <t>depreciaçao gerencial</t>
  </si>
  <si>
    <t>depreciaçao econômica</t>
  </si>
  <si>
    <t>depreciaçao física</t>
  </si>
  <si>
    <t>(-) depreciaçao gerencial</t>
  </si>
  <si>
    <t>(=) LUCRO FINAL</t>
  </si>
  <si>
    <t>(como se fossem os custos da fábrica que somados aos indiretos compõem os</t>
  </si>
  <si>
    <t>CGF ou CGI que serao rateados nos produtos…</t>
  </si>
  <si>
    <r>
      <t xml:space="preserve">(=) LUCRO  DEPOIS DO IR (LAIR) = </t>
    </r>
    <r>
      <rPr>
        <b/>
        <sz val="10"/>
        <rFont val="Cambria"/>
        <family val="1"/>
      </rPr>
      <t>EBITDA - IR</t>
    </r>
  </si>
  <si>
    <t>(-) IMPOSTOS</t>
  </si>
  <si>
    <t>(+) RECEITA BRUTA</t>
  </si>
  <si>
    <t>6. Analisar o lucro, dado que o investimento inicial foi de R$ 120 mil. (CALCULAR ROI COMO SE O INVESTIMENTO FOSSE O INVESTIMENTO INICIAL TOTAL). PARA DIFERENCIAR DO ROA E ROE</t>
  </si>
  <si>
    <t>(-) Depreciação GERENCIAL/amortização/exaustão (contábil)</t>
  </si>
  <si>
    <t>fluxo de caixa prospectivo (INFINITO HORIZONTE DO PROJETO)</t>
  </si>
  <si>
    <t xml:space="preserve">USANDO </t>
  </si>
  <si>
    <t>MODELOS CAUSAIS</t>
  </si>
  <si>
    <t>Muzzarela</t>
  </si>
  <si>
    <t>Marguerita</t>
  </si>
  <si>
    <t>pronunciamento contábil CPC 27 (IFRS IAS 16)</t>
  </si>
  <si>
    <t>média ponderada</t>
  </si>
  <si>
    <t>ANALISE DE VIDA ECONOMICA</t>
  </si>
  <si>
    <t xml:space="preserve"> </t>
  </si>
  <si>
    <t>VALOR AQUISICAO:</t>
  </si>
  <si>
    <t>DEPRECIACAO ANUAL:</t>
  </si>
  <si>
    <t>TAXA ANUAL:</t>
  </si>
  <si>
    <t>TAXA IR:</t>
  </si>
  <si>
    <t>APOS ANO</t>
  </si>
  <si>
    <t>VALOR DE MERCADO</t>
  </si>
  <si>
    <t>VP do valor de mercado</t>
  </si>
  <si>
    <t>CUSTO DE MANUTENCAO</t>
  </si>
  <si>
    <t>VP custo de manutencao</t>
  </si>
  <si>
    <t>Valor Contabil</t>
  </si>
  <si>
    <t>Depreciacao</t>
  </si>
  <si>
    <t>Base imposto</t>
  </si>
  <si>
    <t>IR sobre depreciacao</t>
  </si>
  <si>
    <t>VP de IR sobre depreciacao</t>
  </si>
  <si>
    <t>Lucro contabil</t>
  </si>
  <si>
    <t>IR sobre lucro contabil</t>
  </si>
  <si>
    <t>VP de IR lucro contabil</t>
  </si>
  <si>
    <t>Resultados, subst. apos:</t>
  </si>
  <si>
    <t>1 ANO</t>
  </si>
  <si>
    <t>2 ANOS</t>
  </si>
  <si>
    <t>3 ANOS</t>
  </si>
  <si>
    <t>4 ANOS</t>
  </si>
  <si>
    <t>5 ANOS</t>
  </si>
  <si>
    <t>6 ANOS</t>
  </si>
  <si>
    <t>7 ANOS</t>
  </si>
  <si>
    <t>8 ANOS</t>
  </si>
  <si>
    <t>9 ANOS</t>
  </si>
  <si>
    <t>10 ANOS</t>
  </si>
  <si>
    <t>Valor aquisicao</t>
  </si>
  <si>
    <t>(+) valor manutencao</t>
  </si>
  <si>
    <t>(-) IR depreciacao</t>
  </si>
  <si>
    <t>(-) valor mercado</t>
  </si>
  <si>
    <t>(+) IR s/ valor mercado</t>
  </si>
  <si>
    <t>(=) Valor presente</t>
  </si>
  <si>
    <t>Custo anual equiv.</t>
  </si>
  <si>
    <t>vida econômica = 3 anos</t>
  </si>
  <si>
    <t>5 anos</t>
  </si>
  <si>
    <t>tenho que simular com 10 anos</t>
  </si>
  <si>
    <t>dep = 20%</t>
  </si>
  <si>
    <t>valor econômico = 35571/ano</t>
  </si>
  <si>
    <t>3 anos</t>
  </si>
  <si>
    <t>fluxo de caixa prospectivo (10 ANOS DE HORIZONTE DO PROJETO)</t>
  </si>
  <si>
    <t>Previsão de demanda por produto</t>
  </si>
  <si>
    <t>os cf da fábrica estao incluidos no CPV</t>
  </si>
</sst>
</file>

<file path=xl/styles.xml><?xml version="1.0" encoding="utf-8"?>
<styleSheet xmlns="http://schemas.openxmlformats.org/spreadsheetml/2006/main">
  <numFmts count="3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%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0.000"/>
    <numFmt numFmtId="183" formatCode="#,#00"/>
    <numFmt numFmtId="184" formatCode="_(* #.##0_);_(* \(#.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"/>
    <numFmt numFmtId="190" formatCode="_(* #,##0.000_);_(* \(#,##0.000\);_(* &quot;-&quot;??_);_(@_)"/>
    <numFmt numFmtId="191" formatCode="0.0000000"/>
    <numFmt numFmtId="192" formatCode="0.000000"/>
    <numFmt numFmtId="193" formatCode="0.00000"/>
    <numFmt numFmtId="194" formatCode="0.0000"/>
  </numFmts>
  <fonts count="6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20"/>
      <name val="Arial"/>
      <family val="2"/>
    </font>
    <font>
      <b/>
      <sz val="10"/>
      <color indexed="11"/>
      <name val="Arial"/>
      <family val="2"/>
    </font>
    <font>
      <b/>
      <sz val="10"/>
      <color indexed="57"/>
      <name val="Arial"/>
      <family val="2"/>
    </font>
    <font>
      <b/>
      <sz val="12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i/>
      <sz val="10"/>
      <name val="Cambria"/>
      <family val="1"/>
    </font>
    <font>
      <sz val="12"/>
      <name val="Times New Roman"/>
      <family val="1"/>
    </font>
    <font>
      <sz val="12"/>
      <color indexed="8"/>
      <name val="Courier"/>
      <family val="1"/>
    </font>
    <font>
      <b/>
      <sz val="14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b/>
      <sz val="18"/>
      <color indexed="8"/>
      <name val="Calibri"/>
      <family val="2"/>
    </font>
    <font>
      <sz val="9.5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2"/>
    </font>
    <font>
      <sz val="8.25"/>
      <color indexed="63"/>
      <name val="Calibri"/>
      <family val="2"/>
    </font>
    <font>
      <b/>
      <sz val="11.5"/>
      <color indexed="8"/>
      <name val="Arial"/>
      <family val="2"/>
    </font>
    <font>
      <sz val="7.35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BE0E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43" fontId="0" fillId="0" borderId="0" xfId="0" applyNumberFormat="1" applyAlignment="1">
      <alignment/>
    </xf>
    <xf numFmtId="9" fontId="0" fillId="0" borderId="0" xfId="59" applyFont="1" applyAlignment="1">
      <alignment/>
    </xf>
    <xf numFmtId="178" fontId="0" fillId="0" borderId="0" xfId="59" applyNumberFormat="1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9" fontId="0" fillId="33" borderId="0" xfId="0" applyNumberFormat="1" applyFill="1" applyAlignment="1">
      <alignment/>
    </xf>
    <xf numFmtId="10" fontId="0" fillId="33" borderId="0" xfId="59" applyNumberFormat="1" applyFont="1" applyFill="1" applyAlignment="1">
      <alignment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1" fillId="38" borderId="22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1" fillId="38" borderId="25" xfId="0" applyFont="1" applyFill="1" applyBorder="1" applyAlignment="1">
      <alignment/>
    </xf>
    <xf numFmtId="0" fontId="1" fillId="39" borderId="26" xfId="0" applyFont="1" applyFill="1" applyBorder="1" applyAlignment="1">
      <alignment/>
    </xf>
    <xf numFmtId="0" fontId="1" fillId="40" borderId="27" xfId="42" applyNumberFormat="1" applyFont="1" applyFill="1" applyBorder="1" applyAlignment="1">
      <alignment/>
    </xf>
    <xf numFmtId="0" fontId="1" fillId="40" borderId="28" xfId="42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5" fillId="33" borderId="31" xfId="0" applyFont="1" applyFill="1" applyBorder="1" applyAlignment="1" applyProtection="1">
      <alignment/>
      <protection locked="0"/>
    </xf>
    <xf numFmtId="0" fontId="5" fillId="33" borderId="16" xfId="0" applyFont="1" applyFill="1" applyBorder="1" applyAlignment="1" applyProtection="1">
      <alignment/>
      <protection locked="0"/>
    </xf>
    <xf numFmtId="0" fontId="5" fillId="33" borderId="19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/>
      <protection locked="0"/>
    </xf>
    <xf numFmtId="43" fontId="5" fillId="33" borderId="16" xfId="42" applyFont="1" applyFill="1" applyBorder="1" applyAlignment="1" applyProtection="1">
      <alignment/>
      <protection locked="0"/>
    </xf>
    <xf numFmtId="9" fontId="5" fillId="33" borderId="16" xfId="0" applyNumberFormat="1" applyFont="1" applyFill="1" applyBorder="1" applyAlignment="1" applyProtection="1">
      <alignment/>
      <protection locked="0"/>
    </xf>
    <xf numFmtId="0" fontId="5" fillId="33" borderId="32" xfId="0" applyFont="1" applyFill="1" applyBorder="1" applyAlignment="1" applyProtection="1">
      <alignment/>
      <protection locked="0"/>
    </xf>
    <xf numFmtId="0" fontId="5" fillId="33" borderId="33" xfId="0" applyFont="1" applyFill="1" applyBorder="1" applyAlignment="1" applyProtection="1">
      <alignment/>
      <protection locked="0"/>
    </xf>
    <xf numFmtId="43" fontId="5" fillId="33" borderId="34" xfId="42" applyFont="1" applyFill="1" applyBorder="1" applyAlignment="1" applyProtection="1">
      <alignment/>
      <protection locked="0"/>
    </xf>
    <xf numFmtId="43" fontId="6" fillId="0" borderId="35" xfId="0" applyNumberFormat="1" applyFont="1" applyBorder="1" applyAlignment="1">
      <alignment/>
    </xf>
    <xf numFmtId="43" fontId="6" fillId="0" borderId="36" xfId="0" applyNumberFormat="1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1" fillId="39" borderId="39" xfId="0" applyFont="1" applyFill="1" applyBorder="1" applyAlignment="1">
      <alignment/>
    </xf>
    <xf numFmtId="0" fontId="1" fillId="39" borderId="40" xfId="0" applyFont="1" applyFill="1" applyBorder="1" applyAlignment="1">
      <alignment/>
    </xf>
    <xf numFmtId="0" fontId="3" fillId="37" borderId="32" xfId="0" applyFont="1" applyFill="1" applyBorder="1" applyAlignment="1">
      <alignment/>
    </xf>
    <xf numFmtId="0" fontId="3" fillId="37" borderId="33" xfId="0" applyFont="1" applyFill="1" applyBorder="1" applyAlignment="1">
      <alignment/>
    </xf>
    <xf numFmtId="0" fontId="3" fillId="37" borderId="34" xfId="0" applyFont="1" applyFill="1" applyBorder="1" applyAlignment="1">
      <alignment/>
    </xf>
    <xf numFmtId="0" fontId="1" fillId="38" borderId="41" xfId="0" applyFont="1" applyFill="1" applyBorder="1" applyAlignment="1">
      <alignment/>
    </xf>
    <xf numFmtId="0" fontId="1" fillId="38" borderId="42" xfId="0" applyFont="1" applyFill="1" applyBorder="1" applyAlignment="1">
      <alignment/>
    </xf>
    <xf numFmtId="43" fontId="1" fillId="36" borderId="23" xfId="0" applyNumberFormat="1" applyFont="1" applyFill="1" applyBorder="1" applyAlignment="1">
      <alignment/>
    </xf>
    <xf numFmtId="43" fontId="1" fillId="40" borderId="27" xfId="42" applyFont="1" applyFill="1" applyBorder="1" applyAlignment="1">
      <alignment/>
    </xf>
    <xf numFmtId="43" fontId="1" fillId="36" borderId="24" xfId="0" applyNumberFormat="1" applyFont="1" applyFill="1" applyBorder="1" applyAlignment="1">
      <alignment/>
    </xf>
    <xf numFmtId="43" fontId="1" fillId="40" borderId="28" xfId="42" applyFont="1" applyFill="1" applyBorder="1" applyAlignment="1">
      <alignment/>
    </xf>
    <xf numFmtId="43" fontId="1" fillId="33" borderId="16" xfId="0" applyNumberFormat="1" applyFont="1" applyFill="1" applyBorder="1" applyAlignment="1">
      <alignment/>
    </xf>
    <xf numFmtId="43" fontId="1" fillId="33" borderId="18" xfId="0" applyNumberFormat="1" applyFont="1" applyFill="1" applyBorder="1" applyAlignment="1">
      <alignment/>
    </xf>
    <xf numFmtId="43" fontId="4" fillId="33" borderId="29" xfId="0" applyNumberFormat="1" applyFont="1" applyFill="1" applyBorder="1" applyAlignment="1">
      <alignment/>
    </xf>
    <xf numFmtId="43" fontId="4" fillId="33" borderId="16" xfId="0" applyNumberFormat="1" applyFont="1" applyFill="1" applyBorder="1" applyAlignment="1">
      <alignment/>
    </xf>
    <xf numFmtId="43" fontId="4" fillId="33" borderId="19" xfId="0" applyNumberFormat="1" applyFont="1" applyFill="1" applyBorder="1" applyAlignment="1">
      <alignment/>
    </xf>
    <xf numFmtId="43" fontId="4" fillId="33" borderId="30" xfId="0" applyNumberFormat="1" applyFont="1" applyFill="1" applyBorder="1" applyAlignment="1">
      <alignment/>
    </xf>
    <xf numFmtId="43" fontId="4" fillId="33" borderId="18" xfId="0" applyNumberFormat="1" applyFont="1" applyFill="1" applyBorder="1" applyAlignment="1">
      <alignment/>
    </xf>
    <xf numFmtId="43" fontId="4" fillId="33" borderId="20" xfId="0" applyNumberFormat="1" applyFont="1" applyFill="1" applyBorder="1" applyAlignment="1">
      <alignment/>
    </xf>
    <xf numFmtId="43" fontId="0" fillId="33" borderId="43" xfId="42" applyFont="1" applyFill="1" applyBorder="1" applyAlignment="1">
      <alignment/>
    </xf>
    <xf numFmtId="43" fontId="0" fillId="33" borderId="0" xfId="0" applyNumberFormat="1" applyFill="1" applyAlignment="1">
      <alignment/>
    </xf>
    <xf numFmtId="0" fontId="3" fillId="35" borderId="10" xfId="0" applyFont="1" applyFill="1" applyBorder="1" applyAlignment="1">
      <alignment/>
    </xf>
    <xf numFmtId="43" fontId="1" fillId="36" borderId="16" xfId="42" applyFont="1" applyFill="1" applyBorder="1" applyAlignment="1">
      <alignment/>
    </xf>
    <xf numFmtId="0" fontId="3" fillId="35" borderId="11" xfId="0" applyFont="1" applyFill="1" applyBorder="1" applyAlignment="1">
      <alignment/>
    </xf>
    <xf numFmtId="43" fontId="1" fillId="41" borderId="16" xfId="42" applyFont="1" applyFill="1" applyBorder="1" applyAlignment="1">
      <alignment/>
    </xf>
    <xf numFmtId="10" fontId="5" fillId="34" borderId="16" xfId="59" applyNumberFormat="1" applyFont="1" applyFill="1" applyBorder="1" applyAlignment="1">
      <alignment/>
    </xf>
    <xf numFmtId="10" fontId="5" fillId="34" borderId="18" xfId="59" applyNumberFormat="1" applyFont="1" applyFill="1" applyBorder="1" applyAlignment="1">
      <alignment/>
    </xf>
    <xf numFmtId="43" fontId="0" fillId="33" borderId="44" xfId="42" applyFont="1" applyFill="1" applyBorder="1" applyAlignment="1">
      <alignment/>
    </xf>
    <xf numFmtId="0" fontId="1" fillId="34" borderId="45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8" borderId="46" xfId="0" applyFont="1" applyFill="1" applyBorder="1" applyAlignment="1">
      <alignment/>
    </xf>
    <xf numFmtId="0" fontId="1" fillId="41" borderId="46" xfId="0" applyFont="1" applyFill="1" applyBorder="1" applyAlignment="1">
      <alignment/>
    </xf>
    <xf numFmtId="178" fontId="2" fillId="33" borderId="47" xfId="59" applyNumberFormat="1" applyFont="1" applyFill="1" applyBorder="1" applyAlignment="1">
      <alignment/>
    </xf>
    <xf numFmtId="178" fontId="2" fillId="41" borderId="47" xfId="59" applyNumberFormat="1" applyFont="1" applyFill="1" applyBorder="1" applyAlignment="1">
      <alignment/>
    </xf>
    <xf numFmtId="178" fontId="2" fillId="33" borderId="48" xfId="59" applyNumberFormat="1" applyFont="1" applyFill="1" applyBorder="1" applyAlignment="1">
      <alignment/>
    </xf>
    <xf numFmtId="178" fontId="2" fillId="33" borderId="49" xfId="59" applyNumberFormat="1" applyFont="1" applyFill="1" applyBorder="1" applyAlignment="1">
      <alignment/>
    </xf>
    <xf numFmtId="43" fontId="1" fillId="38" borderId="44" xfId="42" applyFont="1" applyFill="1" applyBorder="1" applyAlignment="1">
      <alignment/>
    </xf>
    <xf numFmtId="178" fontId="2" fillId="38" borderId="47" xfId="59" applyNumberFormat="1" applyFont="1" applyFill="1" applyBorder="1" applyAlignment="1">
      <alignment/>
    </xf>
    <xf numFmtId="43" fontId="1" fillId="38" borderId="50" xfId="0" applyNumberFormat="1" applyFont="1" applyFill="1" applyBorder="1" applyAlignment="1">
      <alignment/>
    </xf>
    <xf numFmtId="180" fontId="0" fillId="0" borderId="0" xfId="42" applyNumberFormat="1" applyFont="1" applyAlignment="1">
      <alignment/>
    </xf>
    <xf numFmtId="180" fontId="0" fillId="0" borderId="0" xfId="0" applyNumberFormat="1" applyAlignment="1">
      <alignment/>
    </xf>
    <xf numFmtId="178" fontId="2" fillId="38" borderId="48" xfId="0" applyNumberFormat="1" applyFont="1" applyFill="1" applyBorder="1" applyAlignment="1">
      <alignment/>
    </xf>
    <xf numFmtId="178" fontId="2" fillId="39" borderId="47" xfId="59" applyNumberFormat="1" applyFont="1" applyFill="1" applyBorder="1" applyAlignment="1">
      <alignment/>
    </xf>
    <xf numFmtId="43" fontId="1" fillId="39" borderId="44" xfId="0" applyNumberFormat="1" applyFont="1" applyFill="1" applyBorder="1" applyAlignment="1">
      <alignment/>
    </xf>
    <xf numFmtId="0" fontId="1" fillId="38" borderId="45" xfId="0" applyFont="1" applyFill="1" applyBorder="1" applyAlignment="1">
      <alignment/>
    </xf>
    <xf numFmtId="0" fontId="1" fillId="42" borderId="46" xfId="0" applyFont="1" applyFill="1" applyBorder="1" applyAlignment="1">
      <alignment/>
    </xf>
    <xf numFmtId="0" fontId="1" fillId="39" borderId="46" xfId="0" applyFont="1" applyFill="1" applyBorder="1" applyAlignment="1">
      <alignment/>
    </xf>
    <xf numFmtId="10" fontId="8" fillId="43" borderId="19" xfId="59" applyNumberFormat="1" applyFont="1" applyFill="1" applyBorder="1" applyAlignment="1">
      <alignment/>
    </xf>
    <xf numFmtId="10" fontId="8" fillId="43" borderId="20" xfId="59" applyNumberFormat="1" applyFont="1" applyFill="1" applyBorder="1" applyAlignment="1">
      <alignment/>
    </xf>
    <xf numFmtId="0" fontId="5" fillId="33" borderId="51" xfId="0" applyFont="1" applyFill="1" applyBorder="1" applyAlignment="1" applyProtection="1">
      <alignment/>
      <protection locked="0"/>
    </xf>
    <xf numFmtId="0" fontId="5" fillId="33" borderId="37" xfId="0" applyFont="1" applyFill="1" applyBorder="1" applyAlignment="1" applyProtection="1">
      <alignment/>
      <protection locked="0"/>
    </xf>
    <xf numFmtId="43" fontId="5" fillId="33" borderId="37" xfId="42" applyFont="1" applyFill="1" applyBorder="1" applyAlignment="1" applyProtection="1">
      <alignment/>
      <protection locked="0"/>
    </xf>
    <xf numFmtId="9" fontId="5" fillId="33" borderId="37" xfId="0" applyNumberFormat="1" applyFont="1" applyFill="1" applyBorder="1" applyAlignment="1" applyProtection="1">
      <alignment/>
      <protection locked="0"/>
    </xf>
    <xf numFmtId="9" fontId="1" fillId="36" borderId="16" xfId="42" applyNumberFormat="1" applyFont="1" applyFill="1" applyBorder="1" applyAlignment="1">
      <alignment/>
    </xf>
    <xf numFmtId="43" fontId="9" fillId="33" borderId="16" xfId="0" applyNumberFormat="1" applyFont="1" applyFill="1" applyBorder="1" applyAlignment="1">
      <alignment/>
    </xf>
    <xf numFmtId="43" fontId="0" fillId="33" borderId="50" xfId="42" applyNumberFormat="1" applyFont="1" applyFill="1" applyBorder="1" applyAlignment="1">
      <alignment/>
    </xf>
    <xf numFmtId="0" fontId="3" fillId="35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left"/>
    </xf>
    <xf numFmtId="43" fontId="1" fillId="41" borderId="44" xfId="42" applyFont="1" applyFill="1" applyBorder="1" applyAlignment="1">
      <alignment horizontal="center"/>
    </xf>
    <xf numFmtId="178" fontId="2" fillId="41" borderId="47" xfId="59" applyNumberFormat="1" applyFont="1" applyFill="1" applyBorder="1" applyAlignment="1">
      <alignment horizontal="center"/>
    </xf>
    <xf numFmtId="43" fontId="3" fillId="37" borderId="32" xfId="0" applyNumberFormat="1" applyFont="1" applyFill="1" applyBorder="1" applyAlignment="1">
      <alignment/>
    </xf>
    <xf numFmtId="43" fontId="1" fillId="36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1" fontId="1" fillId="36" borderId="16" xfId="59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/>
    </xf>
    <xf numFmtId="43" fontId="0" fillId="33" borderId="0" xfId="42" applyFont="1" applyFill="1" applyAlignment="1">
      <alignment/>
    </xf>
    <xf numFmtId="9" fontId="0" fillId="33" borderId="0" xfId="59" applyFont="1" applyFill="1" applyAlignment="1">
      <alignment/>
    </xf>
    <xf numFmtId="0" fontId="0" fillId="0" borderId="0" xfId="0" applyAlignment="1">
      <alignment horizontal="center"/>
    </xf>
    <xf numFmtId="181" fontId="0" fillId="0" borderId="0" xfId="42" applyNumberFormat="1" applyFont="1" applyAlignment="1">
      <alignment horizontal="left" indent="2"/>
    </xf>
    <xf numFmtId="181" fontId="0" fillId="0" borderId="0" xfId="42" applyNumberFormat="1" applyFont="1" applyAlignment="1">
      <alignment horizontal="center"/>
    </xf>
    <xf numFmtId="0" fontId="0" fillId="0" borderId="53" xfId="0" applyBorder="1" applyAlignment="1">
      <alignment/>
    </xf>
    <xf numFmtId="43" fontId="0" fillId="0" borderId="0" xfId="42" applyFont="1" applyAlignment="1">
      <alignment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33" borderId="0" xfId="0" applyFill="1" applyAlignment="1">
      <alignment horizontal="center"/>
    </xf>
    <xf numFmtId="9" fontId="0" fillId="33" borderId="0" xfId="0" applyNumberFormat="1" applyFill="1" applyAlignment="1">
      <alignment horizontal="center"/>
    </xf>
    <xf numFmtId="0" fontId="0" fillId="44" borderId="0" xfId="0" applyFill="1" applyAlignment="1">
      <alignment/>
    </xf>
    <xf numFmtId="178" fontId="0" fillId="33" borderId="0" xfId="0" applyNumberFormat="1" applyFill="1" applyAlignment="1">
      <alignment horizontal="center"/>
    </xf>
    <xf numFmtId="0" fontId="65" fillId="45" borderId="54" xfId="0" applyFont="1" applyFill="1" applyBorder="1" applyAlignment="1">
      <alignment horizontal="center" wrapText="1" readingOrder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74" fontId="16" fillId="0" borderId="0" xfId="0" applyNumberFormat="1" applyFont="1" applyFill="1" applyAlignment="1" applyProtection="1">
      <alignment horizontal="left"/>
      <protection/>
    </xf>
    <xf numFmtId="189" fontId="0" fillId="0" borderId="0" xfId="0" applyNumberFormat="1" applyFont="1" applyAlignment="1" applyProtection="1">
      <alignment/>
      <protection locked="0"/>
    </xf>
    <xf numFmtId="9" fontId="0" fillId="0" borderId="0" xfId="0" applyNumberFormat="1" applyFont="1" applyAlignment="1" applyProtection="1">
      <alignment/>
      <protection locked="0"/>
    </xf>
    <xf numFmtId="174" fontId="16" fillId="0" borderId="0" xfId="0" applyNumberFormat="1" applyFont="1" applyFill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189" fontId="0" fillId="0" borderId="0" xfId="0" applyNumberFormat="1" applyAlignment="1" applyProtection="1">
      <alignment/>
      <protection/>
    </xf>
    <xf numFmtId="189" fontId="16" fillId="0" borderId="0" xfId="0" applyNumberFormat="1" applyFont="1" applyFill="1" applyAlignment="1" applyProtection="1">
      <alignment horizontal="right"/>
      <protection/>
    </xf>
    <xf numFmtId="189" fontId="0" fillId="44" borderId="0" xfId="0" applyNumberFormat="1" applyFill="1" applyAlignment="1" applyProtection="1">
      <alignment/>
      <protection/>
    </xf>
    <xf numFmtId="189" fontId="0" fillId="0" borderId="0" xfId="0" applyNumberFormat="1" applyFill="1" applyAlignment="1" applyProtection="1">
      <alignment/>
      <protection/>
    </xf>
    <xf numFmtId="190" fontId="0" fillId="0" borderId="0" xfId="42" applyNumberFormat="1" applyFont="1" applyAlignment="1">
      <alignment/>
    </xf>
    <xf numFmtId="9" fontId="0" fillId="0" borderId="0" xfId="0" applyNumberFormat="1" applyAlignment="1">
      <alignment/>
    </xf>
    <xf numFmtId="0" fontId="17" fillId="33" borderId="0" xfId="0" applyFont="1" applyFill="1" applyAlignment="1">
      <alignment/>
    </xf>
    <xf numFmtId="0" fontId="1" fillId="34" borderId="53" xfId="0" applyFont="1" applyFill="1" applyBorder="1" applyAlignment="1">
      <alignment/>
    </xf>
    <xf numFmtId="0" fontId="1" fillId="33" borderId="53" xfId="0" applyFont="1" applyFill="1" applyBorder="1" applyAlignment="1">
      <alignment/>
    </xf>
    <xf numFmtId="0" fontId="0" fillId="33" borderId="53" xfId="0" applyFill="1" applyBorder="1" applyAlignment="1">
      <alignment/>
    </xf>
    <xf numFmtId="0" fontId="5" fillId="33" borderId="53" xfId="0" applyFont="1" applyFill="1" applyBorder="1" applyAlignment="1" applyProtection="1">
      <alignment/>
      <protection locked="0"/>
    </xf>
    <xf numFmtId="43" fontId="5" fillId="33" borderId="53" xfId="42" applyFont="1" applyFill="1" applyBorder="1" applyAlignment="1" applyProtection="1">
      <alignment/>
      <protection locked="0"/>
    </xf>
    <xf numFmtId="43" fontId="0" fillId="0" borderId="0" xfId="42" applyFont="1" applyAlignment="1">
      <alignment horizontal="left"/>
    </xf>
    <xf numFmtId="0" fontId="3" fillId="35" borderId="52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7"/>
          <c:y val="0.095"/>
          <c:w val="0.98625"/>
          <c:h val="0.909"/>
        </c:manualLayout>
      </c:layout>
      <c:lineChart>
        <c:grouping val="standard"/>
        <c:varyColors val="0"/>
        <c:ser>
          <c:idx val="0"/>
          <c:order val="0"/>
          <c:tx>
            <c:v>CUSTO DE PROPRIEDADE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'substituicao econ'!$C$10:$L$10</c:f>
              <c:numCache/>
            </c:numRef>
          </c:cat>
          <c:val>
            <c:numRef>
              <c:f>'substituicao econ'!$C$12:$L$12</c:f>
              <c:numCache/>
            </c:numRef>
          </c:val>
          <c:smooth val="0"/>
        </c:ser>
        <c:ser>
          <c:idx val="1"/>
          <c:order val="1"/>
          <c:tx>
            <c:v>CUSTO DE MANUT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'substituicao econ'!$C$10:$L$10</c:f>
              <c:numCache/>
            </c:numRef>
          </c:cat>
          <c:val>
            <c:numRef>
              <c:f>'substituicao econ'!$C$15:$L$15</c:f>
              <c:numCache/>
            </c:numRef>
          </c:val>
          <c:smooth val="0"/>
        </c:ser>
        <c:marker val="1"/>
        <c:axId val="44966137"/>
        <c:axId val="2042050"/>
      </c:lineChart>
      <c:catAx>
        <c:axId val="449661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42050"/>
        <c:crosses val="autoZero"/>
        <c:auto val="1"/>
        <c:lblOffset val="100"/>
        <c:tickLblSkip val="1"/>
        <c:noMultiLvlLbl val="0"/>
      </c:catAx>
      <c:valAx>
        <c:axId val="20420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9661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225"/>
          <c:y val="0.08425"/>
          <c:w val="0.982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'PREVISAO de demanda (temporais)'!$F$7</c:f>
              <c:strCache>
                <c:ptCount val="1"/>
                <c:pt idx="0">
                  <c:v>Muzzarela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'PREVISAO de demanda (temporais)'!$F$8:$F$17</c:f>
              <c:numCache/>
            </c:numRef>
          </c:val>
          <c:smooth val="0"/>
        </c:ser>
        <c:ser>
          <c:idx val="1"/>
          <c:order val="1"/>
          <c:tx>
            <c:strRef>
              <c:f>'PREVISAO de demanda (temporais)'!$G$7</c:f>
              <c:strCache>
                <c:ptCount val="1"/>
                <c:pt idx="0">
                  <c:v>Presunto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'PREVISAO de demanda (temporais)'!$G$8:$G$17</c:f>
              <c:numCache/>
            </c:numRef>
          </c:val>
          <c:smooth val="0"/>
        </c:ser>
        <c:ser>
          <c:idx val="2"/>
          <c:order val="2"/>
          <c:tx>
            <c:strRef>
              <c:f>'PREVISAO de demanda (temporais)'!$H$7</c:f>
              <c:strCache>
                <c:ptCount val="1"/>
                <c:pt idx="0">
                  <c:v>Marguerita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val>
            <c:numRef>
              <c:f>'PREVISAO de demanda (temporais)'!$H$8:$H$17</c:f>
              <c:numCache/>
            </c:numRef>
          </c:val>
          <c:smooth val="0"/>
        </c:ser>
        <c:marker val="1"/>
        <c:axId val="18378451"/>
        <c:axId val="31188332"/>
      </c:lineChart>
      <c:catAx>
        <c:axId val="18378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188332"/>
        <c:crosses val="autoZero"/>
        <c:auto val="1"/>
        <c:lblOffset val="100"/>
        <c:tickLblSkip val="1"/>
        <c:noMultiLvlLbl val="0"/>
      </c:catAx>
      <c:valAx>
        <c:axId val="311883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3784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6"/>
          <c:y val="0.936"/>
          <c:w val="0.463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1475"/>
          <c:y val="0.1255"/>
          <c:w val="0.99525"/>
          <c:h val="0.88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(causais)'!$N$28</c:f>
              <c:strCache>
                <c:ptCount val="1"/>
                <c:pt idx="0">
                  <c:v>P1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'PREVISÃO DEMANDA (causais)'!$M$29:$M$38</c:f>
              <c:numCache/>
            </c:numRef>
          </c:xVal>
          <c:yVal>
            <c:numRef>
              <c:f>'PREVISÃO DEMANDA (causais)'!$N$29:$N$38</c:f>
              <c:numCache/>
            </c:numRef>
          </c:yVal>
          <c:smooth val="0"/>
        </c:ser>
        <c:axId val="12259533"/>
        <c:axId val="43226934"/>
      </c:scatterChart>
      <c:valAx>
        <c:axId val="1225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26934"/>
        <c:crosses val="autoZero"/>
        <c:crossBetween val="midCat"/>
        <c:dispUnits/>
      </c:valAx>
      <c:valAx>
        <c:axId val="432269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5953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3"/>
          <c:y val="0.1255"/>
          <c:w val="0.9925"/>
          <c:h val="0.88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(causais)'!$N$40</c:f>
              <c:strCache>
                <c:ptCount val="1"/>
                <c:pt idx="0">
                  <c:v>P2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'PREVISÃO DEMANDA (causais)'!$M$41:$M$50</c:f>
              <c:numCache/>
            </c:numRef>
          </c:xVal>
          <c:yVal>
            <c:numRef>
              <c:f>'PREVISÃO DEMANDA (causais)'!$N$41:$N$50</c:f>
              <c:numCache/>
            </c:numRef>
          </c:yVal>
          <c:smooth val="0"/>
        </c:ser>
        <c:axId val="53498087"/>
        <c:axId val="11720736"/>
      </c:scatterChart>
      <c:valAx>
        <c:axId val="53498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20736"/>
        <c:crosses val="autoZero"/>
        <c:crossBetween val="midCat"/>
        <c:dispUnits/>
      </c:valAx>
      <c:valAx>
        <c:axId val="117207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980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75"/>
          <c:y val="0.1255"/>
          <c:w val="0.966"/>
          <c:h val="0.88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(causais)'!$N$53</c:f>
              <c:strCache>
                <c:ptCount val="1"/>
                <c:pt idx="0">
                  <c:v>P3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'PREVISÃO DEMANDA (causais)'!$M$54:$M$63</c:f>
              <c:numCache/>
            </c:numRef>
          </c:xVal>
          <c:yVal>
            <c:numRef>
              <c:f>'PREVISÃO DEMANDA (causais)'!$N$54:$N$63</c:f>
              <c:numCache/>
            </c:numRef>
          </c:yVal>
          <c:smooth val="0"/>
        </c:ser>
        <c:axId val="38377761"/>
        <c:axId val="9855530"/>
      </c:scatterChart>
      <c:valAx>
        <c:axId val="38377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55530"/>
        <c:crosses val="autoZero"/>
        <c:crossBetween val="midCat"/>
        <c:dispUnits/>
      </c:valAx>
      <c:valAx>
        <c:axId val="9855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777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Ponto de equilíbrio</a:t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775"/>
          <c:w val="0.90525"/>
          <c:h val="0.87175"/>
        </c:manualLayout>
      </c:layout>
      <c:lineChart>
        <c:grouping val="standard"/>
        <c:varyColors val="0"/>
        <c:ser>
          <c:idx val="1"/>
          <c:order val="0"/>
          <c:tx>
            <c:strRef>
              <c:f>PED!$B$9</c:f>
              <c:strCache>
                <c:ptCount val="1"/>
                <c:pt idx="0">
                  <c:v>CF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PED!$B$10:$B$21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PED!$C$9</c:f>
              <c:strCache>
                <c:ptCount val="1"/>
                <c:pt idx="0">
                  <c:v>CV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PED!$C$10:$C$21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PED!$D$9</c:f>
              <c:strCache>
                <c:ptCount val="1"/>
                <c:pt idx="0">
                  <c:v>CT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PED!$D$10:$D$21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FAT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PED!$A$10:$A$21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lucro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PED!$E$10:$E$21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1590907"/>
        <c:axId val="60100436"/>
      </c:lineChart>
      <c:catAx>
        <c:axId val="2159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00436"/>
        <c:crosses val="autoZero"/>
        <c:auto val="1"/>
        <c:lblOffset val="100"/>
        <c:tickLblSkip val="1"/>
        <c:noMultiLvlLbl val="0"/>
      </c:catAx>
      <c:valAx>
        <c:axId val="601004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9090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6925"/>
          <c:w val="0.068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676275</xdr:colOff>
      <xdr:row>4</xdr:row>
      <xdr:rowOff>123825</xdr:rowOff>
    </xdr:from>
    <xdr:to>
      <xdr:col>17</xdr:col>
      <xdr:colOff>381000</xdr:colOff>
      <xdr:row>22</xdr:row>
      <xdr:rowOff>66675</xdr:rowOff>
    </xdr:to>
    <xdr:graphicFrame>
      <xdr:nvGraphicFramePr>
        <xdr:cNvPr id="1" name="Chart 2"/>
        <xdr:cNvGraphicFramePr/>
      </xdr:nvGraphicFramePr>
      <xdr:xfrm>
        <a:off x="10725150" y="847725"/>
        <a:ext cx="50387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</xdr:row>
      <xdr:rowOff>152400</xdr:rowOff>
    </xdr:from>
    <xdr:to>
      <xdr:col>18</xdr:col>
      <xdr:colOff>266700</xdr:colOff>
      <xdr:row>20</xdr:row>
      <xdr:rowOff>76200</xdr:rowOff>
    </xdr:to>
    <xdr:graphicFrame>
      <xdr:nvGraphicFramePr>
        <xdr:cNvPr id="1" name="Chart 2"/>
        <xdr:cNvGraphicFramePr/>
      </xdr:nvGraphicFramePr>
      <xdr:xfrm>
        <a:off x="8620125" y="314325"/>
        <a:ext cx="53625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5</xdr:row>
      <xdr:rowOff>133350</xdr:rowOff>
    </xdr:from>
    <xdr:to>
      <xdr:col>17</xdr:col>
      <xdr:colOff>171450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6734175" y="942975"/>
        <a:ext cx="46672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40</xdr:row>
      <xdr:rowOff>114300</xdr:rowOff>
    </xdr:from>
    <xdr:to>
      <xdr:col>10</xdr:col>
      <xdr:colOff>57150</xdr:colOff>
      <xdr:row>58</xdr:row>
      <xdr:rowOff>114300</xdr:rowOff>
    </xdr:to>
    <xdr:graphicFrame>
      <xdr:nvGraphicFramePr>
        <xdr:cNvPr id="2" name="Chart 2"/>
        <xdr:cNvGraphicFramePr/>
      </xdr:nvGraphicFramePr>
      <xdr:xfrm>
        <a:off x="3533775" y="6591300"/>
        <a:ext cx="29813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152400</xdr:rowOff>
    </xdr:from>
    <xdr:to>
      <xdr:col>4</xdr:col>
      <xdr:colOff>828675</xdr:colOff>
      <xdr:row>47</xdr:row>
      <xdr:rowOff>152400</xdr:rowOff>
    </xdr:to>
    <xdr:graphicFrame>
      <xdr:nvGraphicFramePr>
        <xdr:cNvPr id="3" name="Chart 3"/>
        <xdr:cNvGraphicFramePr/>
      </xdr:nvGraphicFramePr>
      <xdr:xfrm>
        <a:off x="0" y="4848225"/>
        <a:ext cx="30194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26">
      <selection activeCell="I20" sqref="I20"/>
    </sheetView>
  </sheetViews>
  <sheetFormatPr defaultColWidth="16.00390625" defaultRowHeight="12.75"/>
  <cols>
    <col min="1" max="1" width="16.00390625" style="0" customWidth="1"/>
    <col min="2" max="2" width="10.421875" style="0" customWidth="1"/>
    <col min="3" max="12" width="12.421875" style="0" bestFit="1" customWidth="1"/>
  </cols>
  <sheetData>
    <row r="1" ht="15.75">
      <c r="A1" s="132" t="s">
        <v>146</v>
      </c>
    </row>
    <row r="2" ht="15.75">
      <c r="A2" s="132" t="s">
        <v>147</v>
      </c>
    </row>
    <row r="3" spans="4:12" ht="12.75">
      <c r="D3" s="141">
        <f>D15/C15</f>
        <v>1.2</v>
      </c>
      <c r="E3" s="141">
        <f aca="true" t="shared" si="0" ref="E3:L3">E15/D15</f>
        <v>1.2</v>
      </c>
      <c r="F3" s="141">
        <f t="shared" si="0"/>
        <v>1.2</v>
      </c>
      <c r="G3" s="141">
        <f t="shared" si="0"/>
        <v>1.2</v>
      </c>
      <c r="H3" s="141">
        <f t="shared" si="0"/>
        <v>1.2</v>
      </c>
      <c r="I3" s="141">
        <f t="shared" si="0"/>
        <v>1.2</v>
      </c>
      <c r="J3" s="141">
        <f t="shared" si="0"/>
        <v>1.2</v>
      </c>
      <c r="K3" s="141">
        <f t="shared" si="0"/>
        <v>1.2</v>
      </c>
      <c r="L3" s="141">
        <f t="shared" si="0"/>
        <v>1.2</v>
      </c>
    </row>
    <row r="5" spans="1:4" ht="15.75">
      <c r="A5" s="132" t="s">
        <v>148</v>
      </c>
      <c r="D5" s="133">
        <v>120000</v>
      </c>
    </row>
    <row r="6" spans="1:5" ht="15.75">
      <c r="A6" s="132" t="s">
        <v>149</v>
      </c>
      <c r="D6" s="134">
        <v>0.1</v>
      </c>
      <c r="E6" s="131" t="s">
        <v>184</v>
      </c>
    </row>
    <row r="7" spans="1:4" ht="15.75">
      <c r="A7" s="132" t="s">
        <v>150</v>
      </c>
      <c r="D7" s="134">
        <v>0.07</v>
      </c>
    </row>
    <row r="8" spans="1:4" ht="15.75">
      <c r="A8" s="132" t="s">
        <v>151</v>
      </c>
      <c r="D8" s="134">
        <v>0.3</v>
      </c>
    </row>
    <row r="9" spans="3:12" ht="15.75">
      <c r="C9" s="135" t="s">
        <v>152</v>
      </c>
      <c r="D9" s="135">
        <v>0</v>
      </c>
      <c r="E9" s="135" t="s">
        <v>152</v>
      </c>
      <c r="F9" s="135" t="s">
        <v>152</v>
      </c>
      <c r="G9" s="135" t="s">
        <v>152</v>
      </c>
      <c r="H9" s="135" t="s">
        <v>152</v>
      </c>
      <c r="I9" s="135" t="s">
        <v>152</v>
      </c>
      <c r="J9" s="135" t="s">
        <v>152</v>
      </c>
      <c r="K9" s="135" t="s">
        <v>152</v>
      </c>
      <c r="L9" s="135" t="s">
        <v>152</v>
      </c>
    </row>
    <row r="10" spans="3:12" ht="12.75">
      <c r="C10" s="136">
        <v>1</v>
      </c>
      <c r="D10" s="136">
        <v>2</v>
      </c>
      <c r="E10" s="136">
        <v>3</v>
      </c>
      <c r="F10" s="136">
        <v>4</v>
      </c>
      <c r="G10" s="136">
        <v>5</v>
      </c>
      <c r="H10" s="136">
        <v>6</v>
      </c>
      <c r="I10" s="136">
        <v>7</v>
      </c>
      <c r="J10" s="136">
        <v>8</v>
      </c>
      <c r="K10" s="136">
        <v>9</v>
      </c>
      <c r="L10" s="136">
        <v>10</v>
      </c>
    </row>
    <row r="12" spans="1:12" ht="15.75">
      <c r="A12" s="132" t="s">
        <v>153</v>
      </c>
      <c r="C12" s="133">
        <f>D5/1.25</f>
        <v>96000</v>
      </c>
      <c r="D12" s="133">
        <f>C12/1.15</f>
        <v>83478.26086956523</v>
      </c>
      <c r="E12" s="133">
        <f aca="true" t="shared" si="1" ref="E12:L12">D12/1.15</f>
        <v>72589.79206049151</v>
      </c>
      <c r="F12" s="133">
        <f t="shared" si="1"/>
        <v>63121.55831347089</v>
      </c>
      <c r="G12" s="133">
        <f t="shared" si="1"/>
        <v>54888.31157693121</v>
      </c>
      <c r="H12" s="133">
        <f t="shared" si="1"/>
        <v>47728.96658863584</v>
      </c>
      <c r="I12" s="133">
        <f t="shared" si="1"/>
        <v>41503.44920750943</v>
      </c>
      <c r="J12" s="133">
        <f t="shared" si="1"/>
        <v>36089.9558326169</v>
      </c>
      <c r="K12" s="133">
        <f t="shared" si="1"/>
        <v>31382.570289232088</v>
      </c>
      <c r="L12" s="133">
        <f t="shared" si="1"/>
        <v>27289.19155585399</v>
      </c>
    </row>
    <row r="13" spans="1:12" ht="15.75">
      <c r="A13" s="132" t="s">
        <v>154</v>
      </c>
      <c r="C13" s="137">
        <f aca="true" t="shared" si="2" ref="C13:L13">C12/((1+$D$7)^C10)</f>
        <v>89719.62616822429</v>
      </c>
      <c r="D13" s="137">
        <f t="shared" si="2"/>
        <v>72913.14601237245</v>
      </c>
      <c r="E13" s="137">
        <f t="shared" si="2"/>
        <v>59254.89314292764</v>
      </c>
      <c r="F13" s="137">
        <f t="shared" si="2"/>
        <v>48155.1346143256</v>
      </c>
      <c r="G13" s="137">
        <f t="shared" si="2"/>
        <v>39134.60756954539</v>
      </c>
      <c r="H13" s="137">
        <f t="shared" si="2"/>
        <v>31803.825737135634</v>
      </c>
      <c r="I13" s="137">
        <f t="shared" si="2"/>
        <v>25846.262281296735</v>
      </c>
      <c r="J13" s="137">
        <f t="shared" si="2"/>
        <v>21004.682877933148</v>
      </c>
      <c r="K13" s="137">
        <f t="shared" si="2"/>
        <v>17070.0389093321</v>
      </c>
      <c r="L13" s="137">
        <f t="shared" si="2"/>
        <v>13872.441210347095</v>
      </c>
    </row>
    <row r="15" spans="1:12" ht="15.75">
      <c r="A15" s="132" t="s">
        <v>155</v>
      </c>
      <c r="C15" s="133">
        <f>D5*0.12</f>
        <v>14400</v>
      </c>
      <c r="D15" s="133">
        <f>C15*1.2</f>
        <v>17280</v>
      </c>
      <c r="E15" s="133">
        <f aca="true" t="shared" si="3" ref="E15:L15">D15*1.2</f>
        <v>20736</v>
      </c>
      <c r="F15" s="133">
        <f t="shared" si="3"/>
        <v>24883.2</v>
      </c>
      <c r="G15" s="133">
        <f t="shared" si="3"/>
        <v>29859.84</v>
      </c>
      <c r="H15" s="133">
        <f t="shared" si="3"/>
        <v>35831.808</v>
      </c>
      <c r="I15" s="133">
        <f t="shared" si="3"/>
        <v>42998.169599999994</v>
      </c>
      <c r="J15" s="133">
        <f t="shared" si="3"/>
        <v>51597.803519999994</v>
      </c>
      <c r="K15" s="133">
        <f t="shared" si="3"/>
        <v>61917.36422399999</v>
      </c>
      <c r="L15" s="133">
        <f t="shared" si="3"/>
        <v>74300.83706879998</v>
      </c>
    </row>
    <row r="16" spans="1:12" ht="15.75">
      <c r="A16" s="132" t="s">
        <v>156</v>
      </c>
      <c r="C16" s="137">
        <f>C15/((1+$D$7)^C10)</f>
        <v>13457.943925233643</v>
      </c>
      <c r="D16" s="137">
        <f aca="true" t="shared" si="4" ref="D16:L16">D15/((1+$D$7)^D10)</f>
        <v>15093.021224561096</v>
      </c>
      <c r="E16" s="137">
        <f t="shared" si="4"/>
        <v>16926.752775208704</v>
      </c>
      <c r="F16" s="137">
        <f t="shared" si="4"/>
        <v>18983.27414042098</v>
      </c>
      <c r="G16" s="137">
        <f t="shared" si="4"/>
        <v>21289.65324159362</v>
      </c>
      <c r="H16" s="137">
        <f t="shared" si="4"/>
        <v>23876.246626086304</v>
      </c>
      <c r="I16" s="137">
        <f t="shared" si="4"/>
        <v>26777.099019909867</v>
      </c>
      <c r="J16" s="137">
        <f t="shared" si="4"/>
        <v>30030.391424197984</v>
      </c>
      <c r="K16" s="137">
        <f t="shared" si="4"/>
        <v>33678.943653306145</v>
      </c>
      <c r="L16" s="137">
        <f t="shared" si="4"/>
        <v>37770.777928941476</v>
      </c>
    </row>
    <row r="18" spans="1:12" ht="15.75">
      <c r="A18" s="132" t="s">
        <v>157</v>
      </c>
      <c r="C18" s="137">
        <f>D5-C19</f>
        <v>108000</v>
      </c>
      <c r="D18" s="137">
        <f aca="true" t="shared" si="5" ref="D18:L18">C18-D19</f>
        <v>96000</v>
      </c>
      <c r="E18" s="137">
        <f t="shared" si="5"/>
        <v>84000</v>
      </c>
      <c r="F18" s="137">
        <f t="shared" si="5"/>
        <v>72000</v>
      </c>
      <c r="G18" s="137">
        <f t="shared" si="5"/>
        <v>60000</v>
      </c>
      <c r="H18" s="137">
        <f t="shared" si="5"/>
        <v>48000</v>
      </c>
      <c r="I18" s="137">
        <f t="shared" si="5"/>
        <v>36000</v>
      </c>
      <c r="J18" s="137">
        <f t="shared" si="5"/>
        <v>24000</v>
      </c>
      <c r="K18" s="137">
        <f t="shared" si="5"/>
        <v>12000</v>
      </c>
      <c r="L18" s="137">
        <f t="shared" si="5"/>
        <v>0</v>
      </c>
    </row>
    <row r="19" spans="1:12" ht="15.75">
      <c r="A19" s="132" t="s">
        <v>158</v>
      </c>
      <c r="C19" s="137">
        <f>D6*D5</f>
        <v>12000</v>
      </c>
      <c r="D19" s="137">
        <f aca="true" t="shared" si="6" ref="D19:L19">IF(C18&gt;0,$D$5*$D$6,0)</f>
        <v>12000</v>
      </c>
      <c r="E19" s="137">
        <f t="shared" si="6"/>
        <v>12000</v>
      </c>
      <c r="F19" s="137">
        <f t="shared" si="6"/>
        <v>12000</v>
      </c>
      <c r="G19" s="137">
        <f t="shared" si="6"/>
        <v>12000</v>
      </c>
      <c r="H19" s="137">
        <f t="shared" si="6"/>
        <v>12000</v>
      </c>
      <c r="I19" s="137">
        <f t="shared" si="6"/>
        <v>12000</v>
      </c>
      <c r="J19" s="137">
        <f t="shared" si="6"/>
        <v>12000</v>
      </c>
      <c r="K19" s="137">
        <f t="shared" si="6"/>
        <v>12000</v>
      </c>
      <c r="L19" s="137">
        <f t="shared" si="6"/>
        <v>12000</v>
      </c>
    </row>
    <row r="20" spans="1:12" ht="15.75">
      <c r="A20" s="132"/>
      <c r="C20" s="133"/>
      <c r="D20" s="133"/>
      <c r="E20" s="133"/>
      <c r="F20" s="133"/>
      <c r="G20" s="133"/>
      <c r="H20" s="133"/>
      <c r="I20" s="133"/>
      <c r="J20" s="133"/>
      <c r="K20" s="133"/>
      <c r="L20" s="133"/>
    </row>
    <row r="21" spans="1:12" ht="15.75">
      <c r="A21" s="132" t="s">
        <v>159</v>
      </c>
      <c r="C21" s="137">
        <f>SUM(C19:C20)</f>
        <v>12000</v>
      </c>
      <c r="D21" s="137">
        <f aca="true" t="shared" si="7" ref="D21:L21">SUM(D19:D20)</f>
        <v>12000</v>
      </c>
      <c r="E21" s="137">
        <f t="shared" si="7"/>
        <v>12000</v>
      </c>
      <c r="F21" s="137">
        <f t="shared" si="7"/>
        <v>12000</v>
      </c>
      <c r="G21" s="137">
        <f t="shared" si="7"/>
        <v>12000</v>
      </c>
      <c r="H21" s="137">
        <f t="shared" si="7"/>
        <v>12000</v>
      </c>
      <c r="I21" s="137">
        <f t="shared" si="7"/>
        <v>12000</v>
      </c>
      <c r="J21" s="137">
        <f t="shared" si="7"/>
        <v>12000</v>
      </c>
      <c r="K21" s="137">
        <f t="shared" si="7"/>
        <v>12000</v>
      </c>
      <c r="L21" s="137">
        <f t="shared" si="7"/>
        <v>12000</v>
      </c>
    </row>
    <row r="22" spans="1:12" ht="15.75">
      <c r="A22" s="132" t="s">
        <v>160</v>
      </c>
      <c r="C22" s="137">
        <f>C21*$D$8</f>
        <v>3600</v>
      </c>
      <c r="D22" s="137">
        <f aca="true" t="shared" si="8" ref="D22:L22">D21*$D$8</f>
        <v>3600</v>
      </c>
      <c r="E22" s="137">
        <f t="shared" si="8"/>
        <v>3600</v>
      </c>
      <c r="F22" s="137">
        <f t="shared" si="8"/>
        <v>3600</v>
      </c>
      <c r="G22" s="137">
        <f t="shared" si="8"/>
        <v>3600</v>
      </c>
      <c r="H22" s="137">
        <f t="shared" si="8"/>
        <v>3600</v>
      </c>
      <c r="I22" s="137">
        <f t="shared" si="8"/>
        <v>3600</v>
      </c>
      <c r="J22" s="137">
        <f t="shared" si="8"/>
        <v>3600</v>
      </c>
      <c r="K22" s="137">
        <f t="shared" si="8"/>
        <v>3600</v>
      </c>
      <c r="L22" s="137">
        <f t="shared" si="8"/>
        <v>3600</v>
      </c>
    </row>
    <row r="23" spans="1:12" ht="15.75">
      <c r="A23" s="132" t="s">
        <v>161</v>
      </c>
      <c r="C23" s="137">
        <f>C22/((1+$D$7)^C10)</f>
        <v>3364.485981308411</v>
      </c>
      <c r="D23" s="137">
        <f aca="true" t="shared" si="9" ref="D23:L23">D22/((1+$D$7)^D10)</f>
        <v>3144.3794217835616</v>
      </c>
      <c r="E23" s="137">
        <f t="shared" si="9"/>
        <v>2938.672356807067</v>
      </c>
      <c r="F23" s="137">
        <f t="shared" si="9"/>
        <v>2746.4227633710907</v>
      </c>
      <c r="G23" s="137">
        <f t="shared" si="9"/>
        <v>2566.750246141206</v>
      </c>
      <c r="H23" s="137">
        <f t="shared" si="9"/>
        <v>2398.8320057394453</v>
      </c>
      <c r="I23" s="137">
        <f t="shared" si="9"/>
        <v>2241.899070784528</v>
      </c>
      <c r="J23" s="137">
        <f t="shared" si="9"/>
        <v>2095.2327764341385</v>
      </c>
      <c r="K23" s="137">
        <f t="shared" si="9"/>
        <v>1958.1614733029328</v>
      </c>
      <c r="L23" s="137">
        <f t="shared" si="9"/>
        <v>1830.057451684984</v>
      </c>
    </row>
    <row r="25" spans="1:12" ht="15.75">
      <c r="A25" s="132" t="s">
        <v>162</v>
      </c>
      <c r="C25" s="137">
        <f>C12-C18</f>
        <v>-12000</v>
      </c>
      <c r="D25" s="137">
        <f aca="true" t="shared" si="10" ref="D25:L25">D12-D18</f>
        <v>-12521.73913043477</v>
      </c>
      <c r="E25" s="137">
        <f t="shared" si="10"/>
        <v>-11410.207939508487</v>
      </c>
      <c r="F25" s="137">
        <f t="shared" si="10"/>
        <v>-8878.441686529113</v>
      </c>
      <c r="G25" s="137">
        <f t="shared" si="10"/>
        <v>-5111.6884230687865</v>
      </c>
      <c r="H25" s="137">
        <f t="shared" si="10"/>
        <v>-271.0334113641584</v>
      </c>
      <c r="I25" s="137">
        <f t="shared" si="10"/>
        <v>5503.449207509431</v>
      </c>
      <c r="J25" s="137">
        <f t="shared" si="10"/>
        <v>12089.955832616899</v>
      </c>
      <c r="K25" s="137">
        <f t="shared" si="10"/>
        <v>19382.570289232088</v>
      </c>
      <c r="L25" s="137">
        <f t="shared" si="10"/>
        <v>27289.19155585399</v>
      </c>
    </row>
    <row r="26" spans="1:12" ht="15" customHeight="1">
      <c r="A26" s="132" t="s">
        <v>163</v>
      </c>
      <c r="C26" s="137">
        <f>C25*$D$8</f>
        <v>-3600</v>
      </c>
      <c r="D26" s="137">
        <f aca="true" t="shared" si="11" ref="D26:L26">D25*$D$8</f>
        <v>-3756.5217391304304</v>
      </c>
      <c r="E26" s="137">
        <f t="shared" si="11"/>
        <v>-3423.062381852546</v>
      </c>
      <c r="F26" s="137">
        <f t="shared" si="11"/>
        <v>-2663.532505958734</v>
      </c>
      <c r="G26" s="137">
        <f t="shared" si="11"/>
        <v>-1533.506526920636</v>
      </c>
      <c r="H26" s="137">
        <f t="shared" si="11"/>
        <v>-81.3100234092475</v>
      </c>
      <c r="I26" s="137">
        <f t="shared" si="11"/>
        <v>1651.0347622528293</v>
      </c>
      <c r="J26" s="137">
        <f t="shared" si="11"/>
        <v>3626.9867497850696</v>
      </c>
      <c r="K26" s="137">
        <f t="shared" si="11"/>
        <v>5814.771086769626</v>
      </c>
      <c r="L26" s="137">
        <f t="shared" si="11"/>
        <v>8186.757466756197</v>
      </c>
    </row>
    <row r="27" spans="1:12" ht="15" customHeight="1">
      <c r="A27" s="132" t="s">
        <v>164</v>
      </c>
      <c r="C27" s="137">
        <f>C26/((1+$D$7)^C10)</f>
        <v>-3364.485981308411</v>
      </c>
      <c r="D27" s="137">
        <f aca="true" t="shared" si="12" ref="D27:L27">D26/((1+$D$7)^D10)</f>
        <v>-3281.0915705567563</v>
      </c>
      <c r="E27" s="137">
        <f t="shared" si="12"/>
        <v>-2794.238554771176</v>
      </c>
      <c r="F27" s="137">
        <f t="shared" si="12"/>
        <v>-2031.9961959288646</v>
      </c>
      <c r="G27" s="137">
        <f t="shared" si="12"/>
        <v>-1093.3689598424135</v>
      </c>
      <c r="H27" s="137">
        <f t="shared" si="12"/>
        <v>-54.18030181709067</v>
      </c>
      <c r="I27" s="137">
        <f t="shared" si="12"/>
        <v>1028.1814720354366</v>
      </c>
      <c r="J27" s="137">
        <f t="shared" si="12"/>
        <v>2110.9393105116674</v>
      </c>
      <c r="K27" s="137">
        <f t="shared" si="12"/>
        <v>3162.8501994966964</v>
      </c>
      <c r="L27" s="137">
        <f t="shared" si="12"/>
        <v>4161.732363104128</v>
      </c>
    </row>
    <row r="28" spans="1:12" ht="15" customHeight="1">
      <c r="A28" s="132" t="s">
        <v>165</v>
      </c>
      <c r="C28" s="138" t="s">
        <v>166</v>
      </c>
      <c r="D28" s="138" t="s">
        <v>167</v>
      </c>
      <c r="E28" s="138" t="s">
        <v>168</v>
      </c>
      <c r="F28" s="138" t="s">
        <v>169</v>
      </c>
      <c r="G28" s="138" t="s">
        <v>170</v>
      </c>
      <c r="H28" s="138" t="s">
        <v>171</v>
      </c>
      <c r="I28" s="138" t="s">
        <v>172</v>
      </c>
      <c r="J28" s="138" t="s">
        <v>173</v>
      </c>
      <c r="K28" s="138" t="s">
        <v>174</v>
      </c>
      <c r="L28" s="138" t="s">
        <v>175</v>
      </c>
    </row>
    <row r="29" ht="15" customHeight="1"/>
    <row r="30" spans="1:12" ht="15" customHeight="1">
      <c r="A30" s="132" t="s">
        <v>176</v>
      </c>
      <c r="C30" s="137">
        <f aca="true" t="shared" si="13" ref="C30:L30">$D$5</f>
        <v>120000</v>
      </c>
      <c r="D30" s="137">
        <f t="shared" si="13"/>
        <v>120000</v>
      </c>
      <c r="E30" s="137">
        <f t="shared" si="13"/>
        <v>120000</v>
      </c>
      <c r="F30" s="137">
        <f t="shared" si="13"/>
        <v>120000</v>
      </c>
      <c r="G30" s="137">
        <f t="shared" si="13"/>
        <v>120000</v>
      </c>
      <c r="H30" s="137">
        <f t="shared" si="13"/>
        <v>120000</v>
      </c>
      <c r="I30" s="137">
        <f t="shared" si="13"/>
        <v>120000</v>
      </c>
      <c r="J30" s="137">
        <f t="shared" si="13"/>
        <v>120000</v>
      </c>
      <c r="K30" s="137">
        <f t="shared" si="13"/>
        <v>120000</v>
      </c>
      <c r="L30" s="137">
        <f t="shared" si="13"/>
        <v>120000</v>
      </c>
    </row>
    <row r="31" spans="1:12" ht="15" customHeight="1">
      <c r="A31" s="132" t="s">
        <v>177</v>
      </c>
      <c r="C31" s="137">
        <f>SUM(C16)</f>
        <v>13457.943925233643</v>
      </c>
      <c r="D31" s="137">
        <f>SUM($C$16:D16)</f>
        <v>28550.96514979474</v>
      </c>
      <c r="E31" s="137">
        <f>SUM($C$16:E16)</f>
        <v>45477.717925003446</v>
      </c>
      <c r="F31" s="137">
        <f>SUM($C$16:F16)</f>
        <v>64460.99206542443</v>
      </c>
      <c r="G31" s="137">
        <f>SUM($C$16:G16)</f>
        <v>85750.64530701804</v>
      </c>
      <c r="H31" s="137">
        <f>SUM($C$16:H16)</f>
        <v>109626.89193310434</v>
      </c>
      <c r="I31" s="137">
        <f>SUM($C$16:I16)</f>
        <v>136403.9909530142</v>
      </c>
      <c r="J31" s="137">
        <f>SUM($C$16:J16)</f>
        <v>166434.3823772122</v>
      </c>
      <c r="K31" s="137">
        <f>SUM($C$16:K16)</f>
        <v>200113.32603051834</v>
      </c>
      <c r="L31" s="137">
        <f>SUM($C$16:L16)</f>
        <v>237884.1039594598</v>
      </c>
    </row>
    <row r="32" spans="1:12" ht="15" customHeight="1">
      <c r="A32" s="132" t="s">
        <v>178</v>
      </c>
      <c r="C32" s="137">
        <f>SUM(C23)</f>
        <v>3364.485981308411</v>
      </c>
      <c r="D32" s="137">
        <f>IF(C18=0,0,SUM($C$23:D23))</f>
        <v>6508.865403091972</v>
      </c>
      <c r="E32" s="137">
        <f>IF(D18=0,0,SUM($C$23:E23))</f>
        <v>9447.53775989904</v>
      </c>
      <c r="F32" s="137">
        <f>IF(E18=0,0,SUM($C$23:F23))</f>
        <v>12193.96052327013</v>
      </c>
      <c r="G32" s="137">
        <f>IF(F18=0,0,SUM($C$23:G23))</f>
        <v>14760.710769411337</v>
      </c>
      <c r="H32" s="137">
        <f>IF(G18=0,0,SUM($C$23:H23))</f>
        <v>17159.54277515078</v>
      </c>
      <c r="I32" s="137">
        <f>IF(H18=0,0,SUM($C$23:I23))</f>
        <v>19401.44184593531</v>
      </c>
      <c r="J32" s="137">
        <f>IF(I18=0,0,SUM($C$23:J23))</f>
        <v>21496.67462236945</v>
      </c>
      <c r="K32" s="137">
        <f>IF(J18=0,0,SUM($C$23:K23))</f>
        <v>23454.836095672385</v>
      </c>
      <c r="L32" s="137">
        <f>IF(K18=0,0,SUM($C$23:L23))</f>
        <v>25284.89354735737</v>
      </c>
    </row>
    <row r="33" spans="1:12" ht="15" customHeight="1">
      <c r="A33" s="132" t="s">
        <v>179</v>
      </c>
      <c r="C33" s="137">
        <f>C13</f>
        <v>89719.62616822429</v>
      </c>
      <c r="D33" s="137">
        <f aca="true" t="shared" si="14" ref="D33:L33">D13</f>
        <v>72913.14601237245</v>
      </c>
      <c r="E33" s="137">
        <f t="shared" si="14"/>
        <v>59254.89314292764</v>
      </c>
      <c r="F33" s="137">
        <f t="shared" si="14"/>
        <v>48155.1346143256</v>
      </c>
      <c r="G33" s="137">
        <f t="shared" si="14"/>
        <v>39134.60756954539</v>
      </c>
      <c r="H33" s="137">
        <f t="shared" si="14"/>
        <v>31803.825737135634</v>
      </c>
      <c r="I33" s="137">
        <f t="shared" si="14"/>
        <v>25846.262281296735</v>
      </c>
      <c r="J33" s="137">
        <f t="shared" si="14"/>
        <v>21004.682877933148</v>
      </c>
      <c r="K33" s="137">
        <f t="shared" si="14"/>
        <v>17070.0389093321</v>
      </c>
      <c r="L33" s="137">
        <f t="shared" si="14"/>
        <v>13872.441210347095</v>
      </c>
    </row>
    <row r="34" spans="1:12" ht="15" customHeight="1">
      <c r="A34" s="132" t="s">
        <v>180</v>
      </c>
      <c r="C34" s="137">
        <f>C27</f>
        <v>-3364.485981308411</v>
      </c>
      <c r="D34" s="137">
        <f aca="true" t="shared" si="15" ref="D34:L34">D27</f>
        <v>-3281.0915705567563</v>
      </c>
      <c r="E34" s="137">
        <f t="shared" si="15"/>
        <v>-2794.238554771176</v>
      </c>
      <c r="F34" s="137">
        <f t="shared" si="15"/>
        <v>-2031.9961959288646</v>
      </c>
      <c r="G34" s="137">
        <f t="shared" si="15"/>
        <v>-1093.3689598424135</v>
      </c>
      <c r="H34" s="137">
        <f t="shared" si="15"/>
        <v>-54.18030181709067</v>
      </c>
      <c r="I34" s="137">
        <f t="shared" si="15"/>
        <v>1028.1814720354366</v>
      </c>
      <c r="J34" s="137">
        <f t="shared" si="15"/>
        <v>2110.9393105116674</v>
      </c>
      <c r="K34" s="137">
        <f t="shared" si="15"/>
        <v>3162.8501994966964</v>
      </c>
      <c r="L34" s="137">
        <f t="shared" si="15"/>
        <v>4161.732363104128</v>
      </c>
    </row>
    <row r="35" spans="1:12" ht="15" customHeight="1">
      <c r="A35" s="132" t="s">
        <v>181</v>
      </c>
      <c r="C35" s="137">
        <f>C30+C31-C33-C32+C34</f>
        <v>37009.34579439253</v>
      </c>
      <c r="D35" s="137">
        <f aca="true" t="shared" si="16" ref="D35:L35">D30+D31-D33-D32+D34</f>
        <v>65847.86216377355</v>
      </c>
      <c r="E35" s="137">
        <f t="shared" si="16"/>
        <v>93981.04846740558</v>
      </c>
      <c r="F35" s="137">
        <f t="shared" si="16"/>
        <v>122079.90073189983</v>
      </c>
      <c r="G35" s="137">
        <f t="shared" si="16"/>
        <v>150761.9580082189</v>
      </c>
      <c r="H35" s="137">
        <f t="shared" si="16"/>
        <v>180609.3431190008</v>
      </c>
      <c r="I35" s="137">
        <f t="shared" si="16"/>
        <v>212184.4682978176</v>
      </c>
      <c r="J35" s="137">
        <f t="shared" si="16"/>
        <v>246043.96418742122</v>
      </c>
      <c r="K35" s="137">
        <f t="shared" si="16"/>
        <v>282751.3012250106</v>
      </c>
      <c r="L35" s="137">
        <f t="shared" si="16"/>
        <v>322888.50156485947</v>
      </c>
    </row>
    <row r="36" spans="1:12" ht="15" customHeight="1">
      <c r="A36" s="132" t="s">
        <v>182</v>
      </c>
      <c r="C36" s="137">
        <f>PMT($D$7,C10,-C35)</f>
        <v>39600.00000000001</v>
      </c>
      <c r="D36" s="137">
        <f aca="true" t="shared" si="17" ref="D36:L36">PMT($D$7,D10,-D35)</f>
        <v>36419.91178323881</v>
      </c>
      <c r="E36" s="139">
        <f t="shared" si="17"/>
        <v>35811.63506101463</v>
      </c>
      <c r="F36" s="137">
        <f t="shared" si="17"/>
        <v>36041.41917600528</v>
      </c>
      <c r="G36" s="140">
        <f t="shared" si="17"/>
        <v>36769.43863396579</v>
      </c>
      <c r="H36" s="137">
        <f t="shared" si="17"/>
        <v>37891.08158347707</v>
      </c>
      <c r="I36" s="137">
        <f t="shared" si="17"/>
        <v>39371.51124838571</v>
      </c>
      <c r="J36" s="137">
        <f t="shared" si="17"/>
        <v>41204.4321568228</v>
      </c>
      <c r="K36" s="137">
        <f t="shared" si="17"/>
        <v>43398.49915207253</v>
      </c>
      <c r="L36" s="137">
        <f t="shared" si="17"/>
        <v>45972.05851218549</v>
      </c>
    </row>
    <row r="37" ht="9" customHeight="1"/>
    <row r="38" spans="5:8" ht="9" customHeight="1">
      <c r="E38" s="131" t="s">
        <v>186</v>
      </c>
      <c r="H38" s="142">
        <v>0.1</v>
      </c>
    </row>
    <row r="39" spans="5:8" ht="12.75">
      <c r="E39" s="131" t="s">
        <v>183</v>
      </c>
      <c r="H39" s="131" t="s">
        <v>188</v>
      </c>
    </row>
    <row r="40" spans="5:8" ht="12.75">
      <c r="E40" s="131" t="s">
        <v>187</v>
      </c>
      <c r="H40">
        <v>35812</v>
      </c>
    </row>
    <row r="44" ht="12.75">
      <c r="C44" s="131" t="s">
        <v>185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="125" zoomScaleNormal="125" zoomScalePageLayoutView="0" workbookViewId="0" topLeftCell="A1">
      <selection activeCell="G36" sqref="G36"/>
    </sheetView>
  </sheetViews>
  <sheetFormatPr defaultColWidth="8.8515625" defaultRowHeight="12.75"/>
  <cols>
    <col min="1" max="1" width="17.8515625" style="0" customWidth="1"/>
    <col min="2" max="2" width="11.28125" style="0" bestFit="1" customWidth="1"/>
    <col min="3" max="3" width="11.28125" style="0" customWidth="1"/>
    <col min="4" max="4" width="12.28125" style="0" customWidth="1"/>
    <col min="5" max="5" width="12.7109375" style="0" customWidth="1"/>
    <col min="6" max="6" width="18.00390625" style="0" customWidth="1"/>
    <col min="7" max="7" width="15.421875" style="0" customWidth="1"/>
    <col min="8" max="8" width="14.7109375" style="0" customWidth="1"/>
    <col min="9" max="9" width="11.140625" style="0" customWidth="1"/>
    <col min="10" max="10" width="14.7109375" style="0" customWidth="1"/>
    <col min="11" max="11" width="10.8515625" style="0" bestFit="1" customWidth="1"/>
  </cols>
  <sheetData>
    <row r="1" spans="1:10" ht="13.5" thickBot="1">
      <c r="A1" s="4" t="s">
        <v>52</v>
      </c>
      <c r="B1" s="5"/>
      <c r="C1" s="5"/>
      <c r="D1" s="5"/>
      <c r="F1" s="4"/>
      <c r="G1" s="5"/>
      <c r="H1" s="5"/>
      <c r="I1" s="5" t="s">
        <v>68</v>
      </c>
      <c r="J1" s="5"/>
    </row>
    <row r="2" spans="1:10" ht="13.5" thickBot="1">
      <c r="A2" s="145" t="s">
        <v>1</v>
      </c>
      <c r="B2" s="146" t="s">
        <v>53</v>
      </c>
      <c r="C2" s="146" t="s">
        <v>64</v>
      </c>
      <c r="D2" s="146"/>
      <c r="F2" s="4" t="s">
        <v>54</v>
      </c>
      <c r="G2" s="5"/>
      <c r="H2" s="5"/>
      <c r="I2" s="7" t="s">
        <v>15</v>
      </c>
      <c r="J2" s="5"/>
    </row>
    <row r="3" spans="1:10" ht="13.5" thickBot="1">
      <c r="A3" s="144" t="s">
        <v>12</v>
      </c>
      <c r="B3" s="144" t="s">
        <v>2</v>
      </c>
      <c r="C3" s="144" t="s">
        <v>65</v>
      </c>
      <c r="D3" s="120" t="s">
        <v>50</v>
      </c>
      <c r="E3" s="112" t="s">
        <v>67</v>
      </c>
      <c r="F3" s="6" t="s">
        <v>0</v>
      </c>
      <c r="G3" s="7" t="s">
        <v>2</v>
      </c>
      <c r="H3" s="7" t="s">
        <v>13</v>
      </c>
      <c r="I3" s="7" t="s">
        <v>58</v>
      </c>
      <c r="J3" s="8" t="s">
        <v>21</v>
      </c>
    </row>
    <row r="4" spans="1:10" ht="12.75">
      <c r="A4" s="147" t="s">
        <v>3</v>
      </c>
      <c r="B4" s="147" t="s">
        <v>9</v>
      </c>
      <c r="C4" s="148">
        <v>1</v>
      </c>
      <c r="D4" s="146">
        <v>4000</v>
      </c>
      <c r="E4" s="88">
        <f aca="true" t="shared" si="0" ref="E4:E9">(C15*$J$4)+(D15*$J$5)+(E15*$J$6)</f>
        <v>2700</v>
      </c>
      <c r="F4" s="39" t="s">
        <v>49</v>
      </c>
      <c r="G4" s="37" t="s">
        <v>10</v>
      </c>
      <c r="H4" s="40">
        <v>10</v>
      </c>
      <c r="I4" s="41">
        <v>0.18</v>
      </c>
      <c r="J4" s="38">
        <v>3000</v>
      </c>
    </row>
    <row r="5" spans="1:10" ht="12.75">
      <c r="A5" s="147" t="s">
        <v>4</v>
      </c>
      <c r="B5" s="147" t="s">
        <v>10</v>
      </c>
      <c r="C5" s="148">
        <v>0.5</v>
      </c>
      <c r="D5" s="146">
        <v>9000</v>
      </c>
      <c r="E5" s="88">
        <f t="shared" si="0"/>
        <v>8600</v>
      </c>
      <c r="F5" s="39" t="s">
        <v>18</v>
      </c>
      <c r="G5" s="37" t="s">
        <v>10</v>
      </c>
      <c r="H5" s="40">
        <v>19</v>
      </c>
      <c r="I5" s="41">
        <v>0.18</v>
      </c>
      <c r="J5" s="38">
        <v>1200</v>
      </c>
    </row>
    <row r="6" spans="1:10" ht="13.5" thickBot="1">
      <c r="A6" s="147" t="s">
        <v>5</v>
      </c>
      <c r="B6" s="147" t="s">
        <v>11</v>
      </c>
      <c r="C6" s="148">
        <v>1</v>
      </c>
      <c r="D6" s="146">
        <v>2000</v>
      </c>
      <c r="E6" s="88">
        <f t="shared" si="0"/>
        <v>2080</v>
      </c>
      <c r="F6" s="98" t="s">
        <v>19</v>
      </c>
      <c r="G6" s="99" t="s">
        <v>10</v>
      </c>
      <c r="H6" s="100">
        <v>17</v>
      </c>
      <c r="I6" s="101">
        <v>0.18</v>
      </c>
      <c r="J6" s="38">
        <v>1000</v>
      </c>
    </row>
    <row r="7" spans="1:5" ht="12.75">
      <c r="A7" s="147" t="s">
        <v>6</v>
      </c>
      <c r="B7" s="147" t="s">
        <v>9</v>
      </c>
      <c r="C7" s="148">
        <v>8</v>
      </c>
      <c r="D7" s="146">
        <v>4000</v>
      </c>
      <c r="E7" s="88">
        <f t="shared" si="0"/>
        <v>2390</v>
      </c>
    </row>
    <row r="8" spans="1:5" ht="12.75">
      <c r="A8" s="147" t="s">
        <v>7</v>
      </c>
      <c r="B8" s="147" t="s">
        <v>9</v>
      </c>
      <c r="C8" s="148">
        <v>5</v>
      </c>
      <c r="D8" s="146">
        <v>1500</v>
      </c>
      <c r="E8" s="88">
        <f t="shared" si="0"/>
        <v>740</v>
      </c>
    </row>
    <row r="9" spans="1:5" ht="12.75">
      <c r="A9" s="147" t="s">
        <v>8</v>
      </c>
      <c r="B9" s="147" t="s">
        <v>9</v>
      </c>
      <c r="C9" s="148">
        <v>15</v>
      </c>
      <c r="D9" s="146">
        <v>800</v>
      </c>
      <c r="E9" s="88">
        <f t="shared" si="0"/>
        <v>500</v>
      </c>
    </row>
    <row r="11" spans="1:5" ht="12.75">
      <c r="A11" s="5" t="s">
        <v>41</v>
      </c>
      <c r="B11" s="5"/>
      <c r="C11" s="5"/>
      <c r="D11" s="5"/>
      <c r="E11" s="5"/>
    </row>
    <row r="12" spans="1:5" ht="12.75">
      <c r="A12" s="4" t="s">
        <v>20</v>
      </c>
      <c r="B12" s="5"/>
      <c r="C12" s="5"/>
      <c r="D12" s="5"/>
      <c r="E12" s="5"/>
    </row>
    <row r="13" spans="1:5" ht="13.5" thickBot="1">
      <c r="A13" s="5" t="s">
        <v>55</v>
      </c>
      <c r="B13" s="5"/>
      <c r="C13" s="153" t="s">
        <v>85</v>
      </c>
      <c r="D13" s="153"/>
      <c r="E13" s="153"/>
    </row>
    <row r="14" spans="1:5" ht="13.5" thickBot="1">
      <c r="A14" s="11" t="s">
        <v>12</v>
      </c>
      <c r="B14" s="12" t="s">
        <v>2</v>
      </c>
      <c r="C14" s="17" t="str">
        <f>F4</f>
        <v>Pizza muzzarela</v>
      </c>
      <c r="D14" s="17" t="str">
        <f>F5</f>
        <v>Pizza presunto</v>
      </c>
      <c r="E14" s="17" t="str">
        <f>F6</f>
        <v>Pizza marguerita</v>
      </c>
    </row>
    <row r="15" spans="1:5" ht="13.5" thickTop="1">
      <c r="A15" s="42" t="s">
        <v>3</v>
      </c>
      <c r="B15" s="43" t="s">
        <v>9</v>
      </c>
      <c r="C15" s="36">
        <v>0.5</v>
      </c>
      <c r="D15" s="36">
        <v>0.5</v>
      </c>
      <c r="E15" s="36">
        <v>0.6</v>
      </c>
    </row>
    <row r="16" spans="1:5" ht="12.75">
      <c r="A16" s="39" t="s">
        <v>4</v>
      </c>
      <c r="B16" s="37" t="s">
        <v>10</v>
      </c>
      <c r="C16" s="37">
        <v>1</v>
      </c>
      <c r="D16" s="37">
        <v>3</v>
      </c>
      <c r="E16" s="37">
        <v>2</v>
      </c>
    </row>
    <row r="17" spans="1:5" ht="12.75">
      <c r="A17" s="39" t="s">
        <v>5</v>
      </c>
      <c r="B17" s="37" t="s">
        <v>11</v>
      </c>
      <c r="C17" s="37">
        <v>0.4</v>
      </c>
      <c r="D17" s="37">
        <v>0.4</v>
      </c>
      <c r="E17" s="37">
        <v>0.4</v>
      </c>
    </row>
    <row r="18" spans="1:7" ht="12.75">
      <c r="A18" s="39" t="s">
        <v>6</v>
      </c>
      <c r="B18" s="37" t="s">
        <v>9</v>
      </c>
      <c r="C18" s="37">
        <v>0.6</v>
      </c>
      <c r="D18" s="37">
        <v>0.2</v>
      </c>
      <c r="E18" s="37">
        <v>0.35</v>
      </c>
      <c r="G18" t="s">
        <v>66</v>
      </c>
    </row>
    <row r="19" spans="1:5" ht="13.5" thickBot="1">
      <c r="A19" s="39" t="s">
        <v>7</v>
      </c>
      <c r="B19" s="37" t="s">
        <v>9</v>
      </c>
      <c r="C19" s="37">
        <v>0.1</v>
      </c>
      <c r="D19" s="37">
        <v>0.2</v>
      </c>
      <c r="E19" s="37">
        <v>0.2</v>
      </c>
    </row>
    <row r="20" spans="1:9" ht="13.5" thickBot="1">
      <c r="A20" s="98" t="s">
        <v>8</v>
      </c>
      <c r="B20" s="99" t="s">
        <v>9</v>
      </c>
      <c r="C20" s="99">
        <v>0</v>
      </c>
      <c r="D20" s="99">
        <v>0.25</v>
      </c>
      <c r="E20" s="99">
        <v>0.2</v>
      </c>
      <c r="G20" s="107" t="s">
        <v>34</v>
      </c>
      <c r="H20" s="105"/>
      <c r="I20" s="106"/>
    </row>
    <row r="21" spans="8:9" ht="13.5" thickBot="1">
      <c r="H21" s="108" t="s">
        <v>46</v>
      </c>
      <c r="I21" s="109" t="s">
        <v>47</v>
      </c>
    </row>
    <row r="22" spans="1:8" ht="13.5" thickBot="1">
      <c r="A22" t="s">
        <v>42</v>
      </c>
      <c r="G22" s="80" t="s">
        <v>17</v>
      </c>
      <c r="H22" s="1">
        <f>Resultado!C3</f>
        <v>0</v>
      </c>
    </row>
    <row r="23" spans="1:9" ht="12.75">
      <c r="A23" t="s">
        <v>43</v>
      </c>
      <c r="G23" s="77" t="s">
        <v>32</v>
      </c>
      <c r="H23" s="1">
        <f>Resultado!C4</f>
        <v>0</v>
      </c>
      <c r="I23" s="83"/>
    </row>
    <row r="24" spans="1:9" ht="13.5" thickBot="1">
      <c r="A24" t="s">
        <v>44</v>
      </c>
      <c r="G24" s="78" t="s">
        <v>33</v>
      </c>
      <c r="H24" s="1">
        <f>Resultado!C5</f>
        <v>0</v>
      </c>
      <c r="I24" s="84"/>
    </row>
    <row r="25" spans="1:9" ht="13.5" thickBot="1">
      <c r="A25" t="s">
        <v>45</v>
      </c>
      <c r="G25" s="79" t="s">
        <v>56</v>
      </c>
      <c r="H25" s="1">
        <f>Resultado!C6</f>
        <v>0</v>
      </c>
      <c r="I25" s="86"/>
    </row>
    <row r="26" spans="1:9" ht="13.5" thickBot="1">
      <c r="A26" t="s">
        <v>57</v>
      </c>
      <c r="G26" s="150" t="s">
        <v>40</v>
      </c>
      <c r="H26" s="151"/>
      <c r="I26" s="152"/>
    </row>
    <row r="27" spans="7:9" ht="13.5" thickBot="1">
      <c r="G27" s="93" t="s">
        <v>14</v>
      </c>
      <c r="H27" s="1">
        <f>H25</f>
        <v>0</v>
      </c>
      <c r="I27" s="90"/>
    </row>
    <row r="28" spans="7:9" ht="13.5" thickBot="1">
      <c r="G28" s="94" t="s">
        <v>31</v>
      </c>
      <c r="H28" s="76">
        <v>15000</v>
      </c>
      <c r="I28" s="81"/>
    </row>
    <row r="29" spans="7:9" ht="13.5" thickBot="1">
      <c r="G29" s="95" t="s">
        <v>51</v>
      </c>
      <c r="H29" s="92">
        <f>H27-H28</f>
        <v>-15000</v>
      </c>
      <c r="I29" s="91"/>
    </row>
    <row r="31" ht="12.75">
      <c r="A31" t="s">
        <v>48</v>
      </c>
    </row>
    <row r="32" ht="12.75">
      <c r="A32" t="s">
        <v>137</v>
      </c>
    </row>
    <row r="33" spans="1:11" ht="12.75">
      <c r="A33" t="s">
        <v>69</v>
      </c>
      <c r="J33" t="s">
        <v>106</v>
      </c>
      <c r="K33" s="121">
        <v>120000</v>
      </c>
    </row>
    <row r="34" spans="1:11" ht="12.75">
      <c r="A34" t="s">
        <v>93</v>
      </c>
      <c r="J34" t="s">
        <v>107</v>
      </c>
      <c r="K34">
        <v>10</v>
      </c>
    </row>
    <row r="35" spans="1:11" ht="12.75">
      <c r="A35" t="s">
        <v>92</v>
      </c>
      <c r="J35" t="s">
        <v>108</v>
      </c>
      <c r="K35" s="121">
        <f>K33/K34</f>
        <v>12000</v>
      </c>
    </row>
    <row r="36" ht="12.75">
      <c r="A36" t="s">
        <v>86</v>
      </c>
    </row>
    <row r="37" spans="1:11" ht="12.75">
      <c r="A37" t="s">
        <v>90</v>
      </c>
      <c r="K37" s="131" t="s">
        <v>145</v>
      </c>
    </row>
    <row r="38" spans="1:11" ht="12.75">
      <c r="A38" t="s">
        <v>87</v>
      </c>
      <c r="I38" t="s">
        <v>125</v>
      </c>
      <c r="J38" t="s">
        <v>126</v>
      </c>
      <c r="K38">
        <v>10</v>
      </c>
    </row>
    <row r="39" spans="1:12" ht="15.75">
      <c r="A39" t="s">
        <v>88</v>
      </c>
      <c r="I39" t="s">
        <v>127</v>
      </c>
      <c r="K39">
        <v>7</v>
      </c>
      <c r="L39" s="130" t="s">
        <v>144</v>
      </c>
    </row>
    <row r="40" spans="1:11" ht="12.75">
      <c r="A40" t="s">
        <v>89</v>
      </c>
      <c r="I40" t="s">
        <v>128</v>
      </c>
      <c r="K40">
        <v>6</v>
      </c>
    </row>
    <row r="41" spans="1:11" ht="12.75">
      <c r="A41" t="s">
        <v>91</v>
      </c>
      <c r="I41" t="s">
        <v>129</v>
      </c>
      <c r="K41">
        <v>15</v>
      </c>
    </row>
  </sheetData>
  <sheetProtection/>
  <mergeCells count="2">
    <mergeCell ref="G26:I26"/>
    <mergeCell ref="C13:E13"/>
  </mergeCells>
  <printOptions/>
  <pageMargins left="0.75" right="0.75" top="1" bottom="1" header="0.492125985" footer="0.492125985"/>
  <pageSetup horizontalDpi="360" verticalDpi="36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7:H17"/>
  <sheetViews>
    <sheetView zoomScalePageLayoutView="0" workbookViewId="0" topLeftCell="A1">
      <selection activeCell="J29" sqref="J29"/>
    </sheetView>
  </sheetViews>
  <sheetFormatPr defaultColWidth="11.421875" defaultRowHeight="12.75"/>
  <sheetData>
    <row r="6" ht="13.5" thickBot="1"/>
    <row r="7" spans="5:8" ht="34.5" thickBot="1">
      <c r="E7" s="129" t="s">
        <v>71</v>
      </c>
      <c r="F7" s="129" t="s">
        <v>142</v>
      </c>
      <c r="G7" s="129" t="s">
        <v>8</v>
      </c>
      <c r="H7" s="129" t="s">
        <v>143</v>
      </c>
    </row>
    <row r="8" spans="5:8" ht="16.5" thickBot="1">
      <c r="E8" s="129">
        <v>1</v>
      </c>
      <c r="F8" s="129">
        <v>3000</v>
      </c>
      <c r="G8" s="129">
        <v>1000</v>
      </c>
      <c r="H8" s="129">
        <v>1500</v>
      </c>
    </row>
    <row r="9" spans="5:8" ht="16.5" thickBot="1">
      <c r="E9" s="129">
        <v>2</v>
      </c>
      <c r="F9" s="129">
        <v>2000</v>
      </c>
      <c r="G9" s="129">
        <v>1500</v>
      </c>
      <c r="H9" s="129">
        <v>1100</v>
      </c>
    </row>
    <row r="10" spans="5:8" ht="16.5" thickBot="1">
      <c r="E10" s="129">
        <v>3</v>
      </c>
      <c r="F10" s="129">
        <v>2500</v>
      </c>
      <c r="G10" s="129">
        <v>2000</v>
      </c>
      <c r="H10" s="129">
        <v>1100</v>
      </c>
    </row>
    <row r="11" spans="5:8" ht="16.5" thickBot="1">
      <c r="E11" s="129">
        <v>4</v>
      </c>
      <c r="F11" s="129">
        <v>3000</v>
      </c>
      <c r="G11" s="129">
        <v>2100</v>
      </c>
      <c r="H11" s="129">
        <v>1200</v>
      </c>
    </row>
    <row r="12" spans="5:8" ht="16.5" thickBot="1">
      <c r="E12" s="129">
        <v>5</v>
      </c>
      <c r="F12" s="129">
        <v>3000</v>
      </c>
      <c r="G12" s="129">
        <v>1600</v>
      </c>
      <c r="H12" s="129">
        <v>900</v>
      </c>
    </row>
    <row r="13" spans="5:8" ht="16.5" thickBot="1">
      <c r="E13" s="129">
        <v>6</v>
      </c>
      <c r="F13" s="129">
        <v>2500</v>
      </c>
      <c r="G13" s="129">
        <v>1100</v>
      </c>
      <c r="H13" s="129">
        <v>1200</v>
      </c>
    </row>
    <row r="14" spans="5:8" ht="16.5" thickBot="1">
      <c r="E14" s="129">
        <v>7</v>
      </c>
      <c r="F14" s="129">
        <v>4000</v>
      </c>
      <c r="G14" s="129">
        <v>2000</v>
      </c>
      <c r="H14" s="129">
        <v>1890</v>
      </c>
    </row>
    <row r="15" spans="5:8" ht="16.5" thickBot="1">
      <c r="E15" s="129">
        <v>8</v>
      </c>
      <c r="F15" s="129">
        <v>2500</v>
      </c>
      <c r="G15" s="129">
        <v>2100</v>
      </c>
      <c r="H15" s="129">
        <v>900</v>
      </c>
    </row>
    <row r="16" spans="5:8" ht="16.5" thickBot="1">
      <c r="E16" s="129">
        <v>9</v>
      </c>
      <c r="F16" s="129">
        <v>2800</v>
      </c>
      <c r="G16" s="129">
        <v>1600</v>
      </c>
      <c r="H16" s="129">
        <v>1300</v>
      </c>
    </row>
    <row r="17" spans="5:8" ht="16.5" thickBot="1">
      <c r="E17" s="129">
        <v>10</v>
      </c>
      <c r="F17" s="129">
        <v>3000</v>
      </c>
      <c r="G17" s="129">
        <v>1200</v>
      </c>
      <c r="H17" s="129">
        <v>1000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63"/>
  <sheetViews>
    <sheetView showGridLines="0" zoomScale="125" zoomScaleNormal="125" zoomScalePageLayoutView="0" workbookViewId="0" topLeftCell="A1">
      <selection activeCell="H28" sqref="H28"/>
    </sheetView>
  </sheetViews>
  <sheetFormatPr defaultColWidth="8.8515625" defaultRowHeight="12.75"/>
  <cols>
    <col min="1" max="3" width="8.8515625" style="0" customWidth="1"/>
    <col min="4" max="4" width="6.28125" style="0" bestFit="1" customWidth="1"/>
    <col min="5" max="5" width="13.421875" style="0" bestFit="1" customWidth="1"/>
    <col min="6" max="6" width="15.140625" style="0" bestFit="1" customWidth="1"/>
    <col min="7" max="13" width="8.8515625" style="0" customWidth="1"/>
    <col min="14" max="14" width="9.421875" style="0" bestFit="1" customWidth="1"/>
    <col min="15" max="15" width="11.00390625" style="0" bestFit="1" customWidth="1"/>
    <col min="16" max="16" width="15.7109375" style="0" bestFit="1" customWidth="1"/>
  </cols>
  <sheetData>
    <row r="2" spans="5:7" ht="12.75">
      <c r="E2" t="s">
        <v>140</v>
      </c>
      <c r="F2" s="127" t="s">
        <v>141</v>
      </c>
      <c r="G2" s="127"/>
    </row>
    <row r="6" ht="12.75">
      <c r="A6" t="s">
        <v>190</v>
      </c>
    </row>
    <row r="7" ht="12.75">
      <c r="A7" t="s">
        <v>83</v>
      </c>
    </row>
    <row r="8" spans="1:9" ht="12.75">
      <c r="A8" t="s">
        <v>84</v>
      </c>
      <c r="F8" t="s">
        <v>72</v>
      </c>
      <c r="G8">
        <v>19</v>
      </c>
      <c r="I8">
        <f>G8-(G9*G10)</f>
        <v>17</v>
      </c>
    </row>
    <row r="9" spans="4:7" ht="12.75">
      <c r="D9" t="s">
        <v>77</v>
      </c>
      <c r="F9" t="s">
        <v>73</v>
      </c>
      <c r="G9">
        <v>1200</v>
      </c>
    </row>
    <row r="10" spans="6:7" ht="12.75">
      <c r="F10" t="s">
        <v>78</v>
      </c>
      <c r="G10">
        <v>0.001666666666666667</v>
      </c>
    </row>
    <row r="16" spans="4:9" ht="12.75">
      <c r="D16" t="s">
        <v>79</v>
      </c>
      <c r="F16" t="s">
        <v>72</v>
      </c>
      <c r="G16">
        <v>25</v>
      </c>
      <c r="I16">
        <f>G16-(G17*G18)</f>
        <v>18.999999999999996</v>
      </c>
    </row>
    <row r="17" spans="6:7" ht="12.75">
      <c r="F17" t="s">
        <v>73</v>
      </c>
      <c r="G17">
        <v>1200</v>
      </c>
    </row>
    <row r="18" spans="6:7" ht="12.75">
      <c r="F18" t="s">
        <v>78</v>
      </c>
      <c r="G18">
        <v>0.005000000000000003</v>
      </c>
    </row>
    <row r="22" spans="4:9" ht="12.75">
      <c r="D22" t="s">
        <v>80</v>
      </c>
      <c r="F22" t="s">
        <v>72</v>
      </c>
      <c r="G22">
        <v>20</v>
      </c>
      <c r="I22">
        <f>G22-(G23*G24)</f>
        <v>15.500000000000004</v>
      </c>
    </row>
    <row r="23" spans="6:7" ht="12.75">
      <c r="F23" t="s">
        <v>73</v>
      </c>
      <c r="G23">
        <v>1500</v>
      </c>
    </row>
    <row r="24" spans="6:7" ht="12.75">
      <c r="F24" t="s">
        <v>78</v>
      </c>
      <c r="G24">
        <v>0.0029999999999999983</v>
      </c>
    </row>
    <row r="28" spans="13:15" ht="12.75">
      <c r="M28" s="117" t="s">
        <v>74</v>
      </c>
      <c r="N28" s="117" t="s">
        <v>76</v>
      </c>
      <c r="O28" t="s">
        <v>75</v>
      </c>
    </row>
    <row r="29" spans="13:15" ht="12.75">
      <c r="M29" s="117">
        <v>0</v>
      </c>
      <c r="N29" s="118">
        <v>15</v>
      </c>
      <c r="O29" s="118"/>
    </row>
    <row r="30" spans="13:15" ht="12.75">
      <c r="M30" s="117">
        <v>1000</v>
      </c>
      <c r="N30" s="118">
        <v>13.3</v>
      </c>
      <c r="O30" s="118">
        <f>(((M30-M29)/M30)/((N30-N29)/N30))</f>
        <v>-7.82352941176471</v>
      </c>
    </row>
    <row r="31" spans="13:15" ht="12.75">
      <c r="M31" s="117">
        <v>2000</v>
      </c>
      <c r="N31" s="118">
        <v>11.7</v>
      </c>
      <c r="O31" s="118">
        <f aca="true" t="shared" si="0" ref="O31:O37">(((M31-M30)/M31)/((N31-N30)/N31))</f>
        <v>-3.6562499999999964</v>
      </c>
    </row>
    <row r="32" spans="13:15" ht="12.75">
      <c r="M32" s="117">
        <v>3000</v>
      </c>
      <c r="N32" s="118">
        <v>10</v>
      </c>
      <c r="O32" s="118">
        <f t="shared" si="0"/>
        <v>-1.960784313725491</v>
      </c>
    </row>
    <row r="33" spans="13:15" ht="12.75">
      <c r="M33" s="117">
        <v>4000</v>
      </c>
      <c r="N33" s="118">
        <v>8.33</v>
      </c>
      <c r="O33" s="118">
        <f t="shared" si="0"/>
        <v>-1.2470059880239521</v>
      </c>
    </row>
    <row r="34" spans="13:16" ht="12.75">
      <c r="M34" s="117">
        <v>5000</v>
      </c>
      <c r="N34" s="118">
        <v>6.7</v>
      </c>
      <c r="O34" s="118">
        <f t="shared" si="0"/>
        <v>-0.8220858895705523</v>
      </c>
      <c r="P34" s="121">
        <f>(((M38-M29)/(M38+M29)/2))/(((N38-N29)/(N38+N29)/2))</f>
        <v>-1</v>
      </c>
    </row>
    <row r="35" spans="13:15" ht="12.75">
      <c r="M35" s="117">
        <v>6000</v>
      </c>
      <c r="N35" s="118">
        <v>5</v>
      </c>
      <c r="O35" s="118">
        <f t="shared" si="0"/>
        <v>-0.4901960784313725</v>
      </c>
    </row>
    <row r="36" spans="13:15" ht="12.75">
      <c r="M36" s="117">
        <v>7000</v>
      </c>
      <c r="N36" s="118">
        <v>3.3</v>
      </c>
      <c r="O36" s="118">
        <f t="shared" si="0"/>
        <v>-0.27731092436974786</v>
      </c>
    </row>
    <row r="37" spans="13:15" ht="12.75">
      <c r="M37" s="117">
        <v>8000</v>
      </c>
      <c r="N37" s="118">
        <v>1.7</v>
      </c>
      <c r="O37" s="118">
        <f t="shared" si="0"/>
        <v>-0.1328125</v>
      </c>
    </row>
    <row r="38" spans="13:15" ht="12.75">
      <c r="M38" s="117">
        <v>9000</v>
      </c>
      <c r="N38" s="118">
        <v>0</v>
      </c>
      <c r="O38" s="118"/>
    </row>
    <row r="40" spans="13:15" ht="12.75">
      <c r="M40" s="117" t="s">
        <v>74</v>
      </c>
      <c r="N40" s="117" t="s">
        <v>81</v>
      </c>
      <c r="O40" t="s">
        <v>75</v>
      </c>
    </row>
    <row r="41" spans="13:15" ht="12.75">
      <c r="M41" s="117">
        <v>0</v>
      </c>
      <c r="N41" s="119">
        <v>25</v>
      </c>
      <c r="O41" s="118"/>
    </row>
    <row r="42" spans="13:15" ht="12.75">
      <c r="M42" s="117">
        <v>300</v>
      </c>
      <c r="N42" s="119">
        <v>23.5</v>
      </c>
      <c r="O42" s="118">
        <f>(((M42-M41)/M42)/((N42-N41)/N42))</f>
        <v>-15.666666666666668</v>
      </c>
    </row>
    <row r="43" spans="13:15" ht="12.75">
      <c r="M43" s="117">
        <v>600</v>
      </c>
      <c r="N43" s="119">
        <f>N42-1.5</f>
        <v>22</v>
      </c>
      <c r="O43" s="118">
        <f aca="true" t="shared" si="1" ref="O43:O49">(((M43-M42)/M43)/((N43-N42)/N43))</f>
        <v>-7.333333333333334</v>
      </c>
    </row>
    <row r="44" spans="13:15" ht="12.75">
      <c r="M44" s="117">
        <v>900</v>
      </c>
      <c r="N44" s="119">
        <f aca="true" t="shared" si="2" ref="N44:N50">N43-1.5</f>
        <v>20.5</v>
      </c>
      <c r="O44" s="118">
        <f t="shared" si="1"/>
        <v>-4.555555555555555</v>
      </c>
    </row>
    <row r="45" spans="13:15" ht="12.75">
      <c r="M45" s="117">
        <v>1200</v>
      </c>
      <c r="N45" s="119">
        <f t="shared" si="2"/>
        <v>19</v>
      </c>
      <c r="O45" s="118">
        <f t="shared" si="1"/>
        <v>-3.166666666666667</v>
      </c>
    </row>
    <row r="46" spans="13:16" ht="12.75">
      <c r="M46" s="117">
        <v>1500</v>
      </c>
      <c r="N46" s="119">
        <f t="shared" si="2"/>
        <v>17.5</v>
      </c>
      <c r="O46" s="118">
        <f t="shared" si="1"/>
        <v>-2.3333333333333335</v>
      </c>
      <c r="P46" s="149">
        <f>(((M50-M41)/(M50+M41)/2))/(((N50-N41)/(N50+N41)/2))</f>
        <v>-2.7037037037037037</v>
      </c>
    </row>
    <row r="47" spans="13:15" ht="12.75">
      <c r="M47" s="117">
        <v>1800</v>
      </c>
      <c r="N47" s="119">
        <f t="shared" si="2"/>
        <v>16</v>
      </c>
      <c r="O47" s="118">
        <f t="shared" si="1"/>
        <v>-1.7777777777777777</v>
      </c>
    </row>
    <row r="48" spans="13:15" ht="12.75">
      <c r="M48" s="117">
        <v>2100</v>
      </c>
      <c r="N48" s="119">
        <f t="shared" si="2"/>
        <v>14.5</v>
      </c>
      <c r="O48" s="118">
        <f t="shared" si="1"/>
        <v>-1.380952380952381</v>
      </c>
    </row>
    <row r="49" spans="13:15" ht="12.75">
      <c r="M49" s="117">
        <v>2400</v>
      </c>
      <c r="N49" s="119">
        <f t="shared" si="2"/>
        <v>13</v>
      </c>
      <c r="O49" s="118">
        <f t="shared" si="1"/>
        <v>-1.0833333333333333</v>
      </c>
    </row>
    <row r="50" spans="13:15" ht="12.75">
      <c r="M50" s="117">
        <v>2700</v>
      </c>
      <c r="N50" s="119">
        <f t="shared" si="2"/>
        <v>11.5</v>
      </c>
      <c r="O50" s="118"/>
    </row>
    <row r="53" spans="13:15" ht="12.75">
      <c r="M53" s="117" t="s">
        <v>74</v>
      </c>
      <c r="N53" s="117" t="s">
        <v>82</v>
      </c>
      <c r="O53" t="s">
        <v>75</v>
      </c>
    </row>
    <row r="54" spans="13:15" ht="12.75">
      <c r="M54" s="117">
        <v>0</v>
      </c>
      <c r="N54" s="117">
        <v>20</v>
      </c>
      <c r="O54" s="118"/>
    </row>
    <row r="55" spans="13:15" ht="12.75">
      <c r="M55" s="117">
        <v>500</v>
      </c>
      <c r="N55" s="117">
        <v>18.5</v>
      </c>
      <c r="O55" s="118">
        <f>(((M55-M54)/M55)/((N55-N54)/N55))</f>
        <v>-12.333333333333332</v>
      </c>
    </row>
    <row r="56" spans="13:15" ht="12.75">
      <c r="M56" s="117">
        <v>1000</v>
      </c>
      <c r="N56" s="117">
        <v>17</v>
      </c>
      <c r="O56" s="118">
        <f aca="true" t="shared" si="3" ref="O56:O62">(((M56-M55)/M56)/((N56-N55)/N56))</f>
        <v>-5.666666666666666</v>
      </c>
    </row>
    <row r="57" spans="13:15" ht="12.75">
      <c r="M57" s="117">
        <v>1500</v>
      </c>
      <c r="N57" s="117">
        <v>15.5</v>
      </c>
      <c r="O57" s="118">
        <f t="shared" si="3"/>
        <v>-3.444444444444444</v>
      </c>
    </row>
    <row r="58" spans="13:15" ht="12.75">
      <c r="M58" s="117">
        <v>2000</v>
      </c>
      <c r="N58" s="119">
        <v>14</v>
      </c>
      <c r="O58" s="118">
        <f t="shared" si="3"/>
        <v>-2.3333333333333335</v>
      </c>
    </row>
    <row r="59" spans="13:16" ht="12.75">
      <c r="M59" s="117">
        <v>2500</v>
      </c>
      <c r="N59" s="119">
        <v>12.5</v>
      </c>
      <c r="O59" s="118">
        <f t="shared" si="3"/>
        <v>-1.6666666666666667</v>
      </c>
      <c r="P59" s="121">
        <f>(((M63-M54)/(M63+M54)/2))/(((N63-N54)/(N63+N54)/2))</f>
        <v>-1.962962962962963</v>
      </c>
    </row>
    <row r="60" spans="13:15" ht="12.75">
      <c r="M60" s="117">
        <v>3000</v>
      </c>
      <c r="N60" s="119">
        <v>11</v>
      </c>
      <c r="O60" s="118">
        <f t="shared" si="3"/>
        <v>-1.2222222222222223</v>
      </c>
    </row>
    <row r="61" spans="13:15" ht="12.75">
      <c r="M61" s="117">
        <v>3500</v>
      </c>
      <c r="N61" s="119">
        <v>9.5</v>
      </c>
      <c r="O61" s="118">
        <f t="shared" si="3"/>
        <v>-0.9047619047619048</v>
      </c>
    </row>
    <row r="62" spans="13:15" ht="12.75">
      <c r="M62" s="117">
        <v>4000</v>
      </c>
      <c r="N62" s="119">
        <v>8</v>
      </c>
      <c r="O62" s="118">
        <f t="shared" si="3"/>
        <v>-0.6666666666666666</v>
      </c>
    </row>
    <row r="63" spans="13:15" ht="12.75">
      <c r="M63" s="117">
        <v>4500</v>
      </c>
      <c r="N63" s="119">
        <v>6.5</v>
      </c>
      <c r="O63" s="118"/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60"/>
  <sheetViews>
    <sheetView showZeros="0" zoomScalePageLayoutView="0" workbookViewId="0" topLeftCell="A1">
      <selection activeCell="D5" sqref="D5:F10"/>
    </sheetView>
  </sheetViews>
  <sheetFormatPr defaultColWidth="9.140625" defaultRowHeight="12.75"/>
  <cols>
    <col min="1" max="1" width="22.7109375" style="5" customWidth="1"/>
    <col min="2" max="2" width="8.421875" style="5" bestFit="1" customWidth="1"/>
    <col min="3" max="3" width="9.28125" style="5" bestFit="1" customWidth="1"/>
    <col min="4" max="4" width="16.140625" style="5" customWidth="1"/>
    <col min="5" max="5" width="14.421875" style="5" bestFit="1" customWidth="1"/>
    <col min="6" max="6" width="16.7109375" style="5" bestFit="1" customWidth="1"/>
    <col min="7" max="7" width="12.8515625" style="5" bestFit="1" customWidth="1"/>
    <col min="8" max="16384" width="9.140625" style="5" customWidth="1"/>
  </cols>
  <sheetData>
    <row r="2" ht="13.5" thickBot="1">
      <c r="A2" s="4" t="s">
        <v>20</v>
      </c>
    </row>
    <row r="3" spans="4:12" ht="13.5" thickBot="1">
      <c r="D3" s="23" t="str">
        <f>QUESTÕES!F4</f>
        <v>Pizza muzzarela</v>
      </c>
      <c r="E3" s="24" t="str">
        <f>QUESTÕES!F5</f>
        <v>Pizza presunto</v>
      </c>
      <c r="F3" s="24" t="str">
        <f>QUESTÕES!F6</f>
        <v>Pizza marguerita</v>
      </c>
      <c r="G3" s="24"/>
      <c r="H3" s="24"/>
      <c r="I3" s="24"/>
      <c r="J3" s="24"/>
      <c r="K3" s="24"/>
      <c r="L3" s="25"/>
    </row>
    <row r="4" spans="1:13" ht="13.5" thickBot="1">
      <c r="A4" s="11" t="s">
        <v>12</v>
      </c>
      <c r="B4" s="22" t="s">
        <v>2</v>
      </c>
      <c r="C4" s="31" t="s">
        <v>22</v>
      </c>
      <c r="D4" s="30">
        <f>QUESTÕES!J4</f>
        <v>3000</v>
      </c>
      <c r="E4" s="26">
        <f>QUESTÕES!J5</f>
        <v>1200</v>
      </c>
      <c r="F4" s="26">
        <f>QUESTÕES!J6</f>
        <v>1000</v>
      </c>
      <c r="G4" s="26"/>
      <c r="H4" s="26"/>
      <c r="I4" s="26"/>
      <c r="J4" s="26"/>
      <c r="K4" s="26"/>
      <c r="L4" s="27"/>
      <c r="M4" s="4"/>
    </row>
    <row r="5" spans="1:12" ht="13.5" thickTop="1">
      <c r="A5" s="13" t="str">
        <f>QUESTÕES!A4</f>
        <v>Farinha de trigo</v>
      </c>
      <c r="B5" s="43" t="s">
        <v>9</v>
      </c>
      <c r="C5" s="57">
        <f aca="true" t="shared" si="0" ref="C5:C10">D5+E5+F5</f>
        <v>0</v>
      </c>
      <c r="D5" s="34"/>
      <c r="E5" s="34"/>
      <c r="F5" s="34"/>
      <c r="G5" s="18"/>
      <c r="H5" s="18"/>
      <c r="I5" s="18"/>
      <c r="J5" s="18"/>
      <c r="K5" s="18"/>
      <c r="L5" s="19"/>
    </row>
    <row r="6" spans="1:12" ht="12.75">
      <c r="A6" s="13" t="str">
        <f>QUESTÕES!A5</f>
        <v>Ovo</v>
      </c>
      <c r="B6" s="37" t="s">
        <v>10</v>
      </c>
      <c r="C6" s="57">
        <f t="shared" si="0"/>
        <v>0</v>
      </c>
      <c r="D6" s="34"/>
      <c r="E6" s="34"/>
      <c r="F6" s="34"/>
      <c r="G6" s="18"/>
      <c r="H6" s="18"/>
      <c r="I6" s="18"/>
      <c r="J6" s="18"/>
      <c r="K6" s="18"/>
      <c r="L6" s="19"/>
    </row>
    <row r="7" spans="1:12" ht="12.75">
      <c r="A7" s="13" t="str">
        <f>QUESTÕES!A6</f>
        <v>Leite</v>
      </c>
      <c r="B7" s="37" t="s">
        <v>11</v>
      </c>
      <c r="C7" s="57">
        <f t="shared" si="0"/>
        <v>0</v>
      </c>
      <c r="D7" s="34"/>
      <c r="E7" s="34"/>
      <c r="F7" s="34"/>
      <c r="G7" s="18"/>
      <c r="H7" s="18"/>
      <c r="I7" s="18"/>
      <c r="J7" s="18"/>
      <c r="K7" s="18"/>
      <c r="L7" s="19"/>
    </row>
    <row r="8" spans="1:12" ht="12.75">
      <c r="A8" s="13" t="str">
        <f>QUESTÕES!A7</f>
        <v>Queijo muzzarela</v>
      </c>
      <c r="B8" s="37" t="s">
        <v>9</v>
      </c>
      <c r="C8" s="57">
        <f t="shared" si="0"/>
        <v>0</v>
      </c>
      <c r="D8" s="34"/>
      <c r="E8" s="34"/>
      <c r="F8" s="34"/>
      <c r="G8" s="18"/>
      <c r="H8" s="18"/>
      <c r="I8" s="18"/>
      <c r="J8" s="18"/>
      <c r="K8" s="18"/>
      <c r="L8" s="19"/>
    </row>
    <row r="9" spans="1:12" ht="12.75">
      <c r="A9" s="13" t="str">
        <f>QUESTÕES!A8</f>
        <v>Molho de tomate</v>
      </c>
      <c r="B9" s="37" t="s">
        <v>9</v>
      </c>
      <c r="C9" s="57">
        <f t="shared" si="0"/>
        <v>0</v>
      </c>
      <c r="D9" s="34"/>
      <c r="E9" s="34"/>
      <c r="F9" s="34"/>
      <c r="G9" s="18"/>
      <c r="H9" s="18"/>
      <c r="I9" s="18"/>
      <c r="J9" s="18"/>
      <c r="K9" s="18"/>
      <c r="L9" s="19"/>
    </row>
    <row r="10" spans="1:12" ht="13.5" thickBot="1">
      <c r="A10" s="13" t="str">
        <f>QUESTÕES!A9</f>
        <v>Presunto</v>
      </c>
      <c r="B10" s="99" t="s">
        <v>9</v>
      </c>
      <c r="C10" s="57">
        <f t="shared" si="0"/>
        <v>0</v>
      </c>
      <c r="D10" s="34"/>
      <c r="E10" s="34"/>
      <c r="F10" s="34"/>
      <c r="G10" s="18"/>
      <c r="H10" s="18"/>
      <c r="I10" s="18"/>
      <c r="J10" s="18"/>
      <c r="K10" s="18"/>
      <c r="L10" s="19"/>
    </row>
    <row r="11" spans="1:12" ht="12.75">
      <c r="A11" s="13">
        <f>QUESTÕES!A10</f>
        <v>0</v>
      </c>
      <c r="B11" s="28"/>
      <c r="C11" s="32"/>
      <c r="D11" s="34"/>
      <c r="E11" s="18"/>
      <c r="F11" s="18"/>
      <c r="G11" s="18"/>
      <c r="H11" s="18"/>
      <c r="I11" s="18"/>
      <c r="J11" s="18"/>
      <c r="K11" s="18"/>
      <c r="L11" s="19"/>
    </row>
    <row r="12" spans="1:12" ht="12.75">
      <c r="A12" s="13"/>
      <c r="B12" s="28"/>
      <c r="C12" s="32"/>
      <c r="D12" s="34"/>
      <c r="E12" s="18"/>
      <c r="F12" s="18"/>
      <c r="G12" s="18"/>
      <c r="H12" s="18"/>
      <c r="I12" s="18"/>
      <c r="J12" s="18"/>
      <c r="K12" s="18"/>
      <c r="L12" s="19"/>
    </row>
    <row r="13" spans="1:12" ht="12.75">
      <c r="A13" s="13"/>
      <c r="B13" s="28"/>
      <c r="C13" s="32"/>
      <c r="D13" s="34"/>
      <c r="E13" s="18"/>
      <c r="F13" s="18"/>
      <c r="G13" s="18"/>
      <c r="H13" s="18"/>
      <c r="I13" s="18"/>
      <c r="J13" s="18"/>
      <c r="K13" s="18"/>
      <c r="L13" s="19"/>
    </row>
    <row r="14" spans="1:12" ht="12.75">
      <c r="A14" s="13"/>
      <c r="B14" s="28"/>
      <c r="C14" s="32"/>
      <c r="D14" s="34"/>
      <c r="E14" s="18"/>
      <c r="F14" s="18"/>
      <c r="G14" s="18"/>
      <c r="H14" s="18"/>
      <c r="I14" s="18"/>
      <c r="J14" s="18"/>
      <c r="K14" s="18"/>
      <c r="L14" s="19"/>
    </row>
    <row r="15" spans="1:12" ht="12.75">
      <c r="A15" s="13"/>
      <c r="B15" s="28"/>
      <c r="C15" s="32"/>
      <c r="D15" s="34"/>
      <c r="E15" s="18"/>
      <c r="F15" s="18"/>
      <c r="G15" s="18"/>
      <c r="H15" s="18"/>
      <c r="I15" s="18"/>
      <c r="J15" s="18"/>
      <c r="K15" s="18"/>
      <c r="L15" s="19"/>
    </row>
    <row r="16" spans="1:12" ht="12.75">
      <c r="A16" s="13"/>
      <c r="B16" s="28"/>
      <c r="C16" s="32"/>
      <c r="D16" s="34"/>
      <c r="E16" s="18"/>
      <c r="F16" s="18"/>
      <c r="G16" s="18"/>
      <c r="H16" s="18"/>
      <c r="I16" s="18"/>
      <c r="J16" s="18"/>
      <c r="K16" s="18"/>
      <c r="L16" s="19"/>
    </row>
    <row r="17" spans="1:12" ht="12.75">
      <c r="A17" s="13"/>
      <c r="B17" s="28"/>
      <c r="C17" s="32"/>
      <c r="D17" s="34"/>
      <c r="E17" s="18"/>
      <c r="F17" s="18"/>
      <c r="G17" s="18"/>
      <c r="H17" s="18"/>
      <c r="I17" s="18"/>
      <c r="J17" s="18"/>
      <c r="K17" s="18"/>
      <c r="L17" s="19"/>
    </row>
    <row r="18" spans="1:12" ht="12.75">
      <c r="A18" s="13"/>
      <c r="B18" s="28"/>
      <c r="C18" s="32"/>
      <c r="D18" s="34"/>
      <c r="E18" s="18"/>
      <c r="F18" s="18"/>
      <c r="G18" s="18"/>
      <c r="H18" s="18"/>
      <c r="I18" s="18"/>
      <c r="J18" s="18"/>
      <c r="K18" s="18"/>
      <c r="L18" s="19"/>
    </row>
    <row r="19" spans="1:12" ht="12.75">
      <c r="A19" s="13"/>
      <c r="B19" s="28"/>
      <c r="C19" s="32"/>
      <c r="D19" s="34"/>
      <c r="E19" s="18"/>
      <c r="F19" s="18"/>
      <c r="G19" s="18"/>
      <c r="H19" s="18"/>
      <c r="I19" s="18"/>
      <c r="J19" s="18"/>
      <c r="K19" s="18"/>
      <c r="L19" s="19"/>
    </row>
    <row r="20" spans="1:12" ht="12.75">
      <c r="A20" s="13"/>
      <c r="B20" s="28"/>
      <c r="C20" s="32"/>
      <c r="D20" s="34"/>
      <c r="E20" s="18"/>
      <c r="F20" s="18"/>
      <c r="G20" s="18"/>
      <c r="H20" s="18"/>
      <c r="I20" s="18"/>
      <c r="J20" s="18"/>
      <c r="K20" s="18"/>
      <c r="L20" s="19"/>
    </row>
    <row r="21" spans="1:12" ht="12.75">
      <c r="A21" s="13"/>
      <c r="B21" s="28"/>
      <c r="C21" s="32"/>
      <c r="D21" s="34"/>
      <c r="E21" s="18"/>
      <c r="F21" s="18"/>
      <c r="G21" s="18"/>
      <c r="H21" s="18"/>
      <c r="I21" s="18"/>
      <c r="J21" s="18"/>
      <c r="K21" s="18"/>
      <c r="L21" s="19"/>
    </row>
    <row r="22" spans="1:12" ht="12.75">
      <c r="A22" s="13"/>
      <c r="B22" s="28"/>
      <c r="C22" s="32"/>
      <c r="D22" s="34"/>
      <c r="E22" s="18"/>
      <c r="F22" s="18"/>
      <c r="G22" s="18"/>
      <c r="H22" s="18"/>
      <c r="I22" s="18"/>
      <c r="J22" s="18"/>
      <c r="K22" s="18"/>
      <c r="L22" s="19"/>
    </row>
    <row r="23" spans="1:12" ht="12.75">
      <c r="A23" s="13"/>
      <c r="B23" s="28"/>
      <c r="C23" s="32"/>
      <c r="D23" s="34"/>
      <c r="E23" s="18"/>
      <c r="F23" s="18"/>
      <c r="G23" s="18"/>
      <c r="H23" s="18"/>
      <c r="I23" s="18"/>
      <c r="J23" s="18"/>
      <c r="K23" s="18"/>
      <c r="L23" s="19"/>
    </row>
    <row r="24" spans="1:12" ht="12.75">
      <c r="A24" s="13"/>
      <c r="B24" s="28"/>
      <c r="C24" s="32"/>
      <c r="D24" s="34"/>
      <c r="E24" s="18"/>
      <c r="F24" s="18"/>
      <c r="G24" s="18"/>
      <c r="H24" s="18"/>
      <c r="I24" s="18"/>
      <c r="J24" s="18"/>
      <c r="K24" s="18"/>
      <c r="L24" s="19"/>
    </row>
    <row r="25" spans="1:12" ht="12.75">
      <c r="A25" s="13"/>
      <c r="B25" s="28"/>
      <c r="C25" s="32"/>
      <c r="D25" s="34"/>
      <c r="E25" s="18"/>
      <c r="F25" s="18"/>
      <c r="G25" s="18"/>
      <c r="H25" s="18"/>
      <c r="I25" s="18"/>
      <c r="J25" s="18"/>
      <c r="K25" s="18"/>
      <c r="L25" s="19"/>
    </row>
    <row r="26" spans="1:12" ht="12.75">
      <c r="A26" s="13"/>
      <c r="B26" s="28"/>
      <c r="C26" s="32"/>
      <c r="D26" s="34"/>
      <c r="E26" s="18"/>
      <c r="F26" s="18"/>
      <c r="G26" s="18"/>
      <c r="H26" s="18"/>
      <c r="I26" s="18"/>
      <c r="J26" s="18"/>
      <c r="K26" s="18"/>
      <c r="L26" s="19"/>
    </row>
    <row r="27" spans="1:12" ht="12.75">
      <c r="A27" s="13"/>
      <c r="B27" s="28"/>
      <c r="C27" s="32"/>
      <c r="D27" s="34"/>
      <c r="E27" s="18"/>
      <c r="F27" s="18"/>
      <c r="G27" s="18"/>
      <c r="H27" s="18"/>
      <c r="I27" s="18"/>
      <c r="J27" s="18"/>
      <c r="K27" s="18"/>
      <c r="L27" s="19"/>
    </row>
    <row r="28" spans="1:12" ht="12.75">
      <c r="A28" s="13"/>
      <c r="B28" s="28"/>
      <c r="C28" s="32"/>
      <c r="D28" s="34"/>
      <c r="E28" s="18"/>
      <c r="F28" s="18"/>
      <c r="G28" s="18"/>
      <c r="H28" s="18"/>
      <c r="I28" s="18"/>
      <c r="J28" s="18"/>
      <c r="K28" s="18"/>
      <c r="L28" s="19"/>
    </row>
    <row r="29" spans="1:12" ht="12.75">
      <c r="A29" s="13"/>
      <c r="B29" s="28"/>
      <c r="C29" s="32"/>
      <c r="D29" s="34"/>
      <c r="E29" s="18"/>
      <c r="F29" s="18"/>
      <c r="G29" s="18"/>
      <c r="H29" s="18"/>
      <c r="I29" s="18"/>
      <c r="J29" s="18"/>
      <c r="K29" s="18"/>
      <c r="L29" s="19"/>
    </row>
    <row r="30" spans="1:12" ht="12.75">
      <c r="A30" s="13"/>
      <c r="B30" s="28"/>
      <c r="C30" s="32"/>
      <c r="D30" s="34"/>
      <c r="E30" s="18"/>
      <c r="F30" s="18"/>
      <c r="G30" s="18"/>
      <c r="H30" s="18"/>
      <c r="I30" s="18"/>
      <c r="J30" s="18"/>
      <c r="K30" s="18"/>
      <c r="L30" s="19"/>
    </row>
    <row r="31" spans="1:12" ht="12.75">
      <c r="A31" s="13"/>
      <c r="B31" s="28"/>
      <c r="C31" s="32"/>
      <c r="D31" s="34"/>
      <c r="E31" s="18"/>
      <c r="F31" s="18"/>
      <c r="G31" s="18"/>
      <c r="H31" s="18"/>
      <c r="I31" s="18"/>
      <c r="J31" s="18"/>
      <c r="K31" s="18"/>
      <c r="L31" s="19"/>
    </row>
    <row r="32" spans="1:12" ht="12.75">
      <c r="A32" s="13"/>
      <c r="B32" s="28"/>
      <c r="C32" s="32"/>
      <c r="D32" s="34"/>
      <c r="E32" s="18"/>
      <c r="F32" s="18"/>
      <c r="G32" s="18"/>
      <c r="H32" s="18"/>
      <c r="I32" s="18"/>
      <c r="J32" s="18"/>
      <c r="K32" s="18"/>
      <c r="L32" s="19"/>
    </row>
    <row r="33" spans="1:12" ht="12.75">
      <c r="A33" s="13"/>
      <c r="B33" s="28"/>
      <c r="C33" s="32"/>
      <c r="D33" s="34"/>
      <c r="E33" s="18"/>
      <c r="F33" s="18"/>
      <c r="G33" s="18"/>
      <c r="H33" s="18"/>
      <c r="I33" s="18"/>
      <c r="J33" s="18"/>
      <c r="K33" s="18"/>
      <c r="L33" s="19"/>
    </row>
    <row r="34" spans="1:12" ht="12.75">
      <c r="A34" s="13"/>
      <c r="B34" s="28"/>
      <c r="C34" s="32"/>
      <c r="D34" s="34"/>
      <c r="E34" s="18"/>
      <c r="F34" s="18"/>
      <c r="G34" s="18"/>
      <c r="H34" s="18"/>
      <c r="I34" s="18"/>
      <c r="J34" s="18"/>
      <c r="K34" s="18"/>
      <c r="L34" s="19"/>
    </row>
    <row r="35" spans="1:12" ht="12.75">
      <c r="A35" s="13"/>
      <c r="B35" s="28"/>
      <c r="C35" s="32"/>
      <c r="D35" s="34"/>
      <c r="E35" s="18"/>
      <c r="F35" s="18"/>
      <c r="G35" s="18"/>
      <c r="H35" s="18"/>
      <c r="I35" s="18"/>
      <c r="J35" s="18"/>
      <c r="K35" s="18"/>
      <c r="L35" s="19"/>
    </row>
    <row r="36" spans="1:12" ht="12.75">
      <c r="A36" s="13"/>
      <c r="B36" s="28"/>
      <c r="C36" s="32"/>
      <c r="D36" s="34"/>
      <c r="E36" s="18"/>
      <c r="F36" s="18"/>
      <c r="G36" s="18"/>
      <c r="H36" s="18"/>
      <c r="I36" s="18"/>
      <c r="J36" s="18"/>
      <c r="K36" s="18"/>
      <c r="L36" s="19"/>
    </row>
    <row r="37" spans="1:12" ht="12.75">
      <c r="A37" s="13"/>
      <c r="B37" s="28"/>
      <c r="C37" s="32"/>
      <c r="D37" s="34"/>
      <c r="E37" s="18"/>
      <c r="F37" s="18"/>
      <c r="G37" s="18"/>
      <c r="H37" s="18"/>
      <c r="I37" s="18"/>
      <c r="J37" s="18"/>
      <c r="K37" s="18"/>
      <c r="L37" s="19"/>
    </row>
    <row r="38" spans="1:12" ht="12.75">
      <c r="A38" s="13"/>
      <c r="B38" s="28"/>
      <c r="C38" s="32"/>
      <c r="D38" s="34"/>
      <c r="E38" s="18"/>
      <c r="F38" s="18"/>
      <c r="G38" s="18"/>
      <c r="H38" s="18"/>
      <c r="I38" s="18"/>
      <c r="J38" s="18"/>
      <c r="K38" s="18"/>
      <c r="L38" s="19"/>
    </row>
    <row r="39" spans="1:12" ht="12.75">
      <c r="A39" s="13"/>
      <c r="B39" s="28"/>
      <c r="C39" s="32"/>
      <c r="D39" s="34"/>
      <c r="E39" s="18"/>
      <c r="F39" s="18"/>
      <c r="G39" s="18"/>
      <c r="H39" s="18"/>
      <c r="I39" s="18"/>
      <c r="J39" s="18"/>
      <c r="K39" s="18"/>
      <c r="L39" s="19"/>
    </row>
    <row r="40" spans="1:12" ht="12.75">
      <c r="A40" s="13"/>
      <c r="B40" s="28"/>
      <c r="C40" s="32"/>
      <c r="D40" s="34"/>
      <c r="E40" s="18"/>
      <c r="F40" s="18"/>
      <c r="G40" s="18"/>
      <c r="H40" s="18"/>
      <c r="I40" s="18"/>
      <c r="J40" s="18"/>
      <c r="K40" s="18"/>
      <c r="L40" s="19"/>
    </row>
    <row r="41" spans="1:12" ht="12.75">
      <c r="A41" s="13"/>
      <c r="B41" s="28"/>
      <c r="C41" s="32"/>
      <c r="D41" s="34"/>
      <c r="E41" s="18"/>
      <c r="F41" s="18"/>
      <c r="G41" s="18"/>
      <c r="H41" s="18"/>
      <c r="I41" s="18"/>
      <c r="J41" s="18"/>
      <c r="K41" s="18"/>
      <c r="L41" s="19"/>
    </row>
    <row r="42" spans="1:12" ht="12.75">
      <c r="A42" s="13"/>
      <c r="B42" s="28"/>
      <c r="C42" s="32"/>
      <c r="D42" s="34"/>
      <c r="E42" s="18"/>
      <c r="F42" s="18"/>
      <c r="G42" s="18"/>
      <c r="H42" s="18"/>
      <c r="I42" s="18"/>
      <c r="J42" s="18"/>
      <c r="K42" s="18"/>
      <c r="L42" s="19"/>
    </row>
    <row r="43" spans="1:12" ht="12.75">
      <c r="A43" s="13"/>
      <c r="B43" s="28"/>
      <c r="C43" s="32"/>
      <c r="D43" s="34"/>
      <c r="E43" s="18"/>
      <c r="F43" s="18"/>
      <c r="G43" s="18"/>
      <c r="H43" s="18"/>
      <c r="I43" s="18"/>
      <c r="J43" s="18"/>
      <c r="K43" s="18"/>
      <c r="L43" s="19"/>
    </row>
    <row r="44" spans="1:12" ht="13.5" thickBot="1">
      <c r="A44" s="15"/>
      <c r="B44" s="29"/>
      <c r="C44" s="33"/>
      <c r="D44" s="35"/>
      <c r="E44" s="20"/>
      <c r="F44" s="20"/>
      <c r="G44" s="20"/>
      <c r="H44" s="20"/>
      <c r="I44" s="20"/>
      <c r="J44" s="20"/>
      <c r="K44" s="20"/>
      <c r="L44" s="21"/>
    </row>
    <row r="57" spans="4:5" ht="12.75">
      <c r="D57" s="9"/>
      <c r="E57" s="9"/>
    </row>
    <row r="60" spans="4:5" ht="12.75">
      <c r="D60" s="10"/>
      <c r="E60" s="10"/>
    </row>
  </sheetData>
  <sheetProtection/>
  <printOptions/>
  <pageMargins left="0.75" right="0.75" top="1" bottom="1" header="0.492125985" footer="0.49212598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2:P62"/>
  <sheetViews>
    <sheetView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4" sqref="E4:G5"/>
    </sheetView>
  </sheetViews>
  <sheetFormatPr defaultColWidth="9.140625" defaultRowHeight="12.75"/>
  <cols>
    <col min="1" max="1" width="22.7109375" style="5" customWidth="1"/>
    <col min="2" max="2" width="8.421875" style="5" bestFit="1" customWidth="1"/>
    <col min="3" max="3" width="10.421875" style="5" bestFit="1" customWidth="1"/>
    <col min="4" max="4" width="9.28125" style="5" bestFit="1" customWidth="1"/>
    <col min="5" max="5" width="16.140625" style="5" customWidth="1"/>
    <col min="6" max="6" width="14.421875" style="5" bestFit="1" customWidth="1"/>
    <col min="7" max="7" width="16.7109375" style="5" bestFit="1" customWidth="1"/>
    <col min="8" max="9" width="9.140625" style="5" customWidth="1"/>
    <col min="10" max="10" width="12.8515625" style="5" bestFit="1" customWidth="1"/>
    <col min="11" max="16384" width="9.140625" style="5" customWidth="1"/>
  </cols>
  <sheetData>
    <row r="2" ht="13.5" thickBot="1">
      <c r="A2" s="4" t="s">
        <v>23</v>
      </c>
    </row>
    <row r="3" spans="5:15" ht="13.5" thickBot="1">
      <c r="E3" s="51" t="str">
        <f>'Consumo de materiais'!D3</f>
        <v>Pizza muzzarela</v>
      </c>
      <c r="F3" s="51" t="str">
        <f>'Consumo de materiais'!E3</f>
        <v>Pizza presunto</v>
      </c>
      <c r="G3" s="51" t="str">
        <f>'Consumo de materiais'!F3</f>
        <v>Pizza marguerita</v>
      </c>
      <c r="H3" s="52"/>
      <c r="I3" s="52"/>
      <c r="J3" s="52"/>
      <c r="K3" s="52"/>
      <c r="L3" s="52"/>
      <c r="M3" s="52"/>
      <c r="N3" s="52"/>
      <c r="O3" s="53"/>
    </row>
    <row r="4" spans="3:15" ht="13.5" thickBot="1">
      <c r="C4" s="5" t="s">
        <v>62</v>
      </c>
      <c r="D4" s="49" t="s">
        <v>24</v>
      </c>
      <c r="E4" s="115"/>
      <c r="F4" s="115"/>
      <c r="G4" s="115"/>
      <c r="H4" s="45"/>
      <c r="I4" s="45"/>
      <c r="J4" s="45"/>
      <c r="K4" s="45"/>
      <c r="L4" s="45"/>
      <c r="M4" s="45"/>
      <c r="N4" s="45"/>
      <c r="O4" s="46"/>
    </row>
    <row r="5" spans="3:15" ht="13.5" thickBot="1">
      <c r="C5" s="5" t="s">
        <v>63</v>
      </c>
      <c r="D5" s="50" t="s">
        <v>22</v>
      </c>
      <c r="E5" s="110"/>
      <c r="F5" s="110"/>
      <c r="G5" s="110"/>
      <c r="H5" s="47"/>
      <c r="I5" s="47"/>
      <c r="J5" s="47"/>
      <c r="K5" s="47"/>
      <c r="L5" s="47"/>
      <c r="M5" s="47"/>
      <c r="N5" s="47"/>
      <c r="O5" s="48"/>
    </row>
    <row r="6" spans="1:16" ht="13.5" thickBot="1">
      <c r="A6" s="11" t="s">
        <v>12</v>
      </c>
      <c r="B6" s="12" t="s">
        <v>2</v>
      </c>
      <c r="C6" s="22" t="s">
        <v>61</v>
      </c>
      <c r="D6" s="31" t="s">
        <v>22</v>
      </c>
      <c r="E6" s="51">
        <f>'Consumo de materiais'!D4</f>
        <v>3000</v>
      </c>
      <c r="F6" s="51">
        <f>'Consumo de materiais'!E4</f>
        <v>1200</v>
      </c>
      <c r="G6" s="51">
        <f>'Consumo de materiais'!F4</f>
        <v>1000</v>
      </c>
      <c r="H6" s="54"/>
      <c r="I6" s="54"/>
      <c r="J6" s="54"/>
      <c r="K6" s="54"/>
      <c r="L6" s="54"/>
      <c r="M6" s="54"/>
      <c r="N6" s="54"/>
      <c r="O6" s="55"/>
      <c r="P6" s="4"/>
    </row>
    <row r="7" spans="1:15" ht="15" thickBot="1" thickTop="1">
      <c r="A7" s="13" t="str">
        <f>QUESTÕES!A4</f>
        <v>Farinha de trigo</v>
      </c>
      <c r="B7" s="13" t="str">
        <f>QUESTÕES!B4</f>
        <v>kg</v>
      </c>
      <c r="C7" s="44">
        <f>QUESTÕES!C4</f>
        <v>1</v>
      </c>
      <c r="D7" s="57"/>
      <c r="E7" s="62"/>
      <c r="F7" s="62"/>
      <c r="G7" s="62"/>
      <c r="H7" s="63"/>
      <c r="I7" s="63"/>
      <c r="J7" s="63"/>
      <c r="K7" s="63"/>
      <c r="L7" s="63"/>
      <c r="M7" s="63"/>
      <c r="N7" s="63"/>
      <c r="O7" s="64"/>
    </row>
    <row r="8" spans="1:15" ht="13.5" thickBot="1">
      <c r="A8" s="13" t="str">
        <f>QUESTÕES!A5</f>
        <v>Ovo</v>
      </c>
      <c r="B8" s="13" t="str">
        <f>QUESTÕES!B5</f>
        <v>un.</v>
      </c>
      <c r="C8" s="44">
        <f>QUESTÕES!C5</f>
        <v>0.5</v>
      </c>
      <c r="D8" s="57"/>
      <c r="E8" s="62"/>
      <c r="F8" s="62"/>
      <c r="G8" s="62"/>
      <c r="H8" s="63"/>
      <c r="I8" s="63"/>
      <c r="J8" s="63"/>
      <c r="K8" s="63"/>
      <c r="L8" s="63"/>
      <c r="M8" s="63"/>
      <c r="N8" s="63"/>
      <c r="O8" s="64"/>
    </row>
    <row r="9" spans="1:15" ht="13.5" thickBot="1">
      <c r="A9" s="13" t="str">
        <f>QUESTÕES!A6</f>
        <v>Leite</v>
      </c>
      <c r="B9" s="13" t="str">
        <f>QUESTÕES!B6</f>
        <v>L</v>
      </c>
      <c r="C9" s="44">
        <f>QUESTÕES!C6</f>
        <v>1</v>
      </c>
      <c r="D9" s="57"/>
      <c r="E9" s="62"/>
      <c r="F9" s="62"/>
      <c r="G9" s="62"/>
      <c r="H9" s="63"/>
      <c r="I9" s="63"/>
      <c r="J9" s="63"/>
      <c r="K9" s="63"/>
      <c r="L9" s="63"/>
      <c r="M9" s="63"/>
      <c r="N9" s="63"/>
      <c r="O9" s="64"/>
    </row>
    <row r="10" spans="1:15" ht="13.5" thickBot="1">
      <c r="A10" s="13" t="str">
        <f>QUESTÕES!A7</f>
        <v>Queijo muzzarela</v>
      </c>
      <c r="B10" s="13" t="str">
        <f>QUESTÕES!B7</f>
        <v>kg</v>
      </c>
      <c r="C10" s="44">
        <f>QUESTÕES!C7</f>
        <v>8</v>
      </c>
      <c r="D10" s="57"/>
      <c r="E10" s="62"/>
      <c r="F10" s="62"/>
      <c r="G10" s="62"/>
      <c r="H10" s="63"/>
      <c r="I10" s="63"/>
      <c r="J10" s="63"/>
      <c r="K10" s="63"/>
      <c r="L10" s="63"/>
      <c r="M10" s="63"/>
      <c r="N10" s="63"/>
      <c r="O10" s="64"/>
    </row>
    <row r="11" spans="1:15" ht="13.5" thickBot="1">
      <c r="A11" s="13" t="str">
        <f>QUESTÕES!A8</f>
        <v>Molho de tomate</v>
      </c>
      <c r="B11" s="13" t="str">
        <f>QUESTÕES!B8</f>
        <v>kg</v>
      </c>
      <c r="C11" s="44">
        <f>QUESTÕES!C8</f>
        <v>5</v>
      </c>
      <c r="D11" s="57"/>
      <c r="E11" s="62"/>
      <c r="F11" s="62"/>
      <c r="G11" s="62"/>
      <c r="H11" s="63"/>
      <c r="I11" s="63"/>
      <c r="J11" s="63"/>
      <c r="K11" s="63"/>
      <c r="L11" s="63"/>
      <c r="M11" s="63"/>
      <c r="N11" s="63"/>
      <c r="O11" s="64"/>
    </row>
    <row r="12" spans="1:15" ht="12.75">
      <c r="A12" s="13" t="str">
        <f>QUESTÕES!A9</f>
        <v>Presunto</v>
      </c>
      <c r="B12" s="13" t="str">
        <f>QUESTÕES!B9</f>
        <v>kg</v>
      </c>
      <c r="C12" s="44">
        <f>QUESTÕES!C9</f>
        <v>15</v>
      </c>
      <c r="D12" s="57"/>
      <c r="E12" s="62"/>
      <c r="F12" s="62"/>
      <c r="G12" s="62"/>
      <c r="H12" s="63"/>
      <c r="I12" s="63"/>
      <c r="J12" s="63"/>
      <c r="K12" s="63"/>
      <c r="L12" s="63"/>
      <c r="M12" s="63"/>
      <c r="N12" s="63"/>
      <c r="O12" s="64"/>
    </row>
    <row r="13" spans="1:15" ht="12.75">
      <c r="A13" s="13"/>
      <c r="B13" s="14"/>
      <c r="C13" s="56"/>
      <c r="D13" s="57"/>
      <c r="E13" s="62"/>
      <c r="F13" s="63"/>
      <c r="G13" s="63"/>
      <c r="H13" s="63"/>
      <c r="I13" s="63"/>
      <c r="J13" s="63"/>
      <c r="K13" s="63"/>
      <c r="L13" s="63"/>
      <c r="M13" s="63"/>
      <c r="N13" s="63"/>
      <c r="O13" s="64"/>
    </row>
    <row r="14" spans="1:15" ht="12.75">
      <c r="A14" s="13"/>
      <c r="B14" s="14"/>
      <c r="C14" s="56"/>
      <c r="D14" s="57"/>
      <c r="E14" s="62"/>
      <c r="F14" s="63"/>
      <c r="G14" s="63"/>
      <c r="H14" s="63"/>
      <c r="I14" s="63"/>
      <c r="J14" s="63"/>
      <c r="K14" s="63"/>
      <c r="L14" s="63"/>
      <c r="M14" s="63"/>
      <c r="N14" s="63"/>
      <c r="O14" s="64"/>
    </row>
    <row r="15" spans="1:15" ht="12.75">
      <c r="A15" s="13"/>
      <c r="B15" s="14"/>
      <c r="C15" s="56"/>
      <c r="D15" s="57"/>
      <c r="E15" s="62"/>
      <c r="F15" s="63"/>
      <c r="G15" s="63"/>
      <c r="H15" s="63"/>
      <c r="I15" s="63"/>
      <c r="J15" s="63"/>
      <c r="K15" s="63"/>
      <c r="L15" s="63"/>
      <c r="M15" s="63"/>
      <c r="N15" s="63"/>
      <c r="O15" s="64"/>
    </row>
    <row r="16" spans="1:15" ht="12.75">
      <c r="A16" s="13"/>
      <c r="B16" s="14"/>
      <c r="C16" s="56"/>
      <c r="D16" s="57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4"/>
    </row>
    <row r="17" spans="1:15" ht="12.75">
      <c r="A17" s="13"/>
      <c r="B17" s="14"/>
      <c r="C17" s="56"/>
      <c r="D17" s="57"/>
      <c r="E17" s="62"/>
      <c r="F17" s="63"/>
      <c r="G17" s="63"/>
      <c r="H17" s="63"/>
      <c r="I17" s="63"/>
      <c r="J17" s="63"/>
      <c r="K17" s="63"/>
      <c r="L17" s="63"/>
      <c r="M17" s="63"/>
      <c r="N17" s="63"/>
      <c r="O17" s="64"/>
    </row>
    <row r="18" spans="1:15" ht="12.75">
      <c r="A18" s="13"/>
      <c r="B18" s="14"/>
      <c r="C18" s="56"/>
      <c r="D18" s="57"/>
      <c r="E18" s="62"/>
      <c r="F18" s="63"/>
      <c r="G18" s="63"/>
      <c r="H18" s="63"/>
      <c r="I18" s="63"/>
      <c r="J18" s="63"/>
      <c r="K18" s="63"/>
      <c r="L18" s="63"/>
      <c r="M18" s="63"/>
      <c r="N18" s="63"/>
      <c r="O18" s="64"/>
    </row>
    <row r="19" spans="1:15" ht="12.75">
      <c r="A19" s="13"/>
      <c r="B19" s="14"/>
      <c r="C19" s="56"/>
      <c r="D19" s="57"/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4"/>
    </row>
    <row r="20" spans="1:15" ht="12.75">
      <c r="A20" s="13"/>
      <c r="B20" s="14"/>
      <c r="C20" s="56"/>
      <c r="D20" s="57"/>
      <c r="E20" s="62"/>
      <c r="F20" s="63"/>
      <c r="G20" s="63"/>
      <c r="H20" s="63"/>
      <c r="I20" s="63"/>
      <c r="J20" s="63"/>
      <c r="K20" s="63"/>
      <c r="L20" s="63"/>
      <c r="M20" s="63"/>
      <c r="N20" s="63"/>
      <c r="O20" s="64"/>
    </row>
    <row r="21" spans="1:15" ht="12.75">
      <c r="A21" s="13"/>
      <c r="B21" s="14"/>
      <c r="C21" s="56"/>
      <c r="D21" s="57"/>
      <c r="E21" s="62"/>
      <c r="F21" s="63"/>
      <c r="G21" s="63"/>
      <c r="H21" s="63"/>
      <c r="I21" s="63"/>
      <c r="J21" s="63"/>
      <c r="K21" s="63"/>
      <c r="L21" s="63"/>
      <c r="M21" s="63"/>
      <c r="N21" s="63"/>
      <c r="O21" s="64"/>
    </row>
    <row r="22" spans="1:15" ht="12.75">
      <c r="A22" s="13"/>
      <c r="B22" s="14"/>
      <c r="C22" s="56"/>
      <c r="D22" s="57"/>
      <c r="E22" s="62"/>
      <c r="F22" s="63"/>
      <c r="G22" s="63"/>
      <c r="H22" s="63"/>
      <c r="I22" s="63"/>
      <c r="J22" s="63"/>
      <c r="K22" s="63"/>
      <c r="L22" s="63"/>
      <c r="M22" s="63"/>
      <c r="N22" s="63"/>
      <c r="O22" s="64"/>
    </row>
    <row r="23" spans="1:15" ht="12.75">
      <c r="A23" s="13"/>
      <c r="B23" s="14"/>
      <c r="C23" s="56"/>
      <c r="D23" s="57"/>
      <c r="E23" s="62"/>
      <c r="F23" s="63"/>
      <c r="G23" s="63"/>
      <c r="H23" s="63"/>
      <c r="I23" s="63"/>
      <c r="J23" s="63"/>
      <c r="K23" s="63"/>
      <c r="L23" s="63"/>
      <c r="M23" s="63"/>
      <c r="N23" s="63"/>
      <c r="O23" s="64"/>
    </row>
    <row r="24" spans="1:15" ht="12.75">
      <c r="A24" s="13"/>
      <c r="B24" s="14"/>
      <c r="C24" s="56"/>
      <c r="D24" s="57"/>
      <c r="E24" s="62"/>
      <c r="F24" s="63"/>
      <c r="G24" s="63"/>
      <c r="H24" s="63"/>
      <c r="I24" s="63"/>
      <c r="J24" s="63"/>
      <c r="K24" s="63"/>
      <c r="L24" s="63"/>
      <c r="M24" s="63"/>
      <c r="N24" s="63"/>
      <c r="O24" s="64"/>
    </row>
    <row r="25" spans="1:15" ht="12.75">
      <c r="A25" s="13"/>
      <c r="B25" s="14"/>
      <c r="C25" s="56"/>
      <c r="D25" s="57"/>
      <c r="E25" s="62"/>
      <c r="F25" s="63"/>
      <c r="G25" s="63"/>
      <c r="H25" s="63"/>
      <c r="I25" s="63"/>
      <c r="J25" s="63"/>
      <c r="K25" s="63"/>
      <c r="L25" s="63"/>
      <c r="M25" s="63"/>
      <c r="N25" s="63"/>
      <c r="O25" s="64"/>
    </row>
    <row r="26" spans="1:15" ht="12.75">
      <c r="A26" s="13"/>
      <c r="B26" s="14"/>
      <c r="C26" s="56"/>
      <c r="D26" s="57"/>
      <c r="E26" s="62"/>
      <c r="F26" s="63"/>
      <c r="G26" s="63"/>
      <c r="H26" s="63"/>
      <c r="I26" s="63"/>
      <c r="J26" s="63"/>
      <c r="K26" s="63"/>
      <c r="L26" s="63"/>
      <c r="M26" s="63"/>
      <c r="N26" s="63"/>
      <c r="O26" s="64"/>
    </row>
    <row r="27" spans="1:15" ht="12.75">
      <c r="A27" s="13"/>
      <c r="B27" s="14"/>
      <c r="C27" s="56"/>
      <c r="D27" s="57"/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4"/>
    </row>
    <row r="28" spans="1:15" ht="12.75">
      <c r="A28" s="13"/>
      <c r="B28" s="14"/>
      <c r="C28" s="56"/>
      <c r="D28" s="57"/>
      <c r="E28" s="62"/>
      <c r="F28" s="63"/>
      <c r="G28" s="63"/>
      <c r="H28" s="63"/>
      <c r="I28" s="63"/>
      <c r="J28" s="63"/>
      <c r="K28" s="63"/>
      <c r="L28" s="63"/>
      <c r="M28" s="63"/>
      <c r="N28" s="63"/>
      <c r="O28" s="64"/>
    </row>
    <row r="29" spans="1:15" ht="12.75">
      <c r="A29" s="13"/>
      <c r="B29" s="14"/>
      <c r="C29" s="56"/>
      <c r="D29" s="57"/>
      <c r="E29" s="62"/>
      <c r="F29" s="63"/>
      <c r="G29" s="63"/>
      <c r="H29" s="63"/>
      <c r="I29" s="63"/>
      <c r="J29" s="63"/>
      <c r="K29" s="63"/>
      <c r="L29" s="63"/>
      <c r="M29" s="63"/>
      <c r="N29" s="63"/>
      <c r="O29" s="64"/>
    </row>
    <row r="30" spans="1:15" ht="12.75">
      <c r="A30" s="13"/>
      <c r="B30" s="14"/>
      <c r="C30" s="56"/>
      <c r="D30" s="57"/>
      <c r="E30" s="62"/>
      <c r="F30" s="63"/>
      <c r="G30" s="63"/>
      <c r="H30" s="63"/>
      <c r="I30" s="63"/>
      <c r="J30" s="63"/>
      <c r="K30" s="63"/>
      <c r="L30" s="63"/>
      <c r="M30" s="63"/>
      <c r="N30" s="63"/>
      <c r="O30" s="64"/>
    </row>
    <row r="31" spans="1:15" ht="12.75">
      <c r="A31" s="13"/>
      <c r="B31" s="14"/>
      <c r="C31" s="56"/>
      <c r="D31" s="57"/>
      <c r="E31" s="62"/>
      <c r="F31" s="63"/>
      <c r="G31" s="63"/>
      <c r="H31" s="63"/>
      <c r="I31" s="63"/>
      <c r="J31" s="63"/>
      <c r="K31" s="63"/>
      <c r="L31" s="63"/>
      <c r="M31" s="63"/>
      <c r="N31" s="63"/>
      <c r="O31" s="64"/>
    </row>
    <row r="32" spans="1:15" ht="12.75">
      <c r="A32" s="13"/>
      <c r="B32" s="14"/>
      <c r="C32" s="56"/>
      <c r="D32" s="57"/>
      <c r="E32" s="62"/>
      <c r="F32" s="63"/>
      <c r="G32" s="63"/>
      <c r="H32" s="63"/>
      <c r="I32" s="63"/>
      <c r="J32" s="63"/>
      <c r="K32" s="63"/>
      <c r="L32" s="63"/>
      <c r="M32" s="63"/>
      <c r="N32" s="63"/>
      <c r="O32" s="64"/>
    </row>
    <row r="33" spans="1:15" ht="12.75">
      <c r="A33" s="13"/>
      <c r="B33" s="14"/>
      <c r="C33" s="56"/>
      <c r="D33" s="57"/>
      <c r="E33" s="62"/>
      <c r="F33" s="63"/>
      <c r="G33" s="63"/>
      <c r="H33" s="63"/>
      <c r="I33" s="63"/>
      <c r="J33" s="63"/>
      <c r="K33" s="63"/>
      <c r="L33" s="63"/>
      <c r="M33" s="63"/>
      <c r="N33" s="63"/>
      <c r="O33" s="64"/>
    </row>
    <row r="34" spans="1:15" ht="12.75">
      <c r="A34" s="13"/>
      <c r="B34" s="14"/>
      <c r="C34" s="56"/>
      <c r="D34" s="57"/>
      <c r="E34" s="62"/>
      <c r="F34" s="63"/>
      <c r="G34" s="63"/>
      <c r="H34" s="63"/>
      <c r="I34" s="63"/>
      <c r="J34" s="63"/>
      <c r="K34" s="63"/>
      <c r="L34" s="63"/>
      <c r="M34" s="63"/>
      <c r="N34" s="63"/>
      <c r="O34" s="64"/>
    </row>
    <row r="35" spans="1:15" ht="12.75">
      <c r="A35" s="13"/>
      <c r="B35" s="14"/>
      <c r="C35" s="56"/>
      <c r="D35" s="57"/>
      <c r="E35" s="62"/>
      <c r="F35" s="63"/>
      <c r="G35" s="63"/>
      <c r="H35" s="63"/>
      <c r="I35" s="63"/>
      <c r="J35" s="63"/>
      <c r="K35" s="63"/>
      <c r="L35" s="63"/>
      <c r="M35" s="63"/>
      <c r="N35" s="63"/>
      <c r="O35" s="64"/>
    </row>
    <row r="36" spans="1:15" ht="12.75">
      <c r="A36" s="13"/>
      <c r="B36" s="14"/>
      <c r="C36" s="56"/>
      <c r="D36" s="57"/>
      <c r="E36" s="62"/>
      <c r="F36" s="63"/>
      <c r="G36" s="63"/>
      <c r="H36" s="63"/>
      <c r="I36" s="63"/>
      <c r="J36" s="63"/>
      <c r="K36" s="63"/>
      <c r="L36" s="63"/>
      <c r="M36" s="63"/>
      <c r="N36" s="63"/>
      <c r="O36" s="64"/>
    </row>
    <row r="37" spans="1:15" ht="12.75">
      <c r="A37" s="13"/>
      <c r="B37" s="14"/>
      <c r="C37" s="56"/>
      <c r="D37" s="57"/>
      <c r="E37" s="62"/>
      <c r="F37" s="63"/>
      <c r="G37" s="63"/>
      <c r="H37" s="63"/>
      <c r="I37" s="63"/>
      <c r="J37" s="63"/>
      <c r="K37" s="63"/>
      <c r="L37" s="63"/>
      <c r="M37" s="63"/>
      <c r="N37" s="63"/>
      <c r="O37" s="64"/>
    </row>
    <row r="38" spans="1:15" ht="12.75">
      <c r="A38" s="13"/>
      <c r="B38" s="14"/>
      <c r="C38" s="56"/>
      <c r="D38" s="57"/>
      <c r="E38" s="62"/>
      <c r="F38" s="63"/>
      <c r="G38" s="63"/>
      <c r="H38" s="63"/>
      <c r="I38" s="63"/>
      <c r="J38" s="63"/>
      <c r="K38" s="63"/>
      <c r="L38" s="63"/>
      <c r="M38" s="63"/>
      <c r="N38" s="63"/>
      <c r="O38" s="64"/>
    </row>
    <row r="39" spans="1:15" ht="12.75">
      <c r="A39" s="13"/>
      <c r="B39" s="14"/>
      <c r="C39" s="56"/>
      <c r="D39" s="57"/>
      <c r="E39" s="62"/>
      <c r="F39" s="63"/>
      <c r="G39" s="63"/>
      <c r="H39" s="63"/>
      <c r="I39" s="63"/>
      <c r="J39" s="63"/>
      <c r="K39" s="63"/>
      <c r="L39" s="63"/>
      <c r="M39" s="63"/>
      <c r="N39" s="63"/>
      <c r="O39" s="64"/>
    </row>
    <row r="40" spans="1:15" ht="12.75">
      <c r="A40" s="13"/>
      <c r="B40" s="14"/>
      <c r="C40" s="56"/>
      <c r="D40" s="57"/>
      <c r="E40" s="62"/>
      <c r="F40" s="63"/>
      <c r="G40" s="63"/>
      <c r="H40" s="63"/>
      <c r="I40" s="63"/>
      <c r="J40" s="63"/>
      <c r="K40" s="63"/>
      <c r="L40" s="63"/>
      <c r="M40" s="63"/>
      <c r="N40" s="63"/>
      <c r="O40" s="64"/>
    </row>
    <row r="41" spans="1:15" ht="12.75">
      <c r="A41" s="13"/>
      <c r="B41" s="14"/>
      <c r="C41" s="56"/>
      <c r="D41" s="57"/>
      <c r="E41" s="62"/>
      <c r="F41" s="63"/>
      <c r="G41" s="63"/>
      <c r="H41" s="63"/>
      <c r="I41" s="63"/>
      <c r="J41" s="63"/>
      <c r="K41" s="63"/>
      <c r="L41" s="63"/>
      <c r="M41" s="63"/>
      <c r="N41" s="63"/>
      <c r="O41" s="64"/>
    </row>
    <row r="42" spans="1:15" ht="12.75">
      <c r="A42" s="13"/>
      <c r="B42" s="14"/>
      <c r="C42" s="56"/>
      <c r="D42" s="57"/>
      <c r="E42" s="62"/>
      <c r="F42" s="63"/>
      <c r="G42" s="63"/>
      <c r="H42" s="63"/>
      <c r="I42" s="63"/>
      <c r="J42" s="63"/>
      <c r="K42" s="63"/>
      <c r="L42" s="63"/>
      <c r="M42" s="63"/>
      <c r="N42" s="63"/>
      <c r="O42" s="64"/>
    </row>
    <row r="43" spans="1:15" ht="12.75">
      <c r="A43" s="13"/>
      <c r="B43" s="14"/>
      <c r="C43" s="56"/>
      <c r="D43" s="57"/>
      <c r="E43" s="62"/>
      <c r="F43" s="63"/>
      <c r="G43" s="63"/>
      <c r="H43" s="63"/>
      <c r="I43" s="63"/>
      <c r="J43" s="63"/>
      <c r="K43" s="63"/>
      <c r="L43" s="63"/>
      <c r="M43" s="63"/>
      <c r="N43" s="63"/>
      <c r="O43" s="64"/>
    </row>
    <row r="44" spans="1:15" ht="12.75">
      <c r="A44" s="13"/>
      <c r="B44" s="14"/>
      <c r="C44" s="56"/>
      <c r="D44" s="57"/>
      <c r="E44" s="62"/>
      <c r="F44" s="63"/>
      <c r="G44" s="63"/>
      <c r="H44" s="63"/>
      <c r="I44" s="63"/>
      <c r="J44" s="63"/>
      <c r="K44" s="63"/>
      <c r="L44" s="63"/>
      <c r="M44" s="63"/>
      <c r="N44" s="63"/>
      <c r="O44" s="64"/>
    </row>
    <row r="45" spans="1:15" ht="12.75">
      <c r="A45" s="13"/>
      <c r="B45" s="14"/>
      <c r="C45" s="56"/>
      <c r="D45" s="57"/>
      <c r="E45" s="62"/>
      <c r="F45" s="63"/>
      <c r="G45" s="63"/>
      <c r="H45" s="63"/>
      <c r="I45" s="63"/>
      <c r="J45" s="63"/>
      <c r="K45" s="63"/>
      <c r="L45" s="63"/>
      <c r="M45" s="63"/>
      <c r="N45" s="63"/>
      <c r="O45" s="64"/>
    </row>
    <row r="46" spans="1:15" ht="13.5" thickBot="1">
      <c r="A46" s="15"/>
      <c r="B46" s="16"/>
      <c r="C46" s="58"/>
      <c r="D46" s="59"/>
      <c r="E46" s="65"/>
      <c r="F46" s="66"/>
      <c r="G46" s="66"/>
      <c r="H46" s="66"/>
      <c r="I46" s="66"/>
      <c r="J46" s="66"/>
      <c r="K46" s="66"/>
      <c r="L46" s="66"/>
      <c r="M46" s="66"/>
      <c r="N46" s="66"/>
      <c r="O46" s="67"/>
    </row>
    <row r="59" spans="5:7" ht="12.75">
      <c r="E59" s="9"/>
      <c r="F59" s="9"/>
      <c r="G59" s="9"/>
    </row>
    <row r="62" spans="5:7" ht="12.75">
      <c r="E62" s="10"/>
      <c r="F62" s="10"/>
      <c r="G62" s="10"/>
    </row>
  </sheetData>
  <sheetProtection/>
  <printOptions/>
  <pageMargins left="0.75" right="0.75" top="1" bottom="1" header="0.492125985" footer="0.49212598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T18"/>
  <sheetViews>
    <sheetView showZero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:L5"/>
    </sheetView>
  </sheetViews>
  <sheetFormatPr defaultColWidth="9.140625" defaultRowHeight="12.75"/>
  <cols>
    <col min="1" max="1" width="17.421875" style="5" customWidth="1"/>
    <col min="2" max="2" width="8.28125" style="5" bestFit="1" customWidth="1"/>
    <col min="3" max="3" width="11.140625" style="5" customWidth="1"/>
    <col min="4" max="4" width="12.421875" style="5" bestFit="1" customWidth="1"/>
    <col min="5" max="5" width="11.140625" style="5" bestFit="1" customWidth="1"/>
    <col min="6" max="6" width="9.421875" style="5" bestFit="1" customWidth="1"/>
    <col min="7" max="7" width="14.00390625" style="5" bestFit="1" customWidth="1"/>
    <col min="8" max="8" width="14.00390625" style="5" customWidth="1"/>
    <col min="9" max="9" width="16.140625" style="5" bestFit="1" customWidth="1"/>
    <col min="10" max="10" width="16.140625" style="5" customWidth="1"/>
    <col min="11" max="11" width="13.7109375" style="5" bestFit="1" customWidth="1"/>
    <col min="12" max="12" width="13.421875" style="5" bestFit="1" customWidth="1"/>
    <col min="13" max="16384" width="9.140625" style="5" customWidth="1"/>
  </cols>
  <sheetData>
    <row r="1" ht="13.5" thickBot="1"/>
    <row r="2" spans="1:12" ht="13.5" thickBot="1">
      <c r="A2" s="70" t="s">
        <v>25</v>
      </c>
      <c r="B2" s="72" t="s">
        <v>13</v>
      </c>
      <c r="C2" s="72" t="s">
        <v>21</v>
      </c>
      <c r="D2" s="24" t="s">
        <v>17</v>
      </c>
      <c r="E2" s="24" t="s">
        <v>26</v>
      </c>
      <c r="F2" s="24" t="s">
        <v>27</v>
      </c>
      <c r="G2" s="24" t="s">
        <v>59</v>
      </c>
      <c r="H2" s="24" t="s">
        <v>60</v>
      </c>
      <c r="I2" s="24" t="s">
        <v>16</v>
      </c>
      <c r="J2" s="24" t="s">
        <v>29</v>
      </c>
      <c r="K2" s="24" t="s">
        <v>28</v>
      </c>
      <c r="L2" s="25" t="s">
        <v>30</v>
      </c>
    </row>
    <row r="3" spans="1:12" ht="12.75">
      <c r="A3" s="13" t="str">
        <f>QUESTÕES!F4</f>
        <v>Pizza muzzarela</v>
      </c>
      <c r="B3" s="111"/>
      <c r="C3" s="111"/>
      <c r="D3" s="73"/>
      <c r="F3" s="113"/>
      <c r="H3" s="69"/>
      <c r="I3" s="114"/>
      <c r="J3" s="74"/>
      <c r="K3" s="60"/>
      <c r="L3" s="96"/>
    </row>
    <row r="4" spans="1:12" ht="12.75">
      <c r="A4" s="13" t="str">
        <f>QUESTÕES!F5</f>
        <v>Pizza presunto</v>
      </c>
      <c r="B4" s="111"/>
      <c r="C4" s="111"/>
      <c r="D4" s="73"/>
      <c r="F4" s="113"/>
      <c r="H4" s="69"/>
      <c r="I4" s="60"/>
      <c r="J4" s="74"/>
      <c r="K4" s="60"/>
      <c r="L4" s="96"/>
    </row>
    <row r="5" spans="1:12" ht="12.75">
      <c r="A5" s="13" t="str">
        <f>QUESTÕES!F6</f>
        <v>Pizza marguerita</v>
      </c>
      <c r="B5" s="111"/>
      <c r="C5" s="111"/>
      <c r="D5" s="73"/>
      <c r="F5" s="113"/>
      <c r="H5" s="69"/>
      <c r="I5" s="60"/>
      <c r="J5" s="74"/>
      <c r="K5" s="60"/>
      <c r="L5" s="96"/>
    </row>
    <row r="6" spans="1:12" ht="12.75">
      <c r="A6" s="13"/>
      <c r="B6" s="71"/>
      <c r="C6" s="14"/>
      <c r="D6" s="73"/>
      <c r="E6" s="102"/>
      <c r="F6" s="103"/>
      <c r="G6" s="60"/>
      <c r="H6" s="60"/>
      <c r="I6" s="60"/>
      <c r="J6" s="74"/>
      <c r="K6" s="60"/>
      <c r="L6" s="96"/>
    </row>
    <row r="7" spans="1:12" ht="12.75">
      <c r="A7" s="13"/>
      <c r="B7" s="71"/>
      <c r="C7" s="14"/>
      <c r="D7" s="73"/>
      <c r="E7" s="102"/>
      <c r="F7" s="103"/>
      <c r="G7" s="60"/>
      <c r="H7" s="60"/>
      <c r="I7" s="60"/>
      <c r="J7" s="74"/>
      <c r="K7" s="60"/>
      <c r="L7" s="96"/>
    </row>
    <row r="8" spans="1:12" ht="12.75">
      <c r="A8" s="13"/>
      <c r="B8" s="71"/>
      <c r="C8" s="14"/>
      <c r="D8" s="73"/>
      <c r="E8" s="102"/>
      <c r="F8" s="103"/>
      <c r="G8" s="60"/>
      <c r="H8" s="60"/>
      <c r="I8" s="60"/>
      <c r="J8" s="74"/>
      <c r="K8" s="60"/>
      <c r="L8" s="96"/>
    </row>
    <row r="9" spans="1:12" ht="12.75">
      <c r="A9" s="13"/>
      <c r="B9" s="71"/>
      <c r="C9" s="14"/>
      <c r="D9" s="73"/>
      <c r="E9" s="102"/>
      <c r="F9" s="103"/>
      <c r="G9" s="60"/>
      <c r="H9" s="60"/>
      <c r="I9" s="60"/>
      <c r="J9" s="74"/>
      <c r="K9" s="60"/>
      <c r="L9" s="96"/>
    </row>
    <row r="10" spans="1:12" ht="12.75">
      <c r="A10" s="13"/>
      <c r="B10" s="71"/>
      <c r="C10" s="14"/>
      <c r="D10" s="73"/>
      <c r="E10" s="102"/>
      <c r="F10" s="103"/>
      <c r="G10" s="60"/>
      <c r="H10" s="60"/>
      <c r="I10" s="60"/>
      <c r="J10" s="74"/>
      <c r="K10" s="60"/>
      <c r="L10" s="96"/>
    </row>
    <row r="11" spans="1:12" ht="12.75">
      <c r="A11" s="13"/>
      <c r="B11" s="71"/>
      <c r="C11" s="14"/>
      <c r="D11" s="73"/>
      <c r="E11" s="102"/>
      <c r="F11" s="103"/>
      <c r="G11" s="60"/>
      <c r="H11" s="60"/>
      <c r="I11" s="60"/>
      <c r="J11" s="74"/>
      <c r="K11" s="60"/>
      <c r="L11" s="96"/>
    </row>
    <row r="12" spans="1:12" ht="12.75">
      <c r="A12" s="13"/>
      <c r="B12" s="71"/>
      <c r="C12" s="14"/>
      <c r="D12" s="73"/>
      <c r="E12" s="102"/>
      <c r="F12" s="103"/>
      <c r="G12" s="60"/>
      <c r="H12" s="60"/>
      <c r="I12" s="60"/>
      <c r="J12" s="74"/>
      <c r="K12" s="60"/>
      <c r="L12" s="96"/>
    </row>
    <row r="13" spans="1:12" ht="13.5" thickBot="1">
      <c r="A13" s="15"/>
      <c r="B13" s="71"/>
      <c r="C13" s="14"/>
      <c r="D13" s="73"/>
      <c r="E13" s="102"/>
      <c r="F13" s="103"/>
      <c r="G13" s="61"/>
      <c r="H13" s="61"/>
      <c r="I13" s="61"/>
      <c r="J13" s="75"/>
      <c r="K13" s="60"/>
      <c r="L13" s="97"/>
    </row>
    <row r="14" spans="3:12" ht="12.75">
      <c r="C14" s="69">
        <f>SUM(C3:C5)</f>
        <v>0</v>
      </c>
      <c r="D14" s="69">
        <f>SUM(D3:D5)</f>
        <v>0</v>
      </c>
      <c r="E14" s="69"/>
      <c r="F14" s="69">
        <f>SUM(F3:F5)</f>
        <v>0</v>
      </c>
      <c r="G14" s="69">
        <f>SUM(G3:G5)</f>
        <v>0</v>
      </c>
      <c r="K14" s="69">
        <f>SUM(K3:K5)</f>
        <v>0</v>
      </c>
      <c r="L14" s="116">
        <f>SUM(L3:L5)</f>
        <v>0</v>
      </c>
    </row>
    <row r="15" spans="5:11" ht="12.75">
      <c r="E15" s="102"/>
      <c r="F15" s="103"/>
      <c r="K15" s="5" t="e">
        <f>QUESTÕES!H28/K14</f>
        <v>#DIV/0!</v>
      </c>
    </row>
    <row r="16" spans="7:20" ht="12.75"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</row>
    <row r="18" ht="12.75">
      <c r="D18" s="5" t="e">
        <f>D14/C14</f>
        <v>#DIV/0!</v>
      </c>
    </row>
  </sheetData>
  <sheetProtection/>
  <printOptions/>
  <pageMargins left="0.75" right="0.75" top="1" bottom="1" header="0.492125985" footer="0.492125985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dimension ref="B1:EH48"/>
  <sheetViews>
    <sheetView tabSelected="1" zoomScalePageLayoutView="0" workbookViewId="0" topLeftCell="A1">
      <selection activeCell="J43" sqref="J43"/>
    </sheetView>
  </sheetViews>
  <sheetFormatPr defaultColWidth="9.140625" defaultRowHeight="12.75"/>
  <cols>
    <col min="1" max="1" width="9.00390625" style="5" customWidth="1"/>
    <col min="2" max="2" width="20.00390625" style="5" bestFit="1" customWidth="1"/>
    <col min="3" max="3" width="10.8515625" style="5" bestFit="1" customWidth="1"/>
    <col min="4" max="4" width="11.140625" style="5" bestFit="1" customWidth="1"/>
    <col min="5" max="5" width="14.00390625" style="5" bestFit="1" customWidth="1"/>
    <col min="6" max="6" width="12.28125" style="5" bestFit="1" customWidth="1"/>
    <col min="7" max="7" width="12.140625" style="5" bestFit="1" customWidth="1"/>
    <col min="8" max="8" width="10.140625" style="5" bestFit="1" customWidth="1"/>
    <col min="9" max="9" width="10.7109375" style="5" customWidth="1"/>
    <col min="10" max="10" width="11.8515625" style="5" customWidth="1"/>
    <col min="11" max="17" width="9.8515625" style="5" bestFit="1" customWidth="1"/>
    <col min="18" max="19" width="10.140625" style="5" bestFit="1" customWidth="1"/>
    <col min="20" max="137" width="9.140625" style="5" customWidth="1"/>
    <col min="138" max="138" width="10.140625" style="5" bestFit="1" customWidth="1"/>
    <col min="139" max="16384" width="9.140625" style="5" customWidth="1"/>
  </cols>
  <sheetData>
    <row r="1" ht="13.5" thickBot="1">
      <c r="C1" s="125" t="s">
        <v>120</v>
      </c>
    </row>
    <row r="2" spans="2:4" ht="13.5" thickBot="1">
      <c r="B2" s="150" t="s">
        <v>34</v>
      </c>
      <c r="C2" s="151"/>
      <c r="D2" s="152"/>
    </row>
    <row r="3" spans="2:10" ht="18.75" thickBot="1">
      <c r="B3" s="80" t="s">
        <v>17</v>
      </c>
      <c r="C3" s="104">
        <f>Margem!D14</f>
        <v>0</v>
      </c>
      <c r="D3" s="82" t="e">
        <f>C3/$C$3</f>
        <v>#DIV/0!</v>
      </c>
      <c r="G3"/>
      <c r="H3" s="122" t="s">
        <v>86</v>
      </c>
      <c r="I3"/>
      <c r="J3"/>
    </row>
    <row r="4" spans="2:10" ht="13.5" thickBot="1">
      <c r="B4" s="77" t="s">
        <v>32</v>
      </c>
      <c r="C4" s="69">
        <f>Margem!F14</f>
        <v>0</v>
      </c>
      <c r="D4" s="82" t="e">
        <f>C4/$C$3</f>
        <v>#DIV/0!</v>
      </c>
      <c r="G4" s="1">
        <f>C3*12</f>
        <v>0</v>
      </c>
      <c r="H4" s="123" t="s">
        <v>136</v>
      </c>
      <c r="I4"/>
      <c r="J4"/>
    </row>
    <row r="5" spans="2:10" ht="13.5" thickBot="1">
      <c r="B5" s="78" t="s">
        <v>33</v>
      </c>
      <c r="C5" s="68">
        <f>Margem!G14</f>
        <v>0</v>
      </c>
      <c r="D5" s="82" t="e">
        <f>C5/$C$3</f>
        <v>#DIV/0!</v>
      </c>
      <c r="G5" s="1">
        <f>C4*12</f>
        <v>0</v>
      </c>
      <c r="H5" s="123" t="s">
        <v>135</v>
      </c>
      <c r="J5"/>
    </row>
    <row r="6" spans="2:10" ht="13.5" thickBot="1">
      <c r="B6" s="79" t="s">
        <v>14</v>
      </c>
      <c r="C6" s="85">
        <f>C3-C4-C5</f>
        <v>0</v>
      </c>
      <c r="D6" s="82" t="e">
        <f>C6/$C$3</f>
        <v>#DIV/0!</v>
      </c>
      <c r="G6" s="1">
        <f>G4-G5</f>
        <v>0</v>
      </c>
      <c r="H6" s="123" t="s">
        <v>109</v>
      </c>
      <c r="I6"/>
      <c r="J6"/>
    </row>
    <row r="7" spans="7:10" ht="13.5" thickBot="1">
      <c r="G7" s="1">
        <f>D22</f>
        <v>192000</v>
      </c>
      <c r="H7" s="123" t="s">
        <v>110</v>
      </c>
      <c r="I7"/>
      <c r="J7"/>
    </row>
    <row r="8" spans="2:10" ht="13.5" thickBot="1">
      <c r="B8" s="150" t="s">
        <v>40</v>
      </c>
      <c r="C8" s="151"/>
      <c r="D8" s="152"/>
      <c r="G8"/>
      <c r="H8" s="123" t="s">
        <v>111</v>
      </c>
      <c r="I8"/>
      <c r="J8"/>
    </row>
    <row r="9" spans="2:10" ht="13.5" thickBot="1">
      <c r="B9" s="93" t="s">
        <v>14</v>
      </c>
      <c r="C9" s="87">
        <f>C6</f>
        <v>0</v>
      </c>
      <c r="D9" s="82" t="e">
        <f>C9/$C$3</f>
        <v>#DIV/0!</v>
      </c>
      <c r="G9" s="1">
        <f>G6-G7</f>
        <v>-192000</v>
      </c>
      <c r="H9" s="123" t="s">
        <v>94</v>
      </c>
      <c r="I9"/>
      <c r="J9"/>
    </row>
    <row r="10" spans="2:10" ht="13.5" thickBot="1">
      <c r="B10" s="94" t="s">
        <v>31</v>
      </c>
      <c r="C10" s="76">
        <f>QUESTÕES!H28</f>
        <v>15000</v>
      </c>
      <c r="D10" s="82" t="e">
        <f>C10/$C$3</f>
        <v>#DIV/0!</v>
      </c>
      <c r="G10">
        <v>0</v>
      </c>
      <c r="H10" s="123" t="s">
        <v>95</v>
      </c>
      <c r="I10"/>
      <c r="J10"/>
    </row>
    <row r="11" spans="2:10" ht="13.5" thickBot="1">
      <c r="B11" s="95" t="s">
        <v>124</v>
      </c>
      <c r="C11" s="92">
        <f>C9-C10</f>
        <v>-15000</v>
      </c>
      <c r="D11" s="82" t="e">
        <f>C11/$C$3</f>
        <v>#DIV/0!</v>
      </c>
      <c r="E11" s="69">
        <f>C11*12</f>
        <v>-180000</v>
      </c>
      <c r="G11">
        <v>0</v>
      </c>
      <c r="H11" s="123" t="s">
        <v>112</v>
      </c>
      <c r="I11"/>
      <c r="J11"/>
    </row>
    <row r="12" spans="7:10" ht="12.75">
      <c r="G12">
        <v>0</v>
      </c>
      <c r="H12" s="123" t="s">
        <v>96</v>
      </c>
      <c r="I12"/>
      <c r="J12"/>
    </row>
    <row r="13" spans="2:10" ht="12.75">
      <c r="B13" s="5" t="s">
        <v>106</v>
      </c>
      <c r="C13" s="115">
        <v>120000</v>
      </c>
      <c r="G13">
        <v>0</v>
      </c>
      <c r="H13" s="123" t="s">
        <v>113</v>
      </c>
      <c r="I13"/>
      <c r="J13"/>
    </row>
    <row r="14" spans="2:14" ht="12.75">
      <c r="B14" s="5" t="s">
        <v>119</v>
      </c>
      <c r="C14" s="5">
        <v>10</v>
      </c>
      <c r="G14" s="1">
        <f>G9-G10</f>
        <v>-192000</v>
      </c>
      <c r="H14" s="124" t="s">
        <v>114</v>
      </c>
      <c r="I14"/>
      <c r="J14"/>
      <c r="N14" s="123" t="s">
        <v>118</v>
      </c>
    </row>
    <row r="15" spans="7:14" ht="12.75">
      <c r="G15" s="1">
        <f>D21</f>
        <v>12000</v>
      </c>
      <c r="H15" s="124" t="s">
        <v>115</v>
      </c>
      <c r="I15"/>
      <c r="J15"/>
      <c r="N15" s="123" t="s">
        <v>130</v>
      </c>
    </row>
    <row r="16" spans="7:10" ht="12.75">
      <c r="G16" s="1">
        <f>G14+G15</f>
        <v>-180000</v>
      </c>
      <c r="H16" s="124" t="s">
        <v>97</v>
      </c>
      <c r="I16"/>
      <c r="J16"/>
    </row>
    <row r="17" spans="2:14" ht="12.75">
      <c r="B17" s="5" t="s">
        <v>102</v>
      </c>
      <c r="G17"/>
      <c r="I17"/>
      <c r="J17"/>
      <c r="N17" s="123" t="s">
        <v>101</v>
      </c>
    </row>
    <row r="18" spans="2:10" ht="12.75">
      <c r="B18" s="5" t="s">
        <v>103</v>
      </c>
      <c r="C18" s="69">
        <f>C5</f>
        <v>0</v>
      </c>
      <c r="E18"/>
      <c r="F18"/>
      <c r="G18"/>
      <c r="H18" s="124"/>
      <c r="I18"/>
      <c r="J18"/>
    </row>
    <row r="19" spans="2:10" ht="12.75">
      <c r="B19" s="5" t="s">
        <v>104</v>
      </c>
      <c r="C19" s="69">
        <f>C10</f>
        <v>15000</v>
      </c>
      <c r="E19"/>
      <c r="F19"/>
      <c r="G19" s="1">
        <f>D21</f>
        <v>12000</v>
      </c>
      <c r="H19" s="123" t="s">
        <v>117</v>
      </c>
      <c r="I19"/>
      <c r="J19"/>
    </row>
    <row r="20" spans="3:10" ht="12.75">
      <c r="C20" s="69">
        <f>C18+C19</f>
        <v>15000</v>
      </c>
      <c r="D20" s="69">
        <f>C20*12</f>
        <v>180000</v>
      </c>
      <c r="G20" s="1">
        <f>G16-G19</f>
        <v>-192000</v>
      </c>
      <c r="H20" s="123" t="s">
        <v>121</v>
      </c>
      <c r="I20"/>
      <c r="J20"/>
    </row>
    <row r="21" spans="2:10" ht="12.75">
      <c r="B21" s="5" t="s">
        <v>105</v>
      </c>
      <c r="D21" s="69">
        <f>C13/C14</f>
        <v>12000</v>
      </c>
      <c r="G21" s="1">
        <f>G20*0.3</f>
        <v>-57600</v>
      </c>
      <c r="H21" s="123" t="s">
        <v>122</v>
      </c>
      <c r="I21"/>
      <c r="J21"/>
    </row>
    <row r="22" spans="2:12" ht="12.75">
      <c r="B22" s="5" t="s">
        <v>102</v>
      </c>
      <c r="C22" s="69">
        <f>(C5+C10)</f>
        <v>15000</v>
      </c>
      <c r="D22" s="69">
        <f>D20+D21</f>
        <v>192000</v>
      </c>
      <c r="G22" s="1">
        <f>G16-G21</f>
        <v>-122400</v>
      </c>
      <c r="H22" s="123" t="s">
        <v>134</v>
      </c>
      <c r="I22"/>
      <c r="J22"/>
      <c r="L22" s="124" t="s">
        <v>116</v>
      </c>
    </row>
    <row r="23" spans="7:10" ht="12.75">
      <c r="G23" s="69">
        <f>D21</f>
        <v>12000</v>
      </c>
      <c r="H23" s="5" t="s">
        <v>138</v>
      </c>
      <c r="I23"/>
      <c r="J23"/>
    </row>
    <row r="24" spans="7:8" ht="12.75">
      <c r="G24" s="69">
        <f>G22-G23</f>
        <v>-134400</v>
      </c>
      <c r="H24" s="123" t="s">
        <v>131</v>
      </c>
    </row>
    <row r="25" spans="7:8" ht="12.75">
      <c r="G25" s="3">
        <f>G24/C13</f>
        <v>-1.12</v>
      </c>
      <c r="H25" s="123" t="s">
        <v>101</v>
      </c>
    </row>
    <row r="26" spans="2:6" ht="12.75">
      <c r="B26" s="127" t="s">
        <v>191</v>
      </c>
      <c r="C26" s="127"/>
      <c r="D26" s="127"/>
      <c r="E26" s="127"/>
      <c r="F26" s="127"/>
    </row>
    <row r="27" spans="2:11" ht="18">
      <c r="B27" s="127" t="s">
        <v>132</v>
      </c>
      <c r="C27" s="127"/>
      <c r="D27" s="127"/>
      <c r="E27" s="127"/>
      <c r="F27" s="127"/>
      <c r="G27" s="143" t="s">
        <v>189</v>
      </c>
      <c r="H27" s="143"/>
      <c r="I27" s="143"/>
      <c r="J27" s="143"/>
      <c r="K27" s="143"/>
    </row>
    <row r="28" spans="2:6" ht="12.75">
      <c r="B28" s="127" t="s">
        <v>133</v>
      </c>
      <c r="C28" s="127"/>
      <c r="D28" s="127"/>
      <c r="E28" s="127"/>
      <c r="F28" s="127"/>
    </row>
    <row r="29" spans="7:17" ht="12.75">
      <c r="G29" s="125">
        <v>0</v>
      </c>
      <c r="H29" s="125">
        <v>1</v>
      </c>
      <c r="I29" s="125">
        <v>2</v>
      </c>
      <c r="J29" s="125">
        <v>3</v>
      </c>
      <c r="K29" s="125">
        <v>4</v>
      </c>
      <c r="L29" s="125">
        <v>5</v>
      </c>
      <c r="M29" s="125">
        <v>6</v>
      </c>
      <c r="N29" s="125">
        <v>7</v>
      </c>
      <c r="O29" s="125">
        <v>8</v>
      </c>
      <c r="P29" s="125">
        <v>9</v>
      </c>
      <c r="Q29" s="125">
        <v>10</v>
      </c>
    </row>
    <row r="30" spans="7:122" ht="12.75">
      <c r="G30" s="115">
        <f>-C13</f>
        <v>-120000</v>
      </c>
      <c r="H30" s="69">
        <f>$G$24</f>
        <v>-134400</v>
      </c>
      <c r="I30" s="69">
        <f aca="true" t="shared" si="0" ref="I30:BT30">$G$24</f>
        <v>-134400</v>
      </c>
      <c r="J30" s="69">
        <f t="shared" si="0"/>
        <v>-134400</v>
      </c>
      <c r="K30" s="69">
        <f t="shared" si="0"/>
        <v>-134400</v>
      </c>
      <c r="L30" s="69">
        <f t="shared" si="0"/>
        <v>-134400</v>
      </c>
      <c r="M30" s="69">
        <f t="shared" si="0"/>
        <v>-134400</v>
      </c>
      <c r="N30" s="69">
        <f t="shared" si="0"/>
        <v>-134400</v>
      </c>
      <c r="O30" s="69">
        <f t="shared" si="0"/>
        <v>-134400</v>
      </c>
      <c r="P30" s="69">
        <f t="shared" si="0"/>
        <v>-134400</v>
      </c>
      <c r="Q30" s="69">
        <f t="shared" si="0"/>
        <v>-134400</v>
      </c>
      <c r="R30" s="69">
        <f t="shared" si="0"/>
        <v>-134400</v>
      </c>
      <c r="S30" s="69">
        <f t="shared" si="0"/>
        <v>-134400</v>
      </c>
      <c r="T30" s="69">
        <f t="shared" si="0"/>
        <v>-134400</v>
      </c>
      <c r="U30" s="69">
        <f t="shared" si="0"/>
        <v>-134400</v>
      </c>
      <c r="V30" s="69">
        <f t="shared" si="0"/>
        <v>-134400</v>
      </c>
      <c r="W30" s="69">
        <f t="shared" si="0"/>
        <v>-134400</v>
      </c>
      <c r="X30" s="69">
        <f t="shared" si="0"/>
        <v>-134400</v>
      </c>
      <c r="Y30" s="69">
        <f t="shared" si="0"/>
        <v>-134400</v>
      </c>
      <c r="Z30" s="69">
        <f t="shared" si="0"/>
        <v>-134400</v>
      </c>
      <c r="AA30" s="69">
        <f t="shared" si="0"/>
        <v>-134400</v>
      </c>
      <c r="AB30" s="69">
        <f t="shared" si="0"/>
        <v>-134400</v>
      </c>
      <c r="AC30" s="69">
        <f t="shared" si="0"/>
        <v>-134400</v>
      </c>
      <c r="AD30" s="69">
        <f t="shared" si="0"/>
        <v>-134400</v>
      </c>
      <c r="AE30" s="69">
        <f t="shared" si="0"/>
        <v>-134400</v>
      </c>
      <c r="AF30" s="69">
        <f t="shared" si="0"/>
        <v>-134400</v>
      </c>
      <c r="AG30" s="69">
        <f t="shared" si="0"/>
        <v>-134400</v>
      </c>
      <c r="AH30" s="69">
        <f t="shared" si="0"/>
        <v>-134400</v>
      </c>
      <c r="AI30" s="69">
        <f t="shared" si="0"/>
        <v>-134400</v>
      </c>
      <c r="AJ30" s="69">
        <f t="shared" si="0"/>
        <v>-134400</v>
      </c>
      <c r="AK30" s="69">
        <f t="shared" si="0"/>
        <v>-134400</v>
      </c>
      <c r="AL30" s="69">
        <f t="shared" si="0"/>
        <v>-134400</v>
      </c>
      <c r="AM30" s="69">
        <f t="shared" si="0"/>
        <v>-134400</v>
      </c>
      <c r="AN30" s="69">
        <f t="shared" si="0"/>
        <v>-134400</v>
      </c>
      <c r="AO30" s="69">
        <f t="shared" si="0"/>
        <v>-134400</v>
      </c>
      <c r="AP30" s="69">
        <f t="shared" si="0"/>
        <v>-134400</v>
      </c>
      <c r="AQ30" s="69">
        <f t="shared" si="0"/>
        <v>-134400</v>
      </c>
      <c r="AR30" s="69">
        <f t="shared" si="0"/>
        <v>-134400</v>
      </c>
      <c r="AS30" s="69">
        <f t="shared" si="0"/>
        <v>-134400</v>
      </c>
      <c r="AT30" s="69">
        <f t="shared" si="0"/>
        <v>-134400</v>
      </c>
      <c r="AU30" s="69">
        <f t="shared" si="0"/>
        <v>-134400</v>
      </c>
      <c r="AV30" s="69">
        <f t="shared" si="0"/>
        <v>-134400</v>
      </c>
      <c r="AW30" s="69">
        <f t="shared" si="0"/>
        <v>-134400</v>
      </c>
      <c r="AX30" s="69">
        <f t="shared" si="0"/>
        <v>-134400</v>
      </c>
      <c r="AY30" s="69">
        <f t="shared" si="0"/>
        <v>-134400</v>
      </c>
      <c r="AZ30" s="69">
        <f t="shared" si="0"/>
        <v>-134400</v>
      </c>
      <c r="BA30" s="69">
        <f t="shared" si="0"/>
        <v>-134400</v>
      </c>
      <c r="BB30" s="69">
        <f t="shared" si="0"/>
        <v>-134400</v>
      </c>
      <c r="BC30" s="69">
        <f t="shared" si="0"/>
        <v>-134400</v>
      </c>
      <c r="BD30" s="69">
        <f t="shared" si="0"/>
        <v>-134400</v>
      </c>
      <c r="BE30" s="69">
        <f t="shared" si="0"/>
        <v>-134400</v>
      </c>
      <c r="BF30" s="69">
        <f t="shared" si="0"/>
        <v>-134400</v>
      </c>
      <c r="BG30" s="69">
        <f t="shared" si="0"/>
        <v>-134400</v>
      </c>
      <c r="BH30" s="69">
        <f t="shared" si="0"/>
        <v>-134400</v>
      </c>
      <c r="BI30" s="69">
        <f t="shared" si="0"/>
        <v>-134400</v>
      </c>
      <c r="BJ30" s="69">
        <f t="shared" si="0"/>
        <v>-134400</v>
      </c>
      <c r="BK30" s="69">
        <f t="shared" si="0"/>
        <v>-134400</v>
      </c>
      <c r="BL30" s="69">
        <f t="shared" si="0"/>
        <v>-134400</v>
      </c>
      <c r="BM30" s="69">
        <f t="shared" si="0"/>
        <v>-134400</v>
      </c>
      <c r="BN30" s="69">
        <f t="shared" si="0"/>
        <v>-134400</v>
      </c>
      <c r="BO30" s="69">
        <f t="shared" si="0"/>
        <v>-134400</v>
      </c>
      <c r="BP30" s="69">
        <f t="shared" si="0"/>
        <v>-134400</v>
      </c>
      <c r="BQ30" s="69">
        <f t="shared" si="0"/>
        <v>-134400</v>
      </c>
      <c r="BR30" s="69">
        <f t="shared" si="0"/>
        <v>-134400</v>
      </c>
      <c r="BS30" s="69">
        <f t="shared" si="0"/>
        <v>-134400</v>
      </c>
      <c r="BT30" s="69">
        <f t="shared" si="0"/>
        <v>-134400</v>
      </c>
      <c r="BU30" s="69">
        <f aca="true" t="shared" si="1" ref="BU30:DR30">$G$24</f>
        <v>-134400</v>
      </c>
      <c r="BV30" s="69">
        <f t="shared" si="1"/>
        <v>-134400</v>
      </c>
      <c r="BW30" s="69">
        <f t="shared" si="1"/>
        <v>-134400</v>
      </c>
      <c r="BX30" s="69">
        <f t="shared" si="1"/>
        <v>-134400</v>
      </c>
      <c r="BY30" s="69">
        <f t="shared" si="1"/>
        <v>-134400</v>
      </c>
      <c r="BZ30" s="69">
        <f t="shared" si="1"/>
        <v>-134400</v>
      </c>
      <c r="CA30" s="69">
        <f t="shared" si="1"/>
        <v>-134400</v>
      </c>
      <c r="CB30" s="69">
        <f t="shared" si="1"/>
        <v>-134400</v>
      </c>
      <c r="CC30" s="69">
        <f t="shared" si="1"/>
        <v>-134400</v>
      </c>
      <c r="CD30" s="69">
        <f t="shared" si="1"/>
        <v>-134400</v>
      </c>
      <c r="CE30" s="69">
        <f t="shared" si="1"/>
        <v>-134400</v>
      </c>
      <c r="CF30" s="69">
        <f t="shared" si="1"/>
        <v>-134400</v>
      </c>
      <c r="CG30" s="69">
        <f t="shared" si="1"/>
        <v>-134400</v>
      </c>
      <c r="CH30" s="69">
        <f t="shared" si="1"/>
        <v>-134400</v>
      </c>
      <c r="CI30" s="69">
        <f t="shared" si="1"/>
        <v>-134400</v>
      </c>
      <c r="CJ30" s="69">
        <f t="shared" si="1"/>
        <v>-134400</v>
      </c>
      <c r="CK30" s="69">
        <f t="shared" si="1"/>
        <v>-134400</v>
      </c>
      <c r="CL30" s="69">
        <f t="shared" si="1"/>
        <v>-134400</v>
      </c>
      <c r="CM30" s="69">
        <f t="shared" si="1"/>
        <v>-134400</v>
      </c>
      <c r="CN30" s="69">
        <f t="shared" si="1"/>
        <v>-134400</v>
      </c>
      <c r="CO30" s="69">
        <f t="shared" si="1"/>
        <v>-134400</v>
      </c>
      <c r="CP30" s="69">
        <f t="shared" si="1"/>
        <v>-134400</v>
      </c>
      <c r="CQ30" s="69">
        <f t="shared" si="1"/>
        <v>-134400</v>
      </c>
      <c r="CR30" s="69">
        <f t="shared" si="1"/>
        <v>-134400</v>
      </c>
      <c r="CS30" s="69">
        <f t="shared" si="1"/>
        <v>-134400</v>
      </c>
      <c r="CT30" s="69">
        <f t="shared" si="1"/>
        <v>-134400</v>
      </c>
      <c r="CU30" s="69">
        <f t="shared" si="1"/>
        <v>-134400</v>
      </c>
      <c r="CV30" s="69">
        <f t="shared" si="1"/>
        <v>-134400</v>
      </c>
      <c r="CW30" s="69">
        <f t="shared" si="1"/>
        <v>-134400</v>
      </c>
      <c r="CX30" s="69">
        <f t="shared" si="1"/>
        <v>-134400</v>
      </c>
      <c r="CY30" s="69">
        <f t="shared" si="1"/>
        <v>-134400</v>
      </c>
      <c r="CZ30" s="69">
        <f t="shared" si="1"/>
        <v>-134400</v>
      </c>
      <c r="DA30" s="69">
        <f t="shared" si="1"/>
        <v>-134400</v>
      </c>
      <c r="DB30" s="69">
        <f t="shared" si="1"/>
        <v>-134400</v>
      </c>
      <c r="DC30" s="69">
        <f t="shared" si="1"/>
        <v>-134400</v>
      </c>
      <c r="DD30" s="69">
        <f t="shared" si="1"/>
        <v>-134400</v>
      </c>
      <c r="DE30" s="69">
        <f t="shared" si="1"/>
        <v>-134400</v>
      </c>
      <c r="DF30" s="69">
        <f t="shared" si="1"/>
        <v>-134400</v>
      </c>
      <c r="DG30" s="69">
        <f t="shared" si="1"/>
        <v>-134400</v>
      </c>
      <c r="DH30" s="69">
        <f t="shared" si="1"/>
        <v>-134400</v>
      </c>
      <c r="DI30" s="69">
        <f t="shared" si="1"/>
        <v>-134400</v>
      </c>
      <c r="DJ30" s="69">
        <f t="shared" si="1"/>
        <v>-134400</v>
      </c>
      <c r="DK30" s="69">
        <f t="shared" si="1"/>
        <v>-134400</v>
      </c>
      <c r="DL30" s="69">
        <f t="shared" si="1"/>
        <v>-134400</v>
      </c>
      <c r="DM30" s="69">
        <f t="shared" si="1"/>
        <v>-134400</v>
      </c>
      <c r="DN30" s="69">
        <f t="shared" si="1"/>
        <v>-134400</v>
      </c>
      <c r="DO30" s="69">
        <f t="shared" si="1"/>
        <v>-134400</v>
      </c>
      <c r="DP30" s="69">
        <f t="shared" si="1"/>
        <v>-134400</v>
      </c>
      <c r="DQ30" s="69">
        <f t="shared" si="1"/>
        <v>-134400</v>
      </c>
      <c r="DR30" s="69">
        <f t="shared" si="1"/>
        <v>-134400</v>
      </c>
    </row>
    <row r="32" ht="12.75">
      <c r="G32" s="125" t="s">
        <v>123</v>
      </c>
    </row>
    <row r="33" ht="12.75">
      <c r="G33" s="126" t="e">
        <f>IRR(G30:Q30)</f>
        <v>#NUM!</v>
      </c>
    </row>
    <row r="36" ht="12.75">
      <c r="G36" s="5" t="s">
        <v>139</v>
      </c>
    </row>
    <row r="38" ht="12.75">
      <c r="G38" s="125">
        <v>0</v>
      </c>
    </row>
    <row r="39" spans="7:138" ht="12.75">
      <c r="G39" s="115">
        <f>G30</f>
        <v>-120000</v>
      </c>
      <c r="H39" s="69">
        <f>H30</f>
        <v>-134400</v>
      </c>
      <c r="I39" s="69">
        <f>H39</f>
        <v>-134400</v>
      </c>
      <c r="J39" s="69">
        <f aca="true" t="shared" si="2" ref="J39:BU39">I39</f>
        <v>-134400</v>
      </c>
      <c r="K39" s="69">
        <f t="shared" si="2"/>
        <v>-134400</v>
      </c>
      <c r="L39" s="69">
        <f t="shared" si="2"/>
        <v>-134400</v>
      </c>
      <c r="M39" s="69">
        <f t="shared" si="2"/>
        <v>-134400</v>
      </c>
      <c r="N39" s="69">
        <f t="shared" si="2"/>
        <v>-134400</v>
      </c>
      <c r="O39" s="69">
        <f t="shared" si="2"/>
        <v>-134400</v>
      </c>
      <c r="P39" s="69">
        <f t="shared" si="2"/>
        <v>-134400</v>
      </c>
      <c r="Q39" s="69">
        <f t="shared" si="2"/>
        <v>-134400</v>
      </c>
      <c r="R39" s="69">
        <f t="shared" si="2"/>
        <v>-134400</v>
      </c>
      <c r="S39" s="69">
        <f t="shared" si="2"/>
        <v>-134400</v>
      </c>
      <c r="T39" s="69">
        <f t="shared" si="2"/>
        <v>-134400</v>
      </c>
      <c r="U39" s="69">
        <f t="shared" si="2"/>
        <v>-134400</v>
      </c>
      <c r="V39" s="69">
        <f t="shared" si="2"/>
        <v>-134400</v>
      </c>
      <c r="W39" s="69">
        <f t="shared" si="2"/>
        <v>-134400</v>
      </c>
      <c r="X39" s="69">
        <f t="shared" si="2"/>
        <v>-134400</v>
      </c>
      <c r="Y39" s="69">
        <f t="shared" si="2"/>
        <v>-134400</v>
      </c>
      <c r="Z39" s="69">
        <f t="shared" si="2"/>
        <v>-134400</v>
      </c>
      <c r="AA39" s="69">
        <f t="shared" si="2"/>
        <v>-134400</v>
      </c>
      <c r="AB39" s="69">
        <f t="shared" si="2"/>
        <v>-134400</v>
      </c>
      <c r="AC39" s="69">
        <f t="shared" si="2"/>
        <v>-134400</v>
      </c>
      <c r="AD39" s="69">
        <f t="shared" si="2"/>
        <v>-134400</v>
      </c>
      <c r="AE39" s="69">
        <f t="shared" si="2"/>
        <v>-134400</v>
      </c>
      <c r="AF39" s="69">
        <f t="shared" si="2"/>
        <v>-134400</v>
      </c>
      <c r="AG39" s="69">
        <f t="shared" si="2"/>
        <v>-134400</v>
      </c>
      <c r="AH39" s="69">
        <f t="shared" si="2"/>
        <v>-134400</v>
      </c>
      <c r="AI39" s="69">
        <f t="shared" si="2"/>
        <v>-134400</v>
      </c>
      <c r="AJ39" s="69">
        <f t="shared" si="2"/>
        <v>-134400</v>
      </c>
      <c r="AK39" s="69">
        <f t="shared" si="2"/>
        <v>-134400</v>
      </c>
      <c r="AL39" s="69">
        <f t="shared" si="2"/>
        <v>-134400</v>
      </c>
      <c r="AM39" s="69">
        <f t="shared" si="2"/>
        <v>-134400</v>
      </c>
      <c r="AN39" s="69">
        <f t="shared" si="2"/>
        <v>-134400</v>
      </c>
      <c r="AO39" s="69">
        <f t="shared" si="2"/>
        <v>-134400</v>
      </c>
      <c r="AP39" s="69">
        <f t="shared" si="2"/>
        <v>-134400</v>
      </c>
      <c r="AQ39" s="69">
        <f t="shared" si="2"/>
        <v>-134400</v>
      </c>
      <c r="AR39" s="69">
        <f t="shared" si="2"/>
        <v>-134400</v>
      </c>
      <c r="AS39" s="69">
        <f t="shared" si="2"/>
        <v>-134400</v>
      </c>
      <c r="AT39" s="69">
        <f t="shared" si="2"/>
        <v>-134400</v>
      </c>
      <c r="AU39" s="69">
        <f t="shared" si="2"/>
        <v>-134400</v>
      </c>
      <c r="AV39" s="69">
        <f t="shared" si="2"/>
        <v>-134400</v>
      </c>
      <c r="AW39" s="69">
        <f t="shared" si="2"/>
        <v>-134400</v>
      </c>
      <c r="AX39" s="69">
        <f t="shared" si="2"/>
        <v>-134400</v>
      </c>
      <c r="AY39" s="69">
        <f t="shared" si="2"/>
        <v>-134400</v>
      </c>
      <c r="AZ39" s="69">
        <f t="shared" si="2"/>
        <v>-134400</v>
      </c>
      <c r="BA39" s="69">
        <f t="shared" si="2"/>
        <v>-134400</v>
      </c>
      <c r="BB39" s="69">
        <f t="shared" si="2"/>
        <v>-134400</v>
      </c>
      <c r="BC39" s="69">
        <f t="shared" si="2"/>
        <v>-134400</v>
      </c>
      <c r="BD39" s="69">
        <f t="shared" si="2"/>
        <v>-134400</v>
      </c>
      <c r="BE39" s="69">
        <f t="shared" si="2"/>
        <v>-134400</v>
      </c>
      <c r="BF39" s="69">
        <f t="shared" si="2"/>
        <v>-134400</v>
      </c>
      <c r="BG39" s="69">
        <f t="shared" si="2"/>
        <v>-134400</v>
      </c>
      <c r="BH39" s="69">
        <f t="shared" si="2"/>
        <v>-134400</v>
      </c>
      <c r="BI39" s="69">
        <f t="shared" si="2"/>
        <v>-134400</v>
      </c>
      <c r="BJ39" s="69">
        <f t="shared" si="2"/>
        <v>-134400</v>
      </c>
      <c r="BK39" s="69">
        <f t="shared" si="2"/>
        <v>-134400</v>
      </c>
      <c r="BL39" s="69">
        <f t="shared" si="2"/>
        <v>-134400</v>
      </c>
      <c r="BM39" s="69">
        <f t="shared" si="2"/>
        <v>-134400</v>
      </c>
      <c r="BN39" s="69">
        <f t="shared" si="2"/>
        <v>-134400</v>
      </c>
      <c r="BO39" s="69">
        <f t="shared" si="2"/>
        <v>-134400</v>
      </c>
      <c r="BP39" s="69">
        <f t="shared" si="2"/>
        <v>-134400</v>
      </c>
      <c r="BQ39" s="69">
        <f t="shared" si="2"/>
        <v>-134400</v>
      </c>
      <c r="BR39" s="69">
        <f t="shared" si="2"/>
        <v>-134400</v>
      </c>
      <c r="BS39" s="69">
        <f t="shared" si="2"/>
        <v>-134400</v>
      </c>
      <c r="BT39" s="69">
        <f t="shared" si="2"/>
        <v>-134400</v>
      </c>
      <c r="BU39" s="69">
        <f t="shared" si="2"/>
        <v>-134400</v>
      </c>
      <c r="BV39" s="69">
        <f aca="true" t="shared" si="3" ref="BV39:EG39">BU39</f>
        <v>-134400</v>
      </c>
      <c r="BW39" s="69">
        <f t="shared" si="3"/>
        <v>-134400</v>
      </c>
      <c r="BX39" s="69">
        <f t="shared" si="3"/>
        <v>-134400</v>
      </c>
      <c r="BY39" s="69">
        <f t="shared" si="3"/>
        <v>-134400</v>
      </c>
      <c r="BZ39" s="69">
        <f t="shared" si="3"/>
        <v>-134400</v>
      </c>
      <c r="CA39" s="69">
        <f t="shared" si="3"/>
        <v>-134400</v>
      </c>
      <c r="CB39" s="69">
        <f t="shared" si="3"/>
        <v>-134400</v>
      </c>
      <c r="CC39" s="69">
        <f t="shared" si="3"/>
        <v>-134400</v>
      </c>
      <c r="CD39" s="69">
        <f t="shared" si="3"/>
        <v>-134400</v>
      </c>
      <c r="CE39" s="69">
        <f t="shared" si="3"/>
        <v>-134400</v>
      </c>
      <c r="CF39" s="69">
        <f t="shared" si="3"/>
        <v>-134400</v>
      </c>
      <c r="CG39" s="69">
        <f t="shared" si="3"/>
        <v>-134400</v>
      </c>
      <c r="CH39" s="69">
        <f t="shared" si="3"/>
        <v>-134400</v>
      </c>
      <c r="CI39" s="69">
        <f t="shared" si="3"/>
        <v>-134400</v>
      </c>
      <c r="CJ39" s="69">
        <f t="shared" si="3"/>
        <v>-134400</v>
      </c>
      <c r="CK39" s="69">
        <f t="shared" si="3"/>
        <v>-134400</v>
      </c>
      <c r="CL39" s="69">
        <f t="shared" si="3"/>
        <v>-134400</v>
      </c>
      <c r="CM39" s="69">
        <f t="shared" si="3"/>
        <v>-134400</v>
      </c>
      <c r="CN39" s="69">
        <f t="shared" si="3"/>
        <v>-134400</v>
      </c>
      <c r="CO39" s="69">
        <f t="shared" si="3"/>
        <v>-134400</v>
      </c>
      <c r="CP39" s="69">
        <f t="shared" si="3"/>
        <v>-134400</v>
      </c>
      <c r="CQ39" s="69">
        <f t="shared" si="3"/>
        <v>-134400</v>
      </c>
      <c r="CR39" s="69">
        <f t="shared" si="3"/>
        <v>-134400</v>
      </c>
      <c r="CS39" s="69">
        <f t="shared" si="3"/>
        <v>-134400</v>
      </c>
      <c r="CT39" s="69">
        <f t="shared" si="3"/>
        <v>-134400</v>
      </c>
      <c r="CU39" s="69">
        <f t="shared" si="3"/>
        <v>-134400</v>
      </c>
      <c r="CV39" s="69">
        <f t="shared" si="3"/>
        <v>-134400</v>
      </c>
      <c r="CW39" s="69">
        <f t="shared" si="3"/>
        <v>-134400</v>
      </c>
      <c r="CX39" s="69">
        <f t="shared" si="3"/>
        <v>-134400</v>
      </c>
      <c r="CY39" s="69">
        <f t="shared" si="3"/>
        <v>-134400</v>
      </c>
      <c r="CZ39" s="69">
        <f t="shared" si="3"/>
        <v>-134400</v>
      </c>
      <c r="DA39" s="69">
        <f t="shared" si="3"/>
        <v>-134400</v>
      </c>
      <c r="DB39" s="69">
        <f t="shared" si="3"/>
        <v>-134400</v>
      </c>
      <c r="DC39" s="69">
        <f t="shared" si="3"/>
        <v>-134400</v>
      </c>
      <c r="DD39" s="69">
        <f t="shared" si="3"/>
        <v>-134400</v>
      </c>
      <c r="DE39" s="69">
        <f t="shared" si="3"/>
        <v>-134400</v>
      </c>
      <c r="DF39" s="69">
        <f t="shared" si="3"/>
        <v>-134400</v>
      </c>
      <c r="DG39" s="69">
        <f t="shared" si="3"/>
        <v>-134400</v>
      </c>
      <c r="DH39" s="69">
        <f t="shared" si="3"/>
        <v>-134400</v>
      </c>
      <c r="DI39" s="69">
        <f t="shared" si="3"/>
        <v>-134400</v>
      </c>
      <c r="DJ39" s="69">
        <f t="shared" si="3"/>
        <v>-134400</v>
      </c>
      <c r="DK39" s="69">
        <f t="shared" si="3"/>
        <v>-134400</v>
      </c>
      <c r="DL39" s="69">
        <f t="shared" si="3"/>
        <v>-134400</v>
      </c>
      <c r="DM39" s="69">
        <f t="shared" si="3"/>
        <v>-134400</v>
      </c>
      <c r="DN39" s="69">
        <f t="shared" si="3"/>
        <v>-134400</v>
      </c>
      <c r="DO39" s="69">
        <f t="shared" si="3"/>
        <v>-134400</v>
      </c>
      <c r="DP39" s="69">
        <f t="shared" si="3"/>
        <v>-134400</v>
      </c>
      <c r="DQ39" s="69">
        <f t="shared" si="3"/>
        <v>-134400</v>
      </c>
      <c r="DR39" s="69">
        <f t="shared" si="3"/>
        <v>-134400</v>
      </c>
      <c r="DS39" s="69">
        <f t="shared" si="3"/>
        <v>-134400</v>
      </c>
      <c r="DT39" s="69">
        <f t="shared" si="3"/>
        <v>-134400</v>
      </c>
      <c r="DU39" s="69">
        <f t="shared" si="3"/>
        <v>-134400</v>
      </c>
      <c r="DV39" s="69">
        <f t="shared" si="3"/>
        <v>-134400</v>
      </c>
      <c r="DW39" s="69">
        <f t="shared" si="3"/>
        <v>-134400</v>
      </c>
      <c r="DX39" s="69">
        <f t="shared" si="3"/>
        <v>-134400</v>
      </c>
      <c r="DY39" s="69">
        <f t="shared" si="3"/>
        <v>-134400</v>
      </c>
      <c r="DZ39" s="69">
        <f t="shared" si="3"/>
        <v>-134400</v>
      </c>
      <c r="EA39" s="69">
        <f t="shared" si="3"/>
        <v>-134400</v>
      </c>
      <c r="EB39" s="69">
        <f t="shared" si="3"/>
        <v>-134400</v>
      </c>
      <c r="EC39" s="69">
        <f t="shared" si="3"/>
        <v>-134400</v>
      </c>
      <c r="ED39" s="69">
        <f t="shared" si="3"/>
        <v>-134400</v>
      </c>
      <c r="EE39" s="69">
        <f t="shared" si="3"/>
        <v>-134400</v>
      </c>
      <c r="EF39" s="69">
        <f t="shared" si="3"/>
        <v>-134400</v>
      </c>
      <c r="EG39" s="69">
        <f t="shared" si="3"/>
        <v>-134400</v>
      </c>
      <c r="EH39" s="69">
        <f>EG39</f>
        <v>-134400</v>
      </c>
    </row>
    <row r="41" ht="12.75">
      <c r="G41" s="125" t="s">
        <v>123</v>
      </c>
    </row>
    <row r="42" ht="12.75">
      <c r="G42" s="128" t="e">
        <f>IRR(G39:EH39)</f>
        <v>#NUM!</v>
      </c>
    </row>
    <row r="46" spans="7:21" ht="12.75">
      <c r="G46" s="154" t="s">
        <v>98</v>
      </c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</row>
    <row r="47" spans="7:19" ht="12.75">
      <c r="G47" s="154" t="s">
        <v>99</v>
      </c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</row>
    <row r="48" spans="7:14" ht="12.75">
      <c r="G48" s="120" t="s">
        <v>100</v>
      </c>
      <c r="H48" s="120"/>
      <c r="I48" s="120"/>
      <c r="J48" s="120"/>
      <c r="K48" s="120"/>
      <c r="L48" s="120"/>
      <c r="M48" s="120"/>
      <c r="N48" s="120"/>
    </row>
  </sheetData>
  <sheetProtection/>
  <mergeCells count="4">
    <mergeCell ref="B2:D2"/>
    <mergeCell ref="B8:D8"/>
    <mergeCell ref="G46:U46"/>
    <mergeCell ref="G47:S47"/>
  </mergeCells>
  <printOptions/>
  <pageMargins left="0.75" right="0.75" top="1" bottom="1" header="0.492125985" footer="0.49212598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B1" sqref="B1:B4"/>
    </sheetView>
  </sheetViews>
  <sheetFormatPr defaultColWidth="8.8515625" defaultRowHeight="12.75"/>
  <cols>
    <col min="1" max="1" width="9.28125" style="0" bestFit="1" customWidth="1"/>
    <col min="2" max="2" width="10.28125" style="0" bestFit="1" customWidth="1"/>
    <col min="3" max="3" width="9.28125" style="0" bestFit="1" customWidth="1"/>
  </cols>
  <sheetData>
    <row r="1" spans="1:2" ht="12.75">
      <c r="A1" t="s">
        <v>37</v>
      </c>
      <c r="B1" s="1"/>
    </row>
    <row r="2" spans="1:2" ht="12.75">
      <c r="A2" t="s">
        <v>14</v>
      </c>
      <c r="B2" s="2"/>
    </row>
    <row r="3" spans="1:2" ht="12.75">
      <c r="A3" t="s">
        <v>35</v>
      </c>
      <c r="B3" s="1"/>
    </row>
    <row r="4" spans="1:2" ht="12.75">
      <c r="A4" t="s">
        <v>38</v>
      </c>
      <c r="B4" s="3"/>
    </row>
    <row r="9" spans="1:5" ht="12.75">
      <c r="A9" t="s">
        <v>36</v>
      </c>
      <c r="B9" t="s">
        <v>35</v>
      </c>
      <c r="C9" t="s">
        <v>38</v>
      </c>
      <c r="D9" t="s">
        <v>39</v>
      </c>
      <c r="E9" t="s">
        <v>70</v>
      </c>
    </row>
    <row r="10" spans="1:5" ht="12.75">
      <c r="A10" s="88">
        <v>0</v>
      </c>
      <c r="B10" s="88">
        <f aca="true" t="shared" si="0" ref="B10:B21">$B$3</f>
        <v>0</v>
      </c>
      <c r="C10" s="88">
        <f aca="true" t="shared" si="1" ref="C10:C15">A10*$B$4</f>
        <v>0</v>
      </c>
      <c r="D10" s="89">
        <f aca="true" t="shared" si="2" ref="D10:D15">C10+B10</f>
        <v>0</v>
      </c>
      <c r="E10" s="89">
        <f>A10-D10</f>
        <v>0</v>
      </c>
    </row>
    <row r="11" spans="1:5" ht="12.75">
      <c r="A11" s="88">
        <f aca="true" t="shared" si="3" ref="A11:A21">A10+$B$1</f>
        <v>0</v>
      </c>
      <c r="B11" s="88">
        <f t="shared" si="0"/>
        <v>0</v>
      </c>
      <c r="C11" s="88">
        <f t="shared" si="1"/>
        <v>0</v>
      </c>
      <c r="D11" s="89">
        <f t="shared" si="2"/>
        <v>0</v>
      </c>
      <c r="E11" s="89">
        <f aca="true" t="shared" si="4" ref="E11:E21">A11-D11</f>
        <v>0</v>
      </c>
    </row>
    <row r="12" spans="1:5" ht="12.75">
      <c r="A12" s="88">
        <f t="shared" si="3"/>
        <v>0</v>
      </c>
      <c r="B12" s="88">
        <f t="shared" si="0"/>
        <v>0</v>
      </c>
      <c r="C12" s="88">
        <f t="shared" si="1"/>
        <v>0</v>
      </c>
      <c r="D12" s="89">
        <f t="shared" si="2"/>
        <v>0</v>
      </c>
      <c r="E12" s="89">
        <f t="shared" si="4"/>
        <v>0</v>
      </c>
    </row>
    <row r="13" spans="1:5" ht="12.75">
      <c r="A13" s="88">
        <f t="shared" si="3"/>
        <v>0</v>
      </c>
      <c r="B13" s="88">
        <f t="shared" si="0"/>
        <v>0</v>
      </c>
      <c r="C13" s="88">
        <f t="shared" si="1"/>
        <v>0</v>
      </c>
      <c r="D13" s="89">
        <f t="shared" si="2"/>
        <v>0</v>
      </c>
      <c r="E13" s="89">
        <f t="shared" si="4"/>
        <v>0</v>
      </c>
    </row>
    <row r="14" spans="1:5" ht="12.75">
      <c r="A14" s="88">
        <f t="shared" si="3"/>
        <v>0</v>
      </c>
      <c r="B14" s="88">
        <f t="shared" si="0"/>
        <v>0</v>
      </c>
      <c r="C14" s="88">
        <f t="shared" si="1"/>
        <v>0</v>
      </c>
      <c r="D14" s="89">
        <f t="shared" si="2"/>
        <v>0</v>
      </c>
      <c r="E14" s="89">
        <f t="shared" si="4"/>
        <v>0</v>
      </c>
    </row>
    <row r="15" spans="1:5" ht="12.75">
      <c r="A15" s="88">
        <f t="shared" si="3"/>
        <v>0</v>
      </c>
      <c r="B15" s="88">
        <f t="shared" si="0"/>
        <v>0</v>
      </c>
      <c r="C15" s="88">
        <f t="shared" si="1"/>
        <v>0</v>
      </c>
      <c r="D15" s="89">
        <f t="shared" si="2"/>
        <v>0</v>
      </c>
      <c r="E15" s="89">
        <f t="shared" si="4"/>
        <v>0</v>
      </c>
    </row>
    <row r="16" spans="1:5" ht="12.75">
      <c r="A16" s="88">
        <f t="shared" si="3"/>
        <v>0</v>
      </c>
      <c r="B16" s="88">
        <f t="shared" si="0"/>
        <v>0</v>
      </c>
      <c r="C16" s="88">
        <f aca="true" t="shared" si="5" ref="C16:C21">A16*$B$4</f>
        <v>0</v>
      </c>
      <c r="D16" s="89">
        <f aca="true" t="shared" si="6" ref="D16:D21">C16+B16</f>
        <v>0</v>
      </c>
      <c r="E16" s="89">
        <f t="shared" si="4"/>
        <v>0</v>
      </c>
    </row>
    <row r="17" spans="1:5" ht="12.75">
      <c r="A17" s="88">
        <f t="shared" si="3"/>
        <v>0</v>
      </c>
      <c r="B17" s="88">
        <f t="shared" si="0"/>
        <v>0</v>
      </c>
      <c r="C17" s="88">
        <f t="shared" si="5"/>
        <v>0</v>
      </c>
      <c r="D17" s="89">
        <f t="shared" si="6"/>
        <v>0</v>
      </c>
      <c r="E17" s="89">
        <f t="shared" si="4"/>
        <v>0</v>
      </c>
    </row>
    <row r="18" spans="1:5" ht="12.75">
      <c r="A18" s="88">
        <f t="shared" si="3"/>
        <v>0</v>
      </c>
      <c r="B18" s="88">
        <f t="shared" si="0"/>
        <v>0</v>
      </c>
      <c r="C18" s="88">
        <f t="shared" si="5"/>
        <v>0</v>
      </c>
      <c r="D18" s="89">
        <f t="shared" si="6"/>
        <v>0</v>
      </c>
      <c r="E18" s="89">
        <f t="shared" si="4"/>
        <v>0</v>
      </c>
    </row>
    <row r="19" spans="1:5" ht="12.75">
      <c r="A19" s="88">
        <f t="shared" si="3"/>
        <v>0</v>
      </c>
      <c r="B19" s="88">
        <f t="shared" si="0"/>
        <v>0</v>
      </c>
      <c r="C19" s="88">
        <f t="shared" si="5"/>
        <v>0</v>
      </c>
      <c r="D19" s="89">
        <f t="shared" si="6"/>
        <v>0</v>
      </c>
      <c r="E19" s="89">
        <f t="shared" si="4"/>
        <v>0</v>
      </c>
    </row>
    <row r="20" spans="1:5" ht="12.75">
      <c r="A20" s="88">
        <f t="shared" si="3"/>
        <v>0</v>
      </c>
      <c r="B20" s="88">
        <f t="shared" si="0"/>
        <v>0</v>
      </c>
      <c r="C20" s="88">
        <f t="shared" si="5"/>
        <v>0</v>
      </c>
      <c r="D20" s="89">
        <f t="shared" si="6"/>
        <v>0</v>
      </c>
      <c r="E20" s="89">
        <f t="shared" si="4"/>
        <v>0</v>
      </c>
    </row>
    <row r="21" spans="1:5" ht="12.75">
      <c r="A21" s="88">
        <f t="shared" si="3"/>
        <v>0</v>
      </c>
      <c r="B21" s="88">
        <f t="shared" si="0"/>
        <v>0</v>
      </c>
      <c r="C21" s="88">
        <f t="shared" si="5"/>
        <v>0</v>
      </c>
      <c r="D21" s="89">
        <f t="shared" si="6"/>
        <v>0</v>
      </c>
      <c r="E21" s="89">
        <f t="shared" si="4"/>
        <v>0</v>
      </c>
    </row>
    <row r="22" spans="1:4" ht="12.75">
      <c r="A22" s="88"/>
      <c r="B22" s="88"/>
      <c r="C22" s="88"/>
      <c r="D22" s="89"/>
    </row>
    <row r="23" spans="1:4" ht="12.75">
      <c r="A23" s="88"/>
      <c r="B23" s="88"/>
      <c r="C23" s="88"/>
      <c r="D23" s="89"/>
    </row>
    <row r="24" spans="1:4" ht="12.75">
      <c r="A24" s="88"/>
      <c r="B24" s="88"/>
      <c r="C24" s="88"/>
      <c r="D24" s="89"/>
    </row>
    <row r="25" spans="1:4" ht="12.75">
      <c r="A25" s="88"/>
      <c r="B25" s="88"/>
      <c r="C25" s="88"/>
      <c r="D25" s="89"/>
    </row>
    <row r="26" spans="1:4" ht="12.75">
      <c r="A26" s="88"/>
      <c r="B26" s="88"/>
      <c r="C26" s="88"/>
      <c r="D26" s="89"/>
    </row>
    <row r="27" spans="1:4" ht="12.75">
      <c r="A27" s="88"/>
      <c r="B27" s="88"/>
      <c r="C27" s="88"/>
      <c r="D27" s="89"/>
    </row>
    <row r="28" spans="1:4" ht="12.75">
      <c r="A28" s="88"/>
      <c r="B28" s="88"/>
      <c r="C28" s="88"/>
      <c r="D28" s="89"/>
    </row>
    <row r="29" spans="1:4" ht="12.75">
      <c r="A29" s="88"/>
      <c r="B29" s="88"/>
      <c r="C29" s="88"/>
      <c r="D29" s="89"/>
    </row>
    <row r="30" spans="1:4" ht="12.75">
      <c r="A30" s="88"/>
      <c r="B30" s="88"/>
      <c r="C30" s="88"/>
      <c r="D30" s="89"/>
    </row>
    <row r="31" spans="1:4" ht="12.75">
      <c r="A31" s="88"/>
      <c r="B31" s="88"/>
      <c r="C31" s="88"/>
      <c r="D31" s="89"/>
    </row>
    <row r="32" spans="1:4" ht="12.75">
      <c r="A32" s="88"/>
      <c r="B32" s="88"/>
      <c r="C32" s="88"/>
      <c r="D32" s="89"/>
    </row>
    <row r="33" spans="1:4" ht="12.75">
      <c r="A33" s="88"/>
      <c r="B33" s="88"/>
      <c r="C33" s="88"/>
      <c r="D33" s="89"/>
    </row>
    <row r="34" spans="1:4" ht="12.75">
      <c r="A34" s="88"/>
      <c r="B34" s="88"/>
      <c r="C34" s="88"/>
      <c r="D34" s="89"/>
    </row>
    <row r="35" spans="1:4" ht="12.75">
      <c r="A35" s="88"/>
      <c r="B35" s="88"/>
      <c r="C35" s="88"/>
      <c r="D35" s="89"/>
    </row>
    <row r="36" spans="1:4" ht="12.75">
      <c r="A36" s="88"/>
      <c r="B36" s="88"/>
      <c r="C36" s="88"/>
      <c r="D36" s="89"/>
    </row>
    <row r="37" spans="1:4" ht="12.75">
      <c r="A37" s="88"/>
      <c r="B37" s="88"/>
      <c r="C37" s="88"/>
      <c r="D37" s="89"/>
    </row>
    <row r="38" spans="1:4" ht="12.75">
      <c r="A38" s="88"/>
      <c r="B38" s="88"/>
      <c r="C38" s="88"/>
      <c r="D38" s="89"/>
    </row>
    <row r="39" spans="1:4" ht="12.75">
      <c r="A39" s="88"/>
      <c r="B39" s="88"/>
      <c r="C39" s="88"/>
      <c r="D39" s="89"/>
    </row>
    <row r="40" spans="1:4" ht="12.75">
      <c r="A40" s="88"/>
      <c r="B40" s="88"/>
      <c r="C40" s="88"/>
      <c r="D40" s="89"/>
    </row>
    <row r="41" spans="1:4" ht="12.75">
      <c r="A41" s="88"/>
      <c r="B41" s="88"/>
      <c r="C41" s="88"/>
      <c r="D41" s="89"/>
    </row>
    <row r="42" spans="1:4" ht="12.75">
      <c r="A42" s="88"/>
      <c r="B42" s="88"/>
      <c r="C42" s="88"/>
      <c r="D42" s="89"/>
    </row>
  </sheetData>
  <sheetProtection/>
  <printOptions/>
  <pageMargins left="0.75" right="0.75" top="1" bottom="1" header="0.492125985" footer="0.49212598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Dadidi</dc:creator>
  <cp:keywords/>
  <dc:description/>
  <cp:lastModifiedBy>Microsoft Office User</cp:lastModifiedBy>
  <cp:lastPrinted>2003-06-22T21:40:26Z</cp:lastPrinted>
  <dcterms:created xsi:type="dcterms:W3CDTF">2001-05-29T17:43:00Z</dcterms:created>
  <dcterms:modified xsi:type="dcterms:W3CDTF">2019-03-07T19:14:42Z</dcterms:modified>
  <cp:category/>
  <cp:version/>
  <cp:contentType/>
  <cp:contentStatus/>
</cp:coreProperties>
</file>