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0 - graduação\0 - 2o semestre 2019\CONTABILIDADE - contabilidade de custos\"/>
    </mc:Choice>
  </mc:AlternateContent>
  <bookViews>
    <workbookView xWindow="0" yWindow="0" windowWidth="17280" windowHeight="9060" firstSheet="27" activeTab="28"/>
  </bookViews>
  <sheets>
    <sheet name="EXEMPLO DEPRECIAÇÃO" sheetId="1" r:id="rId1"/>
    <sheet name="EXEMPLO COM LIVROS" sheetId="2" r:id="rId2"/>
    <sheet name="EXEMPLO CH, CHC e CR" sheetId="3" r:id="rId3"/>
    <sheet name="CIA ROLIÇA" sheetId="4" r:id="rId4"/>
    <sheet name="EXEMPLO CST MP" sheetId="5" r:id="rId5"/>
    <sheet name="MASON COMPANY" sheetId="6" r:id="rId6"/>
    <sheet name="CIA ANIEL" sheetId="7" r:id="rId7"/>
    <sheet name="CIA INTEGRAÇÃO - BALANCETE" sheetId="8" r:id="rId8"/>
    <sheet name="CIA INTEGRAÇÃO - CUSTOS" sheetId="9" r:id="rId9"/>
    <sheet name="CIA INTEGRAÇÃO - DEM CONTAB" sheetId="10" r:id="rId10"/>
    <sheet name="DOBRA E FECHA" sheetId="11" r:id="rId11"/>
    <sheet name="CONTABILIZAÇÃO CUSTOS" sheetId="12" r:id="rId12"/>
    <sheet name="CONTABILIZAÇÃO CUSTOS (RESOLUÇ)" sheetId="13" r:id="rId13"/>
    <sheet name="CONTABILIZAÇÃO CUSTOS (DEMONSTR" sheetId="14" r:id="rId14"/>
    <sheet name="CIA TIQUITA" sheetId="15" r:id="rId15"/>
    <sheet name="10.4 - CIA REGGIO" sheetId="16" r:id="rId16"/>
    <sheet name="14 - SAO TOMÉ" sheetId="17" r:id="rId17"/>
    <sheet name="11.2 - REGGIO" sheetId="18" r:id="rId18"/>
    <sheet name="11.3 - SÃO CRISTÓVÃO" sheetId="26" r:id="rId19"/>
    <sheet name="12 - CPC17 - I" sheetId="19" r:id="rId20"/>
    <sheet name="12 - CPC17 -II" sheetId="21" r:id="rId21"/>
    <sheet name="12 - CPC17 - I (CONTABILIZ)" sheetId="20" r:id="rId22"/>
    <sheet name="13.2 - Carbexa" sheetId="22" r:id="rId23"/>
    <sheet name="13.3 - Antártida" sheetId="23" r:id="rId24"/>
    <sheet name="TUDOLIMPO" sheetId="24" r:id="rId25"/>
    <sheet name="TRANSPORT TULIPA" sheetId="25" r:id="rId26"/>
    <sheet name="EXEMPLO DISK PIZZA (SEM IR)" sheetId="27" r:id="rId27"/>
    <sheet name="KING KONG" sheetId="28" r:id="rId28"/>
    <sheet name="CONFECÇÕES ANDRADE" sheetId="29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29" l="1"/>
  <c r="I54" i="29"/>
  <c r="I50" i="29"/>
  <c r="I46" i="29"/>
  <c r="G45" i="29"/>
  <c r="E45" i="29"/>
  <c r="C45" i="29"/>
  <c r="G44" i="29"/>
  <c r="E44" i="29"/>
  <c r="C44" i="29"/>
  <c r="G43" i="29"/>
  <c r="E43" i="29"/>
  <c r="C43" i="29"/>
  <c r="I40" i="29"/>
  <c r="G40" i="29"/>
  <c r="E40" i="29"/>
  <c r="C40" i="29"/>
  <c r="E7" i="29"/>
  <c r="D7" i="29"/>
  <c r="C7" i="29"/>
  <c r="D15" i="29"/>
  <c r="C29" i="29"/>
  <c r="D12" i="29"/>
  <c r="D13" i="29" s="1"/>
  <c r="D10" i="29"/>
  <c r="E17" i="29"/>
  <c r="D17" i="29"/>
  <c r="C17" i="29"/>
  <c r="F3" i="29"/>
  <c r="D4" i="29" s="1"/>
  <c r="E41" i="29" l="1"/>
  <c r="E4" i="29"/>
  <c r="E19" i="29" s="1"/>
  <c r="D19" i="29"/>
  <c r="D18" i="29"/>
  <c r="C4" i="29"/>
  <c r="F43" i="29" l="1"/>
  <c r="F44" i="29"/>
  <c r="F4" i="29"/>
  <c r="C41" i="29"/>
  <c r="G41" i="29"/>
  <c r="E18" i="29"/>
  <c r="C19" i="29"/>
  <c r="F19" i="29" s="1"/>
  <c r="C18" i="29"/>
  <c r="H43" i="29" l="1"/>
  <c r="H44" i="29"/>
  <c r="F45" i="29"/>
  <c r="D43" i="29"/>
  <c r="D44" i="29"/>
  <c r="I41" i="29"/>
  <c r="F18" i="29"/>
  <c r="F20" i="29" s="1"/>
  <c r="D34" i="28"/>
  <c r="C34" i="28"/>
  <c r="D33" i="28"/>
  <c r="D32" i="28"/>
  <c r="C32" i="28"/>
  <c r="D31" i="28"/>
  <c r="C31" i="28"/>
  <c r="D29" i="28"/>
  <c r="C29" i="28"/>
  <c r="D28" i="28"/>
  <c r="C28" i="28"/>
  <c r="C26" i="28"/>
  <c r="C24" i="28"/>
  <c r="C23" i="28"/>
  <c r="C22" i="28"/>
  <c r="C21" i="28"/>
  <c r="D7" i="28"/>
  <c r="D9" i="28" s="1"/>
  <c r="C17" i="28"/>
  <c r="C10" i="28"/>
  <c r="C9" i="28"/>
  <c r="C8" i="28"/>
  <c r="C6" i="28"/>
  <c r="C5" i="28"/>
  <c r="C4" i="28"/>
  <c r="I44" i="29" l="1"/>
  <c r="I43" i="29"/>
  <c r="H45" i="29"/>
  <c r="D45" i="29"/>
  <c r="I45" i="29" s="1"/>
  <c r="I47" i="29" s="1"/>
  <c r="I48" i="29" s="1"/>
  <c r="I49" i="29" s="1"/>
  <c r="C25" i="29"/>
  <c r="C27" i="29"/>
  <c r="F21" i="29"/>
  <c r="F22" i="29" s="1"/>
  <c r="C10" i="27"/>
  <c r="C5" i="27"/>
  <c r="I51" i="29" l="1"/>
  <c r="I53" i="29"/>
  <c r="C31" i="29"/>
  <c r="D31" i="29" s="1"/>
  <c r="C35" i="29"/>
  <c r="D35" i="29" s="1"/>
  <c r="C34" i="29"/>
  <c r="D34" i="29" s="1"/>
  <c r="C26" i="29"/>
  <c r="C32" i="29" s="1"/>
  <c r="D32" i="29" s="1"/>
  <c r="C14" i="27"/>
  <c r="C15" i="27" s="1"/>
  <c r="C22" i="27" s="1"/>
  <c r="D22" i="27" s="1"/>
  <c r="C16" i="27"/>
  <c r="C17" i="27" s="1"/>
  <c r="C27" i="27" s="1"/>
  <c r="D27" i="27" s="1"/>
  <c r="E7" i="26"/>
  <c r="E6" i="26"/>
  <c r="E5" i="26"/>
  <c r="E4" i="26"/>
  <c r="D7" i="26"/>
  <c r="D6" i="26"/>
  <c r="D5" i="26"/>
  <c r="D4" i="26"/>
  <c r="D10" i="26" s="1"/>
  <c r="D12" i="26" s="1"/>
  <c r="C9" i="26"/>
  <c r="D9" i="26" s="1"/>
  <c r="C8" i="26"/>
  <c r="D8" i="26" s="1"/>
  <c r="D11" i="26" s="1"/>
  <c r="C4" i="26"/>
  <c r="I55" i="29" l="1"/>
  <c r="D36" i="29"/>
  <c r="C24" i="27"/>
  <c r="D24" i="27" s="1"/>
  <c r="C21" i="27"/>
  <c r="D21" i="27" s="1"/>
  <c r="C25" i="27"/>
  <c r="D25" i="27" s="1"/>
  <c r="E8" i="26"/>
  <c r="E10" i="26" s="1"/>
  <c r="E12" i="26" s="1"/>
  <c r="E9" i="26"/>
  <c r="E11" i="26"/>
  <c r="E11" i="25"/>
  <c r="C11" i="25"/>
  <c r="E10" i="25"/>
  <c r="D10" i="25"/>
  <c r="D11" i="25" s="1"/>
  <c r="C10" i="25"/>
  <c r="F9" i="25"/>
  <c r="E5" i="25"/>
  <c r="D5" i="25"/>
  <c r="E4" i="25"/>
  <c r="D4" i="25"/>
  <c r="C4" i="25"/>
  <c r="F3" i="25"/>
  <c r="C5" i="25" s="1"/>
  <c r="C37" i="24"/>
  <c r="E29" i="24"/>
  <c r="F29" i="24" s="1"/>
  <c r="E13" i="24"/>
  <c r="D14" i="24" s="1"/>
  <c r="E12" i="24"/>
  <c r="C6" i="24"/>
  <c r="C32" i="24" s="1"/>
  <c r="D32" i="24" s="1"/>
  <c r="E22" i="24"/>
  <c r="F22" i="24" s="1"/>
  <c r="C22" i="24"/>
  <c r="D22" i="24" s="1"/>
  <c r="E21" i="24"/>
  <c r="F21" i="24" s="1"/>
  <c r="C21" i="24"/>
  <c r="D21" i="24" s="1"/>
  <c r="E20" i="24"/>
  <c r="F20" i="24" s="1"/>
  <c r="C20" i="24"/>
  <c r="D20" i="24" s="1"/>
  <c r="E19" i="24"/>
  <c r="F19" i="24" s="1"/>
  <c r="C19" i="24"/>
  <c r="C28" i="24" s="1"/>
  <c r="E17" i="24"/>
  <c r="E26" i="24" s="1"/>
  <c r="E35" i="24" s="1"/>
  <c r="C17" i="24"/>
  <c r="C26" i="24" s="1"/>
  <c r="C35" i="24" s="1"/>
  <c r="D26" i="27" l="1"/>
  <c r="E38" i="24"/>
  <c r="F38" i="24" s="1"/>
  <c r="F10" i="25"/>
  <c r="F11" i="25" s="1"/>
  <c r="C29" i="24"/>
  <c r="F4" i="25"/>
  <c r="E28" i="24"/>
  <c r="E37" i="24" s="1"/>
  <c r="F5" i="25"/>
  <c r="D6" i="25"/>
  <c r="E6" i="25"/>
  <c r="C6" i="25"/>
  <c r="D37" i="24"/>
  <c r="G22" i="24"/>
  <c r="F37" i="24"/>
  <c r="E32" i="24"/>
  <c r="F32" i="24" s="1"/>
  <c r="C30" i="24"/>
  <c r="E30" i="24"/>
  <c r="C31" i="24"/>
  <c r="E31" i="24"/>
  <c r="G32" i="24"/>
  <c r="G42" i="24" s="1"/>
  <c r="D28" i="24"/>
  <c r="G21" i="24"/>
  <c r="C14" i="24"/>
  <c r="E14" i="24" s="1"/>
  <c r="F23" i="24"/>
  <c r="E23" i="24" s="1"/>
  <c r="E24" i="24" s="1"/>
  <c r="D19" i="24"/>
  <c r="G20" i="24"/>
  <c r="D17" i="23"/>
  <c r="D18" i="23" s="1"/>
  <c r="D15" i="23"/>
  <c r="D14" i="23"/>
  <c r="D13" i="23"/>
  <c r="D3" i="23"/>
  <c r="D10" i="23"/>
  <c r="D5" i="23"/>
  <c r="D4" i="23"/>
  <c r="D31" i="24" l="1"/>
  <c r="C40" i="24"/>
  <c r="D40" i="24" s="1"/>
  <c r="F6" i="25"/>
  <c r="F12" i="25"/>
  <c r="F13" i="25" s="1"/>
  <c r="F30" i="24"/>
  <c r="E39" i="24"/>
  <c r="F39" i="24" s="1"/>
  <c r="G39" i="24" s="1"/>
  <c r="D29" i="24"/>
  <c r="G29" i="24" s="1"/>
  <c r="C38" i="24"/>
  <c r="D22" i="23"/>
  <c r="D23" i="24"/>
  <c r="C23" i="24" s="1"/>
  <c r="C24" i="24" s="1"/>
  <c r="D30" i="24"/>
  <c r="C39" i="24"/>
  <c r="D39" i="24" s="1"/>
  <c r="D24" i="24"/>
  <c r="F31" i="24"/>
  <c r="E40" i="24"/>
  <c r="F40" i="24" s="1"/>
  <c r="G40" i="24" s="1"/>
  <c r="E41" i="24"/>
  <c r="G30" i="24"/>
  <c r="G37" i="24"/>
  <c r="G19" i="24"/>
  <c r="G31" i="24"/>
  <c r="C33" i="24"/>
  <c r="E33" i="24"/>
  <c r="F28" i="24"/>
  <c r="G23" i="24"/>
  <c r="G24" i="24" s="1"/>
  <c r="F24" i="24"/>
  <c r="D6" i="23"/>
  <c r="D7" i="23" s="1"/>
  <c r="D16" i="23"/>
  <c r="D8" i="23"/>
  <c r="C8" i="22"/>
  <c r="D14" i="22" s="1"/>
  <c r="C15" i="22"/>
  <c r="C4" i="22"/>
  <c r="C5" i="22" s="1"/>
  <c r="D12" i="22" s="1"/>
  <c r="H18" i="21"/>
  <c r="G18" i="21"/>
  <c r="G19" i="21" s="1"/>
  <c r="F18" i="21"/>
  <c r="E18" i="21"/>
  <c r="D18" i="21"/>
  <c r="I17" i="21"/>
  <c r="H24" i="21" s="1"/>
  <c r="H17" i="21"/>
  <c r="G17" i="21"/>
  <c r="F17" i="21"/>
  <c r="E17" i="21"/>
  <c r="D17" i="21"/>
  <c r="H13" i="21"/>
  <c r="G13" i="21"/>
  <c r="F13" i="21"/>
  <c r="E13" i="21"/>
  <c r="D13" i="21"/>
  <c r="J7" i="21"/>
  <c r="C30" i="21"/>
  <c r="C25" i="21"/>
  <c r="J16" i="21"/>
  <c r="I11" i="21"/>
  <c r="I16" i="21" s="1"/>
  <c r="H11" i="21"/>
  <c r="H16" i="21" s="1"/>
  <c r="G11" i="21"/>
  <c r="G16" i="21" s="1"/>
  <c r="F11" i="21"/>
  <c r="F16" i="21" s="1"/>
  <c r="E11" i="21"/>
  <c r="E16" i="21" s="1"/>
  <c r="D11" i="21"/>
  <c r="D16" i="21" s="1"/>
  <c r="D8" i="21"/>
  <c r="D9" i="21" s="1"/>
  <c r="D5" i="21"/>
  <c r="E5" i="21" s="1"/>
  <c r="D13" i="22" l="1"/>
  <c r="F13" i="22" s="1"/>
  <c r="D33" i="24"/>
  <c r="D38" i="24"/>
  <c r="C41" i="24"/>
  <c r="F41" i="24"/>
  <c r="F33" i="24"/>
  <c r="G28" i="24"/>
  <c r="G33" i="24" s="1"/>
  <c r="D15" i="22"/>
  <c r="F12" i="22"/>
  <c r="E12" i="22"/>
  <c r="F14" i="22"/>
  <c r="E14" i="22"/>
  <c r="J13" i="21"/>
  <c r="E13" i="22"/>
  <c r="F19" i="21"/>
  <c r="H19" i="21"/>
  <c r="D21" i="23"/>
  <c r="D20" i="23"/>
  <c r="D19" i="23"/>
  <c r="E19" i="21"/>
  <c r="J17" i="21"/>
  <c r="F5" i="21"/>
  <c r="G5" i="21" s="1"/>
  <c r="G6" i="21" s="1"/>
  <c r="E6" i="21"/>
  <c r="D6" i="21"/>
  <c r="J18" i="21"/>
  <c r="E8" i="21"/>
  <c r="D19" i="21"/>
  <c r="D23" i="21" s="1"/>
  <c r="B21" i="20"/>
  <c r="B22" i="20" s="1"/>
  <c r="B23" i="20" s="1"/>
  <c r="I9" i="20"/>
  <c r="I10" i="20" s="1"/>
  <c r="I11" i="20" s="1"/>
  <c r="I19" i="20" s="1"/>
  <c r="B7" i="20"/>
  <c r="B8" i="20" s="1"/>
  <c r="B9" i="20" s="1"/>
  <c r="D11" i="20"/>
  <c r="D19" i="20" s="1"/>
  <c r="D25" i="20" s="1"/>
  <c r="G5" i="20"/>
  <c r="G11" i="20" s="1"/>
  <c r="G19" i="20" s="1"/>
  <c r="G25" i="20" s="1"/>
  <c r="C5" i="20"/>
  <c r="D28" i="19"/>
  <c r="E28" i="19" s="1"/>
  <c r="F28" i="19" s="1"/>
  <c r="C30" i="19"/>
  <c r="C25" i="19"/>
  <c r="C32" i="19" s="1"/>
  <c r="H18" i="19"/>
  <c r="G18" i="19"/>
  <c r="F18" i="19"/>
  <c r="E18" i="19"/>
  <c r="J18" i="19" s="1"/>
  <c r="D18" i="19"/>
  <c r="E7" i="20" s="1"/>
  <c r="E11" i="20" s="1"/>
  <c r="E19" i="20" s="1"/>
  <c r="I17" i="19"/>
  <c r="H17" i="19"/>
  <c r="G17" i="19"/>
  <c r="F17" i="19"/>
  <c r="E17" i="19"/>
  <c r="D17" i="19"/>
  <c r="C6" i="20" s="1"/>
  <c r="F6" i="20" s="1"/>
  <c r="F8" i="20" s="1"/>
  <c r="J16" i="19"/>
  <c r="H16" i="19"/>
  <c r="D16" i="19"/>
  <c r="I11" i="19"/>
  <c r="I16" i="19" s="1"/>
  <c r="H13" i="19"/>
  <c r="G13" i="19"/>
  <c r="F13" i="19"/>
  <c r="E13" i="19"/>
  <c r="J13" i="19" s="1"/>
  <c r="D13" i="19"/>
  <c r="H11" i="19"/>
  <c r="G11" i="19"/>
  <c r="G16" i="19" s="1"/>
  <c r="F11" i="19"/>
  <c r="F16" i="19" s="1"/>
  <c r="E11" i="19"/>
  <c r="E16" i="19" s="1"/>
  <c r="D11" i="19"/>
  <c r="D8" i="19"/>
  <c r="D9" i="19" s="1"/>
  <c r="D5" i="19"/>
  <c r="D6" i="19" s="1"/>
  <c r="D12" i="19" s="1"/>
  <c r="D24" i="19" s="1"/>
  <c r="G38" i="24" l="1"/>
  <c r="G41" i="24" s="1"/>
  <c r="G43" i="24" s="1"/>
  <c r="D41" i="24"/>
  <c r="E15" i="22"/>
  <c r="E23" i="21"/>
  <c r="F23" i="21" s="1"/>
  <c r="G23" i="21" s="1"/>
  <c r="H23" i="21" s="1"/>
  <c r="F15" i="22"/>
  <c r="D19" i="19"/>
  <c r="D23" i="19" s="1"/>
  <c r="D25" i="19" s="1"/>
  <c r="J19" i="21"/>
  <c r="H5" i="21"/>
  <c r="H6" i="21" s="1"/>
  <c r="F6" i="21"/>
  <c r="E9" i="21"/>
  <c r="F8" i="21"/>
  <c r="E25" i="20"/>
  <c r="C7" i="20"/>
  <c r="C11" i="20" s="1"/>
  <c r="H10" i="20"/>
  <c r="H11" i="20" s="1"/>
  <c r="H19" i="20" s="1"/>
  <c r="H25" i="20" s="1"/>
  <c r="F11" i="20"/>
  <c r="G28" i="19"/>
  <c r="J17" i="19"/>
  <c r="J19" i="19" s="1"/>
  <c r="D14" i="19"/>
  <c r="E8" i="19"/>
  <c r="E5" i="19"/>
  <c r="C16" i="18"/>
  <c r="C17" i="18" s="1"/>
  <c r="C15" i="18"/>
  <c r="C14" i="18"/>
  <c r="C8" i="18"/>
  <c r="C10" i="18" s="1"/>
  <c r="C13" i="18" l="1"/>
  <c r="C18" i="18" s="1"/>
  <c r="C19" i="18"/>
  <c r="C20" i="18" s="1"/>
  <c r="C22" i="18" s="1"/>
  <c r="K14" i="19"/>
  <c r="D29" i="19"/>
  <c r="D14" i="20"/>
  <c r="F19" i="20"/>
  <c r="F25" i="20" s="1"/>
  <c r="D13" i="20"/>
  <c r="C19" i="20"/>
  <c r="C25" i="20" s="1"/>
  <c r="D27" i="20" s="1"/>
  <c r="G8" i="21"/>
  <c r="F9" i="21"/>
  <c r="I25" i="20"/>
  <c r="H28" i="19"/>
  <c r="E19" i="19"/>
  <c r="E23" i="19" s="1"/>
  <c r="E6" i="19"/>
  <c r="E12" i="19" s="1"/>
  <c r="E24" i="19" s="1"/>
  <c r="F5" i="19"/>
  <c r="E9" i="19"/>
  <c r="F8" i="19"/>
  <c r="G34" i="17"/>
  <c r="H28" i="17"/>
  <c r="G28" i="17"/>
  <c r="E28" i="17"/>
  <c r="E34" i="17" s="1"/>
  <c r="C28" i="17"/>
  <c r="D28" i="17" s="1"/>
  <c r="F9" i="17"/>
  <c r="E10" i="17" s="1"/>
  <c r="E14" i="17"/>
  <c r="D14" i="17"/>
  <c r="C14" i="17"/>
  <c r="E12" i="17"/>
  <c r="D12" i="17"/>
  <c r="C12" i="17"/>
  <c r="C3" i="17"/>
  <c r="C6" i="17" s="1"/>
  <c r="C3" i="16"/>
  <c r="C4" i="16" s="1"/>
  <c r="C5" i="16" s="1"/>
  <c r="C2" i="16"/>
  <c r="G30" i="15"/>
  <c r="F30" i="15" s="1"/>
  <c r="D30" i="15"/>
  <c r="C30" i="15" s="1"/>
  <c r="G29" i="15"/>
  <c r="F29" i="15" s="1"/>
  <c r="D29" i="15"/>
  <c r="C29" i="15" s="1"/>
  <c r="G28" i="15"/>
  <c r="F28" i="15" s="1"/>
  <c r="D28" i="15"/>
  <c r="C28" i="15" s="1"/>
  <c r="G27" i="15"/>
  <c r="F27" i="15" s="1"/>
  <c r="D27" i="15"/>
  <c r="C27" i="15" s="1"/>
  <c r="G26" i="15"/>
  <c r="F26" i="15" s="1"/>
  <c r="D26" i="15"/>
  <c r="C26" i="15" s="1"/>
  <c r="G25" i="15"/>
  <c r="G5" i="15"/>
  <c r="H27" i="15" s="1"/>
  <c r="H22" i="15"/>
  <c r="E22" i="15"/>
  <c r="G24" i="15"/>
  <c r="H24" i="15" s="1"/>
  <c r="G23" i="15"/>
  <c r="D5" i="15"/>
  <c r="E26" i="15"/>
  <c r="D23" i="15"/>
  <c r="D24" i="15"/>
  <c r="E24" i="15" s="1"/>
  <c r="D25" i="15"/>
  <c r="D15" i="15"/>
  <c r="G15" i="15"/>
  <c r="D14" i="15"/>
  <c r="G14" i="15"/>
  <c r="I14" i="15"/>
  <c r="D16" i="15"/>
  <c r="I16" i="15" s="1"/>
  <c r="G16" i="15"/>
  <c r="H16" i="15"/>
  <c r="E16" i="15"/>
  <c r="D7" i="15"/>
  <c r="G7" i="15"/>
  <c r="G6" i="15"/>
  <c r="E5" i="15"/>
  <c r="D6" i="15"/>
  <c r="E6" i="15" s="1"/>
  <c r="I26" i="15"/>
  <c r="D23" i="14"/>
  <c r="Q16" i="13"/>
  <c r="D24" i="14" s="1"/>
  <c r="F6" i="13"/>
  <c r="F7" i="13"/>
  <c r="E13" i="13"/>
  <c r="D28" i="14"/>
  <c r="D29" i="14"/>
  <c r="J19" i="13"/>
  <c r="J23" i="13"/>
  <c r="K19" i="13"/>
  <c r="K21" i="13"/>
  <c r="L19" i="13"/>
  <c r="M11" i="13"/>
  <c r="M19" i="13"/>
  <c r="C19" i="13" s="1"/>
  <c r="N19" i="13"/>
  <c r="N23" i="13" s="1"/>
  <c r="D17" i="14" s="1"/>
  <c r="O23" i="13"/>
  <c r="D18" i="14"/>
  <c r="D4" i="13"/>
  <c r="C11" i="13"/>
  <c r="C12" i="13"/>
  <c r="G9" i="13"/>
  <c r="G23" i="13" s="1"/>
  <c r="D8" i="14" s="1"/>
  <c r="G10" i="13"/>
  <c r="I23" i="13"/>
  <c r="D10" i="14" s="1"/>
  <c r="C20" i="14"/>
  <c r="C5" i="14"/>
  <c r="C11" i="14" s="1"/>
  <c r="B5" i="13"/>
  <c r="B6" i="13" s="1"/>
  <c r="B7" i="13" s="1"/>
  <c r="B8" i="13" s="1"/>
  <c r="B9" i="13" s="1"/>
  <c r="B10" i="13" s="1"/>
  <c r="B11" i="13" s="1"/>
  <c r="B12" i="13" s="1"/>
  <c r="B13" i="13" s="1"/>
  <c r="B15" i="13" s="1"/>
  <c r="B16" i="13" s="1"/>
  <c r="B17" i="13" s="1"/>
  <c r="B18" i="13" s="1"/>
  <c r="B19" i="13" s="1"/>
  <c r="B20" i="13" s="1"/>
  <c r="E4" i="12"/>
  <c r="E5" i="12" s="1"/>
  <c r="E6" i="12" s="1"/>
  <c r="E7" i="12" s="1"/>
  <c r="E8" i="12" s="1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C5" i="12"/>
  <c r="C10" i="12" s="1"/>
  <c r="C19" i="12"/>
  <c r="D28" i="11"/>
  <c r="E26" i="11"/>
  <c r="C14" i="11"/>
  <c r="H14" i="11"/>
  <c r="H15" i="11" s="1"/>
  <c r="H16" i="11" s="1"/>
  <c r="H18" i="11" s="1"/>
  <c r="H20" i="11" s="1"/>
  <c r="I4" i="11"/>
  <c r="G14" i="11"/>
  <c r="I5" i="11"/>
  <c r="F14" i="11"/>
  <c r="I6" i="11"/>
  <c r="D14" i="11"/>
  <c r="E14" i="11"/>
  <c r="C28" i="11"/>
  <c r="D25" i="11"/>
  <c r="D29" i="11" s="1"/>
  <c r="C25" i="11"/>
  <c r="C29" i="11" s="1"/>
  <c r="I10" i="11"/>
  <c r="I11" i="11"/>
  <c r="I12" i="11"/>
  <c r="I13" i="11"/>
  <c r="E27" i="11"/>
  <c r="H14" i="9"/>
  <c r="D26" i="9"/>
  <c r="H15" i="9"/>
  <c r="C28" i="9" s="1"/>
  <c r="H16" i="9"/>
  <c r="H13" i="9"/>
  <c r="D30" i="9" s="1"/>
  <c r="G26" i="9"/>
  <c r="G30" i="9"/>
  <c r="F26" i="9"/>
  <c r="F30" i="9"/>
  <c r="E26" i="9"/>
  <c r="E30" i="9"/>
  <c r="C22" i="9"/>
  <c r="C26" i="9"/>
  <c r="C30" i="9"/>
  <c r="D22" i="9"/>
  <c r="E22" i="9"/>
  <c r="C3" i="10"/>
  <c r="C28" i="10"/>
  <c r="C27" i="10"/>
  <c r="C25" i="10"/>
  <c r="C17" i="10"/>
  <c r="C18" i="10"/>
  <c r="C20" i="10"/>
  <c r="C21" i="10"/>
  <c r="C22" i="10"/>
  <c r="F46" i="9"/>
  <c r="E46" i="9"/>
  <c r="D46" i="9"/>
  <c r="C46" i="9"/>
  <c r="F41" i="9"/>
  <c r="F40" i="9"/>
  <c r="C10" i="9"/>
  <c r="D34" i="8"/>
  <c r="C34" i="8"/>
  <c r="D9" i="7"/>
  <c r="D10" i="7"/>
  <c r="D11" i="7"/>
  <c r="F4" i="7"/>
  <c r="F3" i="7"/>
  <c r="C9" i="7"/>
  <c r="C10" i="7"/>
  <c r="E10" i="7" s="1"/>
  <c r="C11" i="7"/>
  <c r="E5" i="7"/>
  <c r="C51" i="6"/>
  <c r="C45" i="6"/>
  <c r="C39" i="6"/>
  <c r="C22" i="6"/>
  <c r="C23" i="6"/>
  <c r="C24" i="6"/>
  <c r="C29" i="6"/>
  <c r="C30" i="6"/>
  <c r="C31" i="6"/>
  <c r="C32" i="6"/>
  <c r="C33" i="6"/>
  <c r="C34" i="6"/>
  <c r="C35" i="6"/>
  <c r="C41" i="6"/>
  <c r="C47" i="6"/>
  <c r="C54" i="6"/>
  <c r="C55" i="6"/>
  <c r="C56" i="6"/>
  <c r="C12" i="5"/>
  <c r="C15" i="5" s="1"/>
  <c r="D15" i="5"/>
  <c r="C22" i="4"/>
  <c r="C18" i="4"/>
  <c r="C20" i="4" s="1"/>
  <c r="C10" i="4"/>
  <c r="C13" i="4" s="1"/>
  <c r="F12" i="4"/>
  <c r="G11" i="4"/>
  <c r="C23" i="4" s="1"/>
  <c r="G9" i="4"/>
  <c r="D9" i="4"/>
  <c r="D10" i="4" s="1"/>
  <c r="D13" i="4" s="1"/>
  <c r="D8" i="4"/>
  <c r="E8" i="4" s="1"/>
  <c r="C26" i="3"/>
  <c r="C25" i="3"/>
  <c r="C23" i="3"/>
  <c r="E12" i="3"/>
  <c r="C27" i="3" s="1"/>
  <c r="C12" i="3"/>
  <c r="D12" i="3" s="1"/>
  <c r="D13" i="3" s="1"/>
  <c r="D16" i="3" s="1"/>
  <c r="C11" i="3"/>
  <c r="C24" i="4"/>
  <c r="E13" i="3"/>
  <c r="E16" i="3" s="1"/>
  <c r="D26" i="2"/>
  <c r="E26" i="2" s="1"/>
  <c r="D21" i="2"/>
  <c r="E21" i="2" s="1"/>
  <c r="E15" i="2"/>
  <c r="D15" i="2"/>
  <c r="C15" i="2"/>
  <c r="E14" i="2"/>
  <c r="E16" i="2" s="1"/>
  <c r="D14" i="2"/>
  <c r="C14" i="2"/>
  <c r="C23" i="2" s="1"/>
  <c r="E8" i="2"/>
  <c r="E7" i="2"/>
  <c r="D8" i="2"/>
  <c r="D7" i="2"/>
  <c r="C8" i="2"/>
  <c r="C9" i="2" s="1"/>
  <c r="C11" i="2" s="1"/>
  <c r="D10" i="2" s="1"/>
  <c r="D11" i="2" s="1"/>
  <c r="E6" i="2"/>
  <c r="E13" i="2" s="1"/>
  <c r="D6" i="2"/>
  <c r="D13" i="2" s="1"/>
  <c r="C6" i="2"/>
  <c r="C13" i="2" s="1"/>
  <c r="D9" i="2"/>
  <c r="E20" i="1"/>
  <c r="E21" i="1" s="1"/>
  <c r="C19" i="1"/>
  <c r="C21" i="1" s="1"/>
  <c r="D21" i="1"/>
  <c r="C5" i="1"/>
  <c r="E14" i="1"/>
  <c r="D14" i="1"/>
  <c r="D16" i="1" s="1"/>
  <c r="E9" i="1"/>
  <c r="D9" i="1"/>
  <c r="C9" i="1"/>
  <c r="C10" i="1"/>
  <c r="D10" i="1" s="1"/>
  <c r="E10" i="1" s="1"/>
  <c r="C14" i="1"/>
  <c r="C16" i="1" s="1"/>
  <c r="C16" i="2" l="1"/>
  <c r="I6" i="15"/>
  <c r="C25" i="4"/>
  <c r="I30" i="15"/>
  <c r="E30" i="15"/>
  <c r="E9" i="2"/>
  <c r="I28" i="15"/>
  <c r="E14" i="15"/>
  <c r="E28" i="15"/>
  <c r="C6" i="16"/>
  <c r="E11" i="1"/>
  <c r="E15" i="1" s="1"/>
  <c r="E16" i="1" s="1"/>
  <c r="C31" i="15"/>
  <c r="E29" i="19"/>
  <c r="D30" i="19"/>
  <c r="C25" i="6"/>
  <c r="C28" i="6" s="1"/>
  <c r="C36" i="6" s="1"/>
  <c r="C40" i="6" s="1"/>
  <c r="C42" i="6" s="1"/>
  <c r="C46" i="6" s="1"/>
  <c r="C48" i="6" s="1"/>
  <c r="C52" i="6" s="1"/>
  <c r="C53" i="6" s="1"/>
  <c r="C57" i="6" s="1"/>
  <c r="D16" i="2"/>
  <c r="F9" i="4"/>
  <c r="M23" i="13"/>
  <c r="D16" i="14" s="1"/>
  <c r="D25" i="14"/>
  <c r="I27" i="15"/>
  <c r="I5" i="15"/>
  <c r="H5" i="15"/>
  <c r="H14" i="15"/>
  <c r="G31" i="15"/>
  <c r="H6" i="15"/>
  <c r="H23" i="15"/>
  <c r="C34" i="17"/>
  <c r="C36" i="17" s="1"/>
  <c r="E25" i="19"/>
  <c r="C28" i="3"/>
  <c r="C11" i="1"/>
  <c r="C22" i="2"/>
  <c r="C25" i="2" s="1"/>
  <c r="I24" i="15"/>
  <c r="E27" i="15"/>
  <c r="H28" i="15"/>
  <c r="F28" i="17"/>
  <c r="I28" i="17" s="1"/>
  <c r="J28" i="17" s="1"/>
  <c r="D28" i="20"/>
  <c r="G9" i="21"/>
  <c r="H8" i="21"/>
  <c r="F19" i="19"/>
  <c r="F23" i="19" s="1"/>
  <c r="F9" i="19"/>
  <c r="G8" i="19"/>
  <c r="F6" i="19"/>
  <c r="F12" i="19" s="1"/>
  <c r="F14" i="19" s="1"/>
  <c r="G5" i="19"/>
  <c r="E14" i="19"/>
  <c r="L14" i="19" s="1"/>
  <c r="F34" i="17"/>
  <c r="H34" i="17"/>
  <c r="E23" i="17"/>
  <c r="E24" i="17" s="1"/>
  <c r="G35" i="17" s="1"/>
  <c r="H35" i="17" s="1"/>
  <c r="C10" i="17"/>
  <c r="C23" i="17" s="1"/>
  <c r="C24" i="17" s="1"/>
  <c r="C35" i="17" s="1"/>
  <c r="D35" i="17" s="1"/>
  <c r="D10" i="17"/>
  <c r="F14" i="17"/>
  <c r="F16" i="1"/>
  <c r="F15" i="11"/>
  <c r="F16" i="11" s="1"/>
  <c r="G15" i="11"/>
  <c r="E28" i="11"/>
  <c r="F21" i="1"/>
  <c r="C24" i="2"/>
  <c r="C17" i="2" s="1"/>
  <c r="C18" i="2" s="1"/>
  <c r="C28" i="2" s="1"/>
  <c r="D23" i="2"/>
  <c r="C29" i="9"/>
  <c r="D29" i="9"/>
  <c r="G29" i="9"/>
  <c r="E29" i="9"/>
  <c r="F29" i="9"/>
  <c r="E10" i="2"/>
  <c r="E11" i="2" s="1"/>
  <c r="E22" i="2" s="1"/>
  <c r="D22" i="2"/>
  <c r="E10" i="4"/>
  <c r="E13" i="4" s="1"/>
  <c r="G8" i="4"/>
  <c r="G10" i="4" s="1"/>
  <c r="G13" i="4" s="1"/>
  <c r="E9" i="7"/>
  <c r="D11" i="1"/>
  <c r="C13" i="3"/>
  <c r="C16" i="3" s="1"/>
  <c r="F31" i="15"/>
  <c r="D27" i="9"/>
  <c r="G27" i="9"/>
  <c r="E27" i="9"/>
  <c r="D28" i="9"/>
  <c r="G28" i="9"/>
  <c r="F27" i="9"/>
  <c r="E28" i="9"/>
  <c r="C15" i="11"/>
  <c r="D13" i="14"/>
  <c r="F8" i="13"/>
  <c r="E8" i="13" s="1"/>
  <c r="I15" i="15"/>
  <c r="I23" i="15"/>
  <c r="E23" i="15"/>
  <c r="D31" i="15"/>
  <c r="F8" i="4"/>
  <c r="F10" i="4" s="1"/>
  <c r="F13" i="4" s="1"/>
  <c r="E11" i="7"/>
  <c r="C27" i="9"/>
  <c r="F28" i="9"/>
  <c r="H30" i="9"/>
  <c r="H26" i="9"/>
  <c r="E7" i="15"/>
  <c r="I7" i="15"/>
  <c r="E25" i="15"/>
  <c r="I25" i="15"/>
  <c r="H15" i="15"/>
  <c r="D23" i="13"/>
  <c r="D5" i="14" s="1"/>
  <c r="C4" i="13"/>
  <c r="C23" i="13" s="1"/>
  <c r="F5" i="7"/>
  <c r="G4" i="7" s="1"/>
  <c r="I14" i="11"/>
  <c r="G16" i="11"/>
  <c r="K16" i="13"/>
  <c r="K23" i="13" s="1"/>
  <c r="D14" i="14" s="1"/>
  <c r="E15" i="15"/>
  <c r="E29" i="15"/>
  <c r="H30" i="15"/>
  <c r="H26" i="15"/>
  <c r="E15" i="11"/>
  <c r="E16" i="11" s="1"/>
  <c r="D15" i="11"/>
  <c r="D16" i="11" s="1"/>
  <c r="H6" i="13"/>
  <c r="H23" i="13" s="1"/>
  <c r="D9" i="14" s="1"/>
  <c r="I29" i="15"/>
  <c r="H7" i="15"/>
  <c r="H29" i="15"/>
  <c r="H25" i="15"/>
  <c r="H31" i="15" l="1"/>
  <c r="H36" i="17"/>
  <c r="F23" i="13"/>
  <c r="D7" i="14" s="1"/>
  <c r="D31" i="9"/>
  <c r="G36" i="17"/>
  <c r="D34" i="17"/>
  <c r="D36" i="17" s="1"/>
  <c r="E31" i="9"/>
  <c r="E30" i="19"/>
  <c r="F29" i="19"/>
  <c r="G3" i="7"/>
  <c r="G5" i="7" s="1"/>
  <c r="F31" i="9"/>
  <c r="G31" i="9"/>
  <c r="G32" i="9" s="1"/>
  <c r="G33" i="9" s="1"/>
  <c r="G35" i="9" s="1"/>
  <c r="G37" i="9" s="1"/>
  <c r="F24" i="19"/>
  <c r="H9" i="21"/>
  <c r="I8" i="21"/>
  <c r="H25" i="21"/>
  <c r="G19" i="19"/>
  <c r="G23" i="19" s="1"/>
  <c r="H19" i="19"/>
  <c r="H8" i="19"/>
  <c r="G9" i="19"/>
  <c r="G6" i="19"/>
  <c r="G12" i="19" s="1"/>
  <c r="H5" i="19"/>
  <c r="H6" i="19" s="1"/>
  <c r="I34" i="17"/>
  <c r="J34" i="17" s="1"/>
  <c r="F10" i="17"/>
  <c r="D23" i="17"/>
  <c r="D24" i="17" s="1"/>
  <c r="E35" i="17" s="1"/>
  <c r="C15" i="17"/>
  <c r="C18" i="17" s="1"/>
  <c r="E15" i="17"/>
  <c r="D15" i="17"/>
  <c r="D18" i="17" s="1"/>
  <c r="C29" i="2"/>
  <c r="D14" i="7"/>
  <c r="D15" i="7"/>
  <c r="D12" i="7"/>
  <c r="D16" i="7"/>
  <c r="D13" i="7"/>
  <c r="G17" i="11"/>
  <c r="G18" i="11" s="1"/>
  <c r="G17" i="15"/>
  <c r="D17" i="15"/>
  <c r="D24" i="2"/>
  <c r="D17" i="2" s="1"/>
  <c r="D18" i="2" s="1"/>
  <c r="D28" i="2" s="1"/>
  <c r="E23" i="2"/>
  <c r="E24" i="2" s="1"/>
  <c r="D4" i="14"/>
  <c r="E31" i="15"/>
  <c r="I15" i="11"/>
  <c r="I16" i="11" s="1"/>
  <c r="H28" i="9"/>
  <c r="C14" i="7"/>
  <c r="C16" i="7"/>
  <c r="C13" i="7"/>
  <c r="E13" i="7" s="1"/>
  <c r="D25" i="2"/>
  <c r="C31" i="9"/>
  <c r="H27" i="9"/>
  <c r="C16" i="11"/>
  <c r="G8" i="15"/>
  <c r="D8" i="15"/>
  <c r="I31" i="15"/>
  <c r="E15" i="13"/>
  <c r="Q15" i="13" s="1"/>
  <c r="H29" i="9"/>
  <c r="E23" i="13" l="1"/>
  <c r="D6" i="14" s="1"/>
  <c r="E14" i="7"/>
  <c r="G24" i="19"/>
  <c r="G25" i="19" s="1"/>
  <c r="I35" i="17"/>
  <c r="J35" i="17" s="1"/>
  <c r="J36" i="17" s="1"/>
  <c r="H23" i="19"/>
  <c r="H24" i="19"/>
  <c r="C12" i="7"/>
  <c r="E12" i="7" s="1"/>
  <c r="E17" i="7" s="1"/>
  <c r="C15" i="7"/>
  <c r="E15" i="7" s="1"/>
  <c r="H12" i="19"/>
  <c r="H14" i="19" s="1"/>
  <c r="G29" i="19"/>
  <c r="F30" i="19"/>
  <c r="F35" i="17"/>
  <c r="F36" i="17" s="1"/>
  <c r="E36" i="17"/>
  <c r="H31" i="9"/>
  <c r="E25" i="2"/>
  <c r="I9" i="21"/>
  <c r="D12" i="21"/>
  <c r="E12" i="21"/>
  <c r="E14" i="21" s="1"/>
  <c r="L14" i="21" s="1"/>
  <c r="F25" i="19"/>
  <c r="G14" i="19"/>
  <c r="J12" i="19"/>
  <c r="J14" i="19" s="1"/>
  <c r="H9" i="19"/>
  <c r="I8" i="19"/>
  <c r="I9" i="19" s="1"/>
  <c r="D19" i="17"/>
  <c r="E29" i="17" s="1"/>
  <c r="C19" i="17"/>
  <c r="C29" i="17" s="1"/>
  <c r="D29" i="17" s="1"/>
  <c r="D30" i="17" s="1"/>
  <c r="F15" i="17"/>
  <c r="E18" i="17"/>
  <c r="D29" i="2"/>
  <c r="D11" i="14"/>
  <c r="C17" i="15"/>
  <c r="C18" i="15" s="1"/>
  <c r="E17" i="15"/>
  <c r="E18" i="15" s="1"/>
  <c r="I17" i="15"/>
  <c r="I18" i="15" s="1"/>
  <c r="D18" i="15"/>
  <c r="D17" i="11"/>
  <c r="D18" i="11" s="1"/>
  <c r="E17" i="11"/>
  <c r="E18" i="11" s="1"/>
  <c r="F17" i="11"/>
  <c r="F18" i="11" s="1"/>
  <c r="C17" i="11"/>
  <c r="D17" i="7"/>
  <c r="D19" i="7" s="1"/>
  <c r="E16" i="7"/>
  <c r="D25" i="13"/>
  <c r="F17" i="15"/>
  <c r="F18" i="15" s="1"/>
  <c r="H17" i="15"/>
  <c r="H18" i="15" s="1"/>
  <c r="G18" i="15"/>
  <c r="E32" i="9"/>
  <c r="E33" i="9" s="1"/>
  <c r="F32" i="9"/>
  <c r="F33" i="9" s="1"/>
  <c r="C32" i="9"/>
  <c r="C33" i="9" s="1"/>
  <c r="D32" i="9"/>
  <c r="D33" i="9" s="1"/>
  <c r="G9" i="15"/>
  <c r="F8" i="15"/>
  <c r="F9" i="15" s="1"/>
  <c r="H8" i="15"/>
  <c r="H9" i="15" s="1"/>
  <c r="G19" i="11"/>
  <c r="G20" i="11" s="1"/>
  <c r="Q20" i="13"/>
  <c r="Q22" i="13" s="1"/>
  <c r="P22" i="13" s="1"/>
  <c r="P23" i="13" s="1"/>
  <c r="D19" i="14" s="1"/>
  <c r="D26" i="14"/>
  <c r="D27" i="14" s="1"/>
  <c r="D30" i="14" s="1"/>
  <c r="E8" i="15"/>
  <c r="E9" i="15" s="1"/>
  <c r="I8" i="15"/>
  <c r="I9" i="15" s="1"/>
  <c r="C8" i="15"/>
  <c r="C9" i="15" s="1"/>
  <c r="D9" i="15"/>
  <c r="E17" i="2"/>
  <c r="E18" i="2" s="1"/>
  <c r="E28" i="2" s="1"/>
  <c r="E29" i="2" s="1"/>
  <c r="D20" i="17" l="1"/>
  <c r="D25" i="17" s="1"/>
  <c r="C17" i="7"/>
  <c r="C19" i="7" s="1"/>
  <c r="H29" i="19"/>
  <c r="H30" i="19" s="1"/>
  <c r="G30" i="19"/>
  <c r="F12" i="21"/>
  <c r="D24" i="21"/>
  <c r="D14" i="21"/>
  <c r="I36" i="17"/>
  <c r="H25" i="19"/>
  <c r="E30" i="17"/>
  <c r="F29" i="17"/>
  <c r="F30" i="17" s="1"/>
  <c r="C30" i="17"/>
  <c r="C20" i="17"/>
  <c r="E19" i="17"/>
  <c r="F18" i="17"/>
  <c r="H32" i="9"/>
  <c r="H33" i="9" s="1"/>
  <c r="I17" i="11"/>
  <c r="I18" i="11" s="1"/>
  <c r="Q23" i="13"/>
  <c r="F34" i="9"/>
  <c r="F35" i="9" s="1"/>
  <c r="D31" i="14"/>
  <c r="D32" i="14" s="1"/>
  <c r="L20" i="13"/>
  <c r="L23" i="13" s="1"/>
  <c r="F19" i="11"/>
  <c r="C18" i="11"/>
  <c r="F14" i="21" l="1"/>
  <c r="G12" i="21"/>
  <c r="E24" i="21"/>
  <c r="D25" i="21"/>
  <c r="D29" i="21"/>
  <c r="K14" i="21"/>
  <c r="F19" i="17"/>
  <c r="G29" i="17"/>
  <c r="H29" i="17" s="1"/>
  <c r="H30" i="17" s="1"/>
  <c r="E20" i="17"/>
  <c r="F20" i="17" s="1"/>
  <c r="I31" i="17" s="1"/>
  <c r="F23" i="17"/>
  <c r="E25" i="17"/>
  <c r="C19" i="11"/>
  <c r="I19" i="11" s="1"/>
  <c r="I20" i="11" s="1"/>
  <c r="D19" i="11"/>
  <c r="D20" i="11" s="1"/>
  <c r="E19" i="11"/>
  <c r="E20" i="11" s="1"/>
  <c r="D32" i="11" s="1"/>
  <c r="E32" i="11" s="1"/>
  <c r="D15" i="14"/>
  <c r="D20" i="14" s="1"/>
  <c r="D26" i="13"/>
  <c r="D27" i="13" s="1"/>
  <c r="F20" i="11"/>
  <c r="F36" i="9"/>
  <c r="F37" i="9"/>
  <c r="D34" i="9"/>
  <c r="D35" i="9" s="1"/>
  <c r="C34" i="9"/>
  <c r="E34" i="9"/>
  <c r="E35" i="9" s="1"/>
  <c r="F24" i="21" l="1"/>
  <c r="E25" i="21"/>
  <c r="G14" i="21"/>
  <c r="H12" i="21"/>
  <c r="H14" i="21" s="1"/>
  <c r="E29" i="21"/>
  <c r="D30" i="21"/>
  <c r="G30" i="17"/>
  <c r="I30" i="17" s="1"/>
  <c r="I29" i="17"/>
  <c r="J29" i="17" s="1"/>
  <c r="J30" i="17" s="1"/>
  <c r="F24" i="17"/>
  <c r="C25" i="17"/>
  <c r="F25" i="17" s="1"/>
  <c r="I37" i="17" s="1"/>
  <c r="C20" i="11"/>
  <c r="D31" i="11"/>
  <c r="C31" i="11"/>
  <c r="E36" i="9"/>
  <c r="E37" i="9"/>
  <c r="H34" i="9"/>
  <c r="H35" i="9" s="1"/>
  <c r="C35" i="9"/>
  <c r="E31" i="11" l="1"/>
  <c r="F29" i="21"/>
  <c r="E30" i="21"/>
  <c r="J12" i="21"/>
  <c r="J14" i="21" s="1"/>
  <c r="G24" i="21"/>
  <c r="G25" i="21" s="1"/>
  <c r="F25" i="21"/>
  <c r="D36" i="9"/>
  <c r="D37" i="9" s="1"/>
  <c r="C36" i="9"/>
  <c r="H36" i="9" s="1"/>
  <c r="H37" i="9" s="1"/>
  <c r="D30" i="11"/>
  <c r="D33" i="11" s="1"/>
  <c r="D34" i="11" s="1"/>
  <c r="D35" i="11" s="1"/>
  <c r="C30" i="11"/>
  <c r="G29" i="21" l="1"/>
  <c r="F30" i="21"/>
  <c r="C43" i="9"/>
  <c r="D43" i="9"/>
  <c r="C33" i="11"/>
  <c r="C34" i="11" s="1"/>
  <c r="E30" i="11"/>
  <c r="E33" i="11" s="1"/>
  <c r="C37" i="9"/>
  <c r="H29" i="21" l="1"/>
  <c r="H30" i="21" s="1"/>
  <c r="G30" i="21"/>
  <c r="E34" i="11"/>
  <c r="C35" i="11"/>
  <c r="D42" i="9"/>
  <c r="E42" i="9"/>
  <c r="E44" i="9" s="1"/>
  <c r="E47" i="9" s="1"/>
  <c r="C44" i="9"/>
  <c r="C47" i="9" s="1"/>
  <c r="F43" i="9"/>
  <c r="E48" i="9" l="1"/>
  <c r="E49" i="9"/>
  <c r="F42" i="9"/>
  <c r="F44" i="9" s="1"/>
  <c r="D44" i="9"/>
  <c r="D47" i="9" s="1"/>
  <c r="C49" i="9"/>
  <c r="C48" i="9"/>
  <c r="D48" i="9" l="1"/>
  <c r="F48" i="9" s="1"/>
  <c r="C4" i="10" s="1"/>
  <c r="C5" i="10" s="1"/>
  <c r="C11" i="10" s="1"/>
  <c r="D49" i="9"/>
  <c r="F49" i="9"/>
  <c r="C19" i="10" s="1"/>
  <c r="C23" i="10" s="1"/>
  <c r="C12" i="10" l="1"/>
  <c r="C26" i="10" s="1"/>
  <c r="C13" i="10" l="1"/>
  <c r="C29" i="10" s="1"/>
  <c r="C30" i="10" s="1"/>
</calcChain>
</file>

<file path=xl/comments1.xml><?xml version="1.0" encoding="utf-8"?>
<comments xmlns="http://schemas.openxmlformats.org/spreadsheetml/2006/main">
  <authors>
    <author>Roni Cleber Bonizio</author>
  </authors>
  <commentList>
    <comment ref="E11" authorId="0" shapeId="0">
      <text>
        <r>
          <rPr>
            <b/>
            <sz val="9"/>
            <color indexed="81"/>
            <rFont val="Segoe UI"/>
            <family val="2"/>
          </rPr>
          <t>Valor registrado no ativo até o momento da venda</t>
        </r>
      </text>
    </comment>
  </commentList>
</comments>
</file>

<file path=xl/comments2.xml><?xml version="1.0" encoding="utf-8"?>
<comments xmlns="http://schemas.openxmlformats.org/spreadsheetml/2006/main">
  <authors>
    <author>Roni Cleber Bonizio</author>
  </authors>
  <commentList>
    <comment ref="C10" authorId="0" shapeId="0">
      <text>
        <r>
          <rPr>
            <b/>
            <sz val="9"/>
            <color indexed="81"/>
            <rFont val="Segoe UI"/>
            <family val="2"/>
          </rPr>
          <t>Estoques avaliados pelo custo histórico</t>
        </r>
      </text>
    </comment>
    <comment ref="D10" authorId="0" shapeId="0">
      <text>
        <r>
          <rPr>
            <b/>
            <sz val="9"/>
            <color indexed="81"/>
            <rFont val="Segoe UI"/>
            <family val="2"/>
          </rPr>
          <t>Estoques avaliados pelo custo histórico corrigido</t>
        </r>
      </text>
    </comment>
    <comment ref="E10" authorId="0" shapeId="0">
      <text>
        <r>
          <rPr>
            <b/>
            <sz val="9"/>
            <color indexed="81"/>
            <rFont val="Segoe UI"/>
            <family val="2"/>
          </rPr>
          <t>Estoques avaliados pelo custo de reposição</t>
        </r>
      </text>
    </comment>
    <comment ref="B26" authorId="0" shapeId="0">
      <text>
        <r>
          <rPr>
            <b/>
            <sz val="9"/>
            <color indexed="81"/>
            <rFont val="Segoe UI"/>
            <family val="2"/>
          </rPr>
          <t>Reserva para manutenção do capital físico</t>
        </r>
      </text>
    </comment>
  </commentList>
</comments>
</file>

<file path=xl/comments3.xml><?xml version="1.0" encoding="utf-8"?>
<comments xmlns="http://schemas.openxmlformats.org/spreadsheetml/2006/main">
  <authors>
    <author>Roni Cleber Bonizio</author>
  </authors>
  <commentList>
    <comment ref="C7" authorId="0" shapeId="0">
      <text>
        <r>
          <rPr>
            <b/>
            <sz val="9"/>
            <color indexed="81"/>
            <rFont val="Segoe UI"/>
            <family val="2"/>
          </rPr>
          <t>Estoques avaliados pelo custo histórico</t>
        </r>
      </text>
    </comment>
    <comment ref="D7" authorId="0" shapeId="0">
      <text>
        <r>
          <rPr>
            <b/>
            <sz val="9"/>
            <color indexed="81"/>
            <rFont val="Segoe UI"/>
            <family val="2"/>
          </rPr>
          <t>Estoques avaliados pelo custo histórico corrigido</t>
        </r>
      </text>
    </comment>
    <comment ref="E7" authorId="0" shapeId="0">
      <text>
        <r>
          <rPr>
            <b/>
            <sz val="9"/>
            <color indexed="81"/>
            <rFont val="Segoe UI"/>
            <family val="2"/>
          </rPr>
          <t>Estoques avaliados pelo custo de reposição</t>
        </r>
      </text>
    </comment>
    <comment ref="F7" authorId="0" shapeId="0">
      <text>
        <r>
          <rPr>
            <b/>
            <sz val="9"/>
            <color indexed="81"/>
            <rFont val="Segoe UI"/>
            <family val="2"/>
          </rPr>
          <t>Estoques avaliados pelo custo histórico corrigido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</rPr>
          <t>Estoques avaliados pelo custo de reposição</t>
        </r>
      </text>
    </comment>
    <comment ref="B23" authorId="0" shapeId="0">
      <text>
        <r>
          <rPr>
            <b/>
            <sz val="9"/>
            <color indexed="81"/>
            <rFont val="Segoe UI"/>
            <family val="2"/>
          </rPr>
          <t>Reserva para manutenção do capital físico</t>
        </r>
      </text>
    </comment>
  </commentList>
</comments>
</file>

<file path=xl/comments4.xml><?xml version="1.0" encoding="utf-8"?>
<comments xmlns="http://schemas.openxmlformats.org/spreadsheetml/2006/main">
  <authors>
    <author>Administrador</author>
  </authors>
  <commentList>
    <comment ref="B2" authorId="0" shapeId="0">
      <text>
        <r>
          <rPr>
            <b/>
            <sz val="9"/>
            <color indexed="81"/>
            <rFont val="Segoe UI"/>
            <family val="2"/>
          </rPr>
          <t xml:space="preserve">Rateio dos custos indiretos com base no custo da MOD
</t>
        </r>
      </text>
    </comment>
    <comment ref="B11" authorId="0" shapeId="0">
      <text>
        <r>
          <rPr>
            <b/>
            <sz val="9"/>
            <color indexed="81"/>
            <rFont val="Segoe UI"/>
            <family val="2"/>
          </rPr>
          <t xml:space="preserve">Rateio dos custos indiretos com base no custo dos materiais diretos
</t>
        </r>
      </text>
    </comment>
  </commentList>
</comments>
</file>

<file path=xl/comments5.xml><?xml version="1.0" encoding="utf-8"?>
<comments xmlns="http://schemas.openxmlformats.org/spreadsheetml/2006/main">
  <authors>
    <author>Roni Cleber Bonizio</author>
  </authors>
  <commentList>
    <comment ref="B18" authorId="0" shapeId="0">
      <text>
        <r>
          <rPr>
            <b/>
            <sz val="9"/>
            <color indexed="81"/>
            <rFont val="Segoe UI"/>
            <family val="2"/>
          </rPr>
          <t>Rateio dos custos indiretos na mesma proporção do tempo de fabricação</t>
        </r>
      </text>
    </comment>
    <comment ref="B27" authorId="0" shapeId="0">
      <text>
        <r>
          <rPr>
            <b/>
            <sz val="9"/>
            <color indexed="81"/>
            <rFont val="Segoe UI"/>
            <family val="2"/>
          </rPr>
          <t>Rateio dos custos indiretos na mesma proporção do número de produtos produzidos</t>
        </r>
      </text>
    </comment>
  </commentList>
</comments>
</file>

<file path=xl/comments6.xml><?xml version="1.0" encoding="utf-8"?>
<comments xmlns="http://schemas.openxmlformats.org/spreadsheetml/2006/main">
  <authors>
    <author>Roni Cleber Bonizio</author>
  </authors>
  <commentList>
    <comment ref="F17" authorId="0" shapeId="0">
      <text>
        <r>
          <rPr>
            <b/>
            <sz val="9"/>
            <color indexed="81"/>
            <rFont val="Segoe UI"/>
            <family val="2"/>
          </rPr>
          <t>Média dado um mix</t>
        </r>
      </text>
    </comment>
  </commentList>
</comments>
</file>

<file path=xl/sharedStrings.xml><?xml version="1.0" encoding="utf-8"?>
<sst xmlns="http://schemas.openxmlformats.org/spreadsheetml/2006/main" count="1049" uniqueCount="562">
  <si>
    <t>01/01/X1 - compra caminhão à vista</t>
  </si>
  <si>
    <r>
      <t xml:space="preserve">Vida útil </t>
    </r>
    <r>
      <rPr>
        <b/>
        <u/>
        <sz val="11"/>
        <color theme="1"/>
        <rFont val="Calibri"/>
        <family val="2"/>
        <scheme val="minor"/>
      </rPr>
      <t>estimada</t>
    </r>
    <r>
      <rPr>
        <sz val="11"/>
        <color theme="1"/>
        <rFont val="Calibri"/>
        <family val="2"/>
        <scheme val="minor"/>
      </rPr>
      <t xml:space="preserve"> (anos)</t>
    </r>
  </si>
  <si>
    <r>
      <t xml:space="preserve">Valor residual </t>
    </r>
    <r>
      <rPr>
        <b/>
        <u/>
        <sz val="11"/>
        <color theme="1"/>
        <rFont val="Calibri"/>
        <family val="2"/>
        <scheme val="minor"/>
      </rPr>
      <t>estimado</t>
    </r>
  </si>
  <si>
    <t>Depreciação anual</t>
  </si>
  <si>
    <t>ATIVO</t>
  </si>
  <si>
    <t>31/12/X1</t>
  </si>
  <si>
    <t>31/12/X2</t>
  </si>
  <si>
    <t>31/12/X3</t>
  </si>
  <si>
    <t>Imobilizado - veículos</t>
  </si>
  <si>
    <t>TOTAL</t>
  </si>
  <si>
    <t>(-) Depreciação acumulada</t>
  </si>
  <si>
    <t>RESULTADO</t>
  </si>
  <si>
    <t>ANO X1</t>
  </si>
  <si>
    <t>ANO X2</t>
  </si>
  <si>
    <t>ANO X3</t>
  </si>
  <si>
    <t>Despesa de depreciação</t>
  </si>
  <si>
    <t>31/12/X3 - venda do caminhão à vista</t>
  </si>
  <si>
    <t>Resultado da venda do caminhão</t>
  </si>
  <si>
    <t>FLUXO DE CAIXA</t>
  </si>
  <si>
    <t>Compra do caminhão</t>
  </si>
  <si>
    <t>Venda do caminhão</t>
  </si>
  <si>
    <t>ABR</t>
  </si>
  <si>
    <t>MAI</t>
  </si>
  <si>
    <t>JUN</t>
  </si>
  <si>
    <t>Compra livros à vista</t>
  </si>
  <si>
    <r>
      <t xml:space="preserve">Venda de </t>
    </r>
    <r>
      <rPr>
        <b/>
        <u/>
        <sz val="11"/>
        <color theme="1"/>
        <rFont val="Calibri"/>
        <family val="2"/>
        <scheme val="minor"/>
      </rPr>
      <t>todos</t>
    </r>
    <r>
      <rPr>
        <sz val="11"/>
        <color theme="1"/>
        <rFont val="Calibri"/>
        <family val="2"/>
        <scheme val="minor"/>
      </rPr>
      <t xml:space="preserve"> os livros (5 parcelas, sem entrada)</t>
    </r>
  </si>
  <si>
    <t>Entradas de caixa</t>
  </si>
  <si>
    <t>(-) Saídas de caixa</t>
  </si>
  <si>
    <t>Saldo inicial de caixa</t>
  </si>
  <si>
    <t>Saldo final de caixa</t>
  </si>
  <si>
    <t>DRE</t>
  </si>
  <si>
    <t>Receita de venda dos livros</t>
  </si>
  <si>
    <t>(=) Lucro bruto</t>
  </si>
  <si>
    <t>(-) Custo dos livros vendidos</t>
  </si>
  <si>
    <t>(=) Lucro líquido</t>
  </si>
  <si>
    <t>ASPECTO ECONÔMICO (DESEMPENHO)</t>
  </si>
  <si>
    <t>ASPECTO FINANCEIRO (FÔLEGO)</t>
  </si>
  <si>
    <t>BALANÇOS PATRIMONIAIS</t>
  </si>
  <si>
    <t>ASPECTO PATRIMONIAL</t>
  </si>
  <si>
    <t>Disponibilidades</t>
  </si>
  <si>
    <t>Contas a receber</t>
  </si>
  <si>
    <t>PASSIVO + PL</t>
  </si>
  <si>
    <t>Capital social</t>
  </si>
  <si>
    <t>Lucros reinvestidos (reservas)</t>
  </si>
  <si>
    <t>(-) PECLD</t>
  </si>
  <si>
    <t>Dados do exemplo:</t>
  </si>
  <si>
    <t>2/1/x1 - integralização de capital em $</t>
  </si>
  <si>
    <t>2/1//x1 - compra de mercadorias à vista</t>
  </si>
  <si>
    <t>31/12/x1 - vendas de todas as mercadorias à vista</t>
  </si>
  <si>
    <t>Entre 2/1/x1 e 31/12/x1 - inflação</t>
  </si>
  <si>
    <t>31/12//x1 - custo reposição à vista</t>
  </si>
  <si>
    <t>$ de 31/12</t>
  </si>
  <si>
    <t>CH</t>
  </si>
  <si>
    <t>CHC</t>
  </si>
  <si>
    <t>CR</t>
  </si>
  <si>
    <t>Receita de venda</t>
  </si>
  <si>
    <t>(-) CMV</t>
  </si>
  <si>
    <t>(+) Ganho de estocagem</t>
  </si>
  <si>
    <t>BALANÇO PATRIMONIAL EM 31/12/X1</t>
  </si>
  <si>
    <t>$ DE 31/12/X1</t>
  </si>
  <si>
    <t>PL</t>
  </si>
  <si>
    <t>Reserva</t>
  </si>
  <si>
    <t>Lucro disponível</t>
  </si>
  <si>
    <t>Inflação</t>
  </si>
  <si>
    <t>Entre 20/3 e 20/11</t>
  </si>
  <si>
    <t>Entre 20/11 e 31/12</t>
  </si>
  <si>
    <t>$ de 20/11</t>
  </si>
  <si>
    <t>(-) Perda no caixa</t>
  </si>
  <si>
    <t>Compra de matéria prima (10.000 unid), a pagar = $50.000</t>
  </si>
  <si>
    <t>Tributos recuperáveis (embutidos no valor da compra) = 20%</t>
  </si>
  <si>
    <t>Frete da compra da matéria prima (à vista) = $3.000</t>
  </si>
  <si>
    <t>Pede-se:</t>
  </si>
  <si>
    <t>* Fazer as contabilizações</t>
  </si>
  <si>
    <t>* Apurar o custo da MP por unidade</t>
  </si>
  <si>
    <t>CONTAS</t>
  </si>
  <si>
    <t>DÉBITOS</t>
  </si>
  <si>
    <t>CRÉDITOS</t>
  </si>
  <si>
    <t>Fornecedores a pagar</t>
  </si>
  <si>
    <t>Estoque</t>
  </si>
  <si>
    <t>Tributos a recuperar (A)</t>
  </si>
  <si>
    <t>Os estoques iniciais de matéria prima totalizavam $32.000</t>
  </si>
  <si>
    <t>Todos os estoques iniciais mais a metade dos estoques adquiridos foram utilizados na produção</t>
  </si>
  <si>
    <t>Da produção restaram rebarbas de MP cujo valor de mercado totaliza $1.500 (essas rebarbas não foram vendidas)</t>
  </si>
  <si>
    <t>Os demais custos de produção totalizaram $18.000</t>
  </si>
  <si>
    <t>Não havia estoques iniciais de produtos acabados</t>
  </si>
  <si>
    <t>80% da produção do período foi vendida por $75.000</t>
  </si>
  <si>
    <t>As despesas operacionais do período totalizaram $4.000</t>
  </si>
  <si>
    <t>* Apure o lucro antes do IR</t>
  </si>
  <si>
    <t>* Indique o tratamento a ser dado no caso das rebarbas</t>
  </si>
  <si>
    <t>Valores incorridos no período      $</t>
  </si>
  <si>
    <t>Custo de mão-de-obra direta</t>
  </si>
  <si>
    <t>Compras de matéria-prima</t>
  </si>
  <si>
    <t>Mão-de-obra indireta</t>
  </si>
  <si>
    <t>Receita de venda do período</t>
  </si>
  <si>
    <t>Manutenção, equipamento da fábrica</t>
  </si>
  <si>
    <t>Despesas de propaganda</t>
  </si>
  <si>
    <t>Seguro, equipamento da fábrica</t>
  </si>
  <si>
    <t>Salários de vendedores</t>
  </si>
  <si>
    <t>Aluguel, fábrica</t>
  </si>
  <si>
    <t>Materiais de consumo da fábrica</t>
  </si>
  <si>
    <t>Depreciação, equipamento de escritório</t>
  </si>
  <si>
    <t>Depreciação, equipamento da fábrica</t>
  </si>
  <si>
    <t>Estoques ($)</t>
  </si>
  <si>
    <t>Início do Ano</t>
  </si>
  <si>
    <t>Final do Ano</t>
  </si>
  <si>
    <t>Matéria-prima</t>
  </si>
  <si>
    <t>Produção em andamento</t>
  </si>
  <si>
    <t>Produtos acabados</t>
  </si>
  <si>
    <t>cst prod</t>
  </si>
  <si>
    <t>CUSTO DA MATERIA PRIMA UTILIZADA NO PERÍODO</t>
  </si>
  <si>
    <t>Estoque inicial de MP</t>
  </si>
  <si>
    <t>(+) Compras</t>
  </si>
  <si>
    <t>(-) Estoque final</t>
  </si>
  <si>
    <t>CUSTO DA PRODUÇÃO DO PERÍODO</t>
  </si>
  <si>
    <t>Estoque inicial de produç em andam</t>
  </si>
  <si>
    <t>(+) Custo da produç do período</t>
  </si>
  <si>
    <t>(-) Estoque final produç em andam</t>
  </si>
  <si>
    <t>CUSTO DA PRODUÇÃO ACABADA NO PERÍODO</t>
  </si>
  <si>
    <t>Mão de obra direta</t>
  </si>
  <si>
    <t>Custo da mp utilizada no período</t>
  </si>
  <si>
    <t>Mão de obra indireta</t>
  </si>
  <si>
    <t>Manut da fábrica</t>
  </si>
  <si>
    <t>Seguro equipam fábrica</t>
  </si>
  <si>
    <t>Aluguel da fábrica</t>
  </si>
  <si>
    <t>Materiais de consumo</t>
  </si>
  <si>
    <t>Depreciaç equipam fábrica</t>
  </si>
  <si>
    <t>CUSTO DOS PRODUTOS VENDIDOS</t>
  </si>
  <si>
    <t>Estoque inicial de produtos acabados</t>
  </si>
  <si>
    <t>(+) Custo da produç acabada no período</t>
  </si>
  <si>
    <t>(-) CPV</t>
  </si>
  <si>
    <t>(-) Despesas de propaganda</t>
  </si>
  <si>
    <t>(-) Salários de vendedores</t>
  </si>
  <si>
    <t>(-) despesas de depreciação</t>
  </si>
  <si>
    <t>(=) RESULTADO OPERACIONAL</t>
  </si>
  <si>
    <t>PERÍODO X - PRODUÇÃO</t>
  </si>
  <si>
    <t>SAB PÓ</t>
  </si>
  <si>
    <t>SAB LÍQ</t>
  </si>
  <si>
    <t>QUANT</t>
  </si>
  <si>
    <t>UNID</t>
  </si>
  <si>
    <t>CX</t>
  </si>
  <si>
    <t>FRSC</t>
  </si>
  <si>
    <t>Matéria prima</t>
  </si>
  <si>
    <t>Custo direto</t>
  </si>
  <si>
    <t>Superv produç</t>
  </si>
  <si>
    <t>Depreciaç equipam</t>
  </si>
  <si>
    <t>Alguel galpão fábrica</t>
  </si>
  <si>
    <t>Seguro equipam prod</t>
  </si>
  <si>
    <t>Energ elétr produç</t>
  </si>
  <si>
    <t>Custo indireto</t>
  </si>
  <si>
    <t>MIN/UNID</t>
  </si>
  <si>
    <t>MIN TOT</t>
  </si>
  <si>
    <t>MIN %</t>
  </si>
  <si>
    <t>Deprec equipam específ</t>
  </si>
  <si>
    <t>Custo unitário de produç</t>
  </si>
  <si>
    <t>por cx</t>
  </si>
  <si>
    <t>por frsc</t>
  </si>
  <si>
    <t>R$</t>
  </si>
  <si>
    <t>Caixa</t>
  </si>
  <si>
    <t>Bancos</t>
  </si>
  <si>
    <t>Clientes</t>
  </si>
  <si>
    <t>Estoque de matéria-prima</t>
  </si>
  <si>
    <t>Edifício da administração geral</t>
  </si>
  <si>
    <t>Depreciação acumulada do edifício da administração geral</t>
  </si>
  <si>
    <t>Veículos</t>
  </si>
  <si>
    <t>Depreciação acumulada de veículos</t>
  </si>
  <si>
    <t>Equipamentos de produção</t>
  </si>
  <si>
    <t>Depreciação acumulada dos equipamentos de produção</t>
  </si>
  <si>
    <t>Móveis e Utensílios</t>
  </si>
  <si>
    <t>Depreciação acumulada de móveis e utensílios</t>
  </si>
  <si>
    <t xml:space="preserve">Empréstimos de curto prazo </t>
  </si>
  <si>
    <t>Fornecedores</t>
  </si>
  <si>
    <t>Capital Social</t>
  </si>
  <si>
    <t>Lucro Acumulado</t>
  </si>
  <si>
    <t>Consumo de matéria-prima</t>
  </si>
  <si>
    <t>Gastos total com MOD (inclui encargos sociais)</t>
  </si>
  <si>
    <t>Gastos total com MOI (inclui encargos sociais)</t>
  </si>
  <si>
    <t>Gastos com pessoal da área adm/com</t>
  </si>
  <si>
    <t>Depreciação de edifícios administrativos</t>
  </si>
  <si>
    <t xml:space="preserve">Depreciação de veículos </t>
  </si>
  <si>
    <t>Depreciação de móveis e utensílios</t>
  </si>
  <si>
    <t>Depreciação de equipamentos de produção</t>
  </si>
  <si>
    <t>Gasto com materiais indiretos</t>
  </si>
  <si>
    <t>Outras despesas</t>
  </si>
  <si>
    <t>Despesas financeiras</t>
  </si>
  <si>
    <t>Venda de produtos</t>
  </si>
  <si>
    <t>DÉBITO</t>
  </si>
  <si>
    <t>CRÉDITO</t>
  </si>
  <si>
    <t>GRUPO</t>
  </si>
  <si>
    <t>PASSIVO</t>
  </si>
  <si>
    <t>CUSTO DE PRODUÇÃO</t>
  </si>
  <si>
    <t>Gasto total com energia-elétrica da fábrica</t>
  </si>
  <si>
    <t>Despesa com energia elétrica</t>
  </si>
  <si>
    <t>Área m²</t>
  </si>
  <si>
    <t>Pintura</t>
  </si>
  <si>
    <t>Montagem</t>
  </si>
  <si>
    <t>nº de func</t>
  </si>
  <si>
    <t>Energia (kwh)</t>
  </si>
  <si>
    <t>Requisições</t>
  </si>
  <si>
    <t>Montag</t>
  </si>
  <si>
    <t>Manut</t>
  </si>
  <si>
    <t>Almoxar</t>
  </si>
  <si>
    <t>Adm prod</t>
  </si>
  <si>
    <t>DADOS FÍSICOS</t>
  </si>
  <si>
    <t>CST DIR</t>
  </si>
  <si>
    <t>CST IND</t>
  </si>
  <si>
    <t>CUSTOS INDIRETOS</t>
  </si>
  <si>
    <t>MOI</t>
  </si>
  <si>
    <t>Depreciação</t>
  </si>
  <si>
    <t>Energia</t>
  </si>
  <si>
    <t>Materiais indiretos</t>
  </si>
  <si>
    <t>Aluguel</t>
  </si>
  <si>
    <t>Rateio da adm da prod</t>
  </si>
  <si>
    <t>Rateio do almoxarifado</t>
  </si>
  <si>
    <t>Rateio da manutenção</t>
  </si>
  <si>
    <t>PROD A</t>
  </si>
  <si>
    <t>PROD B</t>
  </si>
  <si>
    <t>PROD C</t>
  </si>
  <si>
    <t>Mão de obra diretra</t>
  </si>
  <si>
    <t>A</t>
  </si>
  <si>
    <t>B</t>
  </si>
  <si>
    <t>C</t>
  </si>
  <si>
    <t>prod</t>
  </si>
  <si>
    <t>vol prod</t>
  </si>
  <si>
    <t>vol vda</t>
  </si>
  <si>
    <t>Preço</t>
  </si>
  <si>
    <t>est final</t>
  </si>
  <si>
    <t>CUSTO TOTAL DE PRODUÇÃO</t>
  </si>
  <si>
    <t>Custo unitário</t>
  </si>
  <si>
    <t>CPV</t>
  </si>
  <si>
    <t>Estoque final de prod. Acabados</t>
  </si>
  <si>
    <t>Receita de vendas</t>
  </si>
  <si>
    <t>(-) Despesas com pessoal</t>
  </si>
  <si>
    <t>(-) Despesa de depreciação</t>
  </si>
  <si>
    <t>(-) Despesa com energia elétrica</t>
  </si>
  <si>
    <t>(-) Outras despesas</t>
  </si>
  <si>
    <t>(-) Despesas financeiras</t>
  </si>
  <si>
    <t>(=) Lucro antes do IR/CSSLL</t>
  </si>
  <si>
    <t>(-) IR/CSSLL</t>
  </si>
  <si>
    <t>BALANÇO PATRIMONIAL - 31/12/X8</t>
  </si>
  <si>
    <t>Estoque de MP</t>
  </si>
  <si>
    <t>Imobilizado</t>
  </si>
  <si>
    <t xml:space="preserve">Empréstimos </t>
  </si>
  <si>
    <t>CapitaL</t>
  </si>
  <si>
    <t>Lucros acumulados</t>
  </si>
  <si>
    <t>IR/CSSLL a pagar</t>
  </si>
  <si>
    <t>Estoque de prod. Acabad</t>
  </si>
  <si>
    <t>PRODUÇÃO</t>
  </si>
  <si>
    <t>DOBR</t>
  </si>
  <si>
    <t>FECHAD</t>
  </si>
  <si>
    <t>Número de unidades</t>
  </si>
  <si>
    <t>CUSTOS DIRETOS</t>
  </si>
  <si>
    <t>Material</t>
  </si>
  <si>
    <t>Mão de obra</t>
  </si>
  <si>
    <t>ESTAMP</t>
  </si>
  <si>
    <t>FURAÇ</t>
  </si>
  <si>
    <t>MONTAG</t>
  </si>
  <si>
    <t>ALMOXAR</t>
  </si>
  <si>
    <t>MANUT</t>
  </si>
  <si>
    <t>ADM PROD</t>
  </si>
  <si>
    <t>Engeria elétrica</t>
  </si>
  <si>
    <t>Rateio da ADM da produção</t>
  </si>
  <si>
    <t>Número de funcionários</t>
  </si>
  <si>
    <t>Tempo de uso de máquinas (horas)</t>
  </si>
  <si>
    <t>Número de requisições</t>
  </si>
  <si>
    <t>Estamparia</t>
  </si>
  <si>
    <t>Furação</t>
  </si>
  <si>
    <t>CUSTO UNITÁRIO</t>
  </si>
  <si>
    <t>2 - Apure o saldo de tributos indiretos a pagar ou a recuperar, faça as contabilizações e feche o balanço patrimonial em 30/6/X9</t>
  </si>
  <si>
    <t>1 - Apure o custo de produção do período, o valor dos estoques finais de produtos acabados, o CPV, o Lucro antes de IR/CSSLL e o lucro líquido (monte a DRE)</t>
  </si>
  <si>
    <t>PEDE-SE:</t>
  </si>
  <si>
    <t>O IR/CSSLL apurado no LALUR totalizaram 30% do lucro antes do IR/CSSLL</t>
  </si>
  <si>
    <t>Reservas de lucros</t>
  </si>
  <si>
    <t>Todos os saldos iniciais dos passivos foram liquidados, exceto o de salários e encargos, cujo saldo foi 60% liquidado</t>
  </si>
  <si>
    <t xml:space="preserve">Capital </t>
  </si>
  <si>
    <t>As demais despesas operacionais totalizaram $10,0, sendo $7,0 a pagar</t>
  </si>
  <si>
    <t>Outras contas a pagar</t>
  </si>
  <si>
    <t>Para entregar produtos aos seus clientes a empresa teve gastos com frete no valor de $5,0, sendo $3,0 a pagar</t>
  </si>
  <si>
    <t>Salários e encargos a pagar</t>
  </si>
  <si>
    <t>20% do valor das vendas referm-se a tributos indiretos</t>
  </si>
  <si>
    <t>90% do saldo de produtos (estoques + produção) foi vendido por $250,0, sendo $50,0 a receber</t>
  </si>
  <si>
    <t>Tributos indiretos a pagar</t>
  </si>
  <si>
    <t>A depreciação do período totalizou $0,5 e refere-se a equipamentos de produção</t>
  </si>
  <si>
    <t>Os demais custos de produção totalizaram $19,5, sendo $5,5 a pagar</t>
  </si>
  <si>
    <t>O custo de mão de obra, com encargos (toda utilizada na produção) do trimestre totalizou $75,0 e foi 80% pago no período</t>
  </si>
  <si>
    <t>Os subprodutos que estavam no estoque em 31/3 foram todos vendidos pelo seu valor de mercado à vista</t>
  </si>
  <si>
    <t>Imobilizado líquido</t>
  </si>
  <si>
    <t>Na produção foram gerados subprodutos cujo valor de mercado é $0,6 (não foram vendidos)</t>
  </si>
  <si>
    <t>Estoque de subprodutos</t>
  </si>
  <si>
    <t>O saldo incial de MP, mais 90% das compras do período foram totalmente utilizadas na produção</t>
  </si>
  <si>
    <t>Estoque de matéria prima</t>
  </si>
  <si>
    <t>Os fretes referentes às compras de MP totalizaram $5,6. Todos pagos no período</t>
  </si>
  <si>
    <t>Estoque de produtos acabados</t>
  </si>
  <si>
    <t>20% do valor das compras referm-se a tributos indiretos recuperáveis</t>
  </si>
  <si>
    <t>As compras de matérias primas totalizaram $123,0, sendo $23,0 pagos no período</t>
  </si>
  <si>
    <t>90% do saldo de contas a receber foi recebido</t>
  </si>
  <si>
    <t>Dados do segundo trimestre de X9 ($MM):</t>
  </si>
  <si>
    <t>BALANÇO PATRIMONIAL EM 31/3/X9 - $MM</t>
  </si>
  <si>
    <t>Disponib</t>
  </si>
  <si>
    <t>Ctas receb</t>
  </si>
  <si>
    <t>Estoq prod acab</t>
  </si>
  <si>
    <t>Estoq MP</t>
  </si>
  <si>
    <t>Estoq subpr</t>
  </si>
  <si>
    <t>Imob líq</t>
  </si>
  <si>
    <t>Fornec pagar</t>
  </si>
  <si>
    <t>Trib indir pagar</t>
  </si>
  <si>
    <t>Salár/encarg pagar</t>
  </si>
  <si>
    <t>Outras ctas pagar</t>
  </si>
  <si>
    <t>Reserv</t>
  </si>
  <si>
    <t>Si</t>
  </si>
  <si>
    <t>Sf</t>
  </si>
  <si>
    <t>P+PL</t>
  </si>
  <si>
    <t>RESULT</t>
  </si>
  <si>
    <t>Trib indir recup</t>
  </si>
  <si>
    <t>BALANÇOS PATRIMONIAIS - $MM</t>
  </si>
  <si>
    <t>Tributos a recuperar</t>
  </si>
  <si>
    <t>F</t>
  </si>
  <si>
    <t>DRE =- 2o. Trimestre - $MM</t>
  </si>
  <si>
    <t>Receita bruta de vendas</t>
  </si>
  <si>
    <t>(-) Tributos indiretos</t>
  </si>
  <si>
    <t>(=) Receita líquida de vendas</t>
  </si>
  <si>
    <t>(-) Frete de vendas</t>
  </si>
  <si>
    <t>(-) Outras despesas operacionais</t>
  </si>
  <si>
    <t>$/UND</t>
  </si>
  <si>
    <t>(-) Materiais diretos</t>
  </si>
  <si>
    <t>(-) MOD</t>
  </si>
  <si>
    <t>Quantidade (unidades)</t>
  </si>
  <si>
    <t>$ TOT</t>
  </si>
  <si>
    <t>Receita líq dos tributos</t>
  </si>
  <si>
    <t>(=) LUCRO BRUTO</t>
  </si>
  <si>
    <t>(-) Controle processo</t>
  </si>
  <si>
    <t>(-) Processam produto</t>
  </si>
  <si>
    <t>(-) Controle estoque</t>
  </si>
  <si>
    <t>(-) Armazen material</t>
  </si>
  <si>
    <t>(-) Inspeção material</t>
  </si>
  <si>
    <t>RESULTADO (ABC)</t>
  </si>
  <si>
    <t>RESULTADO (ABSORÇÃO)</t>
  </si>
  <si>
    <t>(-) Custos indiretos</t>
  </si>
  <si>
    <t>%</t>
  </si>
  <si>
    <t>Peso do material transferido para a usinagem (kg)</t>
  </si>
  <si>
    <t>Custo do material utilizado na fundição ($)</t>
  </si>
  <si>
    <t>Peso do material que sobra na usinagem [subprodutos] (kg)</t>
  </si>
  <si>
    <t>Valor de mercado dos subprodutos ($)</t>
  </si>
  <si>
    <t>Custo da matéria prima utilizada na produção ($)</t>
  </si>
  <si>
    <t>CUSTOS CONJUNTOS NO PERÍODO</t>
  </si>
  <si>
    <t>Outros custos</t>
  </si>
  <si>
    <t>QUIRERA</t>
  </si>
  <si>
    <t>FUBÁ</t>
  </si>
  <si>
    <t>GERME</t>
  </si>
  <si>
    <t>Estoque final</t>
  </si>
  <si>
    <t>Preço por kg</t>
  </si>
  <si>
    <t>Produção (kg)</t>
  </si>
  <si>
    <t>Vendas (kg)</t>
  </si>
  <si>
    <t>Estoque final (kg)</t>
  </si>
  <si>
    <t>VALOR DE MERCADO DA PRODUÇÃO</t>
  </si>
  <si>
    <t>Custo da produção</t>
  </si>
  <si>
    <t>CUSTO (com base no valor de mercado)</t>
  </si>
  <si>
    <t>CUSTO (com base no volume produzido)</t>
  </si>
  <si>
    <t>Produção (%)</t>
  </si>
  <si>
    <t>RESULTADO (critério = valor de mercado)</t>
  </si>
  <si>
    <t>RESULTADO (critério = volume)</t>
  </si>
  <si>
    <t>Estoques finais</t>
  </si>
  <si>
    <t>Número de dias do ano</t>
  </si>
  <si>
    <t>(-) Repousos semanais</t>
  </si>
  <si>
    <t>(-) Férias</t>
  </si>
  <si>
    <t>(-) Feriados</t>
  </si>
  <si>
    <t>(-) Faltas justificadas</t>
  </si>
  <si>
    <t>(=) DIAS À DISPOSIÇÃO DA EMPRESA</t>
  </si>
  <si>
    <t>Jornada de trabalho</t>
  </si>
  <si>
    <t>HORAS À DISPOSIÇÃO DA EMPRESA POR ANO</t>
  </si>
  <si>
    <t>CUSTO ANUAL</t>
  </si>
  <si>
    <t>CUSTO TOTAL ANUAL</t>
  </si>
  <si>
    <t>Salário</t>
  </si>
  <si>
    <t>Repouso semanal, feriados, faltas etc.</t>
  </si>
  <si>
    <t>13o salário</t>
  </si>
  <si>
    <t>Férias (30 dias)</t>
  </si>
  <si>
    <t>1/3 de férias</t>
  </si>
  <si>
    <t>Contribuições sociais (36%)</t>
  </si>
  <si>
    <t>custo por hora</t>
  </si>
  <si>
    <t>EMPREGADO DA FÁBRICA</t>
  </si>
  <si>
    <t>Custo de produção</t>
  </si>
  <si>
    <t>Salários a pagar</t>
  </si>
  <si>
    <t>13o a pagar</t>
  </si>
  <si>
    <t>férias a pagar</t>
  </si>
  <si>
    <t>Contrib sociais a pagar</t>
  </si>
  <si>
    <t>ano 1</t>
  </si>
  <si>
    <t>ano 2</t>
  </si>
  <si>
    <t>ano 3</t>
  </si>
  <si>
    <t>ano 4</t>
  </si>
  <si>
    <t>ano 5</t>
  </si>
  <si>
    <t>ano 6</t>
  </si>
  <si>
    <t>Custo previsto da obra</t>
  </si>
  <si>
    <t>Custo realizado da obra - do ano</t>
  </si>
  <si>
    <t>Custo realizado da obra - acumulado ($)</t>
  </si>
  <si>
    <t>Custo realizado da obra - acumulado (%)</t>
  </si>
  <si>
    <t>Valores recebidos no ano</t>
  </si>
  <si>
    <t>Valores recebidos acumulados ($)</t>
  </si>
  <si>
    <t>Valores recebidos acumulados (%)</t>
  </si>
  <si>
    <t>(-) Custo correspondente</t>
  </si>
  <si>
    <t>(=) FLUXO DE CAIXA</t>
  </si>
  <si>
    <t>31/12/A1</t>
  </si>
  <si>
    <t>31/12/A2</t>
  </si>
  <si>
    <t>31/12/A3</t>
  </si>
  <si>
    <t>31/12/A4</t>
  </si>
  <si>
    <t>31/12/A5</t>
  </si>
  <si>
    <t>31/12/A0</t>
  </si>
  <si>
    <t>Valores a receber</t>
  </si>
  <si>
    <t>Estoq</t>
  </si>
  <si>
    <t>Ad client</t>
  </si>
  <si>
    <t>Capital</t>
  </si>
  <si>
    <t>Reservas</t>
  </si>
  <si>
    <t>ANO 1</t>
  </si>
  <si>
    <t>Ativo</t>
  </si>
  <si>
    <t>ANO 2</t>
  </si>
  <si>
    <t>Adiantamento de clientes</t>
  </si>
  <si>
    <t>Quantidade de MP</t>
  </si>
  <si>
    <t>Kg</t>
  </si>
  <si>
    <t>Perda</t>
  </si>
  <si>
    <t>MP utilizada</t>
  </si>
  <si>
    <t>$ totais</t>
  </si>
  <si>
    <t>Custos indiretos</t>
  </si>
  <si>
    <t>Produtos em elaboração</t>
  </si>
  <si>
    <t>$/unid</t>
  </si>
  <si>
    <t>Equivalente de produção</t>
  </si>
  <si>
    <t>PROD ACABAD</t>
  </si>
  <si>
    <t>PROD EM ELAB</t>
  </si>
  <si>
    <t>JANEIRO</t>
  </si>
  <si>
    <t>$100.000/10.000unid</t>
  </si>
  <si>
    <t>Matéria prima ($/unid)</t>
  </si>
  <si>
    <t>Mão de obra direta ($/unid)</t>
  </si>
  <si>
    <t>$46.000/(9.000+200)</t>
  </si>
  <si>
    <t>Custos indiretos ($/unid)</t>
  </si>
  <si>
    <t>$73.600/(9.000+200)</t>
  </si>
  <si>
    <t>Custo da produção acabada ($ tot)</t>
  </si>
  <si>
    <t>$23,00x9.000</t>
  </si>
  <si>
    <t>CPV ($ tot)</t>
  </si>
  <si>
    <t>Estoque final de produtos acabados ($ tot)</t>
  </si>
  <si>
    <t>$23,00x0</t>
  </si>
  <si>
    <t>Estoque final de produtos em elaboração ($ tot)</t>
  </si>
  <si>
    <t>1.000x$10,0+1.000x20%x5,00+1.000x20%x8,00</t>
  </si>
  <si>
    <t>FEVEREIRO</t>
  </si>
  <si>
    <t>$110.000/10.000unid</t>
  </si>
  <si>
    <t>$51.700/(1.000X80%+(9.000-1.000)+2.000X30%)</t>
  </si>
  <si>
    <t>$82.720/(1.000X80%+(9.000-1.000)+2.000X30%)</t>
  </si>
  <si>
    <t>1.000x10+200x5+800x5,50+200x8,00+800x8,80</t>
  </si>
  <si>
    <t>Custo das unidades iniciadas em janeiro e terminadas em fevereiro ($ tot)</t>
  </si>
  <si>
    <t>Custo das unidades iniciadas em janeiro e terminadas em fevereiro ($/unid)</t>
  </si>
  <si>
    <t>24.040/1.000</t>
  </si>
  <si>
    <t>(9.000-1.000)x25,30+1.000x24,04</t>
  </si>
  <si>
    <t>24,04*1000+25,3*5000</t>
  </si>
  <si>
    <t>3.000x25,30</t>
  </si>
  <si>
    <t>2.000x11,00+2.000x30%x5,50+2.000x30%x8,80</t>
  </si>
  <si>
    <t>Custos fixos (por mês)</t>
  </si>
  <si>
    <t>Outros</t>
  </si>
  <si>
    <t>Custos variáveis (por unidade)</t>
  </si>
  <si>
    <t xml:space="preserve"> Enceradeira </t>
  </si>
  <si>
    <t>Aspirador</t>
  </si>
  <si>
    <t>Outros materiais</t>
  </si>
  <si>
    <t>Mão-de-obra direta</t>
  </si>
  <si>
    <t>Outras informações</t>
  </si>
  <si>
    <t>Quantidades produzidas – último mês (unidades)</t>
  </si>
  <si>
    <t>Tempo de fabricação – último mês (horas)</t>
  </si>
  <si>
    <t>Preços de venda</t>
  </si>
  <si>
    <t>$/UNID</t>
  </si>
  <si>
    <t>(-) Matéria prima</t>
  </si>
  <si>
    <t>(-) Outros materiais</t>
  </si>
  <si>
    <t>(-) Mão de obra direta</t>
  </si>
  <si>
    <t>(-) Custos indiretos (fixos)</t>
  </si>
  <si>
    <t>Absorção</t>
  </si>
  <si>
    <t>Tempo de fabricação – último mês (%)</t>
  </si>
  <si>
    <t>Direto/variável</t>
  </si>
  <si>
    <t>(=) MARGEM DE CONTRIBUIÇ</t>
  </si>
  <si>
    <t>"RESULTADO" - ABSORÇÃO</t>
  </si>
  <si>
    <t>CAM 1</t>
  </si>
  <si>
    <t>CAM 2</t>
  </si>
  <si>
    <t>CAM 3</t>
  </si>
  <si>
    <t>(=) "RESULTADO"</t>
  </si>
  <si>
    <t>(-) Saídas de caixa - identificadas</t>
  </si>
  <si>
    <t>(-) Saídas de caixa - comuns</t>
  </si>
  <si>
    <t>"RESULTADO" DIRETO/VARIÁVEL</t>
  </si>
  <si>
    <t>(=) "MARGEM DE CONTRIBUIÇÃO"</t>
  </si>
  <si>
    <t>meses</t>
  </si>
  <si>
    <t>Maria</t>
  </si>
  <si>
    <t>João</t>
  </si>
  <si>
    <t>A - salário</t>
  </si>
  <si>
    <t>B - Férias 2/3 (descanso)</t>
  </si>
  <si>
    <t>C - Abono pecuniário de férias 1/3  (em $)</t>
  </si>
  <si>
    <t>D - 13º salário</t>
  </si>
  <si>
    <t>E - Adicional de férias (1/3 de B)</t>
  </si>
  <si>
    <t>F - Adicional de férias (1/3 de C)</t>
  </si>
  <si>
    <t>SOMA</t>
  </si>
  <si>
    <t>Contribuições sociais (35% de A+B+D+E)</t>
  </si>
  <si>
    <t>VERBAS</t>
  </si>
  <si>
    <t>DADOS DO EXEMPLO:</t>
  </si>
  <si>
    <t>Preço de venda ($/pizza)</t>
  </si>
  <si>
    <t>(=) Margem de contribuição ($/pizza)</t>
  </si>
  <si>
    <t>Custos e despesas operacionais fixos ($/mês)</t>
  </si>
  <si>
    <t>Depreciações ($/mês)</t>
  </si>
  <si>
    <t>Capital investido no negócio ($ total)</t>
  </si>
  <si>
    <t>Custo do capital investido (%am)</t>
  </si>
  <si>
    <t>Custo do capital investido ($/mês)</t>
  </si>
  <si>
    <t>(-) Cst e desp operacionais variáveis ($/pizza)</t>
  </si>
  <si>
    <t>PMT da dívida ($/mês)</t>
  </si>
  <si>
    <t>pizz/mês</t>
  </si>
  <si>
    <t>Ponto de equilíbrio contábil</t>
  </si>
  <si>
    <t>Ponto de equilíbrio econômico</t>
  </si>
  <si>
    <t>Ponto de equilíbrio financeiro1</t>
  </si>
  <si>
    <t>Ponto de equilíbrio financeiro2</t>
  </si>
  <si>
    <t>Vendas</t>
  </si>
  <si>
    <t>$mês</t>
  </si>
  <si>
    <t>Lucro operacional</t>
  </si>
  <si>
    <t>Lucro econômico (EVA®)</t>
  </si>
  <si>
    <t>Caixa gerado na operação</t>
  </si>
  <si>
    <t>Superpávit/déficit de caixa</t>
  </si>
  <si>
    <t>$/ton</t>
  </si>
  <si>
    <t>Preço de venda bruto</t>
  </si>
  <si>
    <t>(-) Impostos sobre venda</t>
  </si>
  <si>
    <t>(=) Preço de venda líquido</t>
  </si>
  <si>
    <t>(-) Comissões de vendas</t>
  </si>
  <si>
    <t>(-) Custos variáveis</t>
  </si>
  <si>
    <t>(=) MC bruta</t>
  </si>
  <si>
    <t>(=) MC líquida</t>
  </si>
  <si>
    <t>Capital investido no negócio</t>
  </si>
  <si>
    <t>$/mês</t>
  </si>
  <si>
    <t>Custos e despesas operacionais fixos</t>
  </si>
  <si>
    <t>Depreciações</t>
  </si>
  <si>
    <t>Custo do capital investido</t>
  </si>
  <si>
    <t>PMT das dívidas</t>
  </si>
  <si>
    <t>ton/mês</t>
  </si>
  <si>
    <t>déficit de caixa</t>
  </si>
  <si>
    <t>Camisas</t>
  </si>
  <si>
    <t>Blusas</t>
  </si>
  <si>
    <t>Calças</t>
  </si>
  <si>
    <t>Vendas mensais (unidades)</t>
  </si>
  <si>
    <t>Preço unitário</t>
  </si>
  <si>
    <t>Custos e despesas variáveis por unidade</t>
  </si>
  <si>
    <t>Alíquota de IR</t>
  </si>
  <si>
    <t>Custos e despesas fixos por ano</t>
  </si>
  <si>
    <t>Mix (%)</t>
  </si>
  <si>
    <t>MÉDIA</t>
  </si>
  <si>
    <t>Preço médio de venda ($/peça)</t>
  </si>
  <si>
    <t>Custos e desp operac variáv ($/peça)</t>
  </si>
  <si>
    <t>MC MÉDIA BRT ($/peça)</t>
  </si>
  <si>
    <t>MC MÉDIA LÍQ ($/peça)</t>
  </si>
  <si>
    <t>Custos e despesas fixos por mês</t>
  </si>
  <si>
    <t>Custo do capital investido ($/ano)</t>
  </si>
  <si>
    <t>peças/mês</t>
  </si>
  <si>
    <t>Depreciação ($/ano)</t>
  </si>
  <si>
    <t>Depreciação ($/mês)</t>
  </si>
  <si>
    <t>MC UNITÁRIA</t>
  </si>
  <si>
    <t>Vendas (peças)</t>
  </si>
  <si>
    <t>Vendas (unidades)</t>
  </si>
  <si>
    <t>$ tot</t>
  </si>
  <si>
    <t>(-) Custos e despesas variáveis</t>
  </si>
  <si>
    <t>(=) Margem de contribuição</t>
  </si>
  <si>
    <t>(-) Cst/desp operac fixos</t>
  </si>
  <si>
    <t>(=) EBIT (lucro operacional bruto)</t>
  </si>
  <si>
    <t>(=) NOPAT (lucro operacional líquido)</t>
  </si>
  <si>
    <t>(-) Custo do capital investido</t>
  </si>
  <si>
    <t>(=) EVA® (lucro econômico)</t>
  </si>
  <si>
    <t>(+) Depreciação</t>
  </si>
  <si>
    <t>NOPAT (lucro operacional líquido)</t>
  </si>
  <si>
    <t>(=) Caixa gerado na operação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</si>
</sst>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16]d\-mmm;@"/>
    <numFmt numFmtId="165" formatCode="0.0%"/>
    <numFmt numFmtId="166" formatCode="#,##0.0000"/>
    <numFmt numFmtId="167" formatCode="0.000%"/>
    <numFmt numFmtId="168" formatCode="#,##0.0"/>
    <numFmt numFmtId="169" formatCode="#,##0.00000"/>
    <numFmt numFmtId="170" formatCode="#,##0.000"/>
  </numFmts>
  <fonts count="4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u/>
      <sz val="10"/>
      <color theme="1"/>
      <name val="Calibri"/>
      <family val="2"/>
    </font>
    <font>
      <b/>
      <sz val="11"/>
      <name val="Calibri"/>
      <family val="2"/>
      <scheme val="minor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524">
    <xf numFmtId="0" fontId="0" fillId="0" borderId="0" xfId="0"/>
    <xf numFmtId="3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left"/>
    </xf>
    <xf numFmtId="3" fontId="0" fillId="3" borderId="0" xfId="0" applyNumberFormat="1" applyFill="1" applyAlignment="1">
      <alignment horizontal="left"/>
    </xf>
    <xf numFmtId="3" fontId="0" fillId="3" borderId="0" xfId="0" applyNumberFormat="1" applyFill="1" applyAlignment="1">
      <alignment horizontal="center"/>
    </xf>
    <xf numFmtId="3" fontId="1" fillId="4" borderId="0" xfId="0" applyNumberFormat="1" applyFont="1" applyFill="1" applyAlignment="1">
      <alignment horizontal="center"/>
    </xf>
    <xf numFmtId="3" fontId="2" fillId="5" borderId="0" xfId="0" applyNumberFormat="1" applyFont="1" applyFill="1" applyAlignment="1">
      <alignment horizontal="left"/>
    </xf>
    <xf numFmtId="3" fontId="2" fillId="5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center"/>
    </xf>
    <xf numFmtId="3" fontId="6" fillId="3" borderId="0" xfId="0" applyNumberFormat="1" applyFont="1" applyFill="1" applyAlignment="1">
      <alignment horizontal="left"/>
    </xf>
    <xf numFmtId="3" fontId="6" fillId="3" borderId="0" xfId="0" applyNumberFormat="1" applyFont="1" applyFill="1" applyAlignment="1">
      <alignment horizontal="center"/>
    </xf>
    <xf numFmtId="3" fontId="7" fillId="5" borderId="0" xfId="0" applyNumberFormat="1" applyFont="1" applyFill="1" applyAlignment="1">
      <alignment horizontal="left"/>
    </xf>
    <xf numFmtId="3" fontId="7" fillId="5" borderId="0" xfId="0" applyNumberFormat="1" applyFont="1" applyFill="1" applyAlignment="1">
      <alignment horizontal="center"/>
    </xf>
    <xf numFmtId="3" fontId="2" fillId="6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6" fillId="7" borderId="0" xfId="0" applyNumberFormat="1" applyFont="1" applyFill="1" applyAlignment="1">
      <alignment horizontal="left"/>
    </xf>
    <xf numFmtId="3" fontId="6" fillId="7" borderId="0" xfId="0" applyNumberFormat="1" applyFont="1" applyFill="1" applyAlignment="1">
      <alignment horizontal="center"/>
    </xf>
    <xf numFmtId="3" fontId="7" fillId="8" borderId="0" xfId="0" applyNumberFormat="1" applyFont="1" applyFill="1" applyAlignment="1">
      <alignment horizontal="center"/>
    </xf>
    <xf numFmtId="3" fontId="7" fillId="8" borderId="0" xfId="0" applyNumberFormat="1" applyFont="1" applyFill="1" applyAlignment="1">
      <alignment horizontal="left"/>
    </xf>
    <xf numFmtId="3" fontId="0" fillId="7" borderId="0" xfId="0" applyNumberFormat="1" applyFont="1" applyFill="1" applyAlignment="1">
      <alignment horizontal="center"/>
    </xf>
    <xf numFmtId="3" fontId="0" fillId="7" borderId="0" xfId="0" applyNumberFormat="1" applyFont="1" applyFill="1" applyAlignment="1">
      <alignment horizontal="left"/>
    </xf>
    <xf numFmtId="3" fontId="2" fillId="8" borderId="0" xfId="0" applyNumberFormat="1" applyFont="1" applyFill="1" applyAlignment="1">
      <alignment horizontal="left"/>
    </xf>
    <xf numFmtId="3" fontId="2" fillId="8" borderId="0" xfId="0" applyNumberFormat="1" applyFont="1" applyFill="1" applyAlignment="1">
      <alignment horizontal="center"/>
    </xf>
    <xf numFmtId="3" fontId="1" fillId="9" borderId="0" xfId="0" applyNumberFormat="1" applyFont="1" applyFill="1" applyAlignment="1">
      <alignment horizontal="center"/>
    </xf>
    <xf numFmtId="164" fontId="1" fillId="9" borderId="0" xfId="0" applyNumberFormat="1" applyFont="1" applyFill="1" applyAlignment="1">
      <alignment horizontal="center"/>
    </xf>
    <xf numFmtId="3" fontId="0" fillId="10" borderId="0" xfId="0" applyNumberFormat="1" applyFont="1" applyFill="1" applyAlignment="1">
      <alignment horizontal="left"/>
    </xf>
    <xf numFmtId="3" fontId="0" fillId="10" borderId="0" xfId="0" applyNumberFormat="1" applyFont="1" applyFill="1" applyAlignment="1">
      <alignment horizontal="center"/>
    </xf>
    <xf numFmtId="3" fontId="6" fillId="10" borderId="0" xfId="0" applyNumberFormat="1" applyFont="1" applyFill="1" applyAlignment="1">
      <alignment horizontal="left"/>
    </xf>
    <xf numFmtId="3" fontId="6" fillId="1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left" vertical="center" wrapText="1"/>
    </xf>
    <xf numFmtId="165" fontId="0" fillId="0" borderId="0" xfId="1" applyNumberFormat="1" applyFont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8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left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 vertical="center" wrapText="1"/>
    </xf>
    <xf numFmtId="165" fontId="0" fillId="0" borderId="10" xfId="1" applyNumberFormat="1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left" vertical="center" wrapText="1"/>
    </xf>
    <xf numFmtId="165" fontId="0" fillId="0" borderId="12" xfId="1" applyNumberFormat="1" applyFont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2" fillId="6" borderId="2" xfId="0" applyNumberFormat="1" applyFont="1" applyFill="1" applyBorder="1" applyAlignment="1">
      <alignment horizontal="center" vertical="center" wrapText="1"/>
    </xf>
    <xf numFmtId="3" fontId="2" fillId="6" borderId="3" xfId="0" applyNumberFormat="1" applyFont="1" applyFill="1" applyBorder="1" applyAlignment="1">
      <alignment horizontal="center" vertical="center" wrapText="1"/>
    </xf>
    <xf numFmtId="3" fontId="0" fillId="6" borderId="8" xfId="0" applyNumberFormat="1" applyFill="1" applyBorder="1" applyAlignment="1">
      <alignment horizontal="left" vertical="center" wrapText="1"/>
    </xf>
    <xf numFmtId="3" fontId="0" fillId="6" borderId="0" xfId="0" applyNumberFormat="1" applyFill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left" vertical="center" wrapText="1"/>
    </xf>
    <xf numFmtId="3" fontId="2" fillId="6" borderId="13" xfId="0" applyNumberFormat="1" applyFont="1" applyFill="1" applyBorder="1" applyAlignment="1">
      <alignment horizontal="center" vertical="center" wrapText="1"/>
    </xf>
    <xf numFmtId="3" fontId="2" fillId="6" borderId="1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left" vertical="center" wrapText="1"/>
    </xf>
    <xf numFmtId="3" fontId="0" fillId="0" borderId="4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3" fontId="11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3" fontId="11" fillId="0" borderId="1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3" fontId="11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/>
    </xf>
    <xf numFmtId="3" fontId="0" fillId="7" borderId="0" xfId="0" applyNumberFormat="1" applyFill="1" applyAlignment="1">
      <alignment horizontal="center" vertical="center" wrapText="1"/>
    </xf>
    <xf numFmtId="3" fontId="0" fillId="7" borderId="0" xfId="0" applyNumberFormat="1" applyFill="1" applyAlignment="1">
      <alignment horizontal="left" vertical="center" wrapText="1"/>
    </xf>
    <xf numFmtId="3" fontId="2" fillId="7" borderId="0" xfId="0" applyNumberFormat="1" applyFont="1" applyFill="1" applyAlignment="1">
      <alignment horizontal="left" vertical="center" wrapText="1"/>
    </xf>
    <xf numFmtId="3" fontId="2" fillId="7" borderId="0" xfId="0" applyNumberFormat="1" applyFont="1" applyFill="1" applyAlignment="1">
      <alignment horizontal="center" vertical="center" wrapText="1"/>
    </xf>
    <xf numFmtId="3" fontId="2" fillId="8" borderId="0" xfId="0" applyNumberFormat="1" applyFont="1" applyFill="1" applyAlignment="1">
      <alignment horizontal="left" vertical="center" wrapText="1"/>
    </xf>
    <xf numFmtId="3" fontId="2" fillId="8" borderId="0" xfId="0" applyNumberFormat="1" applyFont="1" applyFill="1" applyAlignment="1">
      <alignment horizontal="center" vertical="center" wrapText="1"/>
    </xf>
    <xf numFmtId="3" fontId="0" fillId="7" borderId="0" xfId="0" applyNumberFormat="1" applyFont="1" applyFill="1" applyAlignment="1">
      <alignment horizontal="left" vertical="center" wrapText="1"/>
    </xf>
    <xf numFmtId="3" fontId="0" fillId="12" borderId="0" xfId="0" applyNumberFormat="1" applyFill="1" applyAlignment="1">
      <alignment horizontal="left" vertical="center" wrapText="1"/>
    </xf>
    <xf numFmtId="3" fontId="0" fillId="12" borderId="0" xfId="0" applyNumberFormat="1" applyFill="1" applyAlignment="1">
      <alignment horizontal="center" vertical="center" wrapText="1"/>
    </xf>
    <xf numFmtId="3" fontId="2" fillId="12" borderId="0" xfId="0" applyNumberFormat="1" applyFont="1" applyFill="1" applyAlignment="1">
      <alignment horizontal="center" vertical="center" wrapText="1"/>
    </xf>
    <xf numFmtId="3" fontId="0" fillId="10" borderId="0" xfId="0" applyNumberFormat="1" applyFill="1" applyAlignment="1">
      <alignment horizontal="left" vertical="center" wrapText="1"/>
    </xf>
    <xf numFmtId="3" fontId="0" fillId="10" borderId="0" xfId="0" applyNumberFormat="1" applyFill="1" applyAlignment="1">
      <alignment horizontal="center" vertical="center" wrapText="1"/>
    </xf>
    <xf numFmtId="3" fontId="2" fillId="10" borderId="0" xfId="0" applyNumberFormat="1" applyFont="1" applyFill="1" applyAlignment="1">
      <alignment horizontal="center" vertical="center" wrapText="1"/>
    </xf>
    <xf numFmtId="3" fontId="0" fillId="13" borderId="0" xfId="0" applyNumberFormat="1" applyFill="1" applyAlignment="1">
      <alignment horizontal="center" vertical="center" wrapText="1"/>
    </xf>
    <xf numFmtId="3" fontId="2" fillId="13" borderId="0" xfId="0" applyNumberFormat="1" applyFont="1" applyFill="1" applyAlignment="1">
      <alignment horizontal="center" vertical="center" wrapText="1"/>
    </xf>
    <xf numFmtId="4" fontId="0" fillId="13" borderId="0" xfId="0" applyNumberFormat="1" applyFill="1" applyAlignment="1">
      <alignment horizontal="center" vertical="center" wrapText="1"/>
    </xf>
    <xf numFmtId="4" fontId="2" fillId="13" borderId="0" xfId="0" applyNumberFormat="1" applyFont="1" applyFill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 wrapText="1"/>
    </xf>
    <xf numFmtId="166" fontId="2" fillId="7" borderId="0" xfId="0" applyNumberFormat="1" applyFont="1" applyFill="1" applyAlignment="1">
      <alignment horizontal="center" vertical="center" wrapText="1"/>
    </xf>
    <xf numFmtId="167" fontId="0" fillId="13" borderId="0" xfId="1" applyNumberFormat="1" applyFont="1" applyFill="1" applyAlignment="1">
      <alignment horizontal="center" vertical="center" wrapText="1"/>
    </xf>
    <xf numFmtId="167" fontId="2" fillId="13" borderId="0" xfId="1" applyNumberFormat="1" applyFont="1" applyFill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3" fontId="0" fillId="0" borderId="0" xfId="0" applyNumberFormat="1" applyAlignment="1">
      <alignment vertical="center" wrapText="1"/>
    </xf>
    <xf numFmtId="3" fontId="11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3" fontId="9" fillId="0" borderId="5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left" vertical="center" wrapText="1"/>
    </xf>
    <xf numFmtId="3" fontId="0" fillId="0" borderId="0" xfId="0" applyNumberForma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13" fillId="7" borderId="6" xfId="0" applyNumberFormat="1" applyFont="1" applyFill="1" applyBorder="1" applyAlignment="1">
      <alignment horizontal="left" vertical="center" wrapText="1"/>
    </xf>
    <xf numFmtId="3" fontId="13" fillId="7" borderId="26" xfId="0" applyNumberFormat="1" applyFont="1" applyFill="1" applyBorder="1" applyAlignment="1">
      <alignment horizontal="center" vertical="center" wrapText="1"/>
    </xf>
    <xf numFmtId="3" fontId="13" fillId="7" borderId="7" xfId="0" applyNumberFormat="1" applyFont="1" applyFill="1" applyBorder="1" applyAlignment="1">
      <alignment horizontal="center" vertical="center" wrapText="1"/>
    </xf>
    <xf numFmtId="166" fontId="13" fillId="7" borderId="26" xfId="0" applyNumberFormat="1" applyFont="1" applyFill="1" applyBorder="1" applyAlignment="1">
      <alignment horizontal="center" vertical="center" wrapText="1"/>
    </xf>
    <xf numFmtId="166" fontId="13" fillId="7" borderId="7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8" fontId="2" fillId="0" borderId="12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left" vertical="center" wrapText="1"/>
    </xf>
    <xf numFmtId="4" fontId="1" fillId="9" borderId="0" xfId="0" applyNumberFormat="1" applyFont="1" applyFill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169" fontId="0" fillId="0" borderId="0" xfId="0" applyNumberFormat="1" applyAlignment="1">
      <alignment horizontal="center" vertical="center" wrapText="1"/>
    </xf>
    <xf numFmtId="4" fontId="0" fillId="7" borderId="0" xfId="0" applyNumberFormat="1" applyFill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left" vertical="center" wrapText="1"/>
    </xf>
    <xf numFmtId="3" fontId="19" fillId="15" borderId="8" xfId="0" applyNumberFormat="1" applyFont="1" applyFill="1" applyBorder="1" applyAlignment="1">
      <alignment horizontal="center" vertical="center" wrapText="1"/>
    </xf>
    <xf numFmtId="3" fontId="19" fillId="15" borderId="0" xfId="0" applyNumberFormat="1" applyFont="1" applyFill="1" applyBorder="1" applyAlignment="1">
      <alignment horizontal="center" vertical="center" wrapText="1"/>
    </xf>
    <xf numFmtId="9" fontId="19" fillId="15" borderId="10" xfId="1" applyFont="1" applyFill="1" applyBorder="1" applyAlignment="1">
      <alignment horizontal="center" vertical="center" wrapText="1"/>
    </xf>
    <xf numFmtId="4" fontId="13" fillId="8" borderId="8" xfId="0" applyNumberFormat="1" applyFont="1" applyFill="1" applyBorder="1" applyAlignment="1">
      <alignment horizontal="center" vertical="center" wrapText="1"/>
    </xf>
    <xf numFmtId="3" fontId="13" fillId="8" borderId="0" xfId="0" applyNumberFormat="1" applyFont="1" applyFill="1" applyBorder="1" applyAlignment="1">
      <alignment horizontal="center" vertical="center" wrapText="1"/>
    </xf>
    <xf numFmtId="9" fontId="13" fillId="8" borderId="10" xfId="1" applyFont="1" applyFill="1" applyBorder="1" applyAlignment="1">
      <alignment horizontal="center" vertical="center" wrapText="1"/>
    </xf>
    <xf numFmtId="4" fontId="0" fillId="7" borderId="8" xfId="0" applyNumberFormat="1" applyFill="1" applyBorder="1" applyAlignment="1">
      <alignment horizontal="center" vertical="center" wrapText="1"/>
    </xf>
    <xf numFmtId="3" fontId="0" fillId="7" borderId="0" xfId="0" applyNumberFormat="1" applyFill="1" applyBorder="1" applyAlignment="1">
      <alignment horizontal="center" vertical="center" wrapText="1"/>
    </xf>
    <xf numFmtId="9" fontId="0" fillId="7" borderId="10" xfId="1" applyFont="1" applyFill="1" applyBorder="1" applyAlignment="1">
      <alignment horizontal="center" vertical="center" wrapText="1"/>
    </xf>
    <xf numFmtId="4" fontId="13" fillId="8" borderId="4" xfId="0" applyNumberFormat="1" applyFont="1" applyFill="1" applyBorder="1" applyAlignment="1">
      <alignment horizontal="center" vertical="center" wrapText="1"/>
    </xf>
    <xf numFmtId="3" fontId="13" fillId="8" borderId="13" xfId="0" applyNumberFormat="1" applyFont="1" applyFill="1" applyBorder="1" applyAlignment="1">
      <alignment horizontal="center" vertical="center" wrapText="1"/>
    </xf>
    <xf numFmtId="9" fontId="13" fillId="8" borderId="12" xfId="1" applyFont="1" applyFill="1" applyBorder="1" applyAlignment="1">
      <alignment horizontal="center" vertical="center" wrapText="1"/>
    </xf>
    <xf numFmtId="3" fontId="20" fillId="4" borderId="1" xfId="0" applyNumberFormat="1" applyFont="1" applyFill="1" applyBorder="1" applyAlignment="1">
      <alignment horizontal="center" vertical="center" wrapText="1"/>
    </xf>
    <xf numFmtId="3" fontId="21" fillId="10" borderId="8" xfId="0" applyNumberFormat="1" applyFont="1" applyFill="1" applyBorder="1" applyAlignment="1">
      <alignment horizontal="center" vertical="center" wrapText="1"/>
    </xf>
    <xf numFmtId="3" fontId="19" fillId="15" borderId="8" xfId="0" applyNumberFormat="1" applyFont="1" applyFill="1" applyBorder="1" applyAlignment="1">
      <alignment horizontal="left" vertical="center" wrapText="1"/>
    </xf>
    <xf numFmtId="3" fontId="13" fillId="8" borderId="8" xfId="0" applyNumberFormat="1" applyFont="1" applyFill="1" applyBorder="1" applyAlignment="1">
      <alignment horizontal="left" vertical="center" wrapText="1"/>
    </xf>
    <xf numFmtId="3" fontId="0" fillId="7" borderId="8" xfId="0" applyNumberFormat="1" applyFill="1" applyBorder="1" applyAlignment="1">
      <alignment horizontal="left" vertical="center" wrapText="1"/>
    </xf>
    <xf numFmtId="3" fontId="13" fillId="8" borderId="4" xfId="0" applyNumberFormat="1" applyFont="1" applyFill="1" applyBorder="1" applyAlignment="1">
      <alignment horizontal="left" vertical="center" wrapText="1"/>
    </xf>
    <xf numFmtId="4" fontId="13" fillId="8" borderId="0" xfId="0" applyNumberFormat="1" applyFont="1" applyFill="1" applyBorder="1" applyAlignment="1">
      <alignment horizontal="center" vertical="center" wrapText="1"/>
    </xf>
    <xf numFmtId="4" fontId="0" fillId="7" borderId="0" xfId="0" applyNumberFormat="1" applyFill="1" applyBorder="1" applyAlignment="1">
      <alignment horizontal="center" vertical="center" wrapText="1"/>
    </xf>
    <xf numFmtId="4" fontId="13" fillId="8" borderId="13" xfId="0" applyNumberFormat="1" applyFont="1" applyFill="1" applyBorder="1" applyAlignment="1">
      <alignment horizontal="center" vertical="center" wrapText="1"/>
    </xf>
    <xf numFmtId="3" fontId="19" fillId="15" borderId="10" xfId="0" applyNumberFormat="1" applyFont="1" applyFill="1" applyBorder="1" applyAlignment="1">
      <alignment horizontal="center" vertical="center" wrapText="1"/>
    </xf>
    <xf numFmtId="3" fontId="13" fillId="8" borderId="10" xfId="0" applyNumberFormat="1" applyFont="1" applyFill="1" applyBorder="1" applyAlignment="1">
      <alignment horizontal="center" vertical="center" wrapText="1"/>
    </xf>
    <xf numFmtId="3" fontId="22" fillId="7" borderId="10" xfId="0" applyNumberFormat="1" applyFont="1" applyFill="1" applyBorder="1" applyAlignment="1">
      <alignment horizontal="center" vertical="center" wrapText="1"/>
    </xf>
    <xf numFmtId="3" fontId="13" fillId="8" borderId="12" xfId="0" applyNumberFormat="1" applyFont="1" applyFill="1" applyBorder="1" applyAlignment="1">
      <alignment horizontal="center" vertical="center" wrapText="1"/>
    </xf>
    <xf numFmtId="3" fontId="0" fillId="16" borderId="8" xfId="0" applyNumberFormat="1" applyFill="1" applyBorder="1" applyAlignment="1">
      <alignment horizontal="left" vertical="center" wrapText="1"/>
    </xf>
    <xf numFmtId="4" fontId="0" fillId="16" borderId="8" xfId="0" applyNumberFormat="1" applyFill="1" applyBorder="1" applyAlignment="1">
      <alignment horizontal="center" vertical="center" wrapText="1"/>
    </xf>
    <xf numFmtId="3" fontId="0" fillId="16" borderId="0" xfId="0" applyNumberFormat="1" applyFill="1" applyBorder="1" applyAlignment="1">
      <alignment horizontal="center" vertical="center" wrapText="1"/>
    </xf>
    <xf numFmtId="9" fontId="0" fillId="16" borderId="10" xfId="1" applyFont="1" applyFill="1" applyBorder="1" applyAlignment="1">
      <alignment horizontal="center" vertical="center" wrapText="1"/>
    </xf>
    <xf numFmtId="4" fontId="0" fillId="16" borderId="0" xfId="0" applyNumberFormat="1" applyFill="1" applyBorder="1" applyAlignment="1">
      <alignment horizontal="center" vertical="center" wrapText="1"/>
    </xf>
    <xf numFmtId="3" fontId="22" fillId="16" borderId="10" xfId="0" applyNumberFormat="1" applyFont="1" applyFill="1" applyBorder="1" applyAlignment="1">
      <alignment horizontal="center" vertical="center" wrapText="1"/>
    </xf>
    <xf numFmtId="9" fontId="13" fillId="8" borderId="13" xfId="1" applyFont="1" applyFill="1" applyBorder="1" applyAlignment="1">
      <alignment horizontal="center" vertical="center" wrapText="1"/>
    </xf>
    <xf numFmtId="3" fontId="0" fillId="17" borderId="8" xfId="0" applyNumberFormat="1" applyFill="1" applyBorder="1" applyAlignment="1">
      <alignment horizontal="left" vertical="center" wrapText="1"/>
    </xf>
    <xf numFmtId="4" fontId="0" fillId="17" borderId="8" xfId="0" applyNumberFormat="1" applyFill="1" applyBorder="1" applyAlignment="1">
      <alignment horizontal="center" vertical="center" wrapText="1"/>
    </xf>
    <xf numFmtId="3" fontId="0" fillId="17" borderId="0" xfId="0" applyNumberFormat="1" applyFill="1" applyBorder="1" applyAlignment="1">
      <alignment horizontal="center" vertical="center" wrapText="1"/>
    </xf>
    <xf numFmtId="9" fontId="0" fillId="17" borderId="10" xfId="1" applyFont="1" applyFill="1" applyBorder="1" applyAlignment="1">
      <alignment horizontal="center" vertical="center" wrapText="1"/>
    </xf>
    <xf numFmtId="3" fontId="22" fillId="17" borderId="10" xfId="0" applyNumberFormat="1" applyFont="1" applyFill="1" applyBorder="1" applyAlignment="1">
      <alignment horizontal="center" vertical="center" wrapText="1"/>
    </xf>
    <xf numFmtId="3" fontId="1" fillId="11" borderId="0" xfId="0" applyNumberFormat="1" applyFont="1" applyFill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6" fillId="13" borderId="0" xfId="0" applyNumberFormat="1" applyFont="1" applyFill="1" applyAlignment="1">
      <alignment horizontal="left" vertical="center" wrapText="1"/>
    </xf>
    <xf numFmtId="3" fontId="6" fillId="13" borderId="0" xfId="0" applyNumberFormat="1" applyFont="1" applyFill="1" applyAlignment="1">
      <alignment horizontal="center" vertical="center" wrapText="1"/>
    </xf>
    <xf numFmtId="3" fontId="2" fillId="19" borderId="0" xfId="0" applyNumberFormat="1" applyFont="1" applyFill="1" applyAlignment="1">
      <alignment horizontal="left" vertical="center" wrapText="1"/>
    </xf>
    <xf numFmtId="3" fontId="2" fillId="19" borderId="0" xfId="0" applyNumberFormat="1" applyFont="1" applyFill="1" applyAlignment="1">
      <alignment horizontal="center" vertical="center" wrapText="1"/>
    </xf>
    <xf numFmtId="4" fontId="0" fillId="12" borderId="0" xfId="0" applyNumberFormat="1" applyFill="1" applyAlignment="1">
      <alignment horizontal="center" vertical="center" wrapText="1"/>
    </xf>
    <xf numFmtId="165" fontId="0" fillId="12" borderId="0" xfId="1" applyNumberFormat="1" applyFont="1" applyFill="1" applyAlignment="1">
      <alignment horizontal="center" vertical="center" wrapText="1"/>
    </xf>
    <xf numFmtId="165" fontId="2" fillId="19" borderId="0" xfId="1" applyNumberFormat="1" applyFont="1" applyFill="1" applyAlignment="1">
      <alignment horizontal="center" vertical="center" wrapText="1"/>
    </xf>
    <xf numFmtId="3" fontId="7" fillId="16" borderId="0" xfId="0" applyNumberFormat="1" applyFont="1" applyFill="1" applyAlignment="1">
      <alignment horizontal="center" vertical="center" wrapText="1"/>
    </xf>
    <xf numFmtId="9" fontId="6" fillId="13" borderId="0" xfId="1" applyFont="1" applyFill="1" applyAlignment="1">
      <alignment horizontal="center" vertical="center" wrapText="1"/>
    </xf>
    <xf numFmtId="9" fontId="7" fillId="16" borderId="0" xfId="1" applyFont="1" applyFill="1" applyAlignment="1">
      <alignment horizontal="center" vertical="center" wrapText="1"/>
    </xf>
    <xf numFmtId="3" fontId="0" fillId="12" borderId="8" xfId="0" applyNumberFormat="1" applyFill="1" applyBorder="1" applyAlignment="1">
      <alignment horizontal="center" vertical="center" wrapText="1"/>
    </xf>
    <xf numFmtId="9" fontId="0" fillId="12" borderId="10" xfId="1" applyFont="1" applyFill="1" applyBorder="1" applyAlignment="1">
      <alignment horizontal="center" vertical="center" wrapText="1"/>
    </xf>
    <xf numFmtId="3" fontId="2" fillId="19" borderId="4" xfId="0" applyNumberFormat="1" applyFont="1" applyFill="1" applyBorder="1" applyAlignment="1">
      <alignment horizontal="center" vertical="center" wrapText="1"/>
    </xf>
    <xf numFmtId="9" fontId="2" fillId="19" borderId="12" xfId="1" applyFont="1" applyFill="1" applyBorder="1" applyAlignment="1">
      <alignment horizontal="center" vertical="center" wrapText="1"/>
    </xf>
    <xf numFmtId="3" fontId="1" fillId="11" borderId="33" xfId="0" applyNumberFormat="1" applyFont="1" applyFill="1" applyBorder="1" applyAlignment="1">
      <alignment horizontal="center" vertical="center" wrapText="1"/>
    </xf>
    <xf numFmtId="3" fontId="0" fillId="12" borderId="9" xfId="0" applyNumberFormat="1" applyFill="1" applyBorder="1" applyAlignment="1">
      <alignment horizontal="left" vertical="center" wrapText="1"/>
    </xf>
    <xf numFmtId="3" fontId="2" fillId="19" borderId="11" xfId="0" applyNumberFormat="1" applyFont="1" applyFill="1" applyBorder="1" applyAlignment="1">
      <alignment horizontal="left" vertical="center" wrapText="1"/>
    </xf>
    <xf numFmtId="9" fontId="0" fillId="19" borderId="10" xfId="1" applyFont="1" applyFill="1" applyBorder="1" applyAlignment="1">
      <alignment horizontal="center" vertical="center" wrapText="1"/>
    </xf>
    <xf numFmtId="9" fontId="0" fillId="12" borderId="0" xfId="1" applyFont="1" applyFill="1" applyBorder="1" applyAlignment="1">
      <alignment horizontal="center" vertical="center" wrapText="1"/>
    </xf>
    <xf numFmtId="9" fontId="2" fillId="19" borderId="13" xfId="1" applyFont="1" applyFill="1" applyBorder="1" applyAlignment="1">
      <alignment horizontal="center" vertical="center" wrapText="1"/>
    </xf>
    <xf numFmtId="3" fontId="2" fillId="19" borderId="1" xfId="0" applyNumberFormat="1" applyFont="1" applyFill="1" applyBorder="1" applyAlignment="1">
      <alignment horizontal="center" vertical="center" wrapText="1"/>
    </xf>
    <xf numFmtId="9" fontId="0" fillId="19" borderId="3" xfId="1" applyFont="1" applyFill="1" applyBorder="1" applyAlignment="1">
      <alignment horizontal="center" vertical="center" wrapText="1"/>
    </xf>
    <xf numFmtId="3" fontId="2" fillId="19" borderId="8" xfId="0" applyNumberFormat="1" applyFont="1" applyFill="1" applyBorder="1" applyAlignment="1">
      <alignment horizontal="center" vertical="center" wrapText="1"/>
    </xf>
    <xf numFmtId="3" fontId="0" fillId="12" borderId="33" xfId="0" applyNumberFormat="1" applyFill="1" applyBorder="1" applyAlignment="1">
      <alignment horizontal="left" vertical="center" wrapText="1"/>
    </xf>
    <xf numFmtId="3" fontId="0" fillId="12" borderId="1" xfId="0" applyNumberFormat="1" applyFill="1" applyBorder="1" applyAlignment="1">
      <alignment horizontal="center" vertical="center" wrapText="1"/>
    </xf>
    <xf numFmtId="9" fontId="0" fillId="12" borderId="3" xfId="1" applyFont="1" applyFill="1" applyBorder="1" applyAlignment="1">
      <alignment horizontal="center" vertical="center" wrapText="1"/>
    </xf>
    <xf numFmtId="9" fontId="0" fillId="12" borderId="2" xfId="1" applyFont="1" applyFill="1" applyBorder="1" applyAlignment="1">
      <alignment horizontal="center" vertical="center" wrapText="1"/>
    </xf>
    <xf numFmtId="3" fontId="7" fillId="19" borderId="4" xfId="0" applyNumberFormat="1" applyFont="1" applyFill="1" applyBorder="1" applyAlignment="1">
      <alignment horizontal="left" vertical="center" wrapText="1"/>
    </xf>
    <xf numFmtId="3" fontId="7" fillId="19" borderId="13" xfId="0" applyNumberFormat="1" applyFont="1" applyFill="1" applyBorder="1" applyAlignment="1">
      <alignment horizontal="center" vertical="center" wrapText="1"/>
    </xf>
    <xf numFmtId="9" fontId="7" fillId="19" borderId="13" xfId="1" applyFont="1" applyFill="1" applyBorder="1" applyAlignment="1">
      <alignment horizontal="center" vertical="center" wrapText="1"/>
    </xf>
    <xf numFmtId="9" fontId="7" fillId="19" borderId="12" xfId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2" fillId="12" borderId="0" xfId="0" applyNumberFormat="1" applyFont="1" applyFill="1" applyAlignment="1">
      <alignment horizontal="left" vertical="center" wrapText="1"/>
    </xf>
    <xf numFmtId="3" fontId="2" fillId="10" borderId="0" xfId="0" applyNumberFormat="1" applyFont="1" applyFill="1" applyAlignment="1">
      <alignment horizontal="left" vertical="center" wrapText="1"/>
    </xf>
    <xf numFmtId="3" fontId="2" fillId="17" borderId="0" xfId="0" applyNumberFormat="1" applyFont="1" applyFill="1" applyAlignment="1">
      <alignment horizontal="left" vertical="center" wrapText="1"/>
    </xf>
    <xf numFmtId="3" fontId="2" fillId="17" borderId="0" xfId="0" applyNumberFormat="1" applyFont="1" applyFill="1" applyAlignment="1">
      <alignment horizontal="center" vertical="center" wrapText="1"/>
    </xf>
    <xf numFmtId="170" fontId="2" fillId="19" borderId="0" xfId="0" applyNumberFormat="1" applyFont="1" applyFill="1" applyAlignment="1">
      <alignment horizontal="center" vertical="center" wrapText="1"/>
    </xf>
    <xf numFmtId="168" fontId="0" fillId="2" borderId="0" xfId="0" applyNumberFormat="1" applyFill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170" fontId="2" fillId="2" borderId="0" xfId="0" applyNumberFormat="1" applyFont="1" applyFill="1" applyAlignment="1">
      <alignment horizontal="center" vertical="center" wrapText="1"/>
    </xf>
    <xf numFmtId="3" fontId="2" fillId="16" borderId="0" xfId="0" applyNumberFormat="1" applyFont="1" applyFill="1" applyAlignment="1">
      <alignment horizontal="center" vertical="center" wrapText="1"/>
    </xf>
    <xf numFmtId="3" fontId="0" fillId="13" borderId="0" xfId="0" applyNumberFormat="1" applyFill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left" vertical="center" wrapText="1"/>
    </xf>
    <xf numFmtId="3" fontId="0" fillId="0" borderId="0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9" fontId="0" fillId="0" borderId="0" xfId="1" applyFont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left" vertical="center" wrapText="1"/>
    </xf>
    <xf numFmtId="9" fontId="23" fillId="6" borderId="0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left" vertical="center" wrapText="1"/>
    </xf>
    <xf numFmtId="9" fontId="0" fillId="6" borderId="13" xfId="1" applyFon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 wrapText="1"/>
    </xf>
    <xf numFmtId="3" fontId="2" fillId="5" borderId="0" xfId="0" applyNumberFormat="1" applyFont="1" applyFill="1" applyBorder="1" applyAlignment="1">
      <alignment horizontal="left" vertical="center" wrapText="1"/>
    </xf>
    <xf numFmtId="3" fontId="2" fillId="5" borderId="0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6" borderId="13" xfId="0" applyFont="1" applyFill="1" applyBorder="1" applyAlignment="1">
      <alignment horizontal="left" vertical="center" wrapText="1"/>
    </xf>
    <xf numFmtId="3" fontId="25" fillId="21" borderId="0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center" vertical="center" wrapText="1"/>
    </xf>
    <xf numFmtId="3" fontId="7" fillId="5" borderId="0" xfId="0" applyNumberFormat="1" applyFont="1" applyFill="1" applyBorder="1" applyAlignment="1">
      <alignment horizontal="left" vertical="center" wrapText="1"/>
    </xf>
    <xf numFmtId="3" fontId="7" fillId="5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left" vertical="center" wrapText="1"/>
    </xf>
    <xf numFmtId="3" fontId="0" fillId="3" borderId="0" xfId="0" applyNumberFormat="1" applyFont="1" applyFill="1" applyBorder="1" applyAlignment="1">
      <alignment horizontal="left" vertical="center" wrapText="1"/>
    </xf>
    <xf numFmtId="3" fontId="0" fillId="3" borderId="0" xfId="0" applyNumberFormat="1" applyFont="1" applyFill="1" applyBorder="1" applyAlignment="1">
      <alignment horizontal="center" vertical="center" wrapText="1"/>
    </xf>
    <xf numFmtId="3" fontId="1" fillId="15" borderId="0" xfId="0" applyNumberFormat="1" applyFont="1" applyFill="1" applyBorder="1" applyAlignment="1">
      <alignment horizontal="center" vertical="center" wrapText="1"/>
    </xf>
    <xf numFmtId="3" fontId="0" fillId="13" borderId="0" xfId="0" applyNumberForma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vertical="center" wrapText="1"/>
    </xf>
    <xf numFmtId="3" fontId="0" fillId="12" borderId="0" xfId="0" applyNumberFormat="1" applyFill="1" applyBorder="1" applyAlignment="1">
      <alignment horizontal="left" vertical="center" wrapText="1"/>
    </xf>
    <xf numFmtId="3" fontId="0" fillId="12" borderId="0" xfId="0" applyNumberFormat="1" applyFill="1" applyBorder="1" applyAlignment="1">
      <alignment horizontal="center" vertical="center" wrapText="1"/>
    </xf>
    <xf numFmtId="3" fontId="0" fillId="10" borderId="0" xfId="0" applyNumberFormat="1" applyFill="1" applyBorder="1" applyAlignment="1">
      <alignment horizontal="left" vertical="center" wrapText="1"/>
    </xf>
    <xf numFmtId="3" fontId="0" fillId="10" borderId="0" xfId="0" applyNumberForma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 wrapText="1"/>
    </xf>
    <xf numFmtId="3" fontId="0" fillId="12" borderId="10" xfId="0" applyNumberFormat="1" applyFill="1" applyBorder="1" applyAlignment="1">
      <alignment horizontal="center" vertical="center" wrapText="1"/>
    </xf>
    <xf numFmtId="3" fontId="2" fillId="12" borderId="13" xfId="0" applyNumberFormat="1" applyFont="1" applyFill="1" applyBorder="1" applyAlignment="1">
      <alignment horizontal="center" vertical="center" wrapText="1"/>
    </xf>
    <xf numFmtId="3" fontId="2" fillId="12" borderId="12" xfId="0" applyNumberFormat="1" applyFont="1" applyFill="1" applyBorder="1" applyAlignment="1">
      <alignment horizontal="center" vertical="center" wrapText="1"/>
    </xf>
    <xf numFmtId="3" fontId="2" fillId="19" borderId="0" xfId="0" applyNumberFormat="1" applyFont="1" applyFill="1" applyBorder="1" applyAlignment="1">
      <alignment horizontal="left" vertical="center" wrapText="1"/>
    </xf>
    <xf numFmtId="4" fontId="0" fillId="12" borderId="0" xfId="0" applyNumberFormat="1" applyFill="1" applyBorder="1" applyAlignment="1">
      <alignment horizontal="center" vertical="center" wrapText="1"/>
    </xf>
    <xf numFmtId="4" fontId="2" fillId="19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left" vertical="center" wrapText="1"/>
    </xf>
    <xf numFmtId="3" fontId="6" fillId="12" borderId="0" xfId="0" applyNumberFormat="1" applyFont="1" applyFill="1" applyBorder="1" applyAlignment="1">
      <alignment horizontal="left" vertical="center" wrapText="1"/>
    </xf>
    <xf numFmtId="3" fontId="7" fillId="19" borderId="0" xfId="0" applyNumberFormat="1" applyFont="1" applyFill="1" applyBorder="1" applyAlignment="1">
      <alignment horizontal="left" vertical="center" wrapText="1"/>
    </xf>
    <xf numFmtId="3" fontId="1" fillId="18" borderId="0" xfId="0" applyNumberFormat="1" applyFont="1" applyFill="1" applyBorder="1" applyAlignment="1">
      <alignment horizontal="left" vertical="center" wrapText="1"/>
    </xf>
    <xf numFmtId="3" fontId="5" fillId="18" borderId="0" xfId="0" applyNumberFormat="1" applyFont="1" applyFill="1" applyBorder="1" applyAlignment="1">
      <alignment horizontal="left" vertical="center" wrapText="1"/>
    </xf>
    <xf numFmtId="3" fontId="1" fillId="18" borderId="0" xfId="0" applyNumberFormat="1" applyFont="1" applyFill="1" applyBorder="1" applyAlignment="1">
      <alignment horizontal="center" vertical="center" wrapText="1"/>
    </xf>
    <xf numFmtId="3" fontId="28" fillId="23" borderId="0" xfId="0" applyNumberFormat="1" applyFont="1" applyFill="1" applyBorder="1" applyAlignment="1">
      <alignment horizontal="left" vertical="center" wrapText="1"/>
    </xf>
    <xf numFmtId="3" fontId="29" fillId="23" borderId="0" xfId="0" applyNumberFormat="1" applyFont="1" applyFill="1" applyBorder="1" applyAlignment="1">
      <alignment horizontal="left" vertical="center" wrapText="1"/>
    </xf>
    <xf numFmtId="3" fontId="28" fillId="23" borderId="0" xfId="0" applyNumberFormat="1" applyFont="1" applyFill="1" applyBorder="1" applyAlignment="1">
      <alignment horizontal="center" vertical="center" wrapText="1"/>
    </xf>
    <xf numFmtId="166" fontId="28" fillId="23" borderId="0" xfId="0" applyNumberFormat="1" applyFont="1" applyFill="1" applyBorder="1" applyAlignment="1">
      <alignment horizontal="center" vertical="center" wrapText="1"/>
    </xf>
    <xf numFmtId="3" fontId="2" fillId="7" borderId="0" xfId="0" applyNumberFormat="1" applyFont="1" applyFill="1" applyAlignment="1">
      <alignment horizontal="left" vertical="center" wrapText="1"/>
    </xf>
    <xf numFmtId="3" fontId="1" fillId="18" borderId="0" xfId="0" applyNumberFormat="1" applyFont="1" applyFill="1" applyAlignment="1">
      <alignment horizontal="center" vertical="center" wrapText="1"/>
    </xf>
    <xf numFmtId="0" fontId="3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30" fillId="0" borderId="3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0" fontId="30" fillId="0" borderId="12" xfId="0" applyFont="1" applyBorder="1" applyAlignment="1">
      <alignment vertical="center" wrapText="1"/>
    </xf>
    <xf numFmtId="0" fontId="33" fillId="10" borderId="5" xfId="0" applyFont="1" applyFill="1" applyBorder="1" applyAlignment="1">
      <alignment vertical="center"/>
    </xf>
    <xf numFmtId="168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left" vertical="center" wrapText="1"/>
    </xf>
    <xf numFmtId="168" fontId="2" fillId="0" borderId="8" xfId="0" applyNumberFormat="1" applyFont="1" applyBorder="1" applyAlignment="1">
      <alignment horizontal="center" vertical="center" wrapText="1"/>
    </xf>
    <xf numFmtId="9" fontId="33" fillId="10" borderId="5" xfId="1" applyFont="1" applyFill="1" applyBorder="1" applyAlignment="1">
      <alignment horizontal="center" vertical="center"/>
    </xf>
    <xf numFmtId="9" fontId="34" fillId="10" borderId="5" xfId="1" applyFont="1" applyFill="1" applyBorder="1" applyAlignment="1">
      <alignment horizontal="center" vertical="center"/>
    </xf>
    <xf numFmtId="3" fontId="33" fillId="10" borderId="5" xfId="0" applyNumberFormat="1" applyFont="1" applyFill="1" applyBorder="1" applyAlignment="1">
      <alignment horizontal="center" vertical="center"/>
    </xf>
    <xf numFmtId="3" fontId="34" fillId="10" borderId="5" xfId="0" applyNumberFormat="1" applyFont="1" applyFill="1" applyBorder="1" applyAlignment="1">
      <alignment horizontal="center" vertical="center"/>
    </xf>
    <xf numFmtId="3" fontId="2" fillId="24" borderId="11" xfId="0" applyNumberFormat="1" applyFont="1" applyFill="1" applyBorder="1" applyAlignment="1">
      <alignment horizontal="left" vertical="center" wrapText="1"/>
    </xf>
    <xf numFmtId="168" fontId="2" fillId="24" borderId="4" xfId="0" applyNumberFormat="1" applyFont="1" applyFill="1" applyBorder="1" applyAlignment="1">
      <alignment horizontal="center" vertical="center" wrapText="1"/>
    </xf>
    <xf numFmtId="3" fontId="2" fillId="24" borderId="12" xfId="0" applyNumberFormat="1" applyFont="1" applyFill="1" applyBorder="1" applyAlignment="1">
      <alignment horizontal="center" vertical="center" wrapText="1"/>
    </xf>
    <xf numFmtId="3" fontId="2" fillId="24" borderId="33" xfId="0" applyNumberFormat="1" applyFont="1" applyFill="1" applyBorder="1" applyAlignment="1">
      <alignment horizontal="center" vertical="center" wrapText="1"/>
    </xf>
    <xf numFmtId="3" fontId="32" fillId="24" borderId="33" xfId="0" applyNumberFormat="1" applyFont="1" applyFill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horizontal="center" vertical="center" wrapText="1"/>
    </xf>
    <xf numFmtId="3" fontId="2" fillId="24" borderId="4" xfId="0" applyNumberFormat="1" applyFont="1" applyFill="1" applyBorder="1" applyAlignment="1">
      <alignment horizontal="center" vertical="center" wrapText="1"/>
    </xf>
    <xf numFmtId="3" fontId="0" fillId="13" borderId="9" xfId="0" applyNumberFormat="1" applyFill="1" applyBorder="1" applyAlignment="1">
      <alignment horizontal="left" vertical="center" wrapText="1"/>
    </xf>
    <xf numFmtId="168" fontId="0" fillId="13" borderId="8" xfId="0" applyNumberFormat="1" applyFill="1" applyBorder="1" applyAlignment="1">
      <alignment horizontal="center" vertical="center" wrapText="1"/>
    </xf>
    <xf numFmtId="3" fontId="0" fillId="13" borderId="10" xfId="0" applyNumberFormat="1" applyFill="1" applyBorder="1" applyAlignment="1">
      <alignment horizontal="center" vertical="center" wrapText="1"/>
    </xf>
    <xf numFmtId="3" fontId="2" fillId="13" borderId="9" xfId="0" applyNumberFormat="1" applyFont="1" applyFill="1" applyBorder="1" applyAlignment="1">
      <alignment horizontal="center" vertical="center" wrapText="1"/>
    </xf>
    <xf numFmtId="3" fontId="1" fillId="21" borderId="0" xfId="0" applyNumberFormat="1" applyFon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left" vertical="center" wrapText="1"/>
    </xf>
    <xf numFmtId="168" fontId="7" fillId="17" borderId="0" xfId="0" applyNumberFormat="1" applyFont="1" applyFill="1" applyAlignment="1">
      <alignment horizontal="center" vertical="center" wrapText="1"/>
    </xf>
    <xf numFmtId="3" fontId="0" fillId="3" borderId="0" xfId="0" applyNumberFormat="1" applyFill="1" applyAlignment="1">
      <alignment horizontal="left" vertical="center" wrapText="1"/>
    </xf>
    <xf numFmtId="3" fontId="35" fillId="12" borderId="0" xfId="0" applyNumberFormat="1" applyFont="1" applyFill="1" applyAlignment="1">
      <alignment horizontal="center" vertical="center" wrapText="1"/>
    </xf>
    <xf numFmtId="170" fontId="6" fillId="10" borderId="0" xfId="0" applyNumberFormat="1" applyFont="1" applyFill="1" applyAlignment="1">
      <alignment horizontal="center" vertical="center" wrapText="1"/>
    </xf>
    <xf numFmtId="170" fontId="7" fillId="10" borderId="0" xfId="0" applyNumberFormat="1" applyFont="1" applyFill="1" applyAlignment="1">
      <alignment horizontal="center" vertical="center" wrapText="1"/>
    </xf>
    <xf numFmtId="3" fontId="36" fillId="19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3" fontId="0" fillId="0" borderId="8" xfId="0" applyNumberFormat="1" applyBorder="1" applyAlignment="1">
      <alignment horizontal="left" vertical="center" wrapText="1"/>
    </xf>
    <xf numFmtId="3" fontId="0" fillId="0" borderId="0" xfId="0" applyNumberFormat="1" applyBorder="1" applyAlignment="1">
      <alignment horizontal="left" vertical="center" wrapText="1"/>
    </xf>
    <xf numFmtId="3" fontId="0" fillId="0" borderId="4" xfId="0" applyNumberFormat="1" applyBorder="1" applyAlignment="1">
      <alignment horizontal="left" vertical="center" wrapText="1"/>
    </xf>
    <xf numFmtId="168" fontId="37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left" vertical="center" wrapText="1"/>
    </xf>
    <xf numFmtId="3" fontId="0" fillId="0" borderId="8" xfId="0" applyNumberFormat="1" applyBorder="1" applyAlignment="1">
      <alignment horizontal="left" vertical="center" wrapText="1"/>
    </xf>
    <xf numFmtId="3" fontId="0" fillId="0" borderId="0" xfId="0" applyNumberFormat="1" applyBorder="1" applyAlignment="1">
      <alignment horizontal="left" vertical="center" wrapText="1"/>
    </xf>
    <xf numFmtId="3" fontId="0" fillId="0" borderId="4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3" fontId="0" fillId="7" borderId="0" xfId="0" applyNumberFormat="1" applyFill="1" applyBorder="1" applyAlignment="1">
      <alignment horizontal="left" vertical="center" wrapText="1"/>
    </xf>
    <xf numFmtId="3" fontId="2" fillId="8" borderId="0" xfId="0" applyNumberFormat="1" applyFont="1" applyFill="1" applyBorder="1" applyAlignment="1">
      <alignment horizontal="left" vertical="center" wrapText="1"/>
    </xf>
    <xf numFmtId="3" fontId="2" fillId="17" borderId="0" xfId="0" applyNumberFormat="1" applyFont="1" applyFill="1" applyBorder="1" applyAlignment="1">
      <alignment horizontal="center" vertical="center" wrapText="1"/>
    </xf>
    <xf numFmtId="3" fontId="2" fillId="10" borderId="0" xfId="0" applyNumberFormat="1" applyFont="1" applyFill="1" applyBorder="1" applyAlignment="1">
      <alignment horizontal="center" vertical="center" wrapText="1"/>
    </xf>
    <xf numFmtId="3" fontId="2" fillId="8" borderId="0" xfId="0" applyNumberFormat="1" applyFont="1" applyFill="1" applyBorder="1" applyAlignment="1">
      <alignment horizontal="center" vertical="center" wrapText="1"/>
    </xf>
    <xf numFmtId="3" fontId="2" fillId="7" borderId="0" xfId="0" applyNumberFormat="1" applyFont="1" applyFill="1" applyBorder="1" applyAlignment="1">
      <alignment horizontal="center" vertical="center" wrapText="1"/>
    </xf>
    <xf numFmtId="3" fontId="2" fillId="7" borderId="6" xfId="0" applyNumberFormat="1" applyFont="1" applyFill="1" applyBorder="1" applyAlignment="1">
      <alignment horizontal="left" vertical="center" wrapText="1"/>
    </xf>
    <xf numFmtId="3" fontId="2" fillId="10" borderId="26" xfId="0" applyNumberFormat="1" applyFont="1" applyFill="1" applyBorder="1" applyAlignment="1">
      <alignment horizontal="center" vertical="center" wrapText="1"/>
    </xf>
    <xf numFmtId="3" fontId="2" fillId="7" borderId="7" xfId="0" applyNumberFormat="1" applyFont="1" applyFill="1" applyBorder="1" applyAlignment="1">
      <alignment horizontal="center" vertical="center" wrapText="1"/>
    </xf>
    <xf numFmtId="3" fontId="0" fillId="10" borderId="0" xfId="0" applyNumberFormat="1" applyFont="1" applyFill="1" applyBorder="1" applyAlignment="1">
      <alignment horizontal="center" vertical="center" wrapText="1"/>
    </xf>
    <xf numFmtId="3" fontId="0" fillId="7" borderId="0" xfId="0" applyNumberFormat="1" applyFont="1" applyFill="1" applyBorder="1" applyAlignment="1">
      <alignment horizontal="center" vertical="center" wrapText="1"/>
    </xf>
    <xf numFmtId="3" fontId="0" fillId="7" borderId="1" xfId="0" applyNumberFormat="1" applyFont="1" applyFill="1" applyBorder="1" applyAlignment="1">
      <alignment horizontal="left" vertical="center" wrapText="1"/>
    </xf>
    <xf numFmtId="3" fontId="0" fillId="10" borderId="2" xfId="0" applyNumberFormat="1" applyFont="1" applyFill="1" applyBorder="1" applyAlignment="1">
      <alignment horizontal="center" vertical="center" wrapText="1"/>
    </xf>
    <xf numFmtId="3" fontId="0" fillId="7" borderId="2" xfId="0" applyNumberFormat="1" applyFont="1" applyFill="1" applyBorder="1" applyAlignment="1">
      <alignment horizontal="center" vertical="center" wrapText="1"/>
    </xf>
    <xf numFmtId="3" fontId="0" fillId="7" borderId="4" xfId="0" applyNumberFormat="1" applyFont="1" applyFill="1" applyBorder="1" applyAlignment="1">
      <alignment horizontal="left" vertical="center" wrapText="1"/>
    </xf>
    <xf numFmtId="3" fontId="0" fillId="10" borderId="13" xfId="0" applyNumberFormat="1" applyFont="1" applyFill="1" applyBorder="1" applyAlignment="1">
      <alignment horizontal="center" vertical="center" wrapText="1"/>
    </xf>
    <xf numFmtId="3" fontId="0" fillId="7" borderId="13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left" vertical="center" wrapText="1"/>
    </xf>
    <xf numFmtId="3" fontId="0" fillId="7" borderId="8" xfId="0" applyNumberFormat="1" applyFont="1" applyFill="1" applyBorder="1" applyAlignment="1">
      <alignment horizontal="left" vertical="center" wrapText="1"/>
    </xf>
    <xf numFmtId="3" fontId="2" fillId="7" borderId="8" xfId="0" applyNumberFormat="1" applyFont="1" applyFill="1" applyBorder="1" applyAlignment="1">
      <alignment horizontal="left" vertical="center" wrapText="1"/>
    </xf>
    <xf numFmtId="3" fontId="2" fillId="7" borderId="4" xfId="0" applyNumberFormat="1" applyFont="1" applyFill="1" applyBorder="1" applyAlignment="1">
      <alignment horizontal="left" vertical="center" wrapText="1"/>
    </xf>
    <xf numFmtId="3" fontId="2" fillId="10" borderId="13" xfId="0" applyNumberFormat="1" applyFont="1" applyFill="1" applyBorder="1" applyAlignment="1">
      <alignment horizontal="center" vertical="center" wrapText="1"/>
    </xf>
    <xf numFmtId="3" fontId="2" fillId="7" borderId="1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left" vertical="center" wrapText="1"/>
    </xf>
    <xf numFmtId="3" fontId="0" fillId="0" borderId="0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3" fontId="2" fillId="7" borderId="3" xfId="0" applyNumberFormat="1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left" vertical="center" wrapText="1"/>
    </xf>
    <xf numFmtId="3" fontId="0" fillId="0" borderId="7" xfId="0" applyNumberForma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0" fillId="7" borderId="1" xfId="0" applyNumberFormat="1" applyFill="1" applyBorder="1" applyAlignment="1">
      <alignment horizontal="left" vertical="center" wrapText="1"/>
    </xf>
    <xf numFmtId="3" fontId="0" fillId="10" borderId="2" xfId="0" applyNumberFormat="1" applyFill="1" applyBorder="1" applyAlignment="1">
      <alignment horizontal="center" vertical="center" wrapText="1"/>
    </xf>
    <xf numFmtId="3" fontId="0" fillId="7" borderId="4" xfId="0" applyNumberFormat="1" applyFill="1" applyBorder="1" applyAlignment="1">
      <alignment horizontal="left" vertical="center" wrapText="1"/>
    </xf>
    <xf numFmtId="3" fontId="0" fillId="10" borderId="13" xfId="0" applyNumberFormat="1" applyFill="1" applyBorder="1" applyAlignment="1">
      <alignment horizontal="center" vertical="center" wrapText="1"/>
    </xf>
    <xf numFmtId="3" fontId="2" fillId="7" borderId="13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Alignment="1">
      <alignment horizontal="center" vertical="center" wrapText="1"/>
    </xf>
    <xf numFmtId="3" fontId="1" fillId="4" borderId="0" xfId="0" applyNumberFormat="1" applyFont="1" applyFill="1" applyAlignment="1">
      <alignment horizontal="center"/>
    </xf>
    <xf numFmtId="3" fontId="1" fillId="4" borderId="0" xfId="0" applyNumberFormat="1" applyFont="1" applyFill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left" vertical="center" wrapText="1"/>
    </xf>
    <xf numFmtId="3" fontId="7" fillId="7" borderId="2" xfId="0" applyNumberFormat="1" applyFont="1" applyFill="1" applyBorder="1" applyAlignment="1">
      <alignment horizontal="left" vertical="center" wrapText="1"/>
    </xf>
    <xf numFmtId="3" fontId="7" fillId="7" borderId="3" xfId="0" applyNumberFormat="1" applyFont="1" applyFill="1" applyBorder="1" applyAlignment="1">
      <alignment horizontal="left" vertical="center" wrapText="1"/>
    </xf>
    <xf numFmtId="3" fontId="7" fillId="7" borderId="4" xfId="0" applyNumberFormat="1" applyFont="1" applyFill="1" applyBorder="1" applyAlignment="1">
      <alignment horizontal="left" vertical="center" wrapText="1"/>
    </xf>
    <xf numFmtId="3" fontId="7" fillId="7" borderId="13" xfId="0" applyNumberFormat="1" applyFont="1" applyFill="1" applyBorder="1" applyAlignment="1">
      <alignment horizontal="left" vertical="center" wrapText="1"/>
    </xf>
    <xf numFmtId="3" fontId="7" fillId="7" borderId="12" xfId="0" applyNumberFormat="1" applyFont="1" applyFill="1" applyBorder="1" applyAlignment="1">
      <alignment horizontal="left" vertical="center" wrapText="1"/>
    </xf>
    <xf numFmtId="3" fontId="0" fillId="0" borderId="8" xfId="0" applyNumberFormat="1" applyBorder="1" applyAlignment="1">
      <alignment horizontal="left" vertical="center" wrapText="1"/>
    </xf>
    <xf numFmtId="3" fontId="0" fillId="0" borderId="0" xfId="0" applyNumberFormat="1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center" wrapText="1"/>
    </xf>
    <xf numFmtId="3" fontId="0" fillId="0" borderId="4" xfId="0" applyNumberFormat="1" applyBorder="1" applyAlignment="1">
      <alignment horizontal="left" vertical="center" wrapText="1"/>
    </xf>
    <xf numFmtId="3" fontId="0" fillId="0" borderId="13" xfId="0" applyNumberFormat="1" applyBorder="1" applyAlignment="1">
      <alignment horizontal="left" vertical="center" wrapText="1"/>
    </xf>
    <xf numFmtId="3" fontId="0" fillId="0" borderId="12" xfId="0" applyNumberFormat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3" fontId="0" fillId="0" borderId="2" xfId="0" applyNumberFormat="1" applyBorder="1" applyAlignment="1">
      <alignment horizontal="left" vertical="center" wrapText="1"/>
    </xf>
    <xf numFmtId="3" fontId="0" fillId="0" borderId="3" xfId="0" applyNumberFormat="1" applyBorder="1" applyAlignment="1">
      <alignment horizontal="left" vertical="center" wrapText="1"/>
    </xf>
    <xf numFmtId="3" fontId="1" fillId="11" borderId="0" xfId="0" applyNumberFormat="1" applyFont="1" applyFill="1" applyAlignment="1">
      <alignment horizontal="center" vertical="center" wrapText="1"/>
    </xf>
    <xf numFmtId="0" fontId="9" fillId="0" borderId="2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3" fontId="2" fillId="7" borderId="0" xfId="0" applyNumberFormat="1" applyFont="1" applyFill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14" fillId="14" borderId="8" xfId="0" applyNumberFormat="1" applyFont="1" applyFill="1" applyBorder="1" applyAlignment="1">
      <alignment horizontal="left" vertical="center" wrapText="1"/>
    </xf>
    <xf numFmtId="3" fontId="14" fillId="14" borderId="0" xfId="0" applyNumberFormat="1" applyFont="1" applyFill="1" applyBorder="1" applyAlignment="1">
      <alignment horizontal="left" vertical="center" wrapText="1"/>
    </xf>
    <xf numFmtId="3" fontId="14" fillId="14" borderId="10" xfId="0" applyNumberFormat="1" applyFont="1" applyFill="1" applyBorder="1" applyAlignment="1">
      <alignment horizontal="left" vertical="center" wrapText="1"/>
    </xf>
    <xf numFmtId="3" fontId="14" fillId="14" borderId="4" xfId="0" applyNumberFormat="1" applyFont="1" applyFill="1" applyBorder="1" applyAlignment="1">
      <alignment horizontal="left" vertical="center" wrapText="1"/>
    </xf>
    <xf numFmtId="3" fontId="14" fillId="14" borderId="13" xfId="0" applyNumberFormat="1" applyFont="1" applyFill="1" applyBorder="1" applyAlignment="1">
      <alignment horizontal="left" vertical="center" wrapText="1"/>
    </xf>
    <xf numFmtId="3" fontId="14" fillId="14" borderId="12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32" xfId="0" applyNumberFormat="1" applyBorder="1" applyAlignment="1">
      <alignment horizontal="left" vertical="center" wrapText="1"/>
    </xf>
    <xf numFmtId="3" fontId="0" fillId="0" borderId="31" xfId="0" applyNumberFormat="1" applyBorder="1" applyAlignment="1">
      <alignment horizontal="left" vertical="center" wrapText="1"/>
    </xf>
    <xf numFmtId="3" fontId="0" fillId="0" borderId="30" xfId="0" applyNumberFormat="1" applyBorder="1" applyAlignment="1">
      <alignment horizontal="left" vertical="center" wrapText="1"/>
    </xf>
    <xf numFmtId="3" fontId="0" fillId="0" borderId="29" xfId="0" applyNumberFormat="1" applyBorder="1" applyAlignment="1">
      <alignment horizontal="left" vertical="center" wrapText="1"/>
    </xf>
    <xf numFmtId="3" fontId="0" fillId="0" borderId="28" xfId="0" applyNumberFormat="1" applyBorder="1" applyAlignment="1">
      <alignment horizontal="left" vertical="center" wrapText="1"/>
    </xf>
    <xf numFmtId="3" fontId="0" fillId="0" borderId="27" xfId="0" applyNumberFormat="1" applyBorder="1" applyAlignment="1">
      <alignment horizontal="left" vertical="center" wrapText="1"/>
    </xf>
    <xf numFmtId="3" fontId="15" fillId="14" borderId="1" xfId="0" applyNumberFormat="1" applyFont="1" applyFill="1" applyBorder="1" applyAlignment="1">
      <alignment horizontal="left" vertical="center" wrapText="1"/>
    </xf>
    <xf numFmtId="3" fontId="15" fillId="14" borderId="2" xfId="0" applyNumberFormat="1" applyFont="1" applyFill="1" applyBorder="1" applyAlignment="1">
      <alignment horizontal="left" vertical="center" wrapText="1"/>
    </xf>
    <xf numFmtId="3" fontId="15" fillId="14" borderId="3" xfId="0" applyNumberFormat="1" applyFont="1" applyFill="1" applyBorder="1" applyAlignment="1">
      <alignment horizontal="left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2" xfId="0" applyNumberFormat="1" applyFont="1" applyBorder="1" applyAlignment="1">
      <alignment horizontal="left" vertical="center" wrapText="1"/>
    </xf>
    <xf numFmtId="3" fontId="17" fillId="0" borderId="3" xfId="0" applyNumberFormat="1" applyFont="1" applyBorder="1" applyAlignment="1">
      <alignment horizontal="left" vertic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9" fillId="4" borderId="3" xfId="0" applyNumberFormat="1" applyFont="1" applyFill="1" applyBorder="1" applyAlignment="1">
      <alignment horizontal="center" vertical="center" wrapText="1"/>
    </xf>
    <xf numFmtId="3" fontId="19" fillId="4" borderId="10" xfId="0" applyNumberFormat="1" applyFont="1" applyFill="1" applyBorder="1" applyAlignment="1">
      <alignment horizontal="center" vertical="center" wrapText="1"/>
    </xf>
    <xf numFmtId="3" fontId="21" fillId="10" borderId="8" xfId="0" applyNumberFormat="1" applyFont="1" applyFill="1" applyBorder="1" applyAlignment="1">
      <alignment horizontal="center" vertical="center" wrapText="1"/>
    </xf>
    <xf numFmtId="3" fontId="21" fillId="10" borderId="0" xfId="0" applyNumberFormat="1" applyFont="1" applyFill="1" applyBorder="1" applyAlignment="1">
      <alignment horizontal="center" vertical="center" wrapText="1"/>
    </xf>
    <xf numFmtId="3" fontId="21" fillId="10" borderId="10" xfId="0" applyNumberFormat="1" applyFont="1" applyFill="1" applyBorder="1" applyAlignment="1">
      <alignment horizontal="center" vertical="center" wrapText="1"/>
    </xf>
    <xf numFmtId="3" fontId="20" fillId="4" borderId="1" xfId="0" applyNumberFormat="1" applyFont="1" applyFill="1" applyBorder="1" applyAlignment="1">
      <alignment horizontal="center" vertical="center" wrapText="1"/>
    </xf>
    <xf numFmtId="3" fontId="20" fillId="4" borderId="2" xfId="0" applyNumberFormat="1" applyFont="1" applyFill="1" applyBorder="1" applyAlignment="1">
      <alignment horizontal="center" vertical="center" wrapText="1"/>
    </xf>
    <xf numFmtId="3" fontId="20" fillId="4" borderId="3" xfId="0" applyNumberFormat="1" applyFont="1" applyFill="1" applyBorder="1" applyAlignment="1">
      <alignment horizontal="center" vertical="center" wrapText="1"/>
    </xf>
    <xf numFmtId="3" fontId="1" fillId="11" borderId="8" xfId="0" applyNumberFormat="1" applyFont="1" applyFill="1" applyBorder="1" applyAlignment="1">
      <alignment horizontal="center" vertical="center" wrapText="1"/>
    </xf>
    <xf numFmtId="3" fontId="1" fillId="11" borderId="0" xfId="0" applyNumberFormat="1" applyFont="1" applyFill="1" applyBorder="1" applyAlignment="1">
      <alignment horizontal="center" vertical="center" wrapText="1"/>
    </xf>
    <xf numFmtId="3" fontId="1" fillId="18" borderId="0" xfId="0" applyNumberFormat="1" applyFont="1" applyFill="1" applyAlignment="1">
      <alignment horizontal="center" vertical="center" wrapText="1"/>
    </xf>
    <xf numFmtId="3" fontId="1" fillId="11" borderId="1" xfId="0" applyNumberFormat="1" applyFont="1" applyFill="1" applyBorder="1" applyAlignment="1">
      <alignment horizontal="center" vertical="center" wrapText="1"/>
    </xf>
    <xf numFmtId="3" fontId="1" fillId="11" borderId="3" xfId="0" applyNumberFormat="1" applyFont="1" applyFill="1" applyBorder="1" applyAlignment="1">
      <alignment horizontal="center" vertical="center" wrapText="1"/>
    </xf>
    <xf numFmtId="3" fontId="2" fillId="20" borderId="0" xfId="0" applyNumberFormat="1" applyFont="1" applyFill="1" applyAlignment="1">
      <alignment horizontal="center" vertical="center" wrapText="1"/>
    </xf>
    <xf numFmtId="3" fontId="3" fillId="17" borderId="0" xfId="0" applyNumberFormat="1" applyFont="1" applyFill="1" applyAlignment="1">
      <alignment horizontal="center" vertical="center" wrapText="1"/>
    </xf>
    <xf numFmtId="3" fontId="2" fillId="19" borderId="0" xfId="0" applyNumberFormat="1" applyFont="1" applyFill="1" applyAlignment="1">
      <alignment horizontal="center" vertical="center" wrapText="1"/>
    </xf>
    <xf numFmtId="3" fontId="20" fillId="21" borderId="0" xfId="0" applyNumberFormat="1" applyFont="1" applyFill="1" applyBorder="1" applyAlignment="1">
      <alignment horizontal="center" vertical="center" wrapText="1"/>
    </xf>
    <xf numFmtId="3" fontId="27" fillId="15" borderId="0" xfId="0" applyNumberFormat="1" applyFont="1" applyFill="1" applyBorder="1" applyAlignment="1">
      <alignment horizontal="center" vertical="center" wrapText="1"/>
    </xf>
    <xf numFmtId="3" fontId="26" fillId="9" borderId="0" xfId="0" applyNumberFormat="1" applyFont="1" applyFill="1" applyBorder="1" applyAlignment="1">
      <alignment horizontal="center" vertical="center" wrapText="1"/>
    </xf>
    <xf numFmtId="3" fontId="1" fillId="22" borderId="0" xfId="0" applyNumberFormat="1" applyFont="1" applyFill="1" applyBorder="1" applyAlignment="1">
      <alignment horizontal="center" vertical="center" wrapText="1"/>
    </xf>
    <xf numFmtId="3" fontId="32" fillId="24" borderId="1" xfId="0" applyNumberFormat="1" applyFont="1" applyFill="1" applyBorder="1" applyAlignment="1">
      <alignment horizontal="center" vertical="center" wrapText="1"/>
    </xf>
    <xf numFmtId="3" fontId="32" fillId="24" borderId="3" xfId="0" applyNumberFormat="1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 horizontal="center" vertical="center" wrapText="1"/>
    </xf>
    <xf numFmtId="3" fontId="2" fillId="7" borderId="1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33" fillId="10" borderId="8" xfId="0" applyFont="1" applyFill="1" applyBorder="1" applyAlignment="1">
      <alignment vertical="center"/>
    </xf>
    <xf numFmtId="3" fontId="33" fillId="10" borderId="0" xfId="0" applyNumberFormat="1" applyFont="1" applyFill="1" applyBorder="1" applyAlignment="1">
      <alignment horizontal="center" vertical="center"/>
    </xf>
    <xf numFmtId="3" fontId="7" fillId="10" borderId="0" xfId="0" applyNumberFormat="1" applyFont="1" applyFill="1" applyBorder="1" applyAlignment="1">
      <alignment horizontal="center" vertical="center" wrapText="1"/>
    </xf>
    <xf numFmtId="9" fontId="33" fillId="10" borderId="0" xfId="1" applyNumberFormat="1" applyFont="1" applyFill="1" applyBorder="1" applyAlignment="1">
      <alignment horizontal="center" vertical="center"/>
    </xf>
    <xf numFmtId="3" fontId="7" fillId="10" borderId="10" xfId="0" applyNumberFormat="1" applyFont="1" applyFill="1" applyBorder="1" applyAlignment="1">
      <alignment horizontal="center" vertical="center" wrapText="1"/>
    </xf>
    <xf numFmtId="9" fontId="7" fillId="10" borderId="10" xfId="1" applyNumberFormat="1" applyFont="1" applyFill="1" applyBorder="1" applyAlignment="1">
      <alignment horizontal="center" vertical="center" wrapText="1"/>
    </xf>
    <xf numFmtId="170" fontId="39" fillId="0" borderId="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9" fontId="12" fillId="0" borderId="2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0" fillId="7" borderId="6" xfId="0" applyNumberFormat="1" applyFill="1" applyBorder="1" applyAlignment="1">
      <alignment horizontal="left" vertical="center" wrapText="1"/>
    </xf>
    <xf numFmtId="3" fontId="0" fillId="10" borderId="26" xfId="0" applyNumberForma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 horizontal="center" vertical="center" wrapText="1"/>
    </xf>
    <xf numFmtId="3" fontId="2" fillId="7" borderId="7" xfId="0" applyNumberFormat="1" applyFont="1" applyFill="1" applyBorder="1" applyAlignment="1">
      <alignment horizontal="center" vertical="center" wrapText="1"/>
    </xf>
    <xf numFmtId="3" fontId="2" fillId="7" borderId="0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left" vertical="center" wrapText="1"/>
    </xf>
    <xf numFmtId="3" fontId="2" fillId="10" borderId="2" xfId="0" applyNumberFormat="1" applyFont="1" applyFill="1" applyBorder="1" applyAlignment="1">
      <alignment horizontal="center" vertical="center" wrapText="1"/>
    </xf>
    <xf numFmtId="3" fontId="3" fillId="7" borderId="8" xfId="0" applyNumberFormat="1" applyFont="1" applyFill="1" applyBorder="1" applyAlignment="1">
      <alignment horizontal="left" vertical="center" wrapText="1"/>
    </xf>
    <xf numFmtId="3" fontId="6" fillId="10" borderId="0" xfId="0" applyNumberFormat="1" applyFont="1" applyFill="1" applyBorder="1" applyAlignment="1">
      <alignment horizontal="left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3" fontId="28" fillId="9" borderId="0" xfId="0" applyNumberFormat="1" applyFont="1" applyFill="1" applyBorder="1" applyAlignment="1">
      <alignment horizontal="left" vertical="center" wrapText="1"/>
    </xf>
    <xf numFmtId="3" fontId="1" fillId="9" borderId="0" xfId="0" applyNumberFormat="1" applyFont="1" applyFill="1" applyBorder="1" applyAlignment="1">
      <alignment horizontal="center" vertical="center" wrapText="1"/>
    </xf>
    <xf numFmtId="3" fontId="1" fillId="9" borderId="0" xfId="0" applyNumberFormat="1" applyFont="1" applyFill="1" applyBorder="1" applyAlignment="1">
      <alignment horizontal="center" vertical="center" wrapText="1"/>
    </xf>
    <xf numFmtId="3" fontId="38" fillId="8" borderId="0" xfId="0" applyNumberFormat="1" applyFont="1" applyFill="1" applyBorder="1" applyAlignment="1">
      <alignment horizontal="left" vertical="center" wrapText="1"/>
    </xf>
    <xf numFmtId="3" fontId="32" fillId="8" borderId="0" xfId="0" applyNumberFormat="1" applyFont="1" applyFill="1" applyBorder="1" applyAlignment="1">
      <alignment horizontal="center" vertical="center" wrapText="1"/>
    </xf>
    <xf numFmtId="168" fontId="0" fillId="7" borderId="0" xfId="0" applyNumberFormat="1" applyFill="1" applyBorder="1" applyAlignment="1">
      <alignment horizontal="center" vertical="center" wrapText="1"/>
    </xf>
    <xf numFmtId="3" fontId="6" fillId="10" borderId="0" xfId="0" applyNumberFormat="1" applyFont="1" applyFill="1" applyBorder="1" applyAlignment="1">
      <alignment horizontal="center" vertical="center" wrapText="1"/>
    </xf>
    <xf numFmtId="3" fontId="2" fillId="7" borderId="0" xfId="0" applyNumberFormat="1" applyFont="1" applyFill="1" applyBorder="1" applyAlignment="1">
      <alignment horizontal="left" vertical="center" wrapText="1"/>
    </xf>
    <xf numFmtId="168" fontId="2" fillId="7" borderId="0" xfId="0" applyNumberFormat="1" applyFont="1" applyFill="1" applyBorder="1" applyAlignment="1">
      <alignment horizontal="center" vertical="center" wrapText="1"/>
    </xf>
    <xf numFmtId="3" fontId="6" fillId="10" borderId="0" xfId="0" applyNumberFormat="1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56"/>
  <sheetViews>
    <sheetView topLeftCell="A2" zoomScale="130" zoomScaleNormal="130" workbookViewId="0">
      <selection activeCell="F16" sqref="F16"/>
    </sheetView>
  </sheetViews>
  <sheetFormatPr defaultColWidth="9.140625" defaultRowHeight="15" x14ac:dyDescent="0.25"/>
  <cols>
    <col min="1" max="1" width="2.85546875" style="1" customWidth="1"/>
    <col min="2" max="2" width="37.7109375" style="1" customWidth="1"/>
    <col min="3" max="5" width="12.28515625" style="1" customWidth="1"/>
    <col min="6" max="16384" width="9.140625" style="1"/>
  </cols>
  <sheetData>
    <row r="2" spans="2:6" x14ac:dyDescent="0.25">
      <c r="B2" s="2" t="s">
        <v>0</v>
      </c>
      <c r="C2" s="1">
        <v>250000</v>
      </c>
    </row>
    <row r="3" spans="2:6" x14ac:dyDescent="0.25">
      <c r="B3" s="2" t="s">
        <v>1</v>
      </c>
      <c r="C3" s="1">
        <v>10</v>
      </c>
    </row>
    <row r="4" spans="2:6" x14ac:dyDescent="0.25">
      <c r="B4" s="2" t="s">
        <v>2</v>
      </c>
      <c r="C4" s="1">
        <v>50000</v>
      </c>
    </row>
    <row r="5" spans="2:6" x14ac:dyDescent="0.25">
      <c r="B5" s="2" t="s">
        <v>3</v>
      </c>
      <c r="C5" s="1">
        <f>+(C2-C4)/C3</f>
        <v>20000</v>
      </c>
    </row>
    <row r="6" spans="2:6" x14ac:dyDescent="0.25">
      <c r="B6" s="2" t="s">
        <v>16</v>
      </c>
      <c r="C6" s="1">
        <v>220000</v>
      </c>
    </row>
    <row r="7" spans="2:6" x14ac:dyDescent="0.25">
      <c r="B7" s="2"/>
    </row>
    <row r="8" spans="2:6" x14ac:dyDescent="0.25">
      <c r="B8" s="5" t="s">
        <v>4</v>
      </c>
      <c r="C8" s="5" t="s">
        <v>5</v>
      </c>
      <c r="D8" s="5" t="s">
        <v>6</v>
      </c>
      <c r="E8" s="5" t="s">
        <v>7</v>
      </c>
    </row>
    <row r="9" spans="2:6" x14ac:dyDescent="0.25">
      <c r="B9" s="3" t="s">
        <v>8</v>
      </c>
      <c r="C9" s="4">
        <f>+$C$2</f>
        <v>250000</v>
      </c>
      <c r="D9" s="4">
        <f t="shared" ref="D9:E9" si="0">+$C$2</f>
        <v>250000</v>
      </c>
      <c r="E9" s="4">
        <f t="shared" si="0"/>
        <v>250000</v>
      </c>
    </row>
    <row r="10" spans="2:6" x14ac:dyDescent="0.25">
      <c r="B10" s="3" t="s">
        <v>10</v>
      </c>
      <c r="C10" s="4">
        <f>-C5</f>
        <v>-20000</v>
      </c>
      <c r="D10" s="4">
        <f>+C10-$C$5</f>
        <v>-40000</v>
      </c>
      <c r="E10" s="4">
        <f>+D10-$C$5</f>
        <v>-60000</v>
      </c>
    </row>
    <row r="11" spans="2:6" x14ac:dyDescent="0.25">
      <c r="B11" s="6" t="s">
        <v>9</v>
      </c>
      <c r="C11" s="7">
        <f>SUM(C9:C10)</f>
        <v>230000</v>
      </c>
      <c r="D11" s="7">
        <f>SUM(D9:D10)</f>
        <v>210000</v>
      </c>
      <c r="E11" s="7">
        <f>SUM(E9:E10)</f>
        <v>190000</v>
      </c>
    </row>
    <row r="12" spans="2:6" x14ac:dyDescent="0.25">
      <c r="B12" s="2"/>
    </row>
    <row r="13" spans="2:6" x14ac:dyDescent="0.25">
      <c r="B13" s="8" t="s">
        <v>11</v>
      </c>
      <c r="C13" s="8" t="s">
        <v>12</v>
      </c>
      <c r="D13" s="8" t="s">
        <v>13</v>
      </c>
      <c r="E13" s="8" t="s">
        <v>14</v>
      </c>
    </row>
    <row r="14" spans="2:6" x14ac:dyDescent="0.25">
      <c r="B14" s="9" t="s">
        <v>15</v>
      </c>
      <c r="C14" s="10">
        <f>-$C$5</f>
        <v>-20000</v>
      </c>
      <c r="D14" s="10">
        <f t="shared" ref="D14:E14" si="1">-$C$5</f>
        <v>-20000</v>
      </c>
      <c r="E14" s="10">
        <f t="shared" si="1"/>
        <v>-20000</v>
      </c>
    </row>
    <row r="15" spans="2:6" x14ac:dyDescent="0.25">
      <c r="B15" s="9" t="s">
        <v>17</v>
      </c>
      <c r="C15" s="10"/>
      <c r="D15" s="10"/>
      <c r="E15" s="10">
        <f>+C6-E11</f>
        <v>30000</v>
      </c>
    </row>
    <row r="16" spans="2:6" x14ac:dyDescent="0.25">
      <c r="B16" s="11" t="s">
        <v>9</v>
      </c>
      <c r="C16" s="12">
        <f>SUM(C14:C15)</f>
        <v>-20000</v>
      </c>
      <c r="D16" s="12">
        <f>SUM(D14:D15)</f>
        <v>-20000</v>
      </c>
      <c r="E16" s="12">
        <f>SUM(E14:E15)</f>
        <v>10000</v>
      </c>
      <c r="F16" s="13">
        <f>SUM(C16:E16)</f>
        <v>-30000</v>
      </c>
    </row>
    <row r="17" spans="2:6" x14ac:dyDescent="0.25">
      <c r="B17" s="2"/>
    </row>
    <row r="18" spans="2:6" x14ac:dyDescent="0.25">
      <c r="B18" s="8" t="s">
        <v>18</v>
      </c>
      <c r="C18" s="8" t="s">
        <v>12</v>
      </c>
      <c r="D18" s="8" t="s">
        <v>13</v>
      </c>
      <c r="E18" s="8" t="s">
        <v>14</v>
      </c>
    </row>
    <row r="19" spans="2:6" x14ac:dyDescent="0.25">
      <c r="B19" s="9" t="s">
        <v>19</v>
      </c>
      <c r="C19" s="10">
        <f>-C2</f>
        <v>-250000</v>
      </c>
      <c r="D19" s="10"/>
      <c r="E19" s="10"/>
    </row>
    <row r="20" spans="2:6" x14ac:dyDescent="0.25">
      <c r="B20" s="9" t="s">
        <v>20</v>
      </c>
      <c r="C20" s="10"/>
      <c r="D20" s="10"/>
      <c r="E20" s="10">
        <f>+C6</f>
        <v>220000</v>
      </c>
    </row>
    <row r="21" spans="2:6" x14ac:dyDescent="0.25">
      <c r="B21" s="11" t="s">
        <v>9</v>
      </c>
      <c r="C21" s="12">
        <f>SUM(C19:C20)</f>
        <v>-250000</v>
      </c>
      <c r="D21" s="12">
        <f>SUM(D19:D20)</f>
        <v>0</v>
      </c>
      <c r="E21" s="12">
        <f>SUM(E19:E20)</f>
        <v>220000</v>
      </c>
      <c r="F21" s="13">
        <f>SUM(C21:E21)</f>
        <v>-30000</v>
      </c>
    </row>
    <row r="22" spans="2:6" x14ac:dyDescent="0.25">
      <c r="B22" s="2"/>
    </row>
    <row r="23" spans="2:6" x14ac:dyDescent="0.25">
      <c r="B23" s="2"/>
    </row>
    <row r="24" spans="2:6" x14ac:dyDescent="0.25">
      <c r="B24" s="2"/>
    </row>
    <row r="25" spans="2:6" x14ac:dyDescent="0.25">
      <c r="B25" s="2"/>
    </row>
    <row r="26" spans="2:6" x14ac:dyDescent="0.25">
      <c r="B26" s="2"/>
    </row>
    <row r="27" spans="2:6" x14ac:dyDescent="0.25">
      <c r="B27" s="2"/>
    </row>
    <row r="28" spans="2:6" x14ac:dyDescent="0.25">
      <c r="B28" s="2"/>
    </row>
    <row r="29" spans="2:6" x14ac:dyDescent="0.25">
      <c r="B29" s="2"/>
    </row>
    <row r="30" spans="2:6" x14ac:dyDescent="0.25">
      <c r="B30" s="2"/>
    </row>
    <row r="31" spans="2:6" x14ac:dyDescent="0.25">
      <c r="B31" s="2"/>
    </row>
    <row r="32" spans="2:6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  <row r="41" spans="2:2" x14ac:dyDescent="0.25">
      <c r="B41" s="2"/>
    </row>
    <row r="42" spans="2:2" x14ac:dyDescent="0.25">
      <c r="B42" s="2"/>
    </row>
    <row r="43" spans="2:2" x14ac:dyDescent="0.25">
      <c r="B43" s="2"/>
    </row>
    <row r="44" spans="2:2" x14ac:dyDescent="0.25">
      <c r="B44" s="2"/>
    </row>
    <row r="45" spans="2:2" x14ac:dyDescent="0.25">
      <c r="B45" s="2"/>
    </row>
    <row r="46" spans="2:2" x14ac:dyDescent="0.25">
      <c r="B46" s="2"/>
    </row>
    <row r="47" spans="2:2" x14ac:dyDescent="0.25">
      <c r="B47" s="2"/>
    </row>
    <row r="48" spans="2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0"/>
  <sheetViews>
    <sheetView showGridLines="0" zoomScale="120" zoomScaleNormal="120" workbookViewId="0">
      <selection activeCell="F27" sqref="F27"/>
    </sheetView>
  </sheetViews>
  <sheetFormatPr defaultColWidth="9.140625" defaultRowHeight="15" x14ac:dyDescent="0.25"/>
  <cols>
    <col min="1" max="1" width="1.42578125" style="30" customWidth="1"/>
    <col min="2" max="2" width="34.85546875" style="30" customWidth="1"/>
    <col min="3" max="8" width="11.5703125" style="30" customWidth="1"/>
    <col min="9" max="16384" width="9.140625" style="30"/>
  </cols>
  <sheetData>
    <row r="2" spans="2:3" x14ac:dyDescent="0.25">
      <c r="B2" s="407" t="s">
        <v>30</v>
      </c>
      <c r="C2" s="408"/>
    </row>
    <row r="3" spans="2:3" x14ac:dyDescent="0.25">
      <c r="B3" s="38" t="s">
        <v>230</v>
      </c>
      <c r="C3" s="69">
        <f>+'CIA INTEGRAÇÃO - BALANCETE'!D33</f>
        <v>1000000</v>
      </c>
    </row>
    <row r="4" spans="2:3" x14ac:dyDescent="0.25">
      <c r="B4" s="70" t="s">
        <v>129</v>
      </c>
      <c r="C4" s="45">
        <f>-'CIA INTEGRAÇÃO - CUSTOS'!F48</f>
        <v>-561640.63332360738</v>
      </c>
    </row>
    <row r="5" spans="2:3" x14ac:dyDescent="0.25">
      <c r="B5" s="38" t="s">
        <v>32</v>
      </c>
      <c r="C5" s="69">
        <f>SUM(C3:C4)</f>
        <v>438359.36667639262</v>
      </c>
    </row>
    <row r="6" spans="2:3" x14ac:dyDescent="0.25">
      <c r="B6" s="70" t="s">
        <v>231</v>
      </c>
      <c r="C6" s="45">
        <v>-15500</v>
      </c>
    </row>
    <row r="7" spans="2:3" x14ac:dyDescent="0.25">
      <c r="B7" s="70" t="s">
        <v>232</v>
      </c>
      <c r="C7" s="45">
        <v>-18000</v>
      </c>
    </row>
    <row r="8" spans="2:3" x14ac:dyDescent="0.25">
      <c r="B8" s="70" t="s">
        <v>233</v>
      </c>
      <c r="C8" s="45">
        <v>-50000</v>
      </c>
    </row>
    <row r="9" spans="2:3" x14ac:dyDescent="0.25">
      <c r="B9" s="70" t="s">
        <v>234</v>
      </c>
      <c r="C9" s="45">
        <v>-16000</v>
      </c>
    </row>
    <row r="10" spans="2:3" x14ac:dyDescent="0.25">
      <c r="B10" s="70" t="s">
        <v>235</v>
      </c>
      <c r="C10" s="45">
        <v>-3000</v>
      </c>
    </row>
    <row r="11" spans="2:3" x14ac:dyDescent="0.25">
      <c r="B11" s="38" t="s">
        <v>236</v>
      </c>
      <c r="C11" s="69">
        <f>SUM(C5:C10)</f>
        <v>335859.36667639262</v>
      </c>
    </row>
    <row r="12" spans="2:3" x14ac:dyDescent="0.25">
      <c r="B12" s="70" t="s">
        <v>237</v>
      </c>
      <c r="C12" s="45">
        <f>-C11*30%</f>
        <v>-100757.81000291779</v>
      </c>
    </row>
    <row r="13" spans="2:3" x14ac:dyDescent="0.25">
      <c r="B13" s="48" t="s">
        <v>34</v>
      </c>
      <c r="C13" s="51">
        <f>+SUM(C11:C12)</f>
        <v>235101.55667347484</v>
      </c>
    </row>
    <row r="14" spans="2:3" x14ac:dyDescent="0.25">
      <c r="B14" s="31"/>
    </row>
    <row r="15" spans="2:3" x14ac:dyDescent="0.25">
      <c r="B15" s="432" t="s">
        <v>238</v>
      </c>
      <c r="C15" s="433"/>
    </row>
    <row r="16" spans="2:3" x14ac:dyDescent="0.25">
      <c r="B16" s="407" t="s">
        <v>4</v>
      </c>
      <c r="C16" s="408"/>
    </row>
    <row r="17" spans="2:3" x14ac:dyDescent="0.25">
      <c r="B17" s="46" t="s">
        <v>39</v>
      </c>
      <c r="C17" s="47">
        <f>+'CIA INTEGRAÇÃO - BALANCETE'!C3+'CIA INTEGRAÇÃO - BALANCETE'!C4</f>
        <v>260000</v>
      </c>
    </row>
    <row r="18" spans="2:3" x14ac:dyDescent="0.25">
      <c r="B18" s="46" t="s">
        <v>40</v>
      </c>
      <c r="C18" s="47">
        <f>+'CIA INTEGRAÇÃO - BALANCETE'!C5</f>
        <v>390000</v>
      </c>
    </row>
    <row r="19" spans="2:3" x14ac:dyDescent="0.25">
      <c r="B19" s="46" t="s">
        <v>245</v>
      </c>
      <c r="C19" s="47">
        <f>+'CIA INTEGRAÇÃO - CUSTOS'!F49</f>
        <v>88359.36667639263</v>
      </c>
    </row>
    <row r="20" spans="2:3" x14ac:dyDescent="0.25">
      <c r="B20" s="46" t="s">
        <v>239</v>
      </c>
      <c r="C20" s="47">
        <f>+'CIA INTEGRAÇÃO - BALANCETE'!C6</f>
        <v>97500</v>
      </c>
    </row>
    <row r="21" spans="2:3" x14ac:dyDescent="0.25">
      <c r="B21" s="46" t="s">
        <v>240</v>
      </c>
      <c r="C21" s="47">
        <f>+SUM('CIA INTEGRAÇÃO - BALANCETE'!C7,'CIA INTEGRAÇÃO - BALANCETE'!C9,'CIA INTEGRAÇÃO - BALANCETE'!C11,'CIA INTEGRAÇÃO - BALANCETE'!C13)</f>
        <v>420000</v>
      </c>
    </row>
    <row r="22" spans="2:3" x14ac:dyDescent="0.25">
      <c r="B22" s="46" t="s">
        <v>10</v>
      </c>
      <c r="C22" s="47">
        <f>-SUM('CIA INTEGRAÇÃO - BALANCETE'!D8,'CIA INTEGRAÇÃO - BALANCETE'!D10,'CIA INTEGRAÇÃO - BALANCETE'!D12,'CIA INTEGRAÇÃO - BALANCETE'!D14)</f>
        <v>-60000</v>
      </c>
    </row>
    <row r="23" spans="2:3" x14ac:dyDescent="0.25">
      <c r="B23" s="48" t="s">
        <v>9</v>
      </c>
      <c r="C23" s="51">
        <f>SUM(C17:C22)</f>
        <v>1195859.3666763925</v>
      </c>
    </row>
    <row r="24" spans="2:3" x14ac:dyDescent="0.25">
      <c r="B24" s="407" t="s">
        <v>41</v>
      </c>
      <c r="C24" s="408"/>
    </row>
    <row r="25" spans="2:3" x14ac:dyDescent="0.25">
      <c r="B25" s="46" t="s">
        <v>170</v>
      </c>
      <c r="C25" s="47">
        <f>+'CIA INTEGRAÇÃO - BALANCETE'!D16</f>
        <v>66000</v>
      </c>
    </row>
    <row r="26" spans="2:3" x14ac:dyDescent="0.25">
      <c r="B26" s="46" t="s">
        <v>244</v>
      </c>
      <c r="C26" s="47">
        <f>+-C12</f>
        <v>100757.81000291779</v>
      </c>
    </row>
    <row r="27" spans="2:3" x14ac:dyDescent="0.25">
      <c r="B27" s="46" t="s">
        <v>241</v>
      </c>
      <c r="C27" s="47">
        <f>+'CIA INTEGRAÇÃO - BALANCETE'!D15</f>
        <v>60000</v>
      </c>
    </row>
    <row r="28" spans="2:3" x14ac:dyDescent="0.25">
      <c r="B28" s="46" t="s">
        <v>242</v>
      </c>
      <c r="C28" s="47">
        <f>+'CIA INTEGRAÇÃO - BALANCETE'!D17</f>
        <v>500000</v>
      </c>
    </row>
    <row r="29" spans="2:3" x14ac:dyDescent="0.25">
      <c r="B29" s="46" t="s">
        <v>243</v>
      </c>
      <c r="C29" s="47">
        <f>+'CIA INTEGRAÇÃO - BALANCETE'!D18+C13</f>
        <v>469101.55667347484</v>
      </c>
    </row>
    <row r="30" spans="2:3" x14ac:dyDescent="0.25">
      <c r="B30" s="48" t="s">
        <v>9</v>
      </c>
      <c r="C30" s="51">
        <f>SUM(C25:C29)</f>
        <v>1195859.3666763925</v>
      </c>
    </row>
  </sheetData>
  <mergeCells count="4">
    <mergeCell ref="B2:C2"/>
    <mergeCell ref="B15:C15"/>
    <mergeCell ref="B16:C16"/>
    <mergeCell ref="B24:C2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1"/>
  <sheetViews>
    <sheetView showGridLines="0" topLeftCell="A17" zoomScale="120" zoomScaleNormal="120" workbookViewId="0">
      <selection activeCell="D35" sqref="D35"/>
    </sheetView>
  </sheetViews>
  <sheetFormatPr defaultColWidth="9.140625" defaultRowHeight="15" x14ac:dyDescent="0.25"/>
  <cols>
    <col min="1" max="1" width="1.42578125" style="30" customWidth="1"/>
    <col min="2" max="2" width="34.85546875" style="30" customWidth="1"/>
    <col min="3" max="8" width="11.5703125" style="30" customWidth="1"/>
    <col min="9" max="16384" width="9.140625" style="30"/>
  </cols>
  <sheetData>
    <row r="3" spans="2:9" x14ac:dyDescent="0.25">
      <c r="B3" s="126" t="s">
        <v>202</v>
      </c>
      <c r="C3" s="128" t="s">
        <v>253</v>
      </c>
      <c r="D3" s="128" t="s">
        <v>254</v>
      </c>
      <c r="E3" s="128" t="s">
        <v>255</v>
      </c>
      <c r="F3" s="128" t="s">
        <v>256</v>
      </c>
      <c r="G3" s="128" t="s">
        <v>257</v>
      </c>
      <c r="H3" s="128" t="s">
        <v>258</v>
      </c>
      <c r="I3" s="127" t="s">
        <v>9</v>
      </c>
    </row>
    <row r="4" spans="2:9" x14ac:dyDescent="0.25">
      <c r="B4" s="137" t="s">
        <v>261</v>
      </c>
      <c r="C4" s="138">
        <v>35</v>
      </c>
      <c r="D4" s="138">
        <v>30</v>
      </c>
      <c r="E4" s="138">
        <v>15</v>
      </c>
      <c r="F4" s="138">
        <v>10</v>
      </c>
      <c r="G4" s="138">
        <v>10</v>
      </c>
      <c r="H4" s="138"/>
      <c r="I4" s="139">
        <f>SUM(C4:H4)</f>
        <v>100</v>
      </c>
    </row>
    <row r="5" spans="2:9" x14ac:dyDescent="0.25">
      <c r="B5" s="137" t="s">
        <v>262</v>
      </c>
      <c r="C5" s="138">
        <v>4800</v>
      </c>
      <c r="D5" s="138">
        <v>4200</v>
      </c>
      <c r="E5" s="138">
        <v>3000</v>
      </c>
      <c r="F5" s="138"/>
      <c r="G5" s="138"/>
      <c r="H5" s="138"/>
      <c r="I5" s="139">
        <f t="shared" ref="I5:I6" si="0">SUM(C5:H5)</f>
        <v>12000</v>
      </c>
    </row>
    <row r="6" spans="2:9" x14ac:dyDescent="0.25">
      <c r="B6" s="140" t="s">
        <v>263</v>
      </c>
      <c r="C6" s="141">
        <v>600</v>
      </c>
      <c r="D6" s="141">
        <v>300</v>
      </c>
      <c r="E6" s="141">
        <v>300</v>
      </c>
      <c r="F6" s="141"/>
      <c r="G6" s="141"/>
      <c r="H6" s="141"/>
      <c r="I6" s="142">
        <f t="shared" si="0"/>
        <v>1200</v>
      </c>
    </row>
    <row r="9" spans="2:9" x14ac:dyDescent="0.25">
      <c r="B9" s="126" t="s">
        <v>205</v>
      </c>
      <c r="C9" s="128" t="s">
        <v>253</v>
      </c>
      <c r="D9" s="128" t="s">
        <v>254</v>
      </c>
      <c r="E9" s="128" t="s">
        <v>255</v>
      </c>
      <c r="F9" s="128" t="s">
        <v>256</v>
      </c>
      <c r="G9" s="128" t="s">
        <v>257</v>
      </c>
      <c r="H9" s="128" t="s">
        <v>258</v>
      </c>
      <c r="I9" s="127" t="s">
        <v>9</v>
      </c>
    </row>
    <row r="10" spans="2:9" x14ac:dyDescent="0.25">
      <c r="B10" s="130" t="s">
        <v>209</v>
      </c>
      <c r="C10" s="117">
        <v>159</v>
      </c>
      <c r="D10" s="117">
        <v>57</v>
      </c>
      <c r="E10" s="117">
        <v>46</v>
      </c>
      <c r="F10" s="117">
        <v>90</v>
      </c>
      <c r="G10" s="117">
        <v>112</v>
      </c>
      <c r="H10" s="117">
        <v>336</v>
      </c>
      <c r="I10" s="129">
        <f>SUM(C10:H10)</f>
        <v>800</v>
      </c>
    </row>
    <row r="11" spans="2:9" x14ac:dyDescent="0.25">
      <c r="B11" s="130" t="s">
        <v>259</v>
      </c>
      <c r="C11" s="117">
        <v>2400</v>
      </c>
      <c r="D11" s="117">
        <v>432</v>
      </c>
      <c r="E11" s="117">
        <v>1340</v>
      </c>
      <c r="F11" s="117">
        <v>240</v>
      </c>
      <c r="G11" s="117">
        <v>240</v>
      </c>
      <c r="H11" s="117">
        <v>148</v>
      </c>
      <c r="I11" s="129">
        <f t="shared" ref="I11:I13" si="1">SUM(C11:H11)</f>
        <v>4800</v>
      </c>
    </row>
    <row r="12" spans="2:9" x14ac:dyDescent="0.25">
      <c r="B12" s="130" t="s">
        <v>120</v>
      </c>
      <c r="C12" s="117">
        <v>532</v>
      </c>
      <c r="D12" s="117">
        <v>672</v>
      </c>
      <c r="E12" s="117">
        <v>390</v>
      </c>
      <c r="F12" s="117">
        <v>140</v>
      </c>
      <c r="G12" s="117">
        <v>170</v>
      </c>
      <c r="H12" s="117">
        <v>896</v>
      </c>
      <c r="I12" s="129">
        <f t="shared" si="1"/>
        <v>2800</v>
      </c>
    </row>
    <row r="13" spans="2:9" x14ac:dyDescent="0.25">
      <c r="B13" s="130" t="s">
        <v>210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3200</v>
      </c>
      <c r="I13" s="129">
        <f t="shared" si="1"/>
        <v>3200</v>
      </c>
    </row>
    <row r="14" spans="2:9" x14ac:dyDescent="0.25">
      <c r="B14" s="48" t="s">
        <v>9</v>
      </c>
      <c r="C14" s="120">
        <f>SUM(C10:C13)</f>
        <v>3091</v>
      </c>
      <c r="D14" s="120">
        <f t="shared" ref="D14:I14" si="2">SUM(D10:D13)</f>
        <v>1161</v>
      </c>
      <c r="E14" s="120">
        <f t="shared" si="2"/>
        <v>1776</v>
      </c>
      <c r="F14" s="120">
        <f t="shared" si="2"/>
        <v>470</v>
      </c>
      <c r="G14" s="120">
        <f t="shared" si="2"/>
        <v>522</v>
      </c>
      <c r="H14" s="120">
        <f t="shared" si="2"/>
        <v>4580</v>
      </c>
      <c r="I14" s="51">
        <f t="shared" si="2"/>
        <v>11600</v>
      </c>
    </row>
    <row r="15" spans="2:9" x14ac:dyDescent="0.25">
      <c r="B15" s="131" t="s">
        <v>260</v>
      </c>
      <c r="C15" s="33">
        <f t="shared" ref="C15:F15" si="3">-$H$15/$I$4*C4</f>
        <v>1603</v>
      </c>
      <c r="D15" s="33">
        <f t="shared" si="3"/>
        <v>1374</v>
      </c>
      <c r="E15" s="33">
        <f t="shared" si="3"/>
        <v>687</v>
      </c>
      <c r="F15" s="33">
        <f t="shared" si="3"/>
        <v>458</v>
      </c>
      <c r="G15" s="33">
        <f>-$H$15/$I$4*G4</f>
        <v>458</v>
      </c>
      <c r="H15" s="33">
        <f>-H14</f>
        <v>-4580</v>
      </c>
      <c r="I15" s="127">
        <f t="shared" ref="I15" si="4">SUM(C15:H15)</f>
        <v>0</v>
      </c>
    </row>
    <row r="16" spans="2:9" x14ac:dyDescent="0.25">
      <c r="B16" s="48" t="s">
        <v>9</v>
      </c>
      <c r="C16" s="120">
        <f>SUM(C14:C15)</f>
        <v>4694</v>
      </c>
      <c r="D16" s="120">
        <f t="shared" ref="D16:I16" si="5">SUM(D14:D15)</f>
        <v>2535</v>
      </c>
      <c r="E16" s="120">
        <f t="shared" si="5"/>
        <v>2463</v>
      </c>
      <c r="F16" s="120">
        <f t="shared" si="5"/>
        <v>928</v>
      </c>
      <c r="G16" s="120">
        <f t="shared" si="5"/>
        <v>980</v>
      </c>
      <c r="H16" s="120">
        <f t="shared" si="5"/>
        <v>0</v>
      </c>
      <c r="I16" s="51">
        <f t="shared" si="5"/>
        <v>11600</v>
      </c>
    </row>
    <row r="17" spans="2:9" x14ac:dyDescent="0.25">
      <c r="B17" s="131" t="s">
        <v>213</v>
      </c>
      <c r="C17" s="33">
        <f t="shared" ref="C17:E17" si="6">-$G$17/$I$5*C5</f>
        <v>392</v>
      </c>
      <c r="D17" s="33">
        <f t="shared" si="6"/>
        <v>343</v>
      </c>
      <c r="E17" s="33">
        <f t="shared" si="6"/>
        <v>245</v>
      </c>
      <c r="F17" s="33">
        <f>-$G$17/$I$5*F5</f>
        <v>0</v>
      </c>
      <c r="G17" s="33">
        <f>-G16</f>
        <v>-980</v>
      </c>
      <c r="H17" s="33"/>
      <c r="I17" s="127">
        <f t="shared" ref="I17" si="7">SUM(C17:H17)</f>
        <v>0</v>
      </c>
    </row>
    <row r="18" spans="2:9" x14ac:dyDescent="0.25">
      <c r="B18" s="48" t="s">
        <v>9</v>
      </c>
      <c r="C18" s="120">
        <f>SUM(C16:C17)</f>
        <v>5086</v>
      </c>
      <c r="D18" s="120">
        <f t="shared" ref="D18" si="8">SUM(D16:D17)</f>
        <v>2878</v>
      </c>
      <c r="E18" s="120">
        <f t="shared" ref="E18" si="9">SUM(E16:E17)</f>
        <v>2708</v>
      </c>
      <c r="F18" s="120">
        <f t="shared" ref="F18" si="10">SUM(F16:F17)</f>
        <v>928</v>
      </c>
      <c r="G18" s="120">
        <f t="shared" ref="G18" si="11">SUM(G16:G17)</f>
        <v>0</v>
      </c>
      <c r="H18" s="120">
        <f t="shared" ref="H18" si="12">SUM(H16:H17)</f>
        <v>0</v>
      </c>
      <c r="I18" s="51">
        <f t="shared" ref="I18" si="13">SUM(I16:I17)</f>
        <v>11600</v>
      </c>
    </row>
    <row r="19" spans="2:9" x14ac:dyDescent="0.25">
      <c r="B19" s="131" t="s">
        <v>212</v>
      </c>
      <c r="C19" s="33">
        <f t="shared" ref="C19:D19" si="14">-$F$19/$I$6*C6</f>
        <v>464</v>
      </c>
      <c r="D19" s="33">
        <f t="shared" si="14"/>
        <v>232</v>
      </c>
      <c r="E19" s="33">
        <f>-$F$19/$I$6*E6</f>
        <v>232</v>
      </c>
      <c r="F19" s="33">
        <f>-F18</f>
        <v>-928</v>
      </c>
      <c r="G19" s="33">
        <f>-G18</f>
        <v>0</v>
      </c>
      <c r="H19" s="33"/>
      <c r="I19" s="127">
        <f t="shared" ref="I19" si="15">SUM(C19:H19)</f>
        <v>0</v>
      </c>
    </row>
    <row r="20" spans="2:9" x14ac:dyDescent="0.25">
      <c r="B20" s="48" t="s">
        <v>9</v>
      </c>
      <c r="C20" s="120">
        <f>SUM(C18:C19)</f>
        <v>5550</v>
      </c>
      <c r="D20" s="120">
        <f t="shared" ref="D20" si="16">SUM(D18:D19)</f>
        <v>3110</v>
      </c>
      <c r="E20" s="120">
        <f t="shared" ref="E20" si="17">SUM(E18:E19)</f>
        <v>2940</v>
      </c>
      <c r="F20" s="120">
        <f t="shared" ref="F20" si="18">SUM(F18:F19)</f>
        <v>0</v>
      </c>
      <c r="G20" s="120">
        <f t="shared" ref="G20" si="19">SUM(G18:G19)</f>
        <v>0</v>
      </c>
      <c r="H20" s="120">
        <f t="shared" ref="H20" si="20">SUM(H18:H19)</f>
        <v>0</v>
      </c>
      <c r="I20" s="51">
        <f t="shared" ref="I20" si="21">SUM(I18:I19)</f>
        <v>11600</v>
      </c>
    </row>
    <row r="21" spans="2:9" x14ac:dyDescent="0.25">
      <c r="B21" s="31"/>
    </row>
    <row r="22" spans="2:9" x14ac:dyDescent="0.25">
      <c r="B22" s="126" t="s">
        <v>246</v>
      </c>
      <c r="C22" s="128" t="s">
        <v>247</v>
      </c>
      <c r="D22" s="127" t="s">
        <v>248</v>
      </c>
      <c r="E22" s="37"/>
    </row>
    <row r="23" spans="2:9" x14ac:dyDescent="0.25">
      <c r="B23" s="118" t="s">
        <v>249</v>
      </c>
      <c r="C23" s="119">
        <v>12000</v>
      </c>
      <c r="D23" s="121">
        <v>4000</v>
      </c>
    </row>
    <row r="25" spans="2:9" x14ac:dyDescent="0.25">
      <c r="B25" s="126" t="s">
        <v>250</v>
      </c>
      <c r="C25" s="128" t="str">
        <f>+C22</f>
        <v>DOBR</v>
      </c>
      <c r="D25" s="128" t="str">
        <f t="shared" ref="D25" si="22">+D22</f>
        <v>FECHAD</v>
      </c>
      <c r="E25" s="127" t="s">
        <v>9</v>
      </c>
    </row>
    <row r="26" spans="2:9" x14ac:dyDescent="0.25">
      <c r="B26" s="130" t="s">
        <v>251</v>
      </c>
      <c r="C26" s="117">
        <v>8352</v>
      </c>
      <c r="D26" s="117">
        <v>5568</v>
      </c>
      <c r="E26" s="129">
        <f>SUM(C26:D26)</f>
        <v>13920</v>
      </c>
    </row>
    <row r="27" spans="2:9" x14ac:dyDescent="0.25">
      <c r="B27" s="130" t="s">
        <v>252</v>
      </c>
      <c r="C27" s="117">
        <v>6048</v>
      </c>
      <c r="D27" s="117">
        <v>4032</v>
      </c>
      <c r="E27" s="129">
        <f t="shared" ref="E27" si="23">SUM(C27:D27)</f>
        <v>10080</v>
      </c>
    </row>
    <row r="28" spans="2:9" x14ac:dyDescent="0.25">
      <c r="B28" s="48" t="s">
        <v>9</v>
      </c>
      <c r="C28" s="120">
        <f>SUM(C26:C27)</f>
        <v>14400</v>
      </c>
      <c r="D28" s="120">
        <f t="shared" ref="D28:E28" si="24">SUM(D26:D27)</f>
        <v>9600</v>
      </c>
      <c r="E28" s="51">
        <f t="shared" si="24"/>
        <v>24000</v>
      </c>
    </row>
    <row r="29" spans="2:9" x14ac:dyDescent="0.25">
      <c r="B29" s="126" t="s">
        <v>205</v>
      </c>
      <c r="C29" s="128" t="str">
        <f>+C25</f>
        <v>DOBR</v>
      </c>
      <c r="D29" s="128" t="str">
        <f>+D25</f>
        <v>FECHAD</v>
      </c>
      <c r="E29" s="127" t="s">
        <v>9</v>
      </c>
    </row>
    <row r="30" spans="2:9" x14ac:dyDescent="0.25">
      <c r="B30" s="130" t="s">
        <v>264</v>
      </c>
      <c r="C30" s="117">
        <f>+C26/$E$26*$C$20</f>
        <v>3330</v>
      </c>
      <c r="D30" s="117">
        <f>+D26/$E$26*$C$20</f>
        <v>2220</v>
      </c>
      <c r="E30" s="129">
        <f>SUM(C30:D30)</f>
        <v>5550</v>
      </c>
    </row>
    <row r="31" spans="2:9" x14ac:dyDescent="0.25">
      <c r="B31" s="130" t="s">
        <v>265</v>
      </c>
      <c r="C31" s="117">
        <f>+C26/$E$26*D20</f>
        <v>1866</v>
      </c>
      <c r="D31" s="117">
        <f>+D26/$E$26*D20</f>
        <v>1244</v>
      </c>
      <c r="E31" s="129">
        <f t="shared" ref="E31:E32" si="25">SUM(C31:D31)</f>
        <v>3110</v>
      </c>
    </row>
    <row r="32" spans="2:9" x14ac:dyDescent="0.25">
      <c r="B32" s="130" t="s">
        <v>194</v>
      </c>
      <c r="C32" s="117">
        <v>0</v>
      </c>
      <c r="D32" s="117">
        <f>+E20</f>
        <v>2940</v>
      </c>
      <c r="E32" s="129">
        <f t="shared" si="25"/>
        <v>2940</v>
      </c>
    </row>
    <row r="33" spans="2:5" x14ac:dyDescent="0.25">
      <c r="B33" s="48" t="s">
        <v>9</v>
      </c>
      <c r="C33" s="120">
        <f>SUM(C30:C32)</f>
        <v>5196</v>
      </c>
      <c r="D33" s="120">
        <f t="shared" ref="D33" si="26">SUM(D30:D32)</f>
        <v>6404</v>
      </c>
      <c r="E33" s="51">
        <f t="shared" ref="E33" si="27">SUM(E30:E32)</f>
        <v>11600</v>
      </c>
    </row>
    <row r="34" spans="2:5" ht="15.75" x14ac:dyDescent="0.25">
      <c r="B34" s="143" t="s">
        <v>226</v>
      </c>
      <c r="C34" s="144">
        <f>+C28+C33</f>
        <v>19596</v>
      </c>
      <c r="D34" s="144">
        <f t="shared" ref="D34" si="28">+D28+D33</f>
        <v>16004</v>
      </c>
      <c r="E34" s="145">
        <f>SUM(C34:D34)</f>
        <v>35600</v>
      </c>
    </row>
    <row r="35" spans="2:5" ht="15.75" x14ac:dyDescent="0.25">
      <c r="B35" s="143" t="s">
        <v>266</v>
      </c>
      <c r="C35" s="146">
        <f>+C34/C23</f>
        <v>1.633</v>
      </c>
      <c r="D35" s="146">
        <f>+D34/D23</f>
        <v>4.0010000000000003</v>
      </c>
      <c r="E35" s="147"/>
    </row>
    <row r="36" spans="2:5" x14ac:dyDescent="0.25">
      <c r="B36" s="31"/>
    </row>
    <row r="37" spans="2:5" x14ac:dyDescent="0.25">
      <c r="B37" s="31"/>
    </row>
    <row r="38" spans="2:5" x14ac:dyDescent="0.25">
      <c r="B38" s="31"/>
    </row>
    <row r="39" spans="2:5" x14ac:dyDescent="0.25">
      <c r="B39" s="31"/>
    </row>
    <row r="40" spans="2:5" x14ac:dyDescent="0.25">
      <c r="B40" s="31"/>
    </row>
    <row r="41" spans="2:5" x14ac:dyDescent="0.25">
      <c r="B41" s="31"/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7"/>
  <sheetViews>
    <sheetView showGridLines="0" zoomScale="110" zoomScaleNormal="110" workbookViewId="0">
      <selection activeCell="B2" sqref="B2:C19"/>
    </sheetView>
  </sheetViews>
  <sheetFormatPr defaultColWidth="9.140625" defaultRowHeight="15" x14ac:dyDescent="0.25"/>
  <cols>
    <col min="1" max="1" width="2.140625" style="30" customWidth="1"/>
    <col min="2" max="2" width="28" style="30" customWidth="1"/>
    <col min="3" max="3" width="9.140625" style="30"/>
    <col min="4" max="5" width="3.140625" style="30" customWidth="1"/>
    <col min="6" max="15" width="11.28515625" style="30" customWidth="1"/>
    <col min="16" max="16384" width="9.140625" style="30"/>
  </cols>
  <sheetData>
    <row r="2" spans="2:15" s="151" customFormat="1" ht="21" customHeight="1" x14ac:dyDescent="0.25">
      <c r="B2" s="450" t="s">
        <v>296</v>
      </c>
      <c r="C2" s="451"/>
      <c r="F2" s="452" t="s">
        <v>295</v>
      </c>
      <c r="G2" s="453"/>
      <c r="H2" s="453"/>
      <c r="I2" s="453"/>
      <c r="J2" s="453"/>
      <c r="K2" s="453"/>
      <c r="L2" s="453"/>
      <c r="M2" s="453"/>
      <c r="N2" s="453"/>
      <c r="O2" s="454"/>
    </row>
    <row r="3" spans="2:15" x14ac:dyDescent="0.25">
      <c r="B3" s="407" t="s">
        <v>4</v>
      </c>
      <c r="C3" s="408"/>
      <c r="E3" s="30">
        <v>1</v>
      </c>
      <c r="F3" s="441" t="s">
        <v>294</v>
      </c>
      <c r="G3" s="442"/>
      <c r="H3" s="442"/>
      <c r="I3" s="442"/>
      <c r="J3" s="442"/>
      <c r="K3" s="442"/>
      <c r="L3" s="442"/>
      <c r="M3" s="442"/>
      <c r="N3" s="442"/>
      <c r="O3" s="443"/>
    </row>
    <row r="4" spans="2:15" ht="15" customHeight="1" x14ac:dyDescent="0.25">
      <c r="B4" s="135" t="s">
        <v>39</v>
      </c>
      <c r="C4" s="150">
        <v>1.4</v>
      </c>
      <c r="E4" s="30">
        <f t="shared" ref="E4:E18" si="0">+E3+1</f>
        <v>2</v>
      </c>
      <c r="F4" s="441" t="s">
        <v>293</v>
      </c>
      <c r="G4" s="442"/>
      <c r="H4" s="442"/>
      <c r="I4" s="442"/>
      <c r="J4" s="442"/>
      <c r="K4" s="442"/>
      <c r="L4" s="442"/>
      <c r="M4" s="442"/>
      <c r="N4" s="442"/>
      <c r="O4" s="443"/>
    </row>
    <row r="5" spans="2:15" x14ac:dyDescent="0.25">
      <c r="B5" s="135" t="s">
        <v>40</v>
      </c>
      <c r="C5" s="150">
        <f>90-57</f>
        <v>33</v>
      </c>
      <c r="E5" s="30">
        <f t="shared" si="0"/>
        <v>3</v>
      </c>
      <c r="F5" s="441" t="s">
        <v>292</v>
      </c>
      <c r="G5" s="442"/>
      <c r="H5" s="442"/>
      <c r="I5" s="442"/>
      <c r="J5" s="442"/>
      <c r="K5" s="442"/>
      <c r="L5" s="442"/>
      <c r="M5" s="442"/>
      <c r="N5" s="442"/>
      <c r="O5" s="443"/>
    </row>
    <row r="6" spans="2:15" ht="30" x14ac:dyDescent="0.25">
      <c r="B6" s="135" t="s">
        <v>291</v>
      </c>
      <c r="C6" s="150">
        <v>9</v>
      </c>
      <c r="E6" s="30">
        <f t="shared" si="0"/>
        <v>4</v>
      </c>
      <c r="F6" s="441" t="s">
        <v>290</v>
      </c>
      <c r="G6" s="442"/>
      <c r="H6" s="442"/>
      <c r="I6" s="442"/>
      <c r="J6" s="442"/>
      <c r="K6" s="442"/>
      <c r="L6" s="442"/>
      <c r="M6" s="442"/>
      <c r="N6" s="442"/>
      <c r="O6" s="443"/>
    </row>
    <row r="7" spans="2:15" ht="15" customHeight="1" x14ac:dyDescent="0.25">
      <c r="B7" s="135" t="s">
        <v>289</v>
      </c>
      <c r="C7" s="150">
        <v>3</v>
      </c>
      <c r="E7" s="30">
        <f t="shared" si="0"/>
        <v>5</v>
      </c>
      <c r="F7" s="441" t="s">
        <v>288</v>
      </c>
      <c r="G7" s="442"/>
      <c r="H7" s="442"/>
      <c r="I7" s="442"/>
      <c r="J7" s="442"/>
      <c r="K7" s="442"/>
      <c r="L7" s="442"/>
      <c r="M7" s="442"/>
      <c r="N7" s="442"/>
      <c r="O7" s="443"/>
    </row>
    <row r="8" spans="2:15" x14ac:dyDescent="0.25">
      <c r="B8" s="135" t="s">
        <v>287</v>
      </c>
      <c r="C8" s="150">
        <v>0.1</v>
      </c>
      <c r="E8" s="30">
        <f t="shared" si="0"/>
        <v>6</v>
      </c>
      <c r="F8" s="441" t="s">
        <v>286</v>
      </c>
      <c r="G8" s="442"/>
      <c r="H8" s="442"/>
      <c r="I8" s="442"/>
      <c r="J8" s="442"/>
      <c r="K8" s="442"/>
      <c r="L8" s="442"/>
      <c r="M8" s="442"/>
      <c r="N8" s="442"/>
      <c r="O8" s="443"/>
    </row>
    <row r="9" spans="2:15" x14ac:dyDescent="0.25">
      <c r="B9" s="135" t="s">
        <v>285</v>
      </c>
      <c r="C9" s="150">
        <v>43.5</v>
      </c>
      <c r="E9" s="30">
        <f t="shared" si="0"/>
        <v>7</v>
      </c>
      <c r="F9" s="441" t="s">
        <v>284</v>
      </c>
      <c r="G9" s="442"/>
      <c r="H9" s="442"/>
      <c r="I9" s="442"/>
      <c r="J9" s="442"/>
      <c r="K9" s="442"/>
      <c r="L9" s="442"/>
      <c r="M9" s="442"/>
      <c r="N9" s="442"/>
      <c r="O9" s="443"/>
    </row>
    <row r="10" spans="2:15" x14ac:dyDescent="0.25">
      <c r="B10" s="48" t="s">
        <v>9</v>
      </c>
      <c r="C10" s="149">
        <f>SUM(C4:C9)</f>
        <v>90</v>
      </c>
      <c r="E10" s="30">
        <f t="shared" si="0"/>
        <v>8</v>
      </c>
      <c r="F10" s="441" t="s">
        <v>283</v>
      </c>
      <c r="G10" s="442"/>
      <c r="H10" s="442"/>
      <c r="I10" s="442"/>
      <c r="J10" s="442"/>
      <c r="K10" s="442"/>
      <c r="L10" s="442"/>
      <c r="M10" s="442"/>
      <c r="N10" s="442"/>
      <c r="O10" s="443"/>
    </row>
    <row r="11" spans="2:15" x14ac:dyDescent="0.25">
      <c r="B11" s="407" t="s">
        <v>41</v>
      </c>
      <c r="C11" s="408"/>
      <c r="E11" s="30">
        <f t="shared" si="0"/>
        <v>9</v>
      </c>
      <c r="F11" s="441" t="s">
        <v>282</v>
      </c>
      <c r="G11" s="442"/>
      <c r="H11" s="442"/>
      <c r="I11" s="442"/>
      <c r="J11" s="442"/>
      <c r="K11" s="442"/>
      <c r="L11" s="442"/>
      <c r="M11" s="442"/>
      <c r="N11" s="442"/>
      <c r="O11" s="443"/>
    </row>
    <row r="12" spans="2:15" x14ac:dyDescent="0.25">
      <c r="B12" s="135" t="s">
        <v>77</v>
      </c>
      <c r="C12" s="150">
        <v>10</v>
      </c>
      <c r="E12" s="30">
        <f t="shared" si="0"/>
        <v>10</v>
      </c>
      <c r="F12" s="441" t="s">
        <v>281</v>
      </c>
      <c r="G12" s="442"/>
      <c r="H12" s="442"/>
      <c r="I12" s="442"/>
      <c r="J12" s="442"/>
      <c r="K12" s="442"/>
      <c r="L12" s="442"/>
      <c r="M12" s="442"/>
      <c r="N12" s="442"/>
      <c r="O12" s="443"/>
    </row>
    <row r="13" spans="2:15" x14ac:dyDescent="0.25">
      <c r="B13" s="135" t="s">
        <v>280</v>
      </c>
      <c r="C13" s="150">
        <v>5</v>
      </c>
      <c r="E13" s="30">
        <f t="shared" si="0"/>
        <v>11</v>
      </c>
      <c r="F13" s="441" t="s">
        <v>279</v>
      </c>
      <c r="G13" s="442"/>
      <c r="H13" s="442"/>
      <c r="I13" s="442"/>
      <c r="J13" s="442"/>
      <c r="K13" s="442"/>
      <c r="L13" s="442"/>
      <c r="M13" s="442"/>
      <c r="N13" s="442"/>
      <c r="O13" s="443"/>
    </row>
    <row r="14" spans="2:15" x14ac:dyDescent="0.25">
      <c r="B14" s="135" t="s">
        <v>244</v>
      </c>
      <c r="C14" s="150">
        <v>8</v>
      </c>
      <c r="E14" s="30">
        <f t="shared" si="0"/>
        <v>12</v>
      </c>
      <c r="F14" s="441" t="s">
        <v>278</v>
      </c>
      <c r="G14" s="442"/>
      <c r="H14" s="442"/>
      <c r="I14" s="442"/>
      <c r="J14" s="442"/>
      <c r="K14" s="442"/>
      <c r="L14" s="442"/>
      <c r="M14" s="442"/>
      <c r="N14" s="442"/>
      <c r="O14" s="443"/>
    </row>
    <row r="15" spans="2:15" x14ac:dyDescent="0.25">
      <c r="B15" s="135" t="s">
        <v>277</v>
      </c>
      <c r="C15" s="150">
        <v>23</v>
      </c>
      <c r="E15" s="30">
        <f t="shared" si="0"/>
        <v>13</v>
      </c>
      <c r="F15" s="441" t="s">
        <v>276</v>
      </c>
      <c r="G15" s="442"/>
      <c r="H15" s="442"/>
      <c r="I15" s="442"/>
      <c r="J15" s="442"/>
      <c r="K15" s="442"/>
      <c r="L15" s="442"/>
      <c r="M15" s="442"/>
      <c r="N15" s="442"/>
      <c r="O15" s="443"/>
    </row>
    <row r="16" spans="2:15" ht="15" customHeight="1" x14ac:dyDescent="0.25">
      <c r="B16" s="135" t="s">
        <v>275</v>
      </c>
      <c r="C16" s="150">
        <v>6</v>
      </c>
      <c r="E16" s="30">
        <f t="shared" si="0"/>
        <v>14</v>
      </c>
      <c r="F16" s="441" t="s">
        <v>274</v>
      </c>
      <c r="G16" s="442"/>
      <c r="H16" s="442"/>
      <c r="I16" s="442"/>
      <c r="J16" s="442"/>
      <c r="K16" s="442"/>
      <c r="L16" s="442"/>
      <c r="M16" s="442"/>
      <c r="N16" s="442"/>
      <c r="O16" s="443"/>
    </row>
    <row r="17" spans="2:15" x14ac:dyDescent="0.25">
      <c r="B17" s="135" t="s">
        <v>273</v>
      </c>
      <c r="C17" s="150">
        <v>30</v>
      </c>
      <c r="E17" s="30">
        <f t="shared" si="0"/>
        <v>15</v>
      </c>
      <c r="F17" s="441" t="s">
        <v>272</v>
      </c>
      <c r="G17" s="442"/>
      <c r="H17" s="442"/>
      <c r="I17" s="442"/>
      <c r="J17" s="442"/>
      <c r="K17" s="442"/>
      <c r="L17" s="442"/>
      <c r="M17" s="442"/>
      <c r="N17" s="442"/>
      <c r="O17" s="443"/>
    </row>
    <row r="18" spans="2:15" x14ac:dyDescent="0.25">
      <c r="B18" s="135" t="s">
        <v>271</v>
      </c>
      <c r="C18" s="150">
        <v>8</v>
      </c>
      <c r="E18" s="30">
        <f t="shared" si="0"/>
        <v>16</v>
      </c>
      <c r="F18" s="444" t="s">
        <v>270</v>
      </c>
      <c r="G18" s="445"/>
      <c r="H18" s="445"/>
      <c r="I18" s="445"/>
      <c r="J18" s="445"/>
      <c r="K18" s="445"/>
      <c r="L18" s="445"/>
      <c r="M18" s="445"/>
      <c r="N18" s="445"/>
      <c r="O18" s="446"/>
    </row>
    <row r="19" spans="2:15" x14ac:dyDescent="0.25">
      <c r="B19" s="48" t="s">
        <v>9</v>
      </c>
      <c r="C19" s="149">
        <f>SUM(C12:C18)</f>
        <v>90</v>
      </c>
    </row>
    <row r="20" spans="2:15" x14ac:dyDescent="0.25">
      <c r="C20" s="148"/>
    </row>
    <row r="21" spans="2:15" ht="26.25" customHeight="1" x14ac:dyDescent="0.25">
      <c r="B21" s="447" t="s">
        <v>269</v>
      </c>
      <c r="C21" s="448"/>
      <c r="D21" s="448"/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449"/>
    </row>
    <row r="22" spans="2:15" ht="48" customHeight="1" x14ac:dyDescent="0.25">
      <c r="B22" s="434" t="s">
        <v>268</v>
      </c>
      <c r="C22" s="435"/>
      <c r="D22" s="435"/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6"/>
    </row>
    <row r="23" spans="2:15" ht="18.75" x14ac:dyDescent="0.25">
      <c r="B23" s="437" t="s">
        <v>267</v>
      </c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9"/>
    </row>
    <row r="24" spans="2:15" x14ac:dyDescent="0.25">
      <c r="B24" s="42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</row>
    <row r="25" spans="2:15" x14ac:dyDescent="0.25">
      <c r="C25" s="148"/>
    </row>
    <row r="26" spans="2:15" x14ac:dyDescent="0.25">
      <c r="C26" s="148"/>
    </row>
    <row r="27" spans="2:15" x14ac:dyDescent="0.25">
      <c r="C27" s="148"/>
    </row>
    <row r="28" spans="2:15" x14ac:dyDescent="0.25">
      <c r="C28" s="148"/>
    </row>
    <row r="29" spans="2:15" x14ac:dyDescent="0.25">
      <c r="C29" s="148"/>
    </row>
    <row r="30" spans="2:15" x14ac:dyDescent="0.25">
      <c r="C30" s="148"/>
    </row>
    <row r="31" spans="2:15" x14ac:dyDescent="0.25">
      <c r="C31" s="148"/>
    </row>
    <row r="32" spans="2:15" x14ac:dyDescent="0.25">
      <c r="C32" s="148"/>
    </row>
    <row r="33" spans="3:3" x14ac:dyDescent="0.25">
      <c r="C33" s="148"/>
    </row>
    <row r="34" spans="3:3" x14ac:dyDescent="0.25">
      <c r="C34" s="148"/>
    </row>
    <row r="35" spans="3:3" x14ac:dyDescent="0.25">
      <c r="C35" s="148"/>
    </row>
    <row r="36" spans="3:3" x14ac:dyDescent="0.25">
      <c r="C36" s="148"/>
    </row>
    <row r="37" spans="3:3" x14ac:dyDescent="0.25">
      <c r="C37" s="148"/>
    </row>
  </sheetData>
  <mergeCells count="24">
    <mergeCell ref="F13:O13"/>
    <mergeCell ref="F14:O14"/>
    <mergeCell ref="B2:C2"/>
    <mergeCell ref="B3:C3"/>
    <mergeCell ref="B11:C11"/>
    <mergeCell ref="F2:O2"/>
    <mergeCell ref="F3:O3"/>
    <mergeCell ref="F5:O5"/>
    <mergeCell ref="F4:O4"/>
    <mergeCell ref="F6:O6"/>
    <mergeCell ref="F7:O7"/>
    <mergeCell ref="F8:O8"/>
    <mergeCell ref="F9:O9"/>
    <mergeCell ref="F12:O12"/>
    <mergeCell ref="F10:O10"/>
    <mergeCell ref="F11:O11"/>
    <mergeCell ref="B22:O22"/>
    <mergeCell ref="B23:O23"/>
    <mergeCell ref="B24:O24"/>
    <mergeCell ref="F15:O15"/>
    <mergeCell ref="F16:O16"/>
    <mergeCell ref="F17:O17"/>
    <mergeCell ref="F18:O18"/>
    <mergeCell ref="B21:O21"/>
  </mergeCells>
  <pageMargins left="0.511811024" right="0.511811024" top="0.78740157499999996" bottom="0.78740157499999996" header="0.31496062000000002" footer="0.31496062000000002"/>
  <pageSetup paperSize="9" scale="82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showGridLines="0" topLeftCell="C1" zoomScale="90" zoomScaleNormal="90" workbookViewId="0">
      <selection activeCell="P22" sqref="P22"/>
    </sheetView>
  </sheetViews>
  <sheetFormatPr defaultColWidth="9.140625" defaultRowHeight="15" x14ac:dyDescent="0.25"/>
  <cols>
    <col min="1" max="1" width="2.140625" style="31" customWidth="1"/>
    <col min="2" max="2" width="3.42578125" style="31" customWidth="1"/>
    <col min="3" max="16" width="9.7109375" style="31" customWidth="1"/>
    <col min="17" max="16384" width="9.140625" style="31"/>
  </cols>
  <sheetData>
    <row r="1" spans="2:17" x14ac:dyDescent="0.25">
      <c r="C1" s="152"/>
    </row>
    <row r="2" spans="2:17" ht="30" x14ac:dyDescent="0.25">
      <c r="C2" s="132" t="s">
        <v>297</v>
      </c>
      <c r="D2" s="132" t="s">
        <v>298</v>
      </c>
      <c r="E2" s="132" t="s">
        <v>299</v>
      </c>
      <c r="F2" s="132" t="s">
        <v>300</v>
      </c>
      <c r="G2" s="132" t="s">
        <v>301</v>
      </c>
      <c r="H2" s="132" t="s">
        <v>312</v>
      </c>
      <c r="I2" s="132" t="s">
        <v>302</v>
      </c>
      <c r="J2" s="132" t="s">
        <v>303</v>
      </c>
      <c r="K2" s="132" t="s">
        <v>304</v>
      </c>
      <c r="L2" s="132" t="s">
        <v>244</v>
      </c>
      <c r="M2" s="132" t="s">
        <v>305</v>
      </c>
      <c r="N2" s="132" t="s">
        <v>306</v>
      </c>
      <c r="O2" s="132" t="s">
        <v>273</v>
      </c>
      <c r="P2" s="132" t="s">
        <v>307</v>
      </c>
      <c r="Q2" s="132" t="s">
        <v>311</v>
      </c>
    </row>
    <row r="3" spans="2:17" x14ac:dyDescent="0.25">
      <c r="B3" s="153" t="s">
        <v>308</v>
      </c>
      <c r="C3" s="153">
        <v>1.4</v>
      </c>
      <c r="D3" s="153">
        <v>33</v>
      </c>
      <c r="E3" s="153">
        <v>9</v>
      </c>
      <c r="F3" s="153">
        <v>3</v>
      </c>
      <c r="G3" s="153">
        <v>0.1</v>
      </c>
      <c r="H3" s="153">
        <v>0</v>
      </c>
      <c r="I3" s="153">
        <v>43.5</v>
      </c>
      <c r="J3" s="153">
        <v>10</v>
      </c>
      <c r="K3" s="153">
        <v>5</v>
      </c>
      <c r="L3" s="153">
        <v>8</v>
      </c>
      <c r="M3" s="153">
        <v>23</v>
      </c>
      <c r="N3" s="153">
        <v>6</v>
      </c>
      <c r="O3" s="153">
        <v>30</v>
      </c>
      <c r="P3" s="153">
        <v>8</v>
      </c>
      <c r="Q3" s="153">
        <v>0</v>
      </c>
    </row>
    <row r="4" spans="2:17" x14ac:dyDescent="0.25">
      <c r="B4" s="87">
        <v>1</v>
      </c>
      <c r="C4" s="156">
        <f>-D4</f>
        <v>29.7</v>
      </c>
      <c r="D4" s="156">
        <f>-D3*0.9</f>
        <v>-29.7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2:17" x14ac:dyDescent="0.25">
      <c r="B5" s="87">
        <f>+B4+1</f>
        <v>2</v>
      </c>
      <c r="C5" s="156">
        <v>-23</v>
      </c>
      <c r="D5" s="156"/>
      <c r="E5" s="156"/>
      <c r="F5" s="156">
        <v>123</v>
      </c>
      <c r="G5" s="156"/>
      <c r="H5" s="156"/>
      <c r="I5" s="156"/>
      <c r="J5" s="156">
        <v>100</v>
      </c>
      <c r="K5" s="156"/>
      <c r="L5" s="156"/>
      <c r="M5" s="156"/>
      <c r="N5" s="156"/>
      <c r="O5" s="156"/>
      <c r="P5" s="156"/>
      <c r="Q5" s="156"/>
    </row>
    <row r="6" spans="2:17" x14ac:dyDescent="0.25">
      <c r="B6" s="87">
        <f t="shared" ref="B6:B20" si="0">+B5+1</f>
        <v>3</v>
      </c>
      <c r="C6" s="156"/>
      <c r="D6" s="156"/>
      <c r="E6" s="156"/>
      <c r="F6" s="156">
        <f>-F5*0.2</f>
        <v>-24.6</v>
      </c>
      <c r="G6" s="156"/>
      <c r="H6" s="156">
        <f>-F6</f>
        <v>24.6</v>
      </c>
      <c r="I6" s="156"/>
      <c r="J6" s="156"/>
      <c r="K6" s="156"/>
      <c r="L6" s="156"/>
      <c r="M6" s="156"/>
      <c r="N6" s="156"/>
      <c r="O6" s="156"/>
      <c r="P6" s="156"/>
      <c r="Q6" s="156"/>
    </row>
    <row r="7" spans="2:17" x14ac:dyDescent="0.25">
      <c r="B7" s="87">
        <f t="shared" si="0"/>
        <v>4</v>
      </c>
      <c r="C7" s="156">
        <v>-5.6</v>
      </c>
      <c r="D7" s="156"/>
      <c r="E7" s="156"/>
      <c r="F7" s="156">
        <f>-C7</f>
        <v>5.6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</row>
    <row r="8" spans="2:17" x14ac:dyDescent="0.25">
      <c r="B8" s="87">
        <f t="shared" si="0"/>
        <v>5</v>
      </c>
      <c r="C8" s="156"/>
      <c r="D8" s="156"/>
      <c r="E8" s="156">
        <f>-F8</f>
        <v>96.600000000000009</v>
      </c>
      <c r="F8" s="156">
        <f>-F3-90%*SUM(F5:F7)</f>
        <v>-96.600000000000009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</row>
    <row r="9" spans="2:17" x14ac:dyDescent="0.25">
      <c r="B9" s="87">
        <f t="shared" si="0"/>
        <v>6</v>
      </c>
      <c r="C9" s="156"/>
      <c r="D9" s="156"/>
      <c r="E9" s="156">
        <v>-0.6</v>
      </c>
      <c r="F9" s="156"/>
      <c r="G9" s="156">
        <f>-E9</f>
        <v>0.6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</row>
    <row r="10" spans="2:17" x14ac:dyDescent="0.25">
      <c r="B10" s="87">
        <f t="shared" si="0"/>
        <v>7</v>
      </c>
      <c r="C10" s="156">
        <v>0.1</v>
      </c>
      <c r="D10" s="156"/>
      <c r="E10" s="156"/>
      <c r="F10" s="156"/>
      <c r="G10" s="156">
        <f>-C10</f>
        <v>-0.1</v>
      </c>
      <c r="H10" s="156"/>
      <c r="I10" s="156"/>
      <c r="J10" s="156"/>
      <c r="K10" s="156"/>
      <c r="L10" s="156"/>
      <c r="M10" s="156"/>
      <c r="N10" s="156"/>
      <c r="O10" s="156"/>
      <c r="P10" s="156"/>
      <c r="Q10" s="156"/>
    </row>
    <row r="11" spans="2:17" x14ac:dyDescent="0.25">
      <c r="B11" s="87">
        <f t="shared" si="0"/>
        <v>8</v>
      </c>
      <c r="C11" s="156">
        <f>-80%*75</f>
        <v>-60</v>
      </c>
      <c r="D11" s="156"/>
      <c r="E11" s="156">
        <v>75</v>
      </c>
      <c r="F11" s="156"/>
      <c r="G11" s="156"/>
      <c r="H11" s="156"/>
      <c r="I11" s="156"/>
      <c r="J11" s="156"/>
      <c r="K11" s="156"/>
      <c r="L11" s="156"/>
      <c r="M11" s="156">
        <f>20%*75</f>
        <v>15</v>
      </c>
      <c r="N11" s="156"/>
      <c r="O11" s="156"/>
      <c r="P11" s="156"/>
      <c r="Q11" s="156"/>
    </row>
    <row r="12" spans="2:17" x14ac:dyDescent="0.25">
      <c r="B12" s="87">
        <f t="shared" si="0"/>
        <v>9</v>
      </c>
      <c r="C12" s="156">
        <f>-19.5+5.5</f>
        <v>-14</v>
      </c>
      <c r="D12" s="156"/>
      <c r="E12" s="156">
        <v>19.5</v>
      </c>
      <c r="F12" s="156"/>
      <c r="G12" s="156"/>
      <c r="H12" s="156"/>
      <c r="I12" s="156"/>
      <c r="J12" s="156"/>
      <c r="K12" s="156"/>
      <c r="L12" s="156"/>
      <c r="M12" s="156"/>
      <c r="N12" s="156">
        <v>5.5</v>
      </c>
      <c r="O12" s="156"/>
      <c r="P12" s="156"/>
      <c r="Q12" s="156"/>
    </row>
    <row r="13" spans="2:17" x14ac:dyDescent="0.25">
      <c r="B13" s="87">
        <f t="shared" si="0"/>
        <v>10</v>
      </c>
      <c r="C13" s="156"/>
      <c r="D13" s="156"/>
      <c r="E13" s="156">
        <f>-I13</f>
        <v>0.5</v>
      </c>
      <c r="F13" s="156"/>
      <c r="G13" s="156"/>
      <c r="H13" s="156"/>
      <c r="I13" s="156">
        <v>-0.5</v>
      </c>
      <c r="J13" s="156"/>
      <c r="K13" s="156"/>
      <c r="L13" s="156"/>
      <c r="M13" s="156"/>
      <c r="N13" s="156"/>
      <c r="O13" s="156"/>
      <c r="P13" s="156"/>
      <c r="Q13" s="156"/>
    </row>
    <row r="14" spans="2:17" x14ac:dyDescent="0.25">
      <c r="B14" s="87">
        <v>11</v>
      </c>
      <c r="C14" s="156">
        <v>200</v>
      </c>
      <c r="D14" s="156">
        <v>50</v>
      </c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>
        <v>250</v>
      </c>
    </row>
    <row r="15" spans="2:17" x14ac:dyDescent="0.25">
      <c r="B15" s="87">
        <f>+B13+1</f>
        <v>11</v>
      </c>
      <c r="C15" s="156"/>
      <c r="D15" s="156"/>
      <c r="E15" s="156">
        <f>-SUM(E3:E13)*90%</f>
        <v>-180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>
        <f>+E15</f>
        <v>-180</v>
      </c>
    </row>
    <row r="16" spans="2:17" x14ac:dyDescent="0.25">
      <c r="B16" s="87">
        <f t="shared" si="0"/>
        <v>12</v>
      </c>
      <c r="C16" s="156"/>
      <c r="D16" s="156"/>
      <c r="E16" s="156"/>
      <c r="F16" s="156"/>
      <c r="G16" s="156"/>
      <c r="H16" s="156"/>
      <c r="I16" s="156"/>
      <c r="J16" s="156"/>
      <c r="K16" s="156">
        <f>-Q16</f>
        <v>50</v>
      </c>
      <c r="L16" s="156"/>
      <c r="M16" s="156"/>
      <c r="N16" s="156"/>
      <c r="O16" s="156"/>
      <c r="P16" s="156"/>
      <c r="Q16" s="156">
        <f>-Q14*20%</f>
        <v>-50</v>
      </c>
    </row>
    <row r="17" spans="2:17" x14ac:dyDescent="0.25">
      <c r="B17" s="87">
        <f t="shared" si="0"/>
        <v>13</v>
      </c>
      <c r="C17" s="156">
        <v>-2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>
        <v>3</v>
      </c>
      <c r="O17" s="156"/>
      <c r="P17" s="156"/>
      <c r="Q17" s="156">
        <v>-5</v>
      </c>
    </row>
    <row r="18" spans="2:17" x14ac:dyDescent="0.25">
      <c r="B18" s="87">
        <f t="shared" si="0"/>
        <v>14</v>
      </c>
      <c r="C18" s="156">
        <v>-3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>
        <v>7</v>
      </c>
      <c r="O18" s="156"/>
      <c r="P18" s="156"/>
      <c r="Q18" s="156">
        <v>-10</v>
      </c>
    </row>
    <row r="19" spans="2:17" x14ac:dyDescent="0.25">
      <c r="B19" s="87">
        <f t="shared" si="0"/>
        <v>15</v>
      </c>
      <c r="C19" s="156">
        <f>SUM(J19:N19)</f>
        <v>-42.8</v>
      </c>
      <c r="D19" s="156"/>
      <c r="E19" s="156"/>
      <c r="F19" s="156"/>
      <c r="G19" s="156"/>
      <c r="H19" s="156"/>
      <c r="I19" s="156"/>
      <c r="J19" s="156">
        <f>-J3</f>
        <v>-10</v>
      </c>
      <c r="K19" s="156">
        <f>-K3</f>
        <v>-5</v>
      </c>
      <c r="L19" s="156">
        <f>-L3</f>
        <v>-8</v>
      </c>
      <c r="M19" s="156">
        <f>-M3*60%</f>
        <v>-13.799999999999999</v>
      </c>
      <c r="N19" s="156">
        <f>-N3</f>
        <v>-6</v>
      </c>
      <c r="O19" s="156"/>
      <c r="P19" s="156"/>
      <c r="Q19" s="156"/>
    </row>
    <row r="20" spans="2:17" x14ac:dyDescent="0.25">
      <c r="B20" s="87">
        <f t="shared" si="0"/>
        <v>16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>
        <f>-Q20</f>
        <v>1.5</v>
      </c>
      <c r="M20" s="156"/>
      <c r="N20" s="156"/>
      <c r="O20" s="156"/>
      <c r="P20" s="156"/>
      <c r="Q20" s="156">
        <f>-SUM(Q3:Q19)*30%</f>
        <v>-1.5</v>
      </c>
    </row>
    <row r="21" spans="2:17" x14ac:dyDescent="0.25">
      <c r="B21" s="87" t="s">
        <v>315</v>
      </c>
      <c r="C21" s="156"/>
      <c r="D21" s="156"/>
      <c r="E21" s="156"/>
      <c r="F21" s="156"/>
      <c r="G21" s="156"/>
      <c r="H21" s="156">
        <v>-24.6</v>
      </c>
      <c r="I21" s="156"/>
      <c r="J21" s="156"/>
      <c r="K21" s="156">
        <f>+H21</f>
        <v>-24.6</v>
      </c>
      <c r="L21" s="156"/>
      <c r="M21" s="156"/>
      <c r="N21" s="156"/>
      <c r="O21" s="156"/>
      <c r="P21" s="156"/>
      <c r="Q21" s="156"/>
    </row>
    <row r="22" spans="2:17" x14ac:dyDescent="0.25">
      <c r="B22" s="87" t="s">
        <v>315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>
        <f>-Q22</f>
        <v>3.5</v>
      </c>
      <c r="Q22" s="156">
        <f>-SUM(Q3:Q21)</f>
        <v>-3.5</v>
      </c>
    </row>
    <row r="23" spans="2:17" x14ac:dyDescent="0.25">
      <c r="B23" s="153" t="s">
        <v>309</v>
      </c>
      <c r="C23" s="153">
        <f>SUM(C3:C22)</f>
        <v>80.8</v>
      </c>
      <c r="D23" s="153">
        <f t="shared" ref="D23:Q23" si="1">SUM(D3:D22)</f>
        <v>53.3</v>
      </c>
      <c r="E23" s="153">
        <f t="shared" si="1"/>
        <v>20</v>
      </c>
      <c r="F23" s="153">
        <f t="shared" si="1"/>
        <v>10.399999999999991</v>
      </c>
      <c r="G23" s="153">
        <f t="shared" si="1"/>
        <v>0.6</v>
      </c>
      <c r="H23" s="153">
        <f t="shared" si="1"/>
        <v>0</v>
      </c>
      <c r="I23" s="153">
        <f t="shared" si="1"/>
        <v>43</v>
      </c>
      <c r="J23" s="153">
        <f t="shared" si="1"/>
        <v>100</v>
      </c>
      <c r="K23" s="153">
        <f t="shared" si="1"/>
        <v>25.4</v>
      </c>
      <c r="L23" s="153">
        <f t="shared" si="1"/>
        <v>1.5</v>
      </c>
      <c r="M23" s="153">
        <f t="shared" si="1"/>
        <v>24.200000000000003</v>
      </c>
      <c r="N23" s="153">
        <f t="shared" si="1"/>
        <v>15.5</v>
      </c>
      <c r="O23" s="153">
        <f t="shared" si="1"/>
        <v>30</v>
      </c>
      <c r="P23" s="153">
        <f t="shared" si="1"/>
        <v>11.5</v>
      </c>
      <c r="Q23" s="153">
        <f t="shared" si="1"/>
        <v>0</v>
      </c>
    </row>
    <row r="24" spans="2:17" x14ac:dyDescent="0.25"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</row>
    <row r="25" spans="2:17" x14ac:dyDescent="0.25">
      <c r="B25" s="154"/>
      <c r="C25" s="153" t="s">
        <v>4</v>
      </c>
      <c r="D25" s="153">
        <f>+SUM(C23:I23)</f>
        <v>208.1</v>
      </c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</row>
    <row r="26" spans="2:17" x14ac:dyDescent="0.25">
      <c r="B26" s="154"/>
      <c r="C26" s="153" t="s">
        <v>310</v>
      </c>
      <c r="D26" s="153">
        <f>+SUM(J23:Q23)</f>
        <v>208.10000000000002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</row>
    <row r="27" spans="2:17" x14ac:dyDescent="0.25">
      <c r="B27" s="154"/>
      <c r="C27" s="154"/>
      <c r="D27" s="155">
        <f>+D26-D25</f>
        <v>0</v>
      </c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</row>
    <row r="28" spans="2:17" x14ac:dyDescent="0.25"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</row>
  </sheetData>
  <pageMargins left="0.511811024" right="0.511811024" top="0.78740157499999996" bottom="0.78740157499999996" header="0.31496062000000002" footer="0.31496062000000002"/>
  <pageSetup paperSize="9" scale="82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showGridLines="0" zoomScale="120" zoomScaleNormal="120" workbookViewId="0">
      <selection activeCell="B8" sqref="B8"/>
    </sheetView>
  </sheetViews>
  <sheetFormatPr defaultColWidth="9.140625" defaultRowHeight="15" x14ac:dyDescent="0.25"/>
  <cols>
    <col min="1" max="1" width="2.140625" style="31" customWidth="1"/>
    <col min="2" max="2" width="28.42578125" style="31" bestFit="1" customWidth="1"/>
    <col min="3" max="16" width="9.7109375" style="31" customWidth="1"/>
    <col min="17" max="16384" width="9.140625" style="31"/>
  </cols>
  <sheetData>
    <row r="1" spans="2:4" x14ac:dyDescent="0.25">
      <c r="C1" s="152"/>
      <c r="D1" s="152"/>
    </row>
    <row r="2" spans="2:4" ht="21" x14ac:dyDescent="0.25">
      <c r="B2" s="450" t="s">
        <v>313</v>
      </c>
      <c r="C2" s="455"/>
      <c r="D2" s="451"/>
    </row>
    <row r="3" spans="2:4" x14ac:dyDescent="0.25">
      <c r="B3" s="133" t="s">
        <v>4</v>
      </c>
      <c r="C3" s="162">
        <v>43555</v>
      </c>
      <c r="D3" s="157">
        <v>43646</v>
      </c>
    </row>
    <row r="4" spans="2:4" x14ac:dyDescent="0.25">
      <c r="B4" s="135" t="s">
        <v>39</v>
      </c>
      <c r="C4" s="159">
        <v>1.4</v>
      </c>
      <c r="D4" s="150">
        <f>+'CONTABILIZAÇÃO CUSTOS (RESOLUÇ)'!$C$23</f>
        <v>80.8</v>
      </c>
    </row>
    <row r="5" spans="2:4" x14ac:dyDescent="0.25">
      <c r="B5" s="135" t="s">
        <v>40</v>
      </c>
      <c r="C5" s="159">
        <f>90-57</f>
        <v>33</v>
      </c>
      <c r="D5" s="150">
        <f>+'CONTABILIZAÇÃO CUSTOS (RESOLUÇ)'!$D$23</f>
        <v>53.3</v>
      </c>
    </row>
    <row r="6" spans="2:4" x14ac:dyDescent="0.25">
      <c r="B6" s="135" t="s">
        <v>291</v>
      </c>
      <c r="C6" s="159">
        <v>9</v>
      </c>
      <c r="D6" s="150">
        <f>+'CONTABILIZAÇÃO CUSTOS (RESOLUÇ)'!$E$23</f>
        <v>20</v>
      </c>
    </row>
    <row r="7" spans="2:4" x14ac:dyDescent="0.25">
      <c r="B7" s="135" t="s">
        <v>289</v>
      </c>
      <c r="C7" s="159">
        <v>3</v>
      </c>
      <c r="D7" s="150">
        <f>+'CONTABILIZAÇÃO CUSTOS (RESOLUÇ)'!$F$23</f>
        <v>10.399999999999991</v>
      </c>
    </row>
    <row r="8" spans="2:4" x14ac:dyDescent="0.25">
      <c r="B8" s="135" t="s">
        <v>287</v>
      </c>
      <c r="C8" s="159">
        <v>0.1</v>
      </c>
      <c r="D8" s="150">
        <f>+'CONTABILIZAÇÃO CUSTOS (RESOLUÇ)'!$G$23</f>
        <v>0.6</v>
      </c>
    </row>
    <row r="9" spans="2:4" x14ac:dyDescent="0.25">
      <c r="B9" s="135" t="s">
        <v>314</v>
      </c>
      <c r="C9" s="159">
        <v>0</v>
      </c>
      <c r="D9" s="150">
        <f>+'CONTABILIZAÇÃO CUSTOS (RESOLUÇ)'!$H$23</f>
        <v>0</v>
      </c>
    </row>
    <row r="10" spans="2:4" x14ac:dyDescent="0.25">
      <c r="B10" s="135" t="s">
        <v>285</v>
      </c>
      <c r="C10" s="159">
        <v>43.5</v>
      </c>
      <c r="D10" s="150">
        <f>+'CONTABILIZAÇÃO CUSTOS (RESOLUÇ)'!$I$23</f>
        <v>43</v>
      </c>
    </row>
    <row r="11" spans="2:4" x14ac:dyDescent="0.25">
      <c r="B11" s="48" t="s">
        <v>9</v>
      </c>
      <c r="C11" s="163">
        <f>SUM(C4:C10)</f>
        <v>90</v>
      </c>
      <c r="D11" s="149">
        <f>SUM(D4:D10)</f>
        <v>208.1</v>
      </c>
    </row>
    <row r="12" spans="2:4" x14ac:dyDescent="0.25">
      <c r="B12" s="134" t="s">
        <v>41</v>
      </c>
      <c r="C12" s="158">
        <v>43555</v>
      </c>
      <c r="D12" s="164">
        <v>43646</v>
      </c>
    </row>
    <row r="13" spans="2:4" x14ac:dyDescent="0.25">
      <c r="B13" s="135" t="s">
        <v>77</v>
      </c>
      <c r="C13" s="159">
        <v>10</v>
      </c>
      <c r="D13" s="150">
        <f>+'CONTABILIZAÇÃO CUSTOS (RESOLUÇ)'!$J$23</f>
        <v>100</v>
      </c>
    </row>
    <row r="14" spans="2:4" x14ac:dyDescent="0.25">
      <c r="B14" s="135" t="s">
        <v>280</v>
      </c>
      <c r="C14" s="159">
        <v>5</v>
      </c>
      <c r="D14" s="150">
        <f>+'CONTABILIZAÇÃO CUSTOS (RESOLUÇ)'!$K$23</f>
        <v>25.4</v>
      </c>
    </row>
    <row r="15" spans="2:4" x14ac:dyDescent="0.25">
      <c r="B15" s="135" t="s">
        <v>244</v>
      </c>
      <c r="C15" s="159">
        <v>8</v>
      </c>
      <c r="D15" s="150">
        <f>+'CONTABILIZAÇÃO CUSTOS (RESOLUÇ)'!$L$23</f>
        <v>1.5</v>
      </c>
    </row>
    <row r="16" spans="2:4" x14ac:dyDescent="0.25">
      <c r="B16" s="135" t="s">
        <v>277</v>
      </c>
      <c r="C16" s="159">
        <v>23</v>
      </c>
      <c r="D16" s="150">
        <f>+'CONTABILIZAÇÃO CUSTOS (RESOLUÇ)'!$M$23</f>
        <v>24.200000000000003</v>
      </c>
    </row>
    <row r="17" spans="2:4" x14ac:dyDescent="0.25">
      <c r="B17" s="135" t="s">
        <v>275</v>
      </c>
      <c r="C17" s="159">
        <v>6</v>
      </c>
      <c r="D17" s="150">
        <f>+'CONTABILIZAÇÃO CUSTOS (RESOLUÇ)'!$N$23</f>
        <v>15.5</v>
      </c>
    </row>
    <row r="18" spans="2:4" x14ac:dyDescent="0.25">
      <c r="B18" s="135" t="s">
        <v>273</v>
      </c>
      <c r="C18" s="159">
        <v>30</v>
      </c>
      <c r="D18" s="150">
        <f>+'CONTABILIZAÇÃO CUSTOS (RESOLUÇ)'!$O$23</f>
        <v>30</v>
      </c>
    </row>
    <row r="19" spans="2:4" x14ac:dyDescent="0.25">
      <c r="B19" s="135" t="s">
        <v>271</v>
      </c>
      <c r="C19" s="159">
        <v>8</v>
      </c>
      <c r="D19" s="150">
        <f>+'CONTABILIZAÇÃO CUSTOS (RESOLUÇ)'!$P$23</f>
        <v>11.5</v>
      </c>
    </row>
    <row r="20" spans="2:4" x14ac:dyDescent="0.25">
      <c r="B20" s="48" t="s">
        <v>9</v>
      </c>
      <c r="C20" s="163">
        <f>SUM(C13:C19)</f>
        <v>90</v>
      </c>
      <c r="D20" s="149">
        <f>SUM(D13:D19)</f>
        <v>208.10000000000002</v>
      </c>
    </row>
    <row r="21" spans="2:4" x14ac:dyDescent="0.25">
      <c r="B21" s="136"/>
      <c r="C21" s="136"/>
      <c r="D21" s="136"/>
    </row>
    <row r="22" spans="2:4" ht="21" x14ac:dyDescent="0.25">
      <c r="B22" s="450" t="s">
        <v>316</v>
      </c>
      <c r="C22" s="455"/>
      <c r="D22" s="451"/>
    </row>
    <row r="23" spans="2:4" x14ac:dyDescent="0.25">
      <c r="B23" s="38" t="s">
        <v>317</v>
      </c>
      <c r="C23" s="161"/>
      <c r="D23" s="165">
        <f>+'CONTABILIZAÇÃO CUSTOS (RESOLUÇ)'!Q14</f>
        <v>250</v>
      </c>
    </row>
    <row r="24" spans="2:4" x14ac:dyDescent="0.25">
      <c r="B24" s="135" t="s">
        <v>318</v>
      </c>
      <c r="C24" s="159"/>
      <c r="D24" s="150">
        <f>+'CONTABILIZAÇÃO CUSTOS (RESOLUÇ)'!Q16</f>
        <v>-50</v>
      </c>
    </row>
    <row r="25" spans="2:4" x14ac:dyDescent="0.25">
      <c r="B25" s="38" t="s">
        <v>319</v>
      </c>
      <c r="C25" s="161"/>
      <c r="D25" s="165">
        <f>SUM(D23:D24)</f>
        <v>200</v>
      </c>
    </row>
    <row r="26" spans="2:4" x14ac:dyDescent="0.25">
      <c r="B26" s="135" t="s">
        <v>129</v>
      </c>
      <c r="C26" s="136"/>
      <c r="D26" s="150">
        <f>'CONTABILIZAÇÃO CUSTOS (RESOLUÇ)'!Q15</f>
        <v>-180</v>
      </c>
    </row>
    <row r="27" spans="2:4" x14ac:dyDescent="0.25">
      <c r="B27" s="38" t="s">
        <v>32</v>
      </c>
      <c r="C27" s="161"/>
      <c r="D27" s="165">
        <f>SUM(D25:D26)</f>
        <v>20</v>
      </c>
    </row>
    <row r="28" spans="2:4" x14ac:dyDescent="0.25">
      <c r="B28" s="135" t="s">
        <v>320</v>
      </c>
      <c r="C28" s="136"/>
      <c r="D28" s="150">
        <f>+'CONTABILIZAÇÃO CUSTOS (RESOLUÇ)'!Q17</f>
        <v>-5</v>
      </c>
    </row>
    <row r="29" spans="2:4" x14ac:dyDescent="0.25">
      <c r="B29" s="419" t="s">
        <v>321</v>
      </c>
      <c r="C29" s="420"/>
      <c r="D29" s="150">
        <f>+'CONTABILIZAÇÃO CUSTOS (RESOLUÇ)'!Q18</f>
        <v>-10</v>
      </c>
    </row>
    <row r="30" spans="2:4" x14ac:dyDescent="0.25">
      <c r="B30" s="38" t="s">
        <v>236</v>
      </c>
      <c r="C30" s="160"/>
      <c r="D30" s="165">
        <f>SUM(D27:D29)</f>
        <v>5</v>
      </c>
    </row>
    <row r="31" spans="2:4" x14ac:dyDescent="0.25">
      <c r="B31" s="135" t="s">
        <v>237</v>
      </c>
      <c r="C31" s="136"/>
      <c r="D31" s="150">
        <f>+'CONTABILIZAÇÃO CUSTOS (RESOLUÇ)'!Q20</f>
        <v>-1.5</v>
      </c>
    </row>
    <row r="32" spans="2:4" x14ac:dyDescent="0.25">
      <c r="B32" s="48" t="s">
        <v>34</v>
      </c>
      <c r="C32" s="163"/>
      <c r="D32" s="149">
        <f>SUM(D30:D31)</f>
        <v>3.5</v>
      </c>
    </row>
  </sheetData>
  <mergeCells count="3">
    <mergeCell ref="B2:D2"/>
    <mergeCell ref="B22:D22"/>
    <mergeCell ref="B29:C29"/>
  </mergeCells>
  <pageMargins left="0.511811024" right="0.511811024" top="0.78740157499999996" bottom="0.78740157499999996" header="0.31496062000000002" footer="0.31496062000000002"/>
  <pageSetup paperSize="9" scale="82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4"/>
  <sheetViews>
    <sheetView showGridLines="0" topLeftCell="A15" zoomScale="120" zoomScaleNormal="120" workbookViewId="0">
      <selection activeCell="J23" sqref="J23:K23"/>
    </sheetView>
  </sheetViews>
  <sheetFormatPr defaultColWidth="9.140625" defaultRowHeight="18.75" outlineLevelRow="1" x14ac:dyDescent="0.25"/>
  <cols>
    <col min="1" max="1" width="2.140625" style="31" customWidth="1"/>
    <col min="2" max="2" width="30.85546875" style="31" bestFit="1" customWidth="1"/>
    <col min="3" max="3" width="7.7109375" style="31" bestFit="1" customWidth="1"/>
    <col min="4" max="4" width="8.85546875" style="31" bestFit="1" customWidth="1"/>
    <col min="5" max="5" width="6.28515625" style="31" bestFit="1" customWidth="1"/>
    <col min="6" max="6" width="7.7109375" style="31" bestFit="1" customWidth="1"/>
    <col min="7" max="7" width="8.85546875" style="31" bestFit="1" customWidth="1"/>
    <col min="8" max="8" width="6.28515625" style="31" bestFit="1" customWidth="1"/>
    <col min="9" max="9" width="10.5703125" style="166" bestFit="1" customWidth="1"/>
    <col min="10" max="18" width="9.7109375" style="31" customWidth="1"/>
    <col min="19" max="16384" width="9.140625" style="31"/>
  </cols>
  <sheetData>
    <row r="1" spans="2:9" x14ac:dyDescent="0.25">
      <c r="C1" s="152"/>
      <c r="D1" s="152"/>
      <c r="E1" s="152"/>
      <c r="F1" s="152"/>
    </row>
    <row r="2" spans="2:9" x14ac:dyDescent="0.25">
      <c r="B2" s="179" t="s">
        <v>335</v>
      </c>
      <c r="C2" s="461" t="s">
        <v>218</v>
      </c>
      <c r="D2" s="462"/>
      <c r="E2" s="463"/>
      <c r="F2" s="462" t="s">
        <v>219</v>
      </c>
      <c r="G2" s="462"/>
      <c r="H2" s="463"/>
      <c r="I2" s="456" t="s">
        <v>9</v>
      </c>
    </row>
    <row r="3" spans="2:9" ht="15" x14ac:dyDescent="0.25">
      <c r="B3" s="180" t="s">
        <v>325</v>
      </c>
      <c r="C3" s="458">
        <v>12000</v>
      </c>
      <c r="D3" s="459"/>
      <c r="E3" s="460"/>
      <c r="F3" s="458">
        <v>4490</v>
      </c>
      <c r="G3" s="459"/>
      <c r="H3" s="460"/>
      <c r="I3" s="457"/>
    </row>
    <row r="4" spans="2:9" ht="15.75" x14ac:dyDescent="0.25">
      <c r="B4" s="181"/>
      <c r="C4" s="167" t="s">
        <v>322</v>
      </c>
      <c r="D4" s="168" t="s">
        <v>326</v>
      </c>
      <c r="E4" s="169" t="s">
        <v>337</v>
      </c>
      <c r="F4" s="168" t="s">
        <v>322</v>
      </c>
      <c r="G4" s="168" t="s">
        <v>326</v>
      </c>
      <c r="H4" s="169" t="s">
        <v>337</v>
      </c>
      <c r="I4" s="188" t="s">
        <v>326</v>
      </c>
    </row>
    <row r="5" spans="2:9" ht="15.75" outlineLevel="1" x14ac:dyDescent="0.25">
      <c r="B5" s="182" t="s">
        <v>327</v>
      </c>
      <c r="C5" s="170">
        <v>80</v>
      </c>
      <c r="D5" s="171">
        <f>+C5*$C$21</f>
        <v>960000</v>
      </c>
      <c r="E5" s="172">
        <f>+D5/$D$5</f>
        <v>1</v>
      </c>
      <c r="F5" s="185">
        <v>95</v>
      </c>
      <c r="G5" s="171">
        <f>+F5*$F$21</f>
        <v>426550</v>
      </c>
      <c r="H5" s="172">
        <f>+G5/$G$5</f>
        <v>1</v>
      </c>
      <c r="I5" s="189">
        <f>+D5+G5</f>
        <v>1386550</v>
      </c>
    </row>
    <row r="6" spans="2:9" ht="15.75" outlineLevel="1" x14ac:dyDescent="0.25">
      <c r="B6" s="183" t="s">
        <v>323</v>
      </c>
      <c r="C6" s="173">
        <v>-20</v>
      </c>
      <c r="D6" s="174">
        <f>+C6*$C$21</f>
        <v>-240000</v>
      </c>
      <c r="E6" s="175">
        <f t="shared" ref="E6:E8" si="0">+D6/$D$5</f>
        <v>-0.25</v>
      </c>
      <c r="F6" s="186">
        <v>-27.95</v>
      </c>
      <c r="G6" s="174">
        <f>+F6*$F$21</f>
        <v>-125495.5</v>
      </c>
      <c r="H6" s="175">
        <f>+G6/$G$5</f>
        <v>-0.29421052631578948</v>
      </c>
      <c r="I6" s="190">
        <f>+D6+G6</f>
        <v>-365495.5</v>
      </c>
    </row>
    <row r="7" spans="2:9" ht="15.75" outlineLevel="1" x14ac:dyDescent="0.25">
      <c r="B7" s="183" t="s">
        <v>324</v>
      </c>
      <c r="C7" s="173">
        <v>-10</v>
      </c>
      <c r="D7" s="174">
        <f>+C7*$C$21</f>
        <v>-120000</v>
      </c>
      <c r="E7" s="175">
        <f t="shared" si="0"/>
        <v>-0.125</v>
      </c>
      <c r="F7" s="186">
        <v>-5</v>
      </c>
      <c r="G7" s="174">
        <f>+F7*$F$21</f>
        <v>-22450</v>
      </c>
      <c r="H7" s="175">
        <f t="shared" ref="H7:H8" si="1">+G7/$G$5</f>
        <v>-5.2631578947368418E-2</v>
      </c>
      <c r="I7" s="190">
        <f>+D7+G7</f>
        <v>-142450</v>
      </c>
    </row>
    <row r="8" spans="2:9" ht="15.75" outlineLevel="1" x14ac:dyDescent="0.25">
      <c r="B8" s="192" t="s">
        <v>336</v>
      </c>
      <c r="C8" s="193">
        <f>+D8/C3</f>
        <v>-35.1000351000351</v>
      </c>
      <c r="D8" s="194">
        <f>-500000/$I$7*D7</f>
        <v>-421200.42120042117</v>
      </c>
      <c r="E8" s="195">
        <f t="shared" si="0"/>
        <v>-0.43875043875043873</v>
      </c>
      <c r="F8" s="196">
        <f>+G8/F3</f>
        <v>-17.55001755001755</v>
      </c>
      <c r="G8" s="194">
        <f>-500000/$I$7*G7</f>
        <v>-78799.578799578798</v>
      </c>
      <c r="H8" s="195">
        <f t="shared" si="1"/>
        <v>-0.18473702684228999</v>
      </c>
      <c r="I8" s="197">
        <f>+D8+G8</f>
        <v>-500000</v>
      </c>
    </row>
    <row r="9" spans="2:9" ht="15.75" x14ac:dyDescent="0.25">
      <c r="B9" s="184" t="s">
        <v>328</v>
      </c>
      <c r="C9" s="176">
        <f t="shared" ref="C9:I9" si="2">SUM(C5:C8)</f>
        <v>14.8999648999649</v>
      </c>
      <c r="D9" s="177">
        <f t="shared" si="2"/>
        <v>178799.57879957883</v>
      </c>
      <c r="E9" s="178">
        <f t="shared" si="2"/>
        <v>0.18624956124956127</v>
      </c>
      <c r="F9" s="187">
        <f t="shared" si="2"/>
        <v>44.499982449982447</v>
      </c>
      <c r="G9" s="177">
        <f t="shared" si="2"/>
        <v>199804.9212004212</v>
      </c>
      <c r="H9" s="178">
        <f t="shared" si="2"/>
        <v>0.46842086789455217</v>
      </c>
      <c r="I9" s="191">
        <f t="shared" si="2"/>
        <v>378604.5</v>
      </c>
    </row>
    <row r="10" spans="2:9" x14ac:dyDescent="0.25">
      <c r="C10" s="30"/>
      <c r="D10" s="30"/>
      <c r="E10" s="30"/>
      <c r="F10" s="30"/>
      <c r="G10" s="30"/>
      <c r="H10" s="30"/>
    </row>
    <row r="11" spans="2:9" x14ac:dyDescent="0.25">
      <c r="B11" s="179" t="s">
        <v>335</v>
      </c>
      <c r="C11" s="461" t="s">
        <v>218</v>
      </c>
      <c r="D11" s="462"/>
      <c r="E11" s="463"/>
      <c r="F11" s="462" t="s">
        <v>219</v>
      </c>
      <c r="G11" s="462"/>
      <c r="H11" s="463"/>
      <c r="I11" s="456" t="s">
        <v>9</v>
      </c>
    </row>
    <row r="12" spans="2:9" ht="15" x14ac:dyDescent="0.25">
      <c r="B12" s="180" t="s">
        <v>325</v>
      </c>
      <c r="C12" s="458">
        <v>12000</v>
      </c>
      <c r="D12" s="459"/>
      <c r="E12" s="460"/>
      <c r="F12" s="458">
        <v>4490</v>
      </c>
      <c r="G12" s="459"/>
      <c r="H12" s="460"/>
      <c r="I12" s="457"/>
    </row>
    <row r="13" spans="2:9" ht="15.75" x14ac:dyDescent="0.25">
      <c r="B13" s="181"/>
      <c r="C13" s="167" t="s">
        <v>322</v>
      </c>
      <c r="D13" s="168" t="s">
        <v>326</v>
      </c>
      <c r="E13" s="169" t="s">
        <v>337</v>
      </c>
      <c r="F13" s="168" t="s">
        <v>322</v>
      </c>
      <c r="G13" s="168" t="s">
        <v>326</v>
      </c>
      <c r="H13" s="169" t="s">
        <v>337</v>
      </c>
      <c r="I13" s="188" t="s">
        <v>326</v>
      </c>
    </row>
    <row r="14" spans="2:9" ht="15.75" outlineLevel="1" x14ac:dyDescent="0.25">
      <c r="B14" s="182" t="s">
        <v>327</v>
      </c>
      <c r="C14" s="170">
        <v>80</v>
      </c>
      <c r="D14" s="171">
        <f>+C14*$C$21</f>
        <v>960000</v>
      </c>
      <c r="E14" s="172">
        <f>+D14/$D$5</f>
        <v>1</v>
      </c>
      <c r="F14" s="185">
        <v>95</v>
      </c>
      <c r="G14" s="171">
        <f>+F14*$F$21</f>
        <v>426550</v>
      </c>
      <c r="H14" s="172">
        <f>+G14/$G$5</f>
        <v>1</v>
      </c>
      <c r="I14" s="189">
        <f>+D14+G14</f>
        <v>1386550</v>
      </c>
    </row>
    <row r="15" spans="2:9" ht="15.75" outlineLevel="1" x14ac:dyDescent="0.25">
      <c r="B15" s="183" t="s">
        <v>323</v>
      </c>
      <c r="C15" s="173">
        <v>-20</v>
      </c>
      <c r="D15" s="174">
        <f>+C15*$C$21</f>
        <v>-240000</v>
      </c>
      <c r="E15" s="175">
        <f t="shared" ref="E15:E17" si="3">+D15/$D$5</f>
        <v>-0.25</v>
      </c>
      <c r="F15" s="186">
        <v>-27.95</v>
      </c>
      <c r="G15" s="174">
        <f>+F15*$F$21</f>
        <v>-125495.5</v>
      </c>
      <c r="H15" s="175">
        <f>+G15/$G$5</f>
        <v>-0.29421052631578948</v>
      </c>
      <c r="I15" s="190">
        <f>+D15+G15</f>
        <v>-365495.5</v>
      </c>
    </row>
    <row r="16" spans="2:9" ht="15.75" outlineLevel="1" x14ac:dyDescent="0.25">
      <c r="B16" s="183" t="s">
        <v>324</v>
      </c>
      <c r="C16" s="173">
        <v>-10</v>
      </c>
      <c r="D16" s="174">
        <f>+C16*$C$21</f>
        <v>-120000</v>
      </c>
      <c r="E16" s="175">
        <f t="shared" si="3"/>
        <v>-0.125</v>
      </c>
      <c r="F16" s="186">
        <v>-5</v>
      </c>
      <c r="G16" s="174">
        <f>+F16*$F$21</f>
        <v>-22450</v>
      </c>
      <c r="H16" s="175">
        <f t="shared" ref="H16:H17" si="4">+G16/$G$5</f>
        <v>-5.2631578947368418E-2</v>
      </c>
      <c r="I16" s="190">
        <f>+D16+G16</f>
        <v>-142450</v>
      </c>
    </row>
    <row r="17" spans="2:9" ht="15.75" outlineLevel="1" x14ac:dyDescent="0.25">
      <c r="B17" s="192" t="s">
        <v>336</v>
      </c>
      <c r="C17" s="193">
        <f>+D17/C12</f>
        <v>-27.360117976828715</v>
      </c>
      <c r="D17" s="194">
        <f>-500000/$I$15*D15</f>
        <v>-328321.41572194459</v>
      </c>
      <c r="E17" s="195">
        <f t="shared" si="3"/>
        <v>-0.34200147471035897</v>
      </c>
      <c r="F17" s="193">
        <f>+G17/F12</f>
        <v>-38.235764872618134</v>
      </c>
      <c r="G17" s="194">
        <f>-500000/$I$15*G15</f>
        <v>-171678.58427805541</v>
      </c>
      <c r="H17" s="195">
        <f t="shared" si="4"/>
        <v>-0.4024817355012435</v>
      </c>
      <c r="I17" s="197">
        <f>+D17+G17</f>
        <v>-500000</v>
      </c>
    </row>
    <row r="18" spans="2:9" ht="15.75" x14ac:dyDescent="0.25">
      <c r="B18" s="184" t="s">
        <v>328</v>
      </c>
      <c r="C18" s="176">
        <f t="shared" ref="C18:I18" si="5">SUM(C14:C17)</f>
        <v>22.639882023171285</v>
      </c>
      <c r="D18" s="177">
        <f t="shared" si="5"/>
        <v>271678.58427805541</v>
      </c>
      <c r="E18" s="178">
        <f t="shared" si="5"/>
        <v>0.28299852528964103</v>
      </c>
      <c r="F18" s="187">
        <f t="shared" si="5"/>
        <v>23.814235127381863</v>
      </c>
      <c r="G18" s="177">
        <f t="shared" si="5"/>
        <v>106925.91572194459</v>
      </c>
      <c r="H18" s="178">
        <f t="shared" si="5"/>
        <v>0.25067615923559866</v>
      </c>
      <c r="I18" s="191">
        <f t="shared" si="5"/>
        <v>378604.5</v>
      </c>
    </row>
    <row r="19" spans="2:9" x14ac:dyDescent="0.25">
      <c r="C19" s="30"/>
      <c r="D19" s="30"/>
      <c r="E19" s="30"/>
      <c r="F19" s="30"/>
      <c r="G19" s="30"/>
      <c r="H19" s="30"/>
    </row>
    <row r="20" spans="2:9" x14ac:dyDescent="0.25">
      <c r="B20" s="179" t="s">
        <v>334</v>
      </c>
      <c r="C20" s="461" t="s">
        <v>218</v>
      </c>
      <c r="D20" s="462"/>
      <c r="E20" s="462"/>
      <c r="F20" s="461" t="s">
        <v>219</v>
      </c>
      <c r="G20" s="462"/>
      <c r="H20" s="463"/>
      <c r="I20" s="456" t="s">
        <v>9</v>
      </c>
    </row>
    <row r="21" spans="2:9" ht="15" x14ac:dyDescent="0.25">
      <c r="B21" s="180" t="s">
        <v>325</v>
      </c>
      <c r="C21" s="458">
        <v>12000</v>
      </c>
      <c r="D21" s="459"/>
      <c r="E21" s="459"/>
      <c r="F21" s="458">
        <v>4490</v>
      </c>
      <c r="G21" s="459"/>
      <c r="H21" s="460"/>
      <c r="I21" s="457"/>
    </row>
    <row r="22" spans="2:9" ht="15.75" x14ac:dyDescent="0.25">
      <c r="B22" s="181"/>
      <c r="C22" s="167" t="s">
        <v>322</v>
      </c>
      <c r="D22" s="168" t="s">
        <v>326</v>
      </c>
      <c r="E22" s="168" t="str">
        <f>+E13</f>
        <v>%</v>
      </c>
      <c r="F22" s="167" t="s">
        <v>322</v>
      </c>
      <c r="G22" s="168" t="s">
        <v>326</v>
      </c>
      <c r="H22" s="188" t="str">
        <f>+H13</f>
        <v>%</v>
      </c>
      <c r="I22" s="188" t="s">
        <v>326</v>
      </c>
    </row>
    <row r="23" spans="2:9" ht="15.75" outlineLevel="1" x14ac:dyDescent="0.25">
      <c r="B23" s="182" t="s">
        <v>327</v>
      </c>
      <c r="C23" s="170">
        <v>80</v>
      </c>
      <c r="D23" s="171">
        <f>+C23*$C$21</f>
        <v>960000</v>
      </c>
      <c r="E23" s="172">
        <f>+D23/$D$5</f>
        <v>1</v>
      </c>
      <c r="F23" s="170">
        <v>95</v>
      </c>
      <c r="G23" s="171">
        <f>+F23*$F$21</f>
        <v>426550</v>
      </c>
      <c r="H23" s="172">
        <f>+G23/$G$5</f>
        <v>1</v>
      </c>
      <c r="I23" s="189">
        <f t="shared" ref="I23:I30" si="6">+D23+G23</f>
        <v>1386550</v>
      </c>
    </row>
    <row r="24" spans="2:9" ht="15.75" outlineLevel="1" x14ac:dyDescent="0.25">
      <c r="B24" s="183" t="s">
        <v>323</v>
      </c>
      <c r="C24" s="173">
        <v>-20</v>
      </c>
      <c r="D24" s="174">
        <f>+C24*$C$21</f>
        <v>-240000</v>
      </c>
      <c r="E24" s="175">
        <f t="shared" ref="E24:E30" si="7">+D24/$D$5</f>
        <v>-0.25</v>
      </c>
      <c r="F24" s="173">
        <v>-27.95</v>
      </c>
      <c r="G24" s="174">
        <f>+F24*$F$21</f>
        <v>-125495.5</v>
      </c>
      <c r="H24" s="175">
        <f>+G24/$G$5</f>
        <v>-0.29421052631578948</v>
      </c>
      <c r="I24" s="190">
        <f t="shared" si="6"/>
        <v>-365495.5</v>
      </c>
    </row>
    <row r="25" spans="2:9" ht="15.75" outlineLevel="1" x14ac:dyDescent="0.25">
      <c r="B25" s="183" t="s">
        <v>324</v>
      </c>
      <c r="C25" s="173">
        <v>-10</v>
      </c>
      <c r="D25" s="174">
        <f>+C25*$C$21</f>
        <v>-120000</v>
      </c>
      <c r="E25" s="175">
        <f t="shared" si="7"/>
        <v>-0.125</v>
      </c>
      <c r="F25" s="173">
        <v>-5</v>
      </c>
      <c r="G25" s="174">
        <f>+F25*$F$21</f>
        <v>-22450</v>
      </c>
      <c r="H25" s="175">
        <f t="shared" ref="H25:H30" si="8">+G25/$G$5</f>
        <v>-5.2631578947368418E-2</v>
      </c>
      <c r="I25" s="190">
        <f t="shared" si="6"/>
        <v>-142450</v>
      </c>
    </row>
    <row r="26" spans="2:9" ht="15.75" outlineLevel="1" x14ac:dyDescent="0.25">
      <c r="B26" s="192" t="s">
        <v>333</v>
      </c>
      <c r="C26" s="193">
        <f>+D26/$C$21</f>
        <v>-1.5</v>
      </c>
      <c r="D26" s="194">
        <f>-60000*0.3</f>
        <v>-18000</v>
      </c>
      <c r="E26" s="195">
        <f t="shared" si="7"/>
        <v>-1.8749999999999999E-2</v>
      </c>
      <c r="F26" s="193">
        <f>+G26/$F$21</f>
        <v>-9.3541202672605799</v>
      </c>
      <c r="G26" s="194">
        <f>-60000*0.7</f>
        <v>-42000</v>
      </c>
      <c r="H26" s="195">
        <f t="shared" si="8"/>
        <v>-9.8464423865900833E-2</v>
      </c>
      <c r="I26" s="197">
        <f t="shared" si="6"/>
        <v>-60000</v>
      </c>
    </row>
    <row r="27" spans="2:9" ht="15.75" outlineLevel="1" x14ac:dyDescent="0.25">
      <c r="B27" s="199" t="s">
        <v>332</v>
      </c>
      <c r="C27" s="200">
        <f t="shared" ref="C27:C30" si="9">+D27/$C$21</f>
        <v>-1.25</v>
      </c>
      <c r="D27" s="201">
        <f>-50000*0.3</f>
        <v>-15000</v>
      </c>
      <c r="E27" s="202">
        <f t="shared" si="7"/>
        <v>-1.5625E-2</v>
      </c>
      <c r="F27" s="200">
        <f t="shared" ref="F27:F30" si="10">+G27/$F$21</f>
        <v>-7.7951002227171493</v>
      </c>
      <c r="G27" s="201">
        <f>-50000*0.7</f>
        <v>-35000</v>
      </c>
      <c r="H27" s="202">
        <f t="shared" si="8"/>
        <v>-8.2053686554917363E-2</v>
      </c>
      <c r="I27" s="203">
        <f t="shared" si="6"/>
        <v>-50000</v>
      </c>
    </row>
    <row r="28" spans="2:9" ht="15.75" outlineLevel="1" x14ac:dyDescent="0.25">
      <c r="B28" s="199" t="s">
        <v>331</v>
      </c>
      <c r="C28" s="200">
        <f t="shared" si="9"/>
        <v>-1</v>
      </c>
      <c r="D28" s="201">
        <f>-40000*0.3</f>
        <v>-12000</v>
      </c>
      <c r="E28" s="202">
        <f t="shared" si="7"/>
        <v>-1.2500000000000001E-2</v>
      </c>
      <c r="F28" s="200">
        <f t="shared" si="10"/>
        <v>-6.2360801781737196</v>
      </c>
      <c r="G28" s="201">
        <f>-40000*0.7</f>
        <v>-28000</v>
      </c>
      <c r="H28" s="202">
        <f t="shared" si="8"/>
        <v>-6.5642949243933893E-2</v>
      </c>
      <c r="I28" s="203">
        <f t="shared" si="6"/>
        <v>-40000</v>
      </c>
    </row>
    <row r="29" spans="2:9" ht="15.75" outlineLevel="1" x14ac:dyDescent="0.25">
      <c r="B29" s="192" t="s">
        <v>330</v>
      </c>
      <c r="C29" s="193">
        <f t="shared" si="9"/>
        <v>-5</v>
      </c>
      <c r="D29" s="194">
        <f>-150000*0.4</f>
        <v>-60000</v>
      </c>
      <c r="E29" s="195">
        <f t="shared" si="7"/>
        <v>-6.25E-2</v>
      </c>
      <c r="F29" s="193">
        <f t="shared" si="10"/>
        <v>-20.044543429844097</v>
      </c>
      <c r="G29" s="194">
        <f>-150000*0.6</f>
        <v>-90000</v>
      </c>
      <c r="H29" s="195">
        <f t="shared" si="8"/>
        <v>-0.21099519399835892</v>
      </c>
      <c r="I29" s="197">
        <f t="shared" si="6"/>
        <v>-150000</v>
      </c>
    </row>
    <row r="30" spans="2:9" ht="15.75" outlineLevel="1" x14ac:dyDescent="0.25">
      <c r="B30" s="199" t="s">
        <v>329</v>
      </c>
      <c r="C30" s="200">
        <f t="shared" si="9"/>
        <v>-4.166666666666667</v>
      </c>
      <c r="D30" s="201">
        <f>-200000*0.25</f>
        <v>-50000</v>
      </c>
      <c r="E30" s="202">
        <f t="shared" si="7"/>
        <v>-5.2083333333333336E-2</v>
      </c>
      <c r="F30" s="200">
        <f t="shared" si="10"/>
        <v>-33.4075723830735</v>
      </c>
      <c r="G30" s="201">
        <f>-200000*0.75</f>
        <v>-150000</v>
      </c>
      <c r="H30" s="202">
        <f t="shared" si="8"/>
        <v>-0.35165865666393153</v>
      </c>
      <c r="I30" s="203">
        <f t="shared" si="6"/>
        <v>-200000</v>
      </c>
    </row>
    <row r="31" spans="2:9" ht="15.75" x14ac:dyDescent="0.25">
      <c r="B31" s="184" t="s">
        <v>328</v>
      </c>
      <c r="C31" s="176">
        <f t="shared" ref="C31:I31" si="11">SUM(C23:C30)</f>
        <v>37.083333333333336</v>
      </c>
      <c r="D31" s="177">
        <f t="shared" si="11"/>
        <v>445000</v>
      </c>
      <c r="E31" s="198">
        <f t="shared" si="11"/>
        <v>0.46354166666666669</v>
      </c>
      <c r="F31" s="176">
        <f t="shared" si="11"/>
        <v>-14.787416481069059</v>
      </c>
      <c r="G31" s="177">
        <f t="shared" si="11"/>
        <v>-66395.5</v>
      </c>
      <c r="H31" s="178">
        <f t="shared" si="11"/>
        <v>-0.15565701559020034</v>
      </c>
      <c r="I31" s="191">
        <f t="shared" si="11"/>
        <v>378604.5</v>
      </c>
    </row>
    <row r="32" spans="2:9" x14ac:dyDescent="0.25">
      <c r="C32" s="30"/>
      <c r="D32" s="30"/>
      <c r="E32" s="30"/>
      <c r="F32" s="30"/>
      <c r="G32" s="30"/>
      <c r="H32" s="30"/>
    </row>
    <row r="33" spans="3:6" x14ac:dyDescent="0.25">
      <c r="C33" s="30"/>
      <c r="D33" s="30"/>
      <c r="E33" s="30"/>
      <c r="F33" s="30"/>
    </row>
    <row r="34" spans="3:6" x14ac:dyDescent="0.25">
      <c r="C34" s="30"/>
      <c r="D34" s="30"/>
      <c r="E34" s="30"/>
      <c r="F34" s="30"/>
    </row>
  </sheetData>
  <mergeCells count="15">
    <mergeCell ref="I20:I21"/>
    <mergeCell ref="I11:I12"/>
    <mergeCell ref="C12:E12"/>
    <mergeCell ref="F12:H12"/>
    <mergeCell ref="I2:I3"/>
    <mergeCell ref="C2:E2"/>
    <mergeCell ref="F2:H2"/>
    <mergeCell ref="C3:E3"/>
    <mergeCell ref="F3:H3"/>
    <mergeCell ref="C21:E21"/>
    <mergeCell ref="F21:H21"/>
    <mergeCell ref="C20:E20"/>
    <mergeCell ref="F20:H20"/>
    <mergeCell ref="C11:E11"/>
    <mergeCell ref="F11:H11"/>
  </mergeCells>
  <pageMargins left="0.511811024" right="0.511811024" top="0.78740157499999996" bottom="0.78740157499999996" header="0.31496062000000002" footer="0.31496062000000002"/>
  <pageSetup paperSize="9" scale="82" orientation="landscape" verticalDpi="30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"/>
  <sheetViews>
    <sheetView showGridLines="0" zoomScale="120" zoomScaleNormal="120" workbookViewId="0">
      <selection activeCell="C7" sqref="C7"/>
    </sheetView>
  </sheetViews>
  <sheetFormatPr defaultColWidth="9.140625" defaultRowHeight="18.75" x14ac:dyDescent="0.25"/>
  <cols>
    <col min="1" max="1" width="2.140625" style="31" customWidth="1"/>
    <col min="2" max="2" width="56.5703125" style="31" customWidth="1"/>
    <col min="3" max="3" width="7.7109375" style="30" bestFit="1" customWidth="1"/>
    <col min="4" max="4" width="8.85546875" style="30" bestFit="1" customWidth="1"/>
    <col min="5" max="5" width="6.28515625" style="30" bestFit="1" customWidth="1"/>
    <col min="6" max="6" width="7.7109375" style="30" bestFit="1" customWidth="1"/>
    <col min="7" max="7" width="8.85546875" style="30" bestFit="1" customWidth="1"/>
    <col min="8" max="8" width="6.28515625" style="30" bestFit="1" customWidth="1"/>
    <col min="9" max="9" width="10.5703125" style="205" bestFit="1" customWidth="1"/>
    <col min="10" max="14" width="9.7109375" style="30" customWidth="1"/>
    <col min="15" max="18" width="9.7109375" style="31" customWidth="1"/>
    <col min="19" max="16384" width="9.140625" style="31"/>
  </cols>
  <sheetData>
    <row r="1" spans="2:6" x14ac:dyDescent="0.25">
      <c r="C1" s="148"/>
      <c r="D1" s="148"/>
      <c r="E1" s="148"/>
      <c r="F1" s="148"/>
    </row>
    <row r="2" spans="2:6" x14ac:dyDescent="0.25">
      <c r="B2" s="94" t="s">
        <v>339</v>
      </c>
      <c r="C2" s="95">
        <f>80000*(1-18%)</f>
        <v>65600</v>
      </c>
    </row>
    <row r="3" spans="2:6" x14ac:dyDescent="0.25">
      <c r="B3" s="206" t="s">
        <v>338</v>
      </c>
      <c r="C3" s="207">
        <f>16000*(1-5%)</f>
        <v>15200</v>
      </c>
    </row>
    <row r="4" spans="2:6" x14ac:dyDescent="0.25">
      <c r="B4" s="206" t="s">
        <v>340</v>
      </c>
      <c r="C4" s="207">
        <f>+C3*5%</f>
        <v>760</v>
      </c>
    </row>
    <row r="5" spans="2:6" x14ac:dyDescent="0.25">
      <c r="B5" s="94" t="s">
        <v>341</v>
      </c>
      <c r="C5" s="95">
        <f>2*C4</f>
        <v>1520</v>
      </c>
    </row>
    <row r="6" spans="2:6" x14ac:dyDescent="0.25">
      <c r="B6" s="94" t="s">
        <v>342</v>
      </c>
      <c r="C6" s="95">
        <f>+C2-C5</f>
        <v>64080</v>
      </c>
    </row>
  </sheetData>
  <pageMargins left="0.511811024" right="0.511811024" top="0.78740157499999996" bottom="0.78740157499999996" header="0.31496062000000002" footer="0.31496062000000002"/>
  <pageSetup paperSize="9" scale="82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showGridLines="0" topLeftCell="A26" zoomScale="120" zoomScaleNormal="120" workbookViewId="0">
      <selection activeCell="F38" sqref="F38"/>
    </sheetView>
  </sheetViews>
  <sheetFormatPr defaultColWidth="9.140625" defaultRowHeight="18.75" x14ac:dyDescent="0.25"/>
  <cols>
    <col min="1" max="1" width="2.140625" style="31" customWidth="1"/>
    <col min="2" max="2" width="38.5703125" style="31" bestFit="1" customWidth="1"/>
    <col min="3" max="3" width="9.28515625" style="30" bestFit="1" customWidth="1"/>
    <col min="4" max="6" width="8.140625" style="30" bestFit="1" customWidth="1"/>
    <col min="7" max="7" width="7.7109375" style="30" bestFit="1" customWidth="1"/>
    <col min="8" max="8" width="5.85546875" style="30" bestFit="1" customWidth="1"/>
    <col min="9" max="9" width="8.85546875" style="205" bestFit="1" customWidth="1"/>
    <col min="10" max="14" width="9.7109375" style="30" customWidth="1"/>
    <col min="15" max="18" width="9.7109375" style="31" customWidth="1"/>
    <col min="19" max="16384" width="9.140625" style="31"/>
  </cols>
  <sheetData>
    <row r="1" spans="2:6" x14ac:dyDescent="0.25">
      <c r="C1" s="148"/>
      <c r="D1" s="148"/>
      <c r="E1" s="148"/>
      <c r="F1" s="148"/>
    </row>
    <row r="2" spans="2:6" x14ac:dyDescent="0.25">
      <c r="B2" s="466" t="s">
        <v>343</v>
      </c>
      <c r="C2" s="466"/>
    </row>
    <row r="3" spans="2:6" x14ac:dyDescent="0.25">
      <c r="B3" s="94" t="s">
        <v>141</v>
      </c>
      <c r="C3" s="95">
        <f>3*50000</f>
        <v>150000</v>
      </c>
    </row>
    <row r="4" spans="2:6" x14ac:dyDescent="0.25">
      <c r="B4" s="94" t="s">
        <v>252</v>
      </c>
      <c r="C4" s="95">
        <v>25000</v>
      </c>
    </row>
    <row r="5" spans="2:6" x14ac:dyDescent="0.25">
      <c r="B5" s="94" t="s">
        <v>344</v>
      </c>
      <c r="C5" s="95">
        <v>12500</v>
      </c>
    </row>
    <row r="6" spans="2:6" x14ac:dyDescent="0.25">
      <c r="B6" s="208" t="s">
        <v>9</v>
      </c>
      <c r="C6" s="209">
        <f>SUM(C3:C5)</f>
        <v>187500</v>
      </c>
    </row>
    <row r="8" spans="2:6" x14ac:dyDescent="0.25">
      <c r="B8" s="204"/>
      <c r="C8" s="204" t="s">
        <v>345</v>
      </c>
      <c r="D8" s="204" t="s">
        <v>346</v>
      </c>
      <c r="E8" s="204" t="s">
        <v>347</v>
      </c>
      <c r="F8" s="204" t="s">
        <v>9</v>
      </c>
    </row>
    <row r="9" spans="2:6" x14ac:dyDescent="0.25">
      <c r="B9" s="206" t="s">
        <v>350</v>
      </c>
      <c r="C9" s="207">
        <v>30000</v>
      </c>
      <c r="D9" s="207">
        <v>15000</v>
      </c>
      <c r="E9" s="207">
        <v>5000</v>
      </c>
      <c r="F9" s="213">
        <f>SUM(C9:E9)</f>
        <v>50000</v>
      </c>
    </row>
    <row r="10" spans="2:6" x14ac:dyDescent="0.25">
      <c r="B10" s="206" t="s">
        <v>357</v>
      </c>
      <c r="C10" s="214">
        <f>+C9/$F$9</f>
        <v>0.6</v>
      </c>
      <c r="D10" s="214">
        <f t="shared" ref="D10:E10" si="0">+D9/$F$9</f>
        <v>0.3</v>
      </c>
      <c r="E10" s="214">
        <f t="shared" si="0"/>
        <v>0.1</v>
      </c>
      <c r="F10" s="215">
        <f>SUM(C10:E10)</f>
        <v>0.99999999999999989</v>
      </c>
    </row>
    <row r="11" spans="2:6" x14ac:dyDescent="0.25">
      <c r="B11" s="206" t="s">
        <v>351</v>
      </c>
      <c r="C11" s="207">
        <v>30000</v>
      </c>
      <c r="D11" s="207">
        <v>15000</v>
      </c>
      <c r="E11" s="207">
        <v>3800</v>
      </c>
    </row>
    <row r="12" spans="2:6" x14ac:dyDescent="0.25">
      <c r="B12" s="206" t="s">
        <v>352</v>
      </c>
      <c r="C12" s="207">
        <f>+C9-C11</f>
        <v>0</v>
      </c>
      <c r="D12" s="207">
        <f t="shared" ref="D12:E12" si="1">+D9-D11</f>
        <v>0</v>
      </c>
      <c r="E12" s="207">
        <f t="shared" si="1"/>
        <v>1200</v>
      </c>
    </row>
    <row r="13" spans="2:6" x14ac:dyDescent="0.25">
      <c r="B13" s="94" t="s">
        <v>349</v>
      </c>
      <c r="C13" s="210">
        <v>5</v>
      </c>
      <c r="D13" s="210">
        <v>6.8</v>
      </c>
      <c r="E13" s="210">
        <v>9.6</v>
      </c>
    </row>
    <row r="14" spans="2:6" x14ac:dyDescent="0.25">
      <c r="B14" s="94" t="s">
        <v>353</v>
      </c>
      <c r="C14" s="95">
        <f>+C9*C13</f>
        <v>150000</v>
      </c>
      <c r="D14" s="95">
        <f>+D9*D13</f>
        <v>102000</v>
      </c>
      <c r="E14" s="95">
        <f>+E9*E13</f>
        <v>48000</v>
      </c>
      <c r="F14" s="209">
        <f>SUM(C14:E14)</f>
        <v>300000</v>
      </c>
    </row>
    <row r="15" spans="2:6" x14ac:dyDescent="0.25">
      <c r="B15" s="94"/>
      <c r="C15" s="211">
        <f>+C14/$F$14</f>
        <v>0.5</v>
      </c>
      <c r="D15" s="211">
        <f t="shared" ref="D15:E15" si="2">+D14/$F$14</f>
        <v>0.34</v>
      </c>
      <c r="E15" s="211">
        <f t="shared" si="2"/>
        <v>0.16</v>
      </c>
      <c r="F15" s="212">
        <f t="shared" ref="F15" si="3">SUM(C15:E15)</f>
        <v>1</v>
      </c>
    </row>
    <row r="17" spans="2:17" x14ac:dyDescent="0.25">
      <c r="B17" s="204" t="s">
        <v>355</v>
      </c>
      <c r="C17" s="204" t="s">
        <v>345</v>
      </c>
      <c r="D17" s="204" t="s">
        <v>346</v>
      </c>
      <c r="E17" s="204" t="s">
        <v>347</v>
      </c>
      <c r="F17" s="204" t="s">
        <v>9</v>
      </c>
    </row>
    <row r="18" spans="2:17" x14ac:dyDescent="0.25">
      <c r="B18" s="94" t="s">
        <v>354</v>
      </c>
      <c r="C18" s="95">
        <f>+$C$6*C15</f>
        <v>93750</v>
      </c>
      <c r="D18" s="95">
        <f t="shared" ref="D18:E18" si="4">+$C$6*D15</f>
        <v>63750.000000000007</v>
      </c>
      <c r="E18" s="95">
        <f t="shared" si="4"/>
        <v>30000</v>
      </c>
      <c r="F18" s="209">
        <f>SUM(C18:E18)</f>
        <v>187500</v>
      </c>
    </row>
    <row r="19" spans="2:17" x14ac:dyDescent="0.25">
      <c r="B19" s="94" t="s">
        <v>228</v>
      </c>
      <c r="C19" s="95">
        <f>+C18/C9*C11</f>
        <v>93750</v>
      </c>
      <c r="D19" s="95">
        <f t="shared" ref="D19:E19" si="5">+D18/D9*D11</f>
        <v>63750.000000000015</v>
      </c>
      <c r="E19" s="95">
        <f t="shared" si="5"/>
        <v>22800</v>
      </c>
      <c r="F19" s="209">
        <f>SUM(C19:E19)</f>
        <v>180300</v>
      </c>
    </row>
    <row r="20" spans="2:17" x14ac:dyDescent="0.25">
      <c r="B20" s="94" t="s">
        <v>348</v>
      </c>
      <c r="C20" s="95">
        <f>+C18-C19</f>
        <v>0</v>
      </c>
      <c r="D20" s="95">
        <f t="shared" ref="D20:E20" si="6">+D18-D19</f>
        <v>0</v>
      </c>
      <c r="E20" s="95">
        <f t="shared" si="6"/>
        <v>7200</v>
      </c>
      <c r="F20" s="209">
        <f>SUM(C20:E20)</f>
        <v>7200</v>
      </c>
    </row>
    <row r="22" spans="2:17" x14ac:dyDescent="0.25">
      <c r="B22" s="204" t="s">
        <v>356</v>
      </c>
      <c r="C22" s="204" t="s">
        <v>345</v>
      </c>
      <c r="D22" s="204" t="s">
        <v>346</v>
      </c>
      <c r="E22" s="204" t="s">
        <v>347</v>
      </c>
      <c r="F22" s="204" t="s">
        <v>9</v>
      </c>
    </row>
    <row r="23" spans="2:17" x14ac:dyDescent="0.25">
      <c r="B23" s="94" t="s">
        <v>354</v>
      </c>
      <c r="C23" s="95">
        <f>+$C$6*C10</f>
        <v>112500</v>
      </c>
      <c r="D23" s="95">
        <f t="shared" ref="D23:E23" si="7">+$C$6*D10</f>
        <v>56250</v>
      </c>
      <c r="E23" s="95">
        <f t="shared" si="7"/>
        <v>18750</v>
      </c>
      <c r="F23" s="209">
        <f>SUM(C23:E23)</f>
        <v>187500</v>
      </c>
    </row>
    <row r="24" spans="2:17" x14ac:dyDescent="0.25">
      <c r="B24" s="94" t="s">
        <v>228</v>
      </c>
      <c r="C24" s="95">
        <f>+C23/C9*C11</f>
        <v>112500</v>
      </c>
      <c r="D24" s="95">
        <f t="shared" ref="D24:E24" si="8">+D23/D9*D11</f>
        <v>56250</v>
      </c>
      <c r="E24" s="95">
        <f t="shared" si="8"/>
        <v>14250</v>
      </c>
      <c r="F24" s="209">
        <f>SUM(C24:E24)</f>
        <v>183000</v>
      </c>
    </row>
    <row r="25" spans="2:17" x14ac:dyDescent="0.25">
      <c r="B25" s="94" t="s">
        <v>348</v>
      </c>
      <c r="C25" s="95">
        <f>+C23-C24</f>
        <v>0</v>
      </c>
      <c r="D25" s="95">
        <f t="shared" ref="D25" si="9">+D23-D24</f>
        <v>0</v>
      </c>
      <c r="E25" s="95">
        <f t="shared" ref="E25" si="10">+E23-E24</f>
        <v>4500</v>
      </c>
      <c r="F25" s="209">
        <f>SUM(C25:E25)</f>
        <v>4500</v>
      </c>
    </row>
    <row r="27" spans="2:17" x14ac:dyDescent="0.25">
      <c r="B27" s="220" t="s">
        <v>358</v>
      </c>
      <c r="C27" s="467" t="s">
        <v>345</v>
      </c>
      <c r="D27" s="468"/>
      <c r="E27" s="467" t="s">
        <v>346</v>
      </c>
      <c r="F27" s="468"/>
      <c r="G27" s="467" t="s">
        <v>347</v>
      </c>
      <c r="H27" s="468"/>
      <c r="I27" s="464" t="s">
        <v>9</v>
      </c>
      <c r="J27" s="465"/>
      <c r="L27" s="205"/>
      <c r="O27" s="30"/>
      <c r="P27" s="30"/>
      <c r="Q27" s="30"/>
    </row>
    <row r="28" spans="2:17" x14ac:dyDescent="0.25">
      <c r="B28" s="229" t="s">
        <v>55</v>
      </c>
      <c r="C28" s="230">
        <f>+C13*C11</f>
        <v>150000</v>
      </c>
      <c r="D28" s="231">
        <f>+C28/$C$28</f>
        <v>1</v>
      </c>
      <c r="E28" s="230">
        <f t="shared" ref="E28" si="11">+D13*D11</f>
        <v>102000</v>
      </c>
      <c r="F28" s="231">
        <f>+E28/$E$28</f>
        <v>1</v>
      </c>
      <c r="G28" s="230">
        <f>+E13*E11</f>
        <v>36480</v>
      </c>
      <c r="H28" s="232">
        <f>+G28/$G$28</f>
        <v>1</v>
      </c>
      <c r="I28" s="226">
        <f>SUM(C28:G28)</f>
        <v>288482</v>
      </c>
      <c r="J28" s="227">
        <f>+I28/$I$28</f>
        <v>1</v>
      </c>
      <c r="L28" s="205"/>
      <c r="O28" s="30"/>
      <c r="P28" s="30"/>
      <c r="Q28" s="30"/>
    </row>
    <row r="29" spans="2:17" x14ac:dyDescent="0.25">
      <c r="B29" s="221" t="s">
        <v>129</v>
      </c>
      <c r="C29" s="216">
        <f>-C19</f>
        <v>-93750</v>
      </c>
      <c r="D29" s="217">
        <f t="shared" ref="D29" si="12">+C29/$C$28</f>
        <v>-0.625</v>
      </c>
      <c r="E29" s="216">
        <f t="shared" ref="E29" si="13">-D19</f>
        <v>-63750.000000000015</v>
      </c>
      <c r="F29" s="217">
        <f t="shared" ref="F29" si="14">+E29/$E$28</f>
        <v>-0.62500000000000011</v>
      </c>
      <c r="G29" s="216">
        <f>-E19</f>
        <v>-22800</v>
      </c>
      <c r="H29" s="224">
        <f>+G29/$G$28</f>
        <v>-0.625</v>
      </c>
      <c r="I29" s="228">
        <f>SUM(C29:G29)</f>
        <v>-180301.25</v>
      </c>
      <c r="J29" s="223">
        <f>+I29/$I$28</f>
        <v>-0.625</v>
      </c>
      <c r="L29" s="205"/>
      <c r="O29" s="30"/>
      <c r="P29" s="30"/>
      <c r="Q29" s="30"/>
    </row>
    <row r="30" spans="2:17" x14ac:dyDescent="0.25">
      <c r="B30" s="222" t="s">
        <v>32</v>
      </c>
      <c r="C30" s="218">
        <f>SUM(C28:C29)</f>
        <v>56250</v>
      </c>
      <c r="D30" s="219">
        <f>SUM(D28:D29)</f>
        <v>0.375</v>
      </c>
      <c r="E30" s="218">
        <f t="shared" ref="E30:G30" si="15">SUM(E28:E29)</f>
        <v>38249.999999999985</v>
      </c>
      <c r="F30" s="219">
        <f>SUM(F28:F29)</f>
        <v>0.37499999999999989</v>
      </c>
      <c r="G30" s="218">
        <f t="shared" si="15"/>
        <v>13680</v>
      </c>
      <c r="H30" s="225">
        <f>SUM(H28:H29)</f>
        <v>0.375</v>
      </c>
      <c r="I30" s="218">
        <f>SUM(C30:G30)</f>
        <v>108180.74999999999</v>
      </c>
      <c r="J30" s="219">
        <f>SUM(J28:J29)</f>
        <v>0.375</v>
      </c>
      <c r="L30" s="205"/>
      <c r="O30" s="30"/>
      <c r="P30" s="30"/>
      <c r="Q30" s="30"/>
    </row>
    <row r="31" spans="2:17" x14ac:dyDescent="0.25">
      <c r="B31" s="233" t="s">
        <v>360</v>
      </c>
      <c r="C31" s="234"/>
      <c r="D31" s="235"/>
      <c r="E31" s="234"/>
      <c r="F31" s="235"/>
      <c r="G31" s="234"/>
      <c r="H31" s="235"/>
      <c r="I31" s="234">
        <f>+F20</f>
        <v>7200</v>
      </c>
      <c r="J31" s="236"/>
      <c r="L31" s="205"/>
      <c r="O31" s="30"/>
      <c r="P31" s="30"/>
      <c r="Q31" s="30"/>
    </row>
    <row r="33" spans="2:17" x14ac:dyDescent="0.25">
      <c r="B33" s="220" t="s">
        <v>359</v>
      </c>
      <c r="C33" s="467" t="s">
        <v>345</v>
      </c>
      <c r="D33" s="468"/>
      <c r="E33" s="467" t="s">
        <v>346</v>
      </c>
      <c r="F33" s="468"/>
      <c r="G33" s="467" t="s">
        <v>347</v>
      </c>
      <c r="H33" s="468"/>
      <c r="I33" s="464" t="s">
        <v>9</v>
      </c>
      <c r="J33" s="465"/>
      <c r="L33" s="205"/>
      <c r="O33" s="30"/>
      <c r="P33" s="30"/>
      <c r="Q33" s="30"/>
    </row>
    <row r="34" spans="2:17" x14ac:dyDescent="0.25">
      <c r="B34" s="229" t="s">
        <v>55</v>
      </c>
      <c r="C34" s="230">
        <f>+C28</f>
        <v>150000</v>
      </c>
      <c r="D34" s="231">
        <f>+C34/$C$28</f>
        <v>1</v>
      </c>
      <c r="E34" s="230">
        <f>+E28</f>
        <v>102000</v>
      </c>
      <c r="F34" s="231">
        <f>+E34/$E$28</f>
        <v>1</v>
      </c>
      <c r="G34" s="230">
        <f>+G28</f>
        <v>36480</v>
      </c>
      <c r="H34" s="232">
        <f>+G34/$G$28</f>
        <v>1</v>
      </c>
      <c r="I34" s="226">
        <f>SUM(C34:G34)</f>
        <v>288482</v>
      </c>
      <c r="J34" s="227">
        <f>+I34/$I$28</f>
        <v>1</v>
      </c>
      <c r="L34" s="205"/>
      <c r="O34" s="30"/>
      <c r="P34" s="30"/>
      <c r="Q34" s="30"/>
    </row>
    <row r="35" spans="2:17" x14ac:dyDescent="0.25">
      <c r="B35" s="221" t="s">
        <v>129</v>
      </c>
      <c r="C35" s="216">
        <f>-C24</f>
        <v>-112500</v>
      </c>
      <c r="D35" s="217">
        <f t="shared" ref="D35" si="16">+C35/$C$28</f>
        <v>-0.75</v>
      </c>
      <c r="E35" s="216">
        <f>-D24</f>
        <v>-56250</v>
      </c>
      <c r="F35" s="217">
        <f t="shared" ref="F35" si="17">+E35/$E$28</f>
        <v>-0.55147058823529416</v>
      </c>
      <c r="G35" s="216">
        <f>-E24</f>
        <v>-14250</v>
      </c>
      <c r="H35" s="224">
        <f>+G35/$G$28</f>
        <v>-0.390625</v>
      </c>
      <c r="I35" s="228">
        <f>SUM(C35:G35)</f>
        <v>-183001.30147058822</v>
      </c>
      <c r="J35" s="223">
        <f>+I35/$I$28</f>
        <v>-0.63435951452980854</v>
      </c>
      <c r="L35" s="205"/>
      <c r="O35" s="30"/>
      <c r="P35" s="30"/>
      <c r="Q35" s="30"/>
    </row>
    <row r="36" spans="2:17" x14ac:dyDescent="0.25">
      <c r="B36" s="222" t="s">
        <v>32</v>
      </c>
      <c r="C36" s="218">
        <f>SUM(C34:C35)</f>
        <v>37500</v>
      </c>
      <c r="D36" s="219">
        <f>SUM(D34:D35)</f>
        <v>0.25</v>
      </c>
      <c r="E36" s="218">
        <f t="shared" ref="E36" si="18">SUM(E34:E35)</f>
        <v>45750</v>
      </c>
      <c r="F36" s="219">
        <f>SUM(F34:F35)</f>
        <v>0.44852941176470584</v>
      </c>
      <c r="G36" s="218">
        <f t="shared" ref="G36" si="19">SUM(G34:G35)</f>
        <v>22230</v>
      </c>
      <c r="H36" s="225">
        <f>SUM(H34:H35)</f>
        <v>0.609375</v>
      </c>
      <c r="I36" s="218">
        <f>SUM(C36:G36)</f>
        <v>105480.69852941176</v>
      </c>
      <c r="J36" s="219">
        <f>SUM(J34:J35)</f>
        <v>0.36564048547019146</v>
      </c>
      <c r="L36" s="205"/>
      <c r="O36" s="30"/>
      <c r="P36" s="30"/>
      <c r="Q36" s="30"/>
    </row>
    <row r="37" spans="2:17" x14ac:dyDescent="0.25">
      <c r="B37" s="233" t="s">
        <v>360</v>
      </c>
      <c r="C37" s="234"/>
      <c r="D37" s="235"/>
      <c r="E37" s="234"/>
      <c r="F37" s="235"/>
      <c r="G37" s="234"/>
      <c r="H37" s="235"/>
      <c r="I37" s="234">
        <f>+F25</f>
        <v>4500</v>
      </c>
      <c r="J37" s="236"/>
      <c r="L37" s="205"/>
      <c r="O37" s="30"/>
      <c r="P37" s="30"/>
      <c r="Q37" s="30"/>
    </row>
  </sheetData>
  <mergeCells count="9">
    <mergeCell ref="I27:J27"/>
    <mergeCell ref="I33:J33"/>
    <mergeCell ref="B2:C2"/>
    <mergeCell ref="C27:D27"/>
    <mergeCell ref="E27:F27"/>
    <mergeCell ref="G27:H27"/>
    <mergeCell ref="C33:D33"/>
    <mergeCell ref="E33:F33"/>
    <mergeCell ref="G33:H33"/>
  </mergeCells>
  <pageMargins left="0.511811024" right="0.511811024" top="0.78740157499999996" bottom="0.78740157499999996" header="0.31496062000000002" footer="0.31496062000000002"/>
  <pageSetup paperSize="9" scale="82"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showGridLines="0" topLeftCell="A9" zoomScale="110" zoomScaleNormal="110" workbookViewId="0">
      <selection activeCell="F19" sqref="F19"/>
    </sheetView>
  </sheetViews>
  <sheetFormatPr defaultColWidth="9.140625" defaultRowHeight="18.75" x14ac:dyDescent="0.25"/>
  <cols>
    <col min="1" max="1" width="2.140625" style="31" customWidth="1"/>
    <col min="2" max="2" width="45.85546875" style="31" customWidth="1"/>
    <col min="3" max="3" width="9.28515625" style="30" bestFit="1" customWidth="1"/>
    <col min="4" max="4" width="1.85546875" style="246" customWidth="1"/>
    <col min="5" max="5" width="23.5703125" style="30" customWidth="1"/>
    <col min="6" max="6" width="35.5703125" style="30" customWidth="1"/>
    <col min="7" max="7" width="8.140625" style="30" bestFit="1" customWidth="1"/>
    <col min="8" max="8" width="7.7109375" style="30" bestFit="1" customWidth="1"/>
    <col min="9" max="9" width="5.85546875" style="30" bestFit="1" customWidth="1"/>
    <col min="10" max="10" width="8.85546875" style="205" bestFit="1" customWidth="1"/>
    <col min="11" max="15" width="9.7109375" style="30" customWidth="1"/>
    <col min="16" max="19" width="9.7109375" style="31" customWidth="1"/>
    <col min="20" max="16384" width="9.140625" style="31"/>
  </cols>
  <sheetData>
    <row r="1" spans="2:7" x14ac:dyDescent="0.25">
      <c r="C1" s="148"/>
      <c r="D1" s="244"/>
      <c r="E1" s="148"/>
      <c r="F1" s="148"/>
      <c r="G1" s="148"/>
    </row>
    <row r="2" spans="2:7" x14ac:dyDescent="0.25">
      <c r="B2" s="470" t="s">
        <v>368</v>
      </c>
      <c r="C2" s="470"/>
      <c r="D2" s="245"/>
    </row>
    <row r="3" spans="2:7" x14ac:dyDescent="0.25">
      <c r="B3" s="97" t="s">
        <v>361</v>
      </c>
      <c r="C3" s="98">
        <v>365</v>
      </c>
    </row>
    <row r="4" spans="2:7" x14ac:dyDescent="0.25">
      <c r="B4" s="97" t="s">
        <v>362</v>
      </c>
      <c r="C4" s="98">
        <v>-48</v>
      </c>
    </row>
    <row r="5" spans="2:7" x14ac:dyDescent="0.25">
      <c r="B5" s="97" t="s">
        <v>363</v>
      </c>
      <c r="C5" s="98">
        <v>-30</v>
      </c>
    </row>
    <row r="6" spans="2:7" x14ac:dyDescent="0.25">
      <c r="B6" s="97" t="s">
        <v>364</v>
      </c>
      <c r="C6" s="98">
        <v>-12</v>
      </c>
    </row>
    <row r="7" spans="2:7" x14ac:dyDescent="0.25">
      <c r="B7" s="97" t="s">
        <v>365</v>
      </c>
      <c r="C7" s="98">
        <v>-3</v>
      </c>
    </row>
    <row r="8" spans="2:7" x14ac:dyDescent="0.25">
      <c r="B8" s="240" t="s">
        <v>366</v>
      </c>
      <c r="C8" s="99">
        <f>SUM(C3:C7)</f>
        <v>272</v>
      </c>
      <c r="D8" s="247"/>
    </row>
    <row r="9" spans="2:7" x14ac:dyDescent="0.25">
      <c r="B9" s="97" t="s">
        <v>367</v>
      </c>
      <c r="C9" s="98">
        <v>7</v>
      </c>
    </row>
    <row r="10" spans="2:7" x14ac:dyDescent="0.25">
      <c r="B10" s="241" t="s">
        <v>368</v>
      </c>
      <c r="C10" s="242">
        <f>+C8*C9</f>
        <v>1904</v>
      </c>
      <c r="D10" s="247"/>
    </row>
    <row r="11" spans="2:7" x14ac:dyDescent="0.25">
      <c r="E11" s="469" t="s">
        <v>378</v>
      </c>
      <c r="F11" s="469"/>
    </row>
    <row r="12" spans="2:7" x14ac:dyDescent="0.25">
      <c r="B12" s="471" t="s">
        <v>369</v>
      </c>
      <c r="C12" s="471"/>
      <c r="D12" s="247"/>
      <c r="E12" s="249" t="s">
        <v>185</v>
      </c>
      <c r="F12" s="249" t="s">
        <v>186</v>
      </c>
    </row>
    <row r="13" spans="2:7" x14ac:dyDescent="0.25">
      <c r="B13" s="94" t="s">
        <v>371</v>
      </c>
      <c r="C13" s="95">
        <f>+C8*C9*5</f>
        <v>9520</v>
      </c>
      <c r="E13" s="250" t="s">
        <v>379</v>
      </c>
      <c r="F13" s="250" t="s">
        <v>380</v>
      </c>
    </row>
    <row r="14" spans="2:7" x14ac:dyDescent="0.25">
      <c r="B14" s="94" t="s">
        <v>372</v>
      </c>
      <c r="C14" s="95">
        <f>-SUM(C4,C6,C7)*5*C9</f>
        <v>2205</v>
      </c>
      <c r="E14" s="250" t="s">
        <v>379</v>
      </c>
      <c r="F14" s="250" t="s">
        <v>380</v>
      </c>
    </row>
    <row r="15" spans="2:7" x14ac:dyDescent="0.25">
      <c r="B15" s="94" t="s">
        <v>373</v>
      </c>
      <c r="C15" s="95">
        <f>30*$C$9*5</f>
        <v>1050</v>
      </c>
      <c r="E15" s="250" t="s">
        <v>379</v>
      </c>
      <c r="F15" s="250" t="s">
        <v>381</v>
      </c>
    </row>
    <row r="16" spans="2:7" x14ac:dyDescent="0.25">
      <c r="B16" s="94" t="s">
        <v>374</v>
      </c>
      <c r="C16" s="95">
        <f>30*$C$9*5</f>
        <v>1050</v>
      </c>
      <c r="E16" s="250" t="s">
        <v>379</v>
      </c>
      <c r="F16" s="250" t="s">
        <v>382</v>
      </c>
    </row>
    <row r="17" spans="2:6" x14ac:dyDescent="0.25">
      <c r="B17" s="94" t="s">
        <v>375</v>
      </c>
      <c r="C17" s="95">
        <f>+C16/3</f>
        <v>350</v>
      </c>
      <c r="E17" s="250" t="s">
        <v>379</v>
      </c>
      <c r="F17" s="250" t="s">
        <v>382</v>
      </c>
    </row>
    <row r="18" spans="2:6" x14ac:dyDescent="0.25">
      <c r="B18" s="239" t="s">
        <v>9</v>
      </c>
      <c r="C18" s="96">
        <f>SUM(C13:C17)</f>
        <v>14175</v>
      </c>
      <c r="D18" s="247"/>
      <c r="E18" s="250"/>
      <c r="F18" s="250"/>
    </row>
    <row r="19" spans="2:6" x14ac:dyDescent="0.25">
      <c r="B19" s="94" t="s">
        <v>376</v>
      </c>
      <c r="C19" s="95">
        <f>+C18*0.36</f>
        <v>5103</v>
      </c>
      <c r="E19" s="250" t="s">
        <v>379</v>
      </c>
      <c r="F19" s="250" t="s">
        <v>383</v>
      </c>
    </row>
    <row r="20" spans="2:6" x14ac:dyDescent="0.25">
      <c r="B20" s="208" t="s">
        <v>370</v>
      </c>
      <c r="C20" s="209">
        <f>SUM(C18:C19)</f>
        <v>19278</v>
      </c>
      <c r="D20" s="247"/>
      <c r="E20" s="249"/>
      <c r="F20" s="249"/>
    </row>
    <row r="22" spans="2:6" x14ac:dyDescent="0.25">
      <c r="B22" s="208" t="s">
        <v>377</v>
      </c>
      <c r="C22" s="243">
        <f>+C20/C10</f>
        <v>10.125</v>
      </c>
      <c r="D22" s="248"/>
    </row>
  </sheetData>
  <mergeCells count="3">
    <mergeCell ref="E11:F11"/>
    <mergeCell ref="B2:C2"/>
    <mergeCell ref="B12:C12"/>
  </mergeCells>
  <pageMargins left="0.511811024" right="0.511811024" top="0.78740157499999996" bottom="0.78740157499999996" header="0.31496062000000002" footer="0.31496062000000002"/>
  <pageSetup paperSize="9" scale="82" orientation="landscape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"/>
  <sheetViews>
    <sheetView showGridLines="0" zoomScale="110" zoomScaleNormal="110" workbookViewId="0">
      <selection activeCell="C12" sqref="C12"/>
    </sheetView>
  </sheetViews>
  <sheetFormatPr defaultColWidth="9.140625" defaultRowHeight="15" x14ac:dyDescent="0.25"/>
  <cols>
    <col min="1" max="1" width="2.140625" style="31" customWidth="1"/>
    <col min="2" max="2" width="45.85546875" style="31" customWidth="1"/>
    <col min="3" max="7" width="9.7109375" style="30" customWidth="1"/>
    <col min="8" max="11" width="9.7109375" style="31" customWidth="1"/>
    <col min="12" max="16384" width="9.140625" style="31"/>
  </cols>
  <sheetData>
    <row r="3" spans="2:5" x14ac:dyDescent="0.25">
      <c r="B3" s="357" t="s">
        <v>491</v>
      </c>
      <c r="C3" s="351" t="s">
        <v>480</v>
      </c>
      <c r="D3" s="313" t="s">
        <v>481</v>
      </c>
      <c r="E3" s="313" t="s">
        <v>482</v>
      </c>
    </row>
    <row r="4" spans="2:5" x14ac:dyDescent="0.25">
      <c r="B4" s="352" t="s">
        <v>483</v>
      </c>
      <c r="C4" s="354">
        <f>11+1/3</f>
        <v>11.333333333333334</v>
      </c>
      <c r="D4" s="353">
        <f>+C4*1500</f>
        <v>17000</v>
      </c>
      <c r="E4" s="353">
        <f>+C4*2000</f>
        <v>22666.666666666668</v>
      </c>
    </row>
    <row r="5" spans="2:5" x14ac:dyDescent="0.25">
      <c r="B5" s="352" t="s">
        <v>484</v>
      </c>
      <c r="C5" s="354">
        <v>0.66666666666666663</v>
      </c>
      <c r="D5" s="353">
        <f t="shared" ref="D5:D9" si="0">+C5*1500</f>
        <v>1000</v>
      </c>
      <c r="E5" s="353">
        <f t="shared" ref="E5:E9" si="1">+C5*2000</f>
        <v>1333.3333333333333</v>
      </c>
    </row>
    <row r="6" spans="2:5" x14ac:dyDescent="0.25">
      <c r="B6" s="352" t="s">
        <v>485</v>
      </c>
      <c r="C6" s="354">
        <v>0.33333333333333331</v>
      </c>
      <c r="D6" s="353">
        <f t="shared" si="0"/>
        <v>500</v>
      </c>
      <c r="E6" s="353">
        <f t="shared" si="1"/>
        <v>666.66666666666663</v>
      </c>
    </row>
    <row r="7" spans="2:5" x14ac:dyDescent="0.25">
      <c r="B7" s="352" t="s">
        <v>486</v>
      </c>
      <c r="C7" s="354">
        <v>1</v>
      </c>
      <c r="D7" s="353">
        <f t="shared" si="0"/>
        <v>1500</v>
      </c>
      <c r="E7" s="353">
        <f t="shared" si="1"/>
        <v>2000</v>
      </c>
    </row>
    <row r="8" spans="2:5" x14ac:dyDescent="0.25">
      <c r="B8" s="352" t="s">
        <v>487</v>
      </c>
      <c r="C8" s="354">
        <f>0.333333333333333*C5</f>
        <v>0.22222222222222199</v>
      </c>
      <c r="D8" s="353">
        <f t="shared" si="0"/>
        <v>333.33333333333297</v>
      </c>
      <c r="E8" s="353">
        <f t="shared" si="1"/>
        <v>444.444444444444</v>
      </c>
    </row>
    <row r="9" spans="2:5" x14ac:dyDescent="0.25">
      <c r="B9" s="352" t="s">
        <v>488</v>
      </c>
      <c r="C9" s="354">
        <f>0.333333333333333*C6</f>
        <v>0.11111111111111099</v>
      </c>
      <c r="D9" s="353">
        <f t="shared" si="0"/>
        <v>166.66666666666649</v>
      </c>
      <c r="E9" s="353">
        <f t="shared" si="1"/>
        <v>222.222222222222</v>
      </c>
    </row>
    <row r="10" spans="2:5" x14ac:dyDescent="0.25">
      <c r="B10" s="312" t="s">
        <v>489</v>
      </c>
      <c r="C10" s="355"/>
      <c r="D10" s="356">
        <f>SUM(D4:D9)</f>
        <v>20500</v>
      </c>
      <c r="E10" s="356">
        <f>SUM(E4:E9)</f>
        <v>27333.333333333336</v>
      </c>
    </row>
    <row r="11" spans="2:5" x14ac:dyDescent="0.25">
      <c r="B11" s="352" t="s">
        <v>490</v>
      </c>
      <c r="C11" s="355"/>
      <c r="D11" s="353">
        <f>+(D4+D5+D7+D8)*0.35</f>
        <v>6941.6666666666661</v>
      </c>
      <c r="E11" s="353">
        <f>+(E4+E5+E7+E8)*0.35</f>
        <v>9255.5555555555547</v>
      </c>
    </row>
    <row r="12" spans="2:5" x14ac:dyDescent="0.25">
      <c r="B12" s="312" t="s">
        <v>370</v>
      </c>
      <c r="C12" s="355"/>
      <c r="D12" s="356">
        <f>SUM(D10:D11)</f>
        <v>27441.666666666664</v>
      </c>
      <c r="E12" s="356">
        <f>SUM(E10:E11)</f>
        <v>36588.888888888891</v>
      </c>
    </row>
  </sheetData>
  <pageMargins left="0.511811024" right="0.511811024" top="0.78740157499999996" bottom="0.78740157499999996" header="0.31496062000000002" footer="0.31496062000000002"/>
  <pageSetup paperSize="9" scale="8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topLeftCell="A4" zoomScale="120" zoomScaleNormal="120" workbookViewId="0">
      <selection activeCell="E7" sqref="E7"/>
    </sheetView>
  </sheetViews>
  <sheetFormatPr defaultColWidth="9.140625" defaultRowHeight="15" outlineLevelRow="1" x14ac:dyDescent="0.25"/>
  <cols>
    <col min="1" max="1" width="2.85546875" style="1" customWidth="1"/>
    <col min="2" max="2" width="46" style="1" customWidth="1"/>
    <col min="3" max="5" width="12.28515625" style="1" customWidth="1"/>
    <col min="6" max="6" width="17.28515625" style="1" customWidth="1"/>
    <col min="7" max="16384" width="9.140625" style="1"/>
  </cols>
  <sheetData>
    <row r="2" spans="2:6" x14ac:dyDescent="0.25">
      <c r="B2" s="2"/>
      <c r="C2" s="14" t="s">
        <v>21</v>
      </c>
      <c r="D2" s="14" t="s">
        <v>22</v>
      </c>
      <c r="E2" s="14" t="s">
        <v>23</v>
      </c>
    </row>
    <row r="3" spans="2:6" x14ac:dyDescent="0.25">
      <c r="B3" s="2" t="s">
        <v>24</v>
      </c>
      <c r="C3" s="1">
        <v>1000</v>
      </c>
      <c r="D3" s="1">
        <v>2000</v>
      </c>
      <c r="E3" s="1">
        <v>4000</v>
      </c>
    </row>
    <row r="4" spans="2:6" x14ac:dyDescent="0.25">
      <c r="B4" s="2" t="s">
        <v>25</v>
      </c>
      <c r="C4" s="1">
        <v>1800</v>
      </c>
      <c r="D4" s="1">
        <v>3600</v>
      </c>
      <c r="E4" s="1">
        <v>7200</v>
      </c>
    </row>
    <row r="5" spans="2:6" x14ac:dyDescent="0.25">
      <c r="B5" s="2"/>
    </row>
    <row r="6" spans="2:6" x14ac:dyDescent="0.25">
      <c r="B6" s="8" t="s">
        <v>18</v>
      </c>
      <c r="C6" s="8" t="str">
        <f>+C2</f>
        <v>ABR</v>
      </c>
      <c r="D6" s="8" t="str">
        <f t="shared" ref="D6:E6" si="0">+D2</f>
        <v>MAI</v>
      </c>
      <c r="E6" s="8" t="str">
        <f t="shared" si="0"/>
        <v>JUN</v>
      </c>
      <c r="F6" s="404" t="s">
        <v>36</v>
      </c>
    </row>
    <row r="7" spans="2:6" outlineLevel="1" x14ac:dyDescent="0.25">
      <c r="B7" s="15" t="s">
        <v>26</v>
      </c>
      <c r="C7" s="16">
        <v>0</v>
      </c>
      <c r="D7" s="16">
        <f>+C4/5</f>
        <v>360</v>
      </c>
      <c r="E7" s="16">
        <f>+C4/5+D4/5</f>
        <v>1080</v>
      </c>
      <c r="F7" s="404"/>
    </row>
    <row r="8" spans="2:6" outlineLevel="1" x14ac:dyDescent="0.25">
      <c r="B8" s="15" t="s">
        <v>27</v>
      </c>
      <c r="C8" s="16">
        <f>-C3</f>
        <v>-1000</v>
      </c>
      <c r="D8" s="16">
        <f>-D3</f>
        <v>-2000</v>
      </c>
      <c r="E8" s="16">
        <f>-E3</f>
        <v>-4000</v>
      </c>
      <c r="F8" s="404"/>
    </row>
    <row r="9" spans="2:6" outlineLevel="1" x14ac:dyDescent="0.25">
      <c r="B9" s="18" t="s">
        <v>9</v>
      </c>
      <c r="C9" s="17">
        <f>SUM(C7:C8)</f>
        <v>-1000</v>
      </c>
      <c r="D9" s="17">
        <f t="shared" ref="D9:E9" si="1">SUM(D7:D8)</f>
        <v>-1640</v>
      </c>
      <c r="E9" s="17">
        <f t="shared" si="1"/>
        <v>-2920</v>
      </c>
      <c r="F9" s="404"/>
    </row>
    <row r="10" spans="2:6" outlineLevel="1" x14ac:dyDescent="0.25">
      <c r="B10" s="20" t="s">
        <v>28</v>
      </c>
      <c r="C10" s="19">
        <v>10000</v>
      </c>
      <c r="D10" s="19">
        <f>+C11</f>
        <v>9000</v>
      </c>
      <c r="E10" s="19">
        <f>+D11</f>
        <v>7360</v>
      </c>
      <c r="F10" s="404"/>
    </row>
    <row r="11" spans="2:6" outlineLevel="1" x14ac:dyDescent="0.25">
      <c r="B11" s="20" t="s">
        <v>29</v>
      </c>
      <c r="C11" s="19">
        <f>+C10+C9</f>
        <v>9000</v>
      </c>
      <c r="D11" s="19">
        <f>+D10+D9</f>
        <v>7360</v>
      </c>
      <c r="E11" s="19">
        <f>+E10+E9</f>
        <v>4440</v>
      </c>
      <c r="F11" s="404"/>
    </row>
    <row r="13" spans="2:6" x14ac:dyDescent="0.25">
      <c r="B13" s="8" t="s">
        <v>30</v>
      </c>
      <c r="C13" s="8" t="str">
        <f>+C6</f>
        <v>ABR</v>
      </c>
      <c r="D13" s="8" t="str">
        <f t="shared" ref="D13:E13" si="2">+D6</f>
        <v>MAI</v>
      </c>
      <c r="E13" s="8" t="str">
        <f t="shared" si="2"/>
        <v>JUN</v>
      </c>
      <c r="F13" s="404" t="s">
        <v>35</v>
      </c>
    </row>
    <row r="14" spans="2:6" outlineLevel="1" x14ac:dyDescent="0.25">
      <c r="B14" s="15" t="s">
        <v>31</v>
      </c>
      <c r="C14" s="16">
        <f>+C4</f>
        <v>1800</v>
      </c>
      <c r="D14" s="16">
        <f>+D4</f>
        <v>3600</v>
      </c>
      <c r="E14" s="16">
        <f>+E4</f>
        <v>7200</v>
      </c>
      <c r="F14" s="404"/>
    </row>
    <row r="15" spans="2:6" outlineLevel="1" x14ac:dyDescent="0.25">
      <c r="B15" s="15" t="s">
        <v>33</v>
      </c>
      <c r="C15" s="16">
        <f>-C3</f>
        <v>-1000</v>
      </c>
      <c r="D15" s="16">
        <f t="shared" ref="D15:E15" si="3">-D3</f>
        <v>-2000</v>
      </c>
      <c r="E15" s="16">
        <f t="shared" si="3"/>
        <v>-4000</v>
      </c>
      <c r="F15" s="404"/>
    </row>
    <row r="16" spans="2:6" outlineLevel="1" x14ac:dyDescent="0.25">
      <c r="B16" s="18" t="s">
        <v>32</v>
      </c>
      <c r="C16" s="17">
        <f>SUM(C14:C15)</f>
        <v>800</v>
      </c>
      <c r="D16" s="17">
        <f t="shared" ref="D16" si="4">SUM(D14:D15)</f>
        <v>1600</v>
      </c>
      <c r="E16" s="17">
        <f t="shared" ref="E16" si="5">SUM(E14:E15)</f>
        <v>3200</v>
      </c>
      <c r="F16" s="404"/>
    </row>
    <row r="17" spans="2:6" outlineLevel="1" x14ac:dyDescent="0.25">
      <c r="B17" s="27" t="s">
        <v>44</v>
      </c>
      <c r="C17" s="28">
        <f>+C24</f>
        <v>-180</v>
      </c>
      <c r="D17" s="28">
        <f>+D24-C24</f>
        <v>-324</v>
      </c>
      <c r="E17" s="28">
        <f>+E24-D24</f>
        <v>-612</v>
      </c>
      <c r="F17" s="404"/>
    </row>
    <row r="18" spans="2:6" outlineLevel="1" x14ac:dyDescent="0.25">
      <c r="B18" s="18" t="s">
        <v>34</v>
      </c>
      <c r="C18" s="17">
        <f>SUM(C16:C17)</f>
        <v>620</v>
      </c>
      <c r="D18" s="17">
        <f t="shared" ref="D18" si="6">SUM(D16:D17)</f>
        <v>1276</v>
      </c>
      <c r="E18" s="17">
        <f t="shared" ref="E18" si="7">SUM(E16:E17)</f>
        <v>2588</v>
      </c>
      <c r="F18" s="404"/>
    </row>
    <row r="20" spans="2:6" x14ac:dyDescent="0.25">
      <c r="B20" s="405" t="s">
        <v>37</v>
      </c>
      <c r="C20" s="405"/>
      <c r="D20" s="405"/>
      <c r="E20" s="405"/>
      <c r="F20" s="405"/>
    </row>
    <row r="21" spans="2:6" ht="15" customHeight="1" x14ac:dyDescent="0.25">
      <c r="B21" s="23" t="s">
        <v>4</v>
      </c>
      <c r="C21" s="24">
        <v>43585</v>
      </c>
      <c r="D21" s="24">
        <f>+C21+31</f>
        <v>43616</v>
      </c>
      <c r="E21" s="24">
        <f>+D21+30</f>
        <v>43646</v>
      </c>
      <c r="F21" s="406" t="s">
        <v>38</v>
      </c>
    </row>
    <row r="22" spans="2:6" x14ac:dyDescent="0.25">
      <c r="B22" s="20" t="s">
        <v>39</v>
      </c>
      <c r="C22" s="19">
        <f>+C11</f>
        <v>9000</v>
      </c>
      <c r="D22" s="19">
        <f t="shared" ref="D22:E22" si="8">+D11</f>
        <v>7360</v>
      </c>
      <c r="E22" s="19">
        <f t="shared" si="8"/>
        <v>4440</v>
      </c>
      <c r="F22" s="406"/>
    </row>
    <row r="23" spans="2:6" x14ac:dyDescent="0.25">
      <c r="B23" s="20" t="s">
        <v>40</v>
      </c>
      <c r="C23" s="19">
        <f>+C14</f>
        <v>1800</v>
      </c>
      <c r="D23" s="19">
        <f>+C23-D7+D14</f>
        <v>5040</v>
      </c>
      <c r="E23" s="19">
        <f>+D23-E7+E14</f>
        <v>11160</v>
      </c>
      <c r="F23" s="406"/>
    </row>
    <row r="24" spans="2:6" x14ac:dyDescent="0.25">
      <c r="B24" s="25" t="s">
        <v>44</v>
      </c>
      <c r="C24" s="26">
        <f>-C23*10%</f>
        <v>-180</v>
      </c>
      <c r="D24" s="26">
        <f>-D23*10%</f>
        <v>-504</v>
      </c>
      <c r="E24" s="26">
        <f>-E23*10%</f>
        <v>-1116</v>
      </c>
      <c r="F24" s="406"/>
    </row>
    <row r="25" spans="2:6" x14ac:dyDescent="0.25">
      <c r="B25" s="21" t="s">
        <v>9</v>
      </c>
      <c r="C25" s="22">
        <f>SUM(C22:C24)</f>
        <v>10620</v>
      </c>
      <c r="D25" s="22">
        <f t="shared" ref="D25" si="9">SUM(D22:D24)</f>
        <v>11896</v>
      </c>
      <c r="E25" s="22">
        <f t="shared" ref="E25" si="10">SUM(E22:E24)</f>
        <v>14484</v>
      </c>
      <c r="F25" s="406"/>
    </row>
    <row r="26" spans="2:6" x14ac:dyDescent="0.25">
      <c r="B26" s="23" t="s">
        <v>41</v>
      </c>
      <c r="C26" s="24">
        <v>43585</v>
      </c>
      <c r="D26" s="24">
        <f>+C26+31</f>
        <v>43616</v>
      </c>
      <c r="E26" s="24">
        <f>+D26+30</f>
        <v>43646</v>
      </c>
      <c r="F26" s="406"/>
    </row>
    <row r="27" spans="2:6" x14ac:dyDescent="0.25">
      <c r="B27" s="20" t="s">
        <v>42</v>
      </c>
      <c r="C27" s="19">
        <v>10000</v>
      </c>
      <c r="D27" s="19">
        <v>10000</v>
      </c>
      <c r="E27" s="19">
        <v>10000</v>
      </c>
      <c r="F27" s="406"/>
    </row>
    <row r="28" spans="2:6" x14ac:dyDescent="0.25">
      <c r="B28" s="20" t="s">
        <v>43</v>
      </c>
      <c r="C28" s="19">
        <f>+C18</f>
        <v>620</v>
      </c>
      <c r="D28" s="19">
        <f>+C28+D18</f>
        <v>1896</v>
      </c>
      <c r="E28" s="19">
        <f>+D28+E18</f>
        <v>4484</v>
      </c>
      <c r="F28" s="406"/>
    </row>
    <row r="29" spans="2:6" x14ac:dyDescent="0.25">
      <c r="B29" s="21" t="s">
        <v>9</v>
      </c>
      <c r="C29" s="22">
        <f>SUM(C27:C28)</f>
        <v>10620</v>
      </c>
      <c r="D29" s="22">
        <f>SUM(D27:D28)</f>
        <v>11896</v>
      </c>
      <c r="E29" s="22">
        <f>SUM(E27:E28)</f>
        <v>14484</v>
      </c>
      <c r="F29" s="406"/>
    </row>
  </sheetData>
  <mergeCells count="4">
    <mergeCell ref="F13:F18"/>
    <mergeCell ref="F6:F11"/>
    <mergeCell ref="B20:F20"/>
    <mergeCell ref="F21:F29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topLeftCell="A10" zoomScaleNormal="100" workbookViewId="0">
      <selection activeCell="E22" sqref="E22"/>
    </sheetView>
  </sheetViews>
  <sheetFormatPr defaultColWidth="9.140625" defaultRowHeight="15" x14ac:dyDescent="0.25"/>
  <cols>
    <col min="1" max="1" width="2.140625" style="237" customWidth="1"/>
    <col min="2" max="2" width="37.140625" style="237" bestFit="1" customWidth="1"/>
    <col min="3" max="3" width="9.7109375" style="237" customWidth="1"/>
    <col min="4" max="7" width="9.7109375" style="117" customWidth="1"/>
    <col min="8" max="9" width="9.7109375" style="237" customWidth="1"/>
    <col min="10" max="10" width="9.7109375" style="117" customWidth="1"/>
    <col min="11" max="12" width="4.5703125" style="237" customWidth="1"/>
    <col min="13" max="16384" width="9.140625" style="237"/>
  </cols>
  <sheetData>
    <row r="1" spans="1:20" s="117" customFormat="1" x14ac:dyDescent="0.25">
      <c r="A1" s="237"/>
      <c r="B1" s="237"/>
      <c r="C1" s="237"/>
      <c r="H1" s="237"/>
      <c r="I1" s="237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x14ac:dyDescent="0.25">
      <c r="B2" s="262"/>
      <c r="C2" s="274"/>
      <c r="D2" s="263" t="s">
        <v>384</v>
      </c>
      <c r="E2" s="263" t="s">
        <v>385</v>
      </c>
      <c r="F2" s="263" t="s">
        <v>386</v>
      </c>
      <c r="G2" s="263" t="s">
        <v>387</v>
      </c>
      <c r="H2" s="263" t="s">
        <v>388</v>
      </c>
      <c r="I2" s="263" t="s">
        <v>389</v>
      </c>
      <c r="J2" s="264" t="s">
        <v>9</v>
      </c>
    </row>
    <row r="3" spans="1:20" x14ac:dyDescent="0.25">
      <c r="B3" s="265" t="s">
        <v>390</v>
      </c>
      <c r="C3" s="256"/>
      <c r="D3" s="257">
        <v>45000</v>
      </c>
      <c r="E3" s="257">
        <v>46000</v>
      </c>
      <c r="F3" s="257">
        <v>47000</v>
      </c>
      <c r="G3" s="257">
        <v>48000</v>
      </c>
      <c r="H3" s="257">
        <v>50000</v>
      </c>
      <c r="I3" s="258"/>
      <c r="J3" s="266"/>
    </row>
    <row r="4" spans="1:20" x14ac:dyDescent="0.25">
      <c r="B4" s="265" t="s">
        <v>391</v>
      </c>
      <c r="C4" s="256"/>
      <c r="D4" s="257">
        <v>15000</v>
      </c>
      <c r="E4" s="257">
        <v>5000</v>
      </c>
      <c r="F4" s="257">
        <v>15000</v>
      </c>
      <c r="G4" s="257">
        <v>10000</v>
      </c>
      <c r="H4" s="257">
        <v>5000</v>
      </c>
      <c r="I4" s="258"/>
      <c r="J4" s="266"/>
    </row>
    <row r="5" spans="1:20" x14ac:dyDescent="0.25">
      <c r="B5" s="265" t="s">
        <v>392</v>
      </c>
      <c r="C5" s="256"/>
      <c r="D5" s="257">
        <f>+D4</f>
        <v>15000</v>
      </c>
      <c r="E5" s="257">
        <f>+D5+E4</f>
        <v>20000</v>
      </c>
      <c r="F5" s="257">
        <f>+E5+F4</f>
        <v>35000</v>
      </c>
      <c r="G5" s="257">
        <f>+F5+G4</f>
        <v>45000</v>
      </c>
      <c r="H5" s="257">
        <f>+G5+H4</f>
        <v>50000</v>
      </c>
      <c r="I5" s="258"/>
      <c r="J5" s="266"/>
    </row>
    <row r="6" spans="1:20" x14ac:dyDescent="0.25">
      <c r="B6" s="267" t="s">
        <v>393</v>
      </c>
      <c r="C6" s="260"/>
      <c r="D6" s="261">
        <f>+D5/D3</f>
        <v>0.33333333333333331</v>
      </c>
      <c r="E6" s="261">
        <f>+E5/E3</f>
        <v>0.43478260869565216</v>
      </c>
      <c r="F6" s="261">
        <f>+F5/F3</f>
        <v>0.74468085106382975</v>
      </c>
      <c r="G6" s="261">
        <f>+G5/G3</f>
        <v>0.9375</v>
      </c>
      <c r="H6" s="261">
        <f>+H5/H3</f>
        <v>1</v>
      </c>
      <c r="I6" s="258"/>
      <c r="J6" s="266"/>
    </row>
    <row r="7" spans="1:20" x14ac:dyDescent="0.25">
      <c r="B7" s="265" t="s">
        <v>394</v>
      </c>
      <c r="C7" s="256"/>
      <c r="D7" s="257">
        <v>20000</v>
      </c>
      <c r="E7" s="257">
        <v>5000</v>
      </c>
      <c r="F7" s="257">
        <v>10000</v>
      </c>
      <c r="G7" s="257">
        <v>15000</v>
      </c>
      <c r="H7" s="257">
        <v>15000</v>
      </c>
      <c r="I7" s="257">
        <v>10000</v>
      </c>
      <c r="J7" s="268">
        <v>75000</v>
      </c>
    </row>
    <row r="8" spans="1:20" x14ac:dyDescent="0.25">
      <c r="B8" s="265" t="s">
        <v>395</v>
      </c>
      <c r="C8" s="256"/>
      <c r="D8" s="257">
        <f>+D7</f>
        <v>20000</v>
      </c>
      <c r="E8" s="257">
        <f>+D8+E7</f>
        <v>25000</v>
      </c>
      <c r="F8" s="257">
        <f t="shared" ref="F8:I8" si="0">+E8+F7</f>
        <v>35000</v>
      </c>
      <c r="G8" s="257">
        <f t="shared" si="0"/>
        <v>50000</v>
      </c>
      <c r="H8" s="257">
        <f t="shared" si="0"/>
        <v>65000</v>
      </c>
      <c r="I8" s="257">
        <f t="shared" si="0"/>
        <v>75000</v>
      </c>
      <c r="J8" s="268"/>
    </row>
    <row r="9" spans="1:20" x14ac:dyDescent="0.25">
      <c r="B9" s="269" t="s">
        <v>396</v>
      </c>
      <c r="C9" s="275"/>
      <c r="D9" s="270">
        <f t="shared" ref="D9:I9" si="1">+D8/$J$7</f>
        <v>0.26666666666666666</v>
      </c>
      <c r="E9" s="270">
        <f t="shared" si="1"/>
        <v>0.33333333333333331</v>
      </c>
      <c r="F9" s="270">
        <f t="shared" si="1"/>
        <v>0.46666666666666667</v>
      </c>
      <c r="G9" s="270">
        <f t="shared" si="1"/>
        <v>0.66666666666666663</v>
      </c>
      <c r="H9" s="270">
        <f t="shared" si="1"/>
        <v>0.8666666666666667</v>
      </c>
      <c r="I9" s="270">
        <f t="shared" si="1"/>
        <v>1</v>
      </c>
      <c r="J9" s="121"/>
    </row>
    <row r="11" spans="1:20" ht="18.75" x14ac:dyDescent="0.25">
      <c r="B11" s="276" t="s">
        <v>11</v>
      </c>
      <c r="C11" s="276"/>
      <c r="D11" s="276" t="str">
        <f>+D2</f>
        <v>ano 1</v>
      </c>
      <c r="E11" s="276" t="str">
        <f t="shared" ref="E11:I11" si="2">+E2</f>
        <v>ano 2</v>
      </c>
      <c r="F11" s="276" t="str">
        <f t="shared" si="2"/>
        <v>ano 3</v>
      </c>
      <c r="G11" s="276" t="str">
        <f t="shared" si="2"/>
        <v>ano 4</v>
      </c>
      <c r="H11" s="276" t="str">
        <f t="shared" si="2"/>
        <v>ano 5</v>
      </c>
      <c r="I11" s="276" t="str">
        <f t="shared" si="2"/>
        <v>ano 6</v>
      </c>
      <c r="J11" s="276" t="s">
        <v>9</v>
      </c>
    </row>
    <row r="12" spans="1:20" x14ac:dyDescent="0.25">
      <c r="B12" s="277" t="s">
        <v>55</v>
      </c>
      <c r="C12" s="277"/>
      <c r="D12" s="278">
        <f>+$J$7*D6</f>
        <v>25000</v>
      </c>
      <c r="E12" s="278">
        <f>+$J$7*E6-D12</f>
        <v>7608.6956521739121</v>
      </c>
      <c r="F12" s="278">
        <f>+$J$7*F6-E12-D12</f>
        <v>23242.368177613316</v>
      </c>
      <c r="G12" s="278">
        <f>+$J$7*G6-F12-E12-D12</f>
        <v>14461.436170212772</v>
      </c>
      <c r="H12" s="278">
        <f>+$J$7*H6-G12-F12-E12-D12</f>
        <v>4687.5</v>
      </c>
      <c r="I12" s="277"/>
      <c r="J12" s="279">
        <f>SUM(D12:I12)</f>
        <v>75000</v>
      </c>
    </row>
    <row r="13" spans="1:20" x14ac:dyDescent="0.25">
      <c r="B13" s="277" t="s">
        <v>397</v>
      </c>
      <c r="C13" s="277"/>
      <c r="D13" s="278">
        <f>-D4</f>
        <v>-15000</v>
      </c>
      <c r="E13" s="278">
        <f t="shared" ref="E13:H13" si="3">-E4</f>
        <v>-5000</v>
      </c>
      <c r="F13" s="278">
        <f t="shared" si="3"/>
        <v>-15000</v>
      </c>
      <c r="G13" s="278">
        <f t="shared" si="3"/>
        <v>-10000</v>
      </c>
      <c r="H13" s="278">
        <f t="shared" si="3"/>
        <v>-5000</v>
      </c>
      <c r="I13" s="277"/>
      <c r="J13" s="279">
        <f>SUM(D13:I13)</f>
        <v>-50000</v>
      </c>
    </row>
    <row r="14" spans="1:20" x14ac:dyDescent="0.25">
      <c r="B14" s="280" t="s">
        <v>328</v>
      </c>
      <c r="C14" s="280"/>
      <c r="D14" s="281">
        <f>SUM(D12:D13)</f>
        <v>10000</v>
      </c>
      <c r="E14" s="281">
        <f t="shared" ref="E14:H14" si="4">SUM(E12:E13)</f>
        <v>2608.6956521739121</v>
      </c>
      <c r="F14" s="281">
        <f t="shared" si="4"/>
        <v>8242.3681776133162</v>
      </c>
      <c r="G14" s="281">
        <f t="shared" si="4"/>
        <v>4461.4361702127717</v>
      </c>
      <c r="H14" s="281">
        <f t="shared" si="4"/>
        <v>-312.5</v>
      </c>
      <c r="I14" s="280"/>
      <c r="J14" s="281">
        <f>SUM(J12:J13)</f>
        <v>25000</v>
      </c>
      <c r="K14" s="259">
        <f>+D14/D12</f>
        <v>0.4</v>
      </c>
      <c r="L14" s="259">
        <f>+E14/E12</f>
        <v>0.34285714285714275</v>
      </c>
    </row>
    <row r="15" spans="1:20" x14ac:dyDescent="0.25">
      <c r="B15" s="282"/>
      <c r="C15" s="282"/>
      <c r="D15" s="138"/>
      <c r="E15" s="138"/>
      <c r="F15" s="138"/>
      <c r="G15" s="138"/>
      <c r="H15" s="282"/>
      <c r="I15" s="282"/>
      <c r="J15" s="138"/>
    </row>
    <row r="16" spans="1:20" ht="18.75" x14ac:dyDescent="0.25">
      <c r="B16" s="276" t="s">
        <v>18</v>
      </c>
      <c r="C16" s="276"/>
      <c r="D16" s="276" t="str">
        <f>+D11</f>
        <v>ano 1</v>
      </c>
      <c r="E16" s="276" t="str">
        <f t="shared" ref="E16:J16" si="5">+E11</f>
        <v>ano 2</v>
      </c>
      <c r="F16" s="276" t="str">
        <f t="shared" si="5"/>
        <v>ano 3</v>
      </c>
      <c r="G16" s="276" t="str">
        <f t="shared" si="5"/>
        <v>ano 4</v>
      </c>
      <c r="H16" s="276" t="str">
        <f t="shared" si="5"/>
        <v>ano 5</v>
      </c>
      <c r="I16" s="276" t="str">
        <f t="shared" si="5"/>
        <v>ano 6</v>
      </c>
      <c r="J16" s="276" t="str">
        <f t="shared" si="5"/>
        <v>TOTAL</v>
      </c>
    </row>
    <row r="17" spans="2:11" x14ac:dyDescent="0.25">
      <c r="B17" s="277" t="s">
        <v>26</v>
      </c>
      <c r="C17" s="277"/>
      <c r="D17" s="278">
        <f>+D7</f>
        <v>20000</v>
      </c>
      <c r="E17" s="278">
        <f t="shared" ref="E17:I17" si="6">+E7</f>
        <v>5000</v>
      </c>
      <c r="F17" s="278">
        <f t="shared" si="6"/>
        <v>10000</v>
      </c>
      <c r="G17" s="278">
        <f t="shared" si="6"/>
        <v>15000</v>
      </c>
      <c r="H17" s="278">
        <f t="shared" si="6"/>
        <v>15000</v>
      </c>
      <c r="I17" s="278">
        <f t="shared" si="6"/>
        <v>10000</v>
      </c>
      <c r="J17" s="279">
        <f>SUM(D17:I17)</f>
        <v>75000</v>
      </c>
    </row>
    <row r="18" spans="2:11" x14ac:dyDescent="0.25">
      <c r="B18" s="277" t="s">
        <v>27</v>
      </c>
      <c r="C18" s="277"/>
      <c r="D18" s="278">
        <f>-D4</f>
        <v>-15000</v>
      </c>
      <c r="E18" s="278">
        <f t="shared" ref="E18:H18" si="7">-E4</f>
        <v>-5000</v>
      </c>
      <c r="F18" s="278">
        <f t="shared" si="7"/>
        <v>-15000</v>
      </c>
      <c r="G18" s="278">
        <f t="shared" si="7"/>
        <v>-10000</v>
      </c>
      <c r="H18" s="278">
        <f t="shared" si="7"/>
        <v>-5000</v>
      </c>
      <c r="I18" s="277"/>
      <c r="J18" s="279">
        <f>SUM(D18:I18)</f>
        <v>-50000</v>
      </c>
    </row>
    <row r="19" spans="2:11" x14ac:dyDescent="0.25">
      <c r="B19" s="280" t="s">
        <v>398</v>
      </c>
      <c r="C19" s="280"/>
      <c r="D19" s="281">
        <f>SUM(D17:D18)</f>
        <v>5000</v>
      </c>
      <c r="E19" s="281">
        <f t="shared" ref="E19" si="8">SUM(E17:E18)</f>
        <v>0</v>
      </c>
      <c r="F19" s="281">
        <f t="shared" ref="F19" si="9">SUM(F17:F18)</f>
        <v>-5000</v>
      </c>
      <c r="G19" s="281">
        <f t="shared" ref="G19" si="10">SUM(G17:G18)</f>
        <v>5000</v>
      </c>
      <c r="H19" s="281">
        <f t="shared" ref="H19" si="11">SUM(H17:H18)</f>
        <v>10000</v>
      </c>
      <c r="I19" s="280"/>
      <c r="J19" s="281">
        <f>SUM(J17:J18)</f>
        <v>25000</v>
      </c>
    </row>
    <row r="20" spans="2:11" x14ac:dyDescent="0.25">
      <c r="J20" s="237"/>
    </row>
    <row r="21" spans="2:11" ht="18.75" x14ac:dyDescent="0.25">
      <c r="B21" s="472" t="s">
        <v>37</v>
      </c>
      <c r="C21" s="472"/>
      <c r="D21" s="472"/>
      <c r="E21" s="472"/>
      <c r="F21" s="472"/>
      <c r="G21" s="472"/>
      <c r="H21" s="472"/>
      <c r="J21" s="237"/>
    </row>
    <row r="22" spans="2:11" s="238" customFormat="1" x14ac:dyDescent="0.25">
      <c r="B22" s="285" t="s">
        <v>4</v>
      </c>
      <c r="C22" s="285" t="s">
        <v>404</v>
      </c>
      <c r="D22" s="285" t="s">
        <v>399</v>
      </c>
      <c r="E22" s="285" t="s">
        <v>400</v>
      </c>
      <c r="F22" s="285" t="s">
        <v>401</v>
      </c>
      <c r="G22" s="285" t="s">
        <v>402</v>
      </c>
      <c r="H22" s="285" t="s">
        <v>403</v>
      </c>
      <c r="I22" s="237"/>
      <c r="J22" s="237"/>
      <c r="K22" s="237"/>
    </row>
    <row r="23" spans="2:11" x14ac:dyDescent="0.25">
      <c r="B23" s="283" t="s">
        <v>39</v>
      </c>
      <c r="C23" s="284">
        <v>5000</v>
      </c>
      <c r="D23" s="284">
        <f>+C23+D19</f>
        <v>10000</v>
      </c>
      <c r="E23" s="284">
        <f>+D23+E19</f>
        <v>10000</v>
      </c>
      <c r="F23" s="284">
        <f t="shared" ref="F23:H23" si="12">+E23+F19</f>
        <v>5000</v>
      </c>
      <c r="G23" s="284">
        <f t="shared" si="12"/>
        <v>10000</v>
      </c>
      <c r="H23" s="284">
        <f t="shared" si="12"/>
        <v>20000</v>
      </c>
      <c r="J23" s="237"/>
    </row>
    <row r="24" spans="2:11" x14ac:dyDescent="0.25">
      <c r="B24" s="283" t="s">
        <v>405</v>
      </c>
      <c r="C24" s="284"/>
      <c r="D24" s="284">
        <f>+D12-D17</f>
        <v>5000</v>
      </c>
      <c r="E24" s="284">
        <f>+D24+E12-E17</f>
        <v>7608.6956521739121</v>
      </c>
      <c r="F24" s="284">
        <f t="shared" ref="F24:H24" si="13">+E24+F12-F17</f>
        <v>20851.063829787228</v>
      </c>
      <c r="G24" s="284">
        <f t="shared" si="13"/>
        <v>20312.5</v>
      </c>
      <c r="H24" s="284">
        <f t="shared" si="13"/>
        <v>10000</v>
      </c>
      <c r="J24" s="237"/>
    </row>
    <row r="25" spans="2:11" x14ac:dyDescent="0.25">
      <c r="B25" s="272" t="s">
        <v>9</v>
      </c>
      <c r="C25" s="273">
        <f>SUM(C23:C24)</f>
        <v>5000</v>
      </c>
      <c r="D25" s="273">
        <f>SUM(D23:D24)</f>
        <v>15000</v>
      </c>
      <c r="E25" s="273">
        <f t="shared" ref="E25" si="14">SUM(E23:E24)</f>
        <v>17608.695652173912</v>
      </c>
      <c r="F25" s="273">
        <f t="shared" ref="F25" si="15">SUM(F23:F24)</f>
        <v>25851.063829787228</v>
      </c>
      <c r="G25" s="273">
        <f t="shared" ref="G25" si="16">SUM(G23:G24)</f>
        <v>30312.5</v>
      </c>
      <c r="H25" s="273">
        <f t="shared" ref="H25" si="17">SUM(H23:H24)</f>
        <v>30000</v>
      </c>
      <c r="J25" s="237"/>
    </row>
    <row r="26" spans="2:11" x14ac:dyDescent="0.25">
      <c r="B26" s="285" t="s">
        <v>41</v>
      </c>
      <c r="C26" s="285" t="s">
        <v>404</v>
      </c>
      <c r="D26" s="285" t="s">
        <v>399</v>
      </c>
      <c r="E26" s="285" t="s">
        <v>400</v>
      </c>
      <c r="F26" s="285" t="s">
        <v>401</v>
      </c>
      <c r="G26" s="285" t="s">
        <v>402</v>
      </c>
      <c r="H26" s="285" t="s">
        <v>403</v>
      </c>
      <c r="J26" s="237"/>
    </row>
    <row r="27" spans="2:11" x14ac:dyDescent="0.25">
      <c r="B27" s="283"/>
      <c r="C27" s="284"/>
      <c r="D27" s="284"/>
      <c r="E27" s="284"/>
      <c r="F27" s="284"/>
      <c r="G27" s="284"/>
      <c r="H27" s="284"/>
      <c r="J27" s="237"/>
    </row>
    <row r="28" spans="2:11" x14ac:dyDescent="0.25">
      <c r="B28" s="283" t="s">
        <v>42</v>
      </c>
      <c r="C28" s="284">
        <v>5000</v>
      </c>
      <c r="D28" s="284">
        <f>+C28</f>
        <v>5000</v>
      </c>
      <c r="E28" s="284">
        <f t="shared" ref="E28:H28" si="18">+D28</f>
        <v>5000</v>
      </c>
      <c r="F28" s="284">
        <f t="shared" si="18"/>
        <v>5000</v>
      </c>
      <c r="G28" s="284">
        <f t="shared" si="18"/>
        <v>5000</v>
      </c>
      <c r="H28" s="284">
        <f t="shared" si="18"/>
        <v>5000</v>
      </c>
      <c r="J28" s="237"/>
    </row>
    <row r="29" spans="2:11" x14ac:dyDescent="0.25">
      <c r="B29" s="283" t="s">
        <v>271</v>
      </c>
      <c r="C29" s="284"/>
      <c r="D29" s="284">
        <f>+D14</f>
        <v>10000</v>
      </c>
      <c r="E29" s="284">
        <f>+D29+E14</f>
        <v>12608.695652173912</v>
      </c>
      <c r="F29" s="284">
        <f>+E29+F14</f>
        <v>20851.063829787228</v>
      </c>
      <c r="G29" s="284">
        <f>+F29+G14</f>
        <v>25312.5</v>
      </c>
      <c r="H29" s="284">
        <f>+G29+H14</f>
        <v>25000</v>
      </c>
    </row>
    <row r="30" spans="2:11" x14ac:dyDescent="0.25">
      <c r="B30" s="272" t="s">
        <v>9</v>
      </c>
      <c r="C30" s="273">
        <f>SUM(C27:C29)</f>
        <v>5000</v>
      </c>
      <c r="D30" s="273">
        <f>SUM(D27:D29)</f>
        <v>15000</v>
      </c>
      <c r="E30" s="273">
        <f t="shared" ref="E30" si="19">SUM(E27:E29)</f>
        <v>17608.695652173912</v>
      </c>
      <c r="F30" s="273">
        <f t="shared" ref="F30" si="20">SUM(F27:F29)</f>
        <v>25851.063829787228</v>
      </c>
      <c r="G30" s="273">
        <f t="shared" ref="G30" si="21">SUM(G27:G29)</f>
        <v>30312.5</v>
      </c>
      <c r="H30" s="273">
        <f t="shared" ref="H30" si="22">SUM(H27:H29)</f>
        <v>30000</v>
      </c>
    </row>
    <row r="32" spans="2:11" x14ac:dyDescent="0.25">
      <c r="C32" s="117">
        <f>+C25-C30</f>
        <v>0</v>
      </c>
    </row>
  </sheetData>
  <mergeCells count="1">
    <mergeCell ref="B21:H21"/>
  </mergeCells>
  <pageMargins left="0.511811024" right="0.511811024" top="0.78740157499999996" bottom="0.78740157499999996" header="0.31496062000000002" footer="0.31496062000000002"/>
  <pageSetup paperSize="9" scale="82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topLeftCell="B17" zoomScale="130" zoomScaleNormal="130" workbookViewId="0">
      <selection activeCell="H25" sqref="H25"/>
    </sheetView>
  </sheetViews>
  <sheetFormatPr defaultColWidth="9.140625" defaultRowHeight="15" x14ac:dyDescent="0.25"/>
  <cols>
    <col min="1" max="1" width="2.140625" style="253" customWidth="1"/>
    <col min="2" max="2" width="30.140625" style="253" customWidth="1"/>
    <col min="3" max="3" width="9.7109375" style="253" customWidth="1"/>
    <col min="4" max="7" width="9.7109375" style="117" customWidth="1"/>
    <col min="8" max="9" width="9.7109375" style="253" customWidth="1"/>
    <col min="10" max="10" width="9.7109375" style="117" customWidth="1"/>
    <col min="11" max="12" width="4.5703125" style="253" customWidth="1"/>
    <col min="13" max="16384" width="9.140625" style="253"/>
  </cols>
  <sheetData>
    <row r="1" spans="1:20" s="117" customFormat="1" x14ac:dyDescent="0.25">
      <c r="A1" s="253"/>
      <c r="B1" s="253"/>
      <c r="C1" s="253"/>
      <c r="H1" s="253"/>
      <c r="I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x14ac:dyDescent="0.25">
      <c r="B2" s="262"/>
      <c r="C2" s="274"/>
      <c r="D2" s="263" t="s">
        <v>384</v>
      </c>
      <c r="E2" s="263" t="s">
        <v>385</v>
      </c>
      <c r="F2" s="263" t="s">
        <v>386</v>
      </c>
      <c r="G2" s="263" t="s">
        <v>387</v>
      </c>
      <c r="H2" s="263" t="s">
        <v>388</v>
      </c>
      <c r="I2" s="263" t="s">
        <v>389</v>
      </c>
      <c r="J2" s="264" t="s">
        <v>9</v>
      </c>
    </row>
    <row r="3" spans="1:20" x14ac:dyDescent="0.25">
      <c r="B3" s="265" t="s">
        <v>390</v>
      </c>
      <c r="C3" s="257"/>
      <c r="D3" s="257">
        <v>15000</v>
      </c>
      <c r="E3" s="257">
        <v>15500</v>
      </c>
      <c r="F3" s="257">
        <v>16000</v>
      </c>
      <c r="G3" s="257">
        <v>16500</v>
      </c>
      <c r="H3" s="257">
        <v>17000</v>
      </c>
      <c r="I3" s="258"/>
      <c r="J3" s="266"/>
    </row>
    <row r="4" spans="1:20" x14ac:dyDescent="0.25">
      <c r="B4" s="265" t="s">
        <v>391</v>
      </c>
      <c r="C4" s="257"/>
      <c r="D4" s="257">
        <v>8000</v>
      </c>
      <c r="E4" s="257">
        <v>1000</v>
      </c>
      <c r="F4" s="257">
        <v>1000</v>
      </c>
      <c r="G4" s="257">
        <v>1000</v>
      </c>
      <c r="H4" s="257">
        <v>6000</v>
      </c>
      <c r="I4" s="258"/>
      <c r="J4" s="266"/>
    </row>
    <row r="5" spans="1:20" ht="30" x14ac:dyDescent="0.25">
      <c r="B5" s="265" t="s">
        <v>392</v>
      </c>
      <c r="C5" s="256"/>
      <c r="D5" s="257">
        <f>+D4</f>
        <v>8000</v>
      </c>
      <c r="E5" s="257">
        <f>+D5+E4</f>
        <v>9000</v>
      </c>
      <c r="F5" s="257">
        <f>+E5+F4</f>
        <v>10000</v>
      </c>
      <c r="G5" s="257">
        <f>+F5+G4</f>
        <v>11000</v>
      </c>
      <c r="H5" s="257">
        <f>+G5+H4</f>
        <v>17000</v>
      </c>
      <c r="I5" s="258"/>
      <c r="J5" s="266"/>
    </row>
    <row r="6" spans="1:20" ht="30" x14ac:dyDescent="0.25">
      <c r="B6" s="267" t="s">
        <v>393</v>
      </c>
      <c r="C6" s="260"/>
      <c r="D6" s="261">
        <f>+D5/D3</f>
        <v>0.53333333333333333</v>
      </c>
      <c r="E6" s="261">
        <f>+E5/E3</f>
        <v>0.58064516129032262</v>
      </c>
      <c r="F6" s="261">
        <f>+F5/F3</f>
        <v>0.625</v>
      </c>
      <c r="G6" s="261">
        <f>+G5/G3</f>
        <v>0.66666666666666663</v>
      </c>
      <c r="H6" s="261">
        <f>+H5/H3</f>
        <v>1</v>
      </c>
      <c r="I6" s="258"/>
      <c r="J6" s="266"/>
    </row>
    <row r="7" spans="1:20" x14ac:dyDescent="0.25">
      <c r="B7" s="265" t="s">
        <v>394</v>
      </c>
      <c r="C7" s="256"/>
      <c r="D7" s="257">
        <v>10000</v>
      </c>
      <c r="E7" s="257">
        <v>1000</v>
      </c>
      <c r="F7" s="257">
        <v>1000</v>
      </c>
      <c r="G7" s="257">
        <v>8000</v>
      </c>
      <c r="H7" s="257">
        <v>1000</v>
      </c>
      <c r="I7" s="257">
        <v>4000</v>
      </c>
      <c r="J7" s="268">
        <f>SUM(D7:I7)</f>
        <v>25000</v>
      </c>
    </row>
    <row r="8" spans="1:20" ht="30" x14ac:dyDescent="0.25">
      <c r="B8" s="265" t="s">
        <v>395</v>
      </c>
      <c r="C8" s="256"/>
      <c r="D8" s="257">
        <f>+D7</f>
        <v>10000</v>
      </c>
      <c r="E8" s="257">
        <f>+D8+E7</f>
        <v>11000</v>
      </c>
      <c r="F8" s="257">
        <f t="shared" ref="F8:I8" si="0">+E8+F7</f>
        <v>12000</v>
      </c>
      <c r="G8" s="257">
        <f t="shared" si="0"/>
        <v>20000</v>
      </c>
      <c r="H8" s="257">
        <f t="shared" si="0"/>
        <v>21000</v>
      </c>
      <c r="I8" s="257">
        <f t="shared" si="0"/>
        <v>25000</v>
      </c>
      <c r="J8" s="268"/>
    </row>
    <row r="9" spans="1:20" ht="30" x14ac:dyDescent="0.25">
      <c r="B9" s="269" t="s">
        <v>396</v>
      </c>
      <c r="C9" s="275"/>
      <c r="D9" s="270">
        <f t="shared" ref="D9:I9" si="1">+D8/$J$7</f>
        <v>0.4</v>
      </c>
      <c r="E9" s="270">
        <f t="shared" si="1"/>
        <v>0.44</v>
      </c>
      <c r="F9" s="270">
        <f t="shared" si="1"/>
        <v>0.48</v>
      </c>
      <c r="G9" s="270">
        <f t="shared" si="1"/>
        <v>0.8</v>
      </c>
      <c r="H9" s="270">
        <f t="shared" si="1"/>
        <v>0.84</v>
      </c>
      <c r="I9" s="270">
        <f t="shared" si="1"/>
        <v>1</v>
      </c>
      <c r="J9" s="121"/>
    </row>
    <row r="11" spans="1:20" ht="18.75" x14ac:dyDescent="0.25">
      <c r="B11" s="276" t="s">
        <v>11</v>
      </c>
      <c r="C11" s="276"/>
      <c r="D11" s="276" t="str">
        <f>+D2</f>
        <v>ano 1</v>
      </c>
      <c r="E11" s="276" t="str">
        <f t="shared" ref="E11:I11" si="2">+E2</f>
        <v>ano 2</v>
      </c>
      <c r="F11" s="276" t="str">
        <f t="shared" si="2"/>
        <v>ano 3</v>
      </c>
      <c r="G11" s="276" t="str">
        <f t="shared" si="2"/>
        <v>ano 4</v>
      </c>
      <c r="H11" s="276" t="str">
        <f t="shared" si="2"/>
        <v>ano 5</v>
      </c>
      <c r="I11" s="276" t="str">
        <f t="shared" si="2"/>
        <v>ano 6</v>
      </c>
      <c r="J11" s="276" t="s">
        <v>9</v>
      </c>
    </row>
    <row r="12" spans="1:20" x14ac:dyDescent="0.25">
      <c r="B12" s="277" t="s">
        <v>55</v>
      </c>
      <c r="C12" s="277"/>
      <c r="D12" s="278">
        <f>+$I$8*D6</f>
        <v>13333.333333333334</v>
      </c>
      <c r="E12" s="278">
        <f>+E6*$I$8-D12</f>
        <v>1182.7956989247323</v>
      </c>
      <c r="F12" s="278">
        <f>+F6*$I$8-E12-D12</f>
        <v>1108.8709677419338</v>
      </c>
      <c r="G12" s="278">
        <f>+G6*$I$8-F12-E12-D12</f>
        <v>1041.6666666666642</v>
      </c>
      <c r="H12" s="278">
        <f>+H6*$I$8-G12-F12-E12-D12</f>
        <v>8333.3333333333376</v>
      </c>
      <c r="I12" s="277"/>
      <c r="J12" s="279">
        <f>SUM(D12:I12)</f>
        <v>25000</v>
      </c>
    </row>
    <row r="13" spans="1:20" x14ac:dyDescent="0.25">
      <c r="B13" s="277" t="s">
        <v>397</v>
      </c>
      <c r="C13" s="277"/>
      <c r="D13" s="278">
        <f>-D4</f>
        <v>-8000</v>
      </c>
      <c r="E13" s="278">
        <f>-E4</f>
        <v>-1000</v>
      </c>
      <c r="F13" s="278">
        <f>-F4</f>
        <v>-1000</v>
      </c>
      <c r="G13" s="278">
        <f>-G4</f>
        <v>-1000</v>
      </c>
      <c r="H13" s="278">
        <f>-H4</f>
        <v>-6000</v>
      </c>
      <c r="I13" s="277"/>
      <c r="J13" s="279">
        <f>SUM(D13:I13)</f>
        <v>-17000</v>
      </c>
    </row>
    <row r="14" spans="1:20" x14ac:dyDescent="0.25">
      <c r="B14" s="280" t="s">
        <v>328</v>
      </c>
      <c r="C14" s="280"/>
      <c r="D14" s="281">
        <f>SUM(D12:D13)</f>
        <v>5333.3333333333339</v>
      </c>
      <c r="E14" s="281">
        <f t="shared" ref="E14:H14" si="3">SUM(E12:E13)</f>
        <v>182.79569892473228</v>
      </c>
      <c r="F14" s="281">
        <f t="shared" si="3"/>
        <v>108.87096774193378</v>
      </c>
      <c r="G14" s="281">
        <f t="shared" si="3"/>
        <v>41.666666666664241</v>
      </c>
      <c r="H14" s="281">
        <f t="shared" si="3"/>
        <v>2333.3333333333376</v>
      </c>
      <c r="I14" s="280"/>
      <c r="J14" s="281">
        <f>SUM(J12:J13)</f>
        <v>8000</v>
      </c>
      <c r="K14" s="259">
        <f>+D14/D12</f>
        <v>0.4</v>
      </c>
      <c r="L14" s="259">
        <f>+E14/E12</f>
        <v>0.15454545454545532</v>
      </c>
    </row>
    <row r="15" spans="1:20" x14ac:dyDescent="0.25">
      <c r="B15" s="282"/>
      <c r="C15" s="282"/>
      <c r="D15" s="138"/>
      <c r="E15" s="138"/>
      <c r="F15" s="138"/>
      <c r="G15" s="138"/>
      <c r="H15" s="282"/>
      <c r="I15" s="282"/>
      <c r="J15" s="138"/>
    </row>
    <row r="16" spans="1:20" ht="18.75" x14ac:dyDescent="0.25">
      <c r="B16" s="276" t="s">
        <v>18</v>
      </c>
      <c r="C16" s="276"/>
      <c r="D16" s="276" t="str">
        <f>+D11</f>
        <v>ano 1</v>
      </c>
      <c r="E16" s="276" t="str">
        <f t="shared" ref="E16:J16" si="4">+E11</f>
        <v>ano 2</v>
      </c>
      <c r="F16" s="276" t="str">
        <f t="shared" si="4"/>
        <v>ano 3</v>
      </c>
      <c r="G16" s="276" t="str">
        <f t="shared" si="4"/>
        <v>ano 4</v>
      </c>
      <c r="H16" s="276" t="str">
        <f t="shared" si="4"/>
        <v>ano 5</v>
      </c>
      <c r="I16" s="276" t="str">
        <f t="shared" si="4"/>
        <v>ano 6</v>
      </c>
      <c r="J16" s="276" t="str">
        <f t="shared" si="4"/>
        <v>TOTAL</v>
      </c>
    </row>
    <row r="17" spans="2:11" x14ac:dyDescent="0.25">
      <c r="B17" s="277" t="s">
        <v>26</v>
      </c>
      <c r="C17" s="277"/>
      <c r="D17" s="278">
        <f>+D7</f>
        <v>10000</v>
      </c>
      <c r="E17" s="278">
        <f t="shared" ref="E17:I17" si="5">+E7</f>
        <v>1000</v>
      </c>
      <c r="F17" s="278">
        <f t="shared" si="5"/>
        <v>1000</v>
      </c>
      <c r="G17" s="278">
        <f t="shared" si="5"/>
        <v>8000</v>
      </c>
      <c r="H17" s="278">
        <f t="shared" si="5"/>
        <v>1000</v>
      </c>
      <c r="I17" s="278">
        <f t="shared" si="5"/>
        <v>4000</v>
      </c>
      <c r="J17" s="279">
        <f>SUM(D17:I17)</f>
        <v>25000</v>
      </c>
    </row>
    <row r="18" spans="2:11" x14ac:dyDescent="0.25">
      <c r="B18" s="277" t="s">
        <v>27</v>
      </c>
      <c r="C18" s="277"/>
      <c r="D18" s="278">
        <f>-D4</f>
        <v>-8000</v>
      </c>
      <c r="E18" s="278">
        <f t="shared" ref="E18:H18" si="6">-E4</f>
        <v>-1000</v>
      </c>
      <c r="F18" s="278">
        <f t="shared" si="6"/>
        <v>-1000</v>
      </c>
      <c r="G18" s="278">
        <f t="shared" si="6"/>
        <v>-1000</v>
      </c>
      <c r="H18" s="278">
        <f t="shared" si="6"/>
        <v>-6000</v>
      </c>
      <c r="I18" s="277"/>
      <c r="J18" s="279">
        <f>SUM(D18:I18)</f>
        <v>-17000</v>
      </c>
    </row>
    <row r="19" spans="2:11" x14ac:dyDescent="0.25">
      <c r="B19" s="280" t="s">
        <v>398</v>
      </c>
      <c r="C19" s="280"/>
      <c r="D19" s="281">
        <f>SUM(D17:D18)</f>
        <v>2000</v>
      </c>
      <c r="E19" s="281">
        <f t="shared" ref="E19:H19" si="7">SUM(E17:E18)</f>
        <v>0</v>
      </c>
      <c r="F19" s="281">
        <f t="shared" si="7"/>
        <v>0</v>
      </c>
      <c r="G19" s="281">
        <f t="shared" si="7"/>
        <v>7000</v>
      </c>
      <c r="H19" s="281">
        <f t="shared" si="7"/>
        <v>-5000</v>
      </c>
      <c r="I19" s="280"/>
      <c r="J19" s="281">
        <f>SUM(J17:J18)</f>
        <v>8000</v>
      </c>
    </row>
    <row r="20" spans="2:11" x14ac:dyDescent="0.25">
      <c r="J20" s="253"/>
    </row>
    <row r="21" spans="2:11" ht="18.75" x14ac:dyDescent="0.25">
      <c r="B21" s="472" t="s">
        <v>37</v>
      </c>
      <c r="C21" s="472"/>
      <c r="D21" s="472"/>
      <c r="E21" s="472"/>
      <c r="F21" s="472"/>
      <c r="G21" s="472"/>
      <c r="H21" s="472"/>
      <c r="J21" s="253"/>
    </row>
    <row r="22" spans="2:11" s="255" customFormat="1" x14ac:dyDescent="0.25">
      <c r="B22" s="285" t="s">
        <v>4</v>
      </c>
      <c r="C22" s="285" t="s">
        <v>404</v>
      </c>
      <c r="D22" s="285" t="s">
        <v>399</v>
      </c>
      <c r="E22" s="285" t="s">
        <v>400</v>
      </c>
      <c r="F22" s="285" t="s">
        <v>401</v>
      </c>
      <c r="G22" s="285" t="s">
        <v>402</v>
      </c>
      <c r="H22" s="285" t="s">
        <v>403</v>
      </c>
      <c r="I22" s="253"/>
      <c r="J22" s="253"/>
      <c r="K22" s="253"/>
    </row>
    <row r="23" spans="2:11" x14ac:dyDescent="0.25">
      <c r="B23" s="283" t="s">
        <v>39</v>
      </c>
      <c r="C23" s="284">
        <v>500</v>
      </c>
      <c r="D23" s="284">
        <f>+C23+D19</f>
        <v>2500</v>
      </c>
      <c r="E23" s="284">
        <f t="shared" ref="E23:H23" si="8">+D23+E19</f>
        <v>2500</v>
      </c>
      <c r="F23" s="284">
        <f t="shared" si="8"/>
        <v>2500</v>
      </c>
      <c r="G23" s="284">
        <f t="shared" si="8"/>
        <v>9500</v>
      </c>
      <c r="H23" s="284">
        <f t="shared" si="8"/>
        <v>4500</v>
      </c>
      <c r="J23" s="253"/>
    </row>
    <row r="24" spans="2:11" x14ac:dyDescent="0.25">
      <c r="B24" s="283" t="s">
        <v>405</v>
      </c>
      <c r="C24" s="284"/>
      <c r="D24" s="284">
        <f>+D12-D17</f>
        <v>3333.3333333333339</v>
      </c>
      <c r="E24" s="284">
        <f>+D24+E12-E17</f>
        <v>3516.1290322580662</v>
      </c>
      <c r="F24" s="284">
        <f>+E24+F12-F17</f>
        <v>3625</v>
      </c>
      <c r="G24" s="284">
        <f>+F24+G12-G17+3333.3333</f>
        <v>-3.3333335977658862E-5</v>
      </c>
      <c r="H24" s="284">
        <f>+I17</f>
        <v>4000</v>
      </c>
      <c r="J24" s="253"/>
    </row>
    <row r="25" spans="2:11" x14ac:dyDescent="0.25">
      <c r="B25" s="272" t="s">
        <v>9</v>
      </c>
      <c r="C25" s="273">
        <f>SUM(C23:C24)</f>
        <v>500</v>
      </c>
      <c r="D25" s="273">
        <f>SUM(D23:D24)</f>
        <v>5833.3333333333339</v>
      </c>
      <c r="E25" s="273">
        <f t="shared" ref="E25:H25" si="9">SUM(E23:E24)</f>
        <v>6016.1290322580662</v>
      </c>
      <c r="F25" s="273">
        <f t="shared" si="9"/>
        <v>6125</v>
      </c>
      <c r="G25" s="273">
        <f t="shared" si="9"/>
        <v>9499.9999666666645</v>
      </c>
      <c r="H25" s="273">
        <f t="shared" si="9"/>
        <v>8500</v>
      </c>
      <c r="J25" s="253"/>
    </row>
    <row r="26" spans="2:11" x14ac:dyDescent="0.25">
      <c r="B26" s="285" t="s">
        <v>41</v>
      </c>
      <c r="C26" s="285" t="s">
        <v>404</v>
      </c>
      <c r="D26" s="285" t="s">
        <v>399</v>
      </c>
      <c r="E26" s="285" t="s">
        <v>400</v>
      </c>
      <c r="F26" s="285" t="s">
        <v>401</v>
      </c>
      <c r="G26" s="285" t="s">
        <v>402</v>
      </c>
      <c r="H26" s="285" t="s">
        <v>403</v>
      </c>
      <c r="J26" s="253"/>
    </row>
    <row r="27" spans="2:11" x14ac:dyDescent="0.25">
      <c r="B27" s="283" t="s">
        <v>413</v>
      </c>
      <c r="C27" s="284"/>
      <c r="D27" s="284"/>
      <c r="E27" s="284"/>
      <c r="F27" s="284"/>
      <c r="G27" s="284">
        <v>3333.3332999999998</v>
      </c>
      <c r="H27" s="284">
        <v>0</v>
      </c>
      <c r="J27" s="253"/>
    </row>
    <row r="28" spans="2:11" x14ac:dyDescent="0.25">
      <c r="B28" s="283" t="s">
        <v>42</v>
      </c>
      <c r="C28" s="284">
        <v>500</v>
      </c>
      <c r="D28" s="284">
        <v>500</v>
      </c>
      <c r="E28" s="284">
        <v>500</v>
      </c>
      <c r="F28" s="284">
        <v>500</v>
      </c>
      <c r="G28" s="284">
        <v>500</v>
      </c>
      <c r="H28" s="284">
        <v>500</v>
      </c>
      <c r="J28" s="253"/>
    </row>
    <row r="29" spans="2:11" x14ac:dyDescent="0.25">
      <c r="B29" s="283" t="s">
        <v>271</v>
      </c>
      <c r="C29" s="284"/>
      <c r="D29" s="284">
        <f>+C29+D14</f>
        <v>5333.3333333333339</v>
      </c>
      <c r="E29" s="284">
        <f t="shared" ref="E29:H29" si="10">+D29+E14</f>
        <v>5516.1290322580662</v>
      </c>
      <c r="F29" s="284">
        <f t="shared" si="10"/>
        <v>5625</v>
      </c>
      <c r="G29" s="284">
        <f t="shared" si="10"/>
        <v>5666.6666666666642</v>
      </c>
      <c r="H29" s="284">
        <f t="shared" si="10"/>
        <v>8000.0000000000018</v>
      </c>
    </row>
    <row r="30" spans="2:11" x14ac:dyDescent="0.25">
      <c r="B30" s="272" t="s">
        <v>9</v>
      </c>
      <c r="C30" s="273">
        <f>SUM(C27:C29)</f>
        <v>500</v>
      </c>
      <c r="D30" s="273">
        <f>SUM(D27:D29)</f>
        <v>5833.3333333333339</v>
      </c>
      <c r="E30" s="273">
        <f t="shared" ref="E30:H30" si="11">SUM(E27:E29)</f>
        <v>6016.1290322580662</v>
      </c>
      <c r="F30" s="273">
        <f t="shared" si="11"/>
        <v>6125</v>
      </c>
      <c r="G30" s="273">
        <f t="shared" si="11"/>
        <v>9499.9999666666645</v>
      </c>
      <c r="H30" s="273">
        <f t="shared" si="11"/>
        <v>8500.0000000000018</v>
      </c>
    </row>
    <row r="32" spans="2:11" x14ac:dyDescent="0.25">
      <c r="C32" s="117"/>
    </row>
  </sheetData>
  <mergeCells count="1">
    <mergeCell ref="B21:H21"/>
  </mergeCells>
  <pageMargins left="0.511811024" right="0.511811024" top="0.78740157499999996" bottom="0.78740157499999996" header="0.31496062000000002" footer="0.31496062000000002"/>
  <pageSetup paperSize="9" scale="82"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opLeftCell="C16" zoomScaleNormal="100" workbookViewId="0">
      <selection activeCell="D18" sqref="D18"/>
    </sheetView>
  </sheetViews>
  <sheetFormatPr defaultColWidth="9.140625" defaultRowHeight="15" outlineLevelRow="1" x14ac:dyDescent="0.25"/>
  <cols>
    <col min="1" max="1" width="2.140625" style="237" customWidth="1"/>
    <col min="2" max="2" width="4.5703125" style="237" customWidth="1"/>
    <col min="3" max="9" width="17.140625" style="237" customWidth="1"/>
    <col min="10" max="16384" width="9.140625" style="237"/>
  </cols>
  <sheetData>
    <row r="1" spans="1:13" s="117" customFormat="1" x14ac:dyDescent="0.25">
      <c r="A1" s="237"/>
      <c r="B1" s="237"/>
      <c r="C1" s="237"/>
      <c r="D1" s="237"/>
      <c r="E1" s="237"/>
      <c r="F1" s="237"/>
      <c r="G1" s="237"/>
      <c r="H1" s="237"/>
      <c r="I1" s="237"/>
    </row>
    <row r="2" spans="1:13" s="117" customFormat="1" ht="23.25" x14ac:dyDescent="0.25">
      <c r="A2" s="237"/>
      <c r="B2" s="237"/>
      <c r="C2" s="473" t="s">
        <v>410</v>
      </c>
      <c r="D2" s="473"/>
      <c r="E2" s="473"/>
      <c r="F2" s="473"/>
      <c r="G2" s="473"/>
      <c r="H2" s="473"/>
      <c r="I2" s="473"/>
    </row>
    <row r="3" spans="1:13" s="117" customFormat="1" ht="21" x14ac:dyDescent="0.25">
      <c r="A3" s="237"/>
      <c r="B3" s="237"/>
      <c r="C3" s="474" t="s">
        <v>4</v>
      </c>
      <c r="D3" s="474"/>
      <c r="E3" s="474"/>
      <c r="F3" s="474" t="s">
        <v>41</v>
      </c>
      <c r="G3" s="474"/>
      <c r="H3" s="474"/>
      <c r="I3" s="474"/>
    </row>
    <row r="4" spans="1:13" x14ac:dyDescent="0.25">
      <c r="C4" s="285" t="s">
        <v>297</v>
      </c>
      <c r="D4" s="285" t="s">
        <v>298</v>
      </c>
      <c r="E4" s="285" t="s">
        <v>406</v>
      </c>
      <c r="F4" s="285" t="s">
        <v>407</v>
      </c>
      <c r="G4" s="285" t="s">
        <v>408</v>
      </c>
      <c r="H4" s="285" t="s">
        <v>409</v>
      </c>
      <c r="I4" s="285" t="s">
        <v>11</v>
      </c>
    </row>
    <row r="5" spans="1:13" x14ac:dyDescent="0.25">
      <c r="B5" s="273" t="s">
        <v>308</v>
      </c>
      <c r="C5" s="273">
        <f>+'12 - CPC17 - I'!C23</f>
        <v>5000</v>
      </c>
      <c r="D5" s="273">
        <v>0</v>
      </c>
      <c r="E5" s="273">
        <v>0</v>
      </c>
      <c r="F5" s="273">
        <v>0</v>
      </c>
      <c r="G5" s="273">
        <f>+'12 - CPC17 - I'!C28</f>
        <v>5000</v>
      </c>
      <c r="H5" s="273">
        <v>0</v>
      </c>
      <c r="I5" s="273">
        <v>0</v>
      </c>
      <c r="J5" s="117"/>
      <c r="K5" s="117"/>
      <c r="L5" s="117"/>
      <c r="M5" s="117"/>
    </row>
    <row r="6" spans="1:13" outlineLevel="1" x14ac:dyDescent="0.25">
      <c r="B6" s="271">
        <v>1</v>
      </c>
      <c r="C6" s="271">
        <f>+'12 - CPC17 - I'!D17</f>
        <v>20000</v>
      </c>
      <c r="D6" s="271"/>
      <c r="E6" s="271"/>
      <c r="F6" s="271">
        <f>+C6</f>
        <v>20000</v>
      </c>
      <c r="G6" s="271"/>
      <c r="H6" s="271"/>
      <c r="I6" s="271"/>
      <c r="J6" s="117"/>
      <c r="K6" s="117"/>
      <c r="L6" s="117"/>
      <c r="M6" s="117"/>
    </row>
    <row r="7" spans="1:13" outlineLevel="1" x14ac:dyDescent="0.25">
      <c r="B7" s="271">
        <f>+B6+1</f>
        <v>2</v>
      </c>
      <c r="C7" s="271">
        <f>-E7</f>
        <v>-15000</v>
      </c>
      <c r="D7" s="271"/>
      <c r="E7" s="271">
        <f>-'12 - CPC17 - I'!D18</f>
        <v>15000</v>
      </c>
      <c r="F7" s="271"/>
      <c r="G7" s="271"/>
      <c r="H7" s="271"/>
      <c r="I7" s="271"/>
      <c r="J7" s="117"/>
      <c r="K7" s="117"/>
      <c r="L7" s="117"/>
      <c r="M7" s="117"/>
    </row>
    <row r="8" spans="1:13" outlineLevel="1" x14ac:dyDescent="0.25">
      <c r="B8" s="271">
        <f t="shared" ref="B8:B9" si="0">+B7+1</f>
        <v>3</v>
      </c>
      <c r="C8" s="271"/>
      <c r="D8" s="271">
        <v>5000</v>
      </c>
      <c r="E8" s="271"/>
      <c r="F8" s="271">
        <f>-F6</f>
        <v>-20000</v>
      </c>
      <c r="G8" s="271"/>
      <c r="H8" s="271"/>
      <c r="I8" s="271">
        <v>25000</v>
      </c>
      <c r="J8" s="117"/>
      <c r="K8" s="117"/>
      <c r="L8" s="117"/>
      <c r="M8" s="117"/>
    </row>
    <row r="9" spans="1:13" outlineLevel="1" x14ac:dyDescent="0.25">
      <c r="B9" s="271">
        <f t="shared" si="0"/>
        <v>4</v>
      </c>
      <c r="C9" s="271"/>
      <c r="D9" s="271"/>
      <c r="E9" s="271">
        <v>-15000</v>
      </c>
      <c r="F9" s="271"/>
      <c r="G9" s="271"/>
      <c r="H9" s="271"/>
      <c r="I9" s="271">
        <f>E9</f>
        <v>-15000</v>
      </c>
      <c r="J9" s="117"/>
      <c r="K9" s="117"/>
      <c r="L9" s="117"/>
      <c r="M9" s="117"/>
    </row>
    <row r="10" spans="1:13" outlineLevel="1" x14ac:dyDescent="0.25">
      <c r="B10" s="271" t="s">
        <v>315</v>
      </c>
      <c r="C10" s="271"/>
      <c r="D10" s="271"/>
      <c r="E10" s="271"/>
      <c r="F10" s="271"/>
      <c r="G10" s="271"/>
      <c r="H10" s="271">
        <f>-I10</f>
        <v>10000</v>
      </c>
      <c r="I10" s="271">
        <f>-SUM(I8:I9)</f>
        <v>-10000</v>
      </c>
      <c r="J10" s="117"/>
      <c r="K10" s="117"/>
      <c r="L10" s="117"/>
      <c r="M10" s="117"/>
    </row>
    <row r="11" spans="1:13" x14ac:dyDescent="0.25">
      <c r="B11" s="273" t="s">
        <v>309</v>
      </c>
      <c r="C11" s="273">
        <f t="shared" ref="C11:I11" si="1">SUM(C5:C10)</f>
        <v>10000</v>
      </c>
      <c r="D11" s="273">
        <f t="shared" si="1"/>
        <v>5000</v>
      </c>
      <c r="E11" s="273">
        <f t="shared" si="1"/>
        <v>0</v>
      </c>
      <c r="F11" s="273">
        <f t="shared" si="1"/>
        <v>0</v>
      </c>
      <c r="G11" s="273">
        <f t="shared" si="1"/>
        <v>5000</v>
      </c>
      <c r="H11" s="273">
        <f t="shared" si="1"/>
        <v>10000</v>
      </c>
      <c r="I11" s="273">
        <f t="shared" si="1"/>
        <v>0</v>
      </c>
      <c r="J11" s="117"/>
      <c r="K11" s="117"/>
      <c r="L11" s="117"/>
      <c r="M11" s="117"/>
    </row>
    <row r="12" spans="1:13" x14ac:dyDescent="0.25"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x14ac:dyDescent="0.25">
      <c r="C13" s="286" t="s">
        <v>411</v>
      </c>
      <c r="D13" s="286">
        <f>+SUM(C11:E11)</f>
        <v>15000</v>
      </c>
    </row>
    <row r="14" spans="1:13" x14ac:dyDescent="0.25">
      <c r="C14" s="286" t="s">
        <v>310</v>
      </c>
      <c r="D14" s="286">
        <f>+SUM(F11:I11)</f>
        <v>15000</v>
      </c>
    </row>
    <row r="16" spans="1:13" s="117" customFormat="1" ht="23.25" x14ac:dyDescent="0.25">
      <c r="A16" s="237"/>
      <c r="B16" s="237"/>
      <c r="C16" s="473" t="s">
        <v>412</v>
      </c>
      <c r="D16" s="473"/>
      <c r="E16" s="473"/>
      <c r="F16" s="473"/>
      <c r="G16" s="473"/>
      <c r="H16" s="473"/>
      <c r="I16" s="473"/>
    </row>
    <row r="17" spans="1:13" s="117" customFormat="1" ht="21" x14ac:dyDescent="0.25">
      <c r="A17" s="237"/>
      <c r="B17" s="237"/>
      <c r="C17" s="474" t="s">
        <v>4</v>
      </c>
      <c r="D17" s="474"/>
      <c r="E17" s="474"/>
      <c r="F17" s="474" t="s">
        <v>41</v>
      </c>
      <c r="G17" s="474"/>
      <c r="H17" s="474"/>
      <c r="I17" s="474"/>
    </row>
    <row r="18" spans="1:13" x14ac:dyDescent="0.25">
      <c r="C18" s="285" t="s">
        <v>297</v>
      </c>
      <c r="D18" s="285" t="s">
        <v>298</v>
      </c>
      <c r="E18" s="285" t="s">
        <v>406</v>
      </c>
      <c r="F18" s="285" t="s">
        <v>407</v>
      </c>
      <c r="G18" s="285" t="s">
        <v>408</v>
      </c>
      <c r="H18" s="285" t="s">
        <v>409</v>
      </c>
      <c r="I18" s="285" t="s">
        <v>11</v>
      </c>
    </row>
    <row r="19" spans="1:13" x14ac:dyDescent="0.25">
      <c r="B19" s="273" t="s">
        <v>308</v>
      </c>
      <c r="C19" s="273">
        <f>+C11</f>
        <v>10000</v>
      </c>
      <c r="D19" s="273">
        <f t="shared" ref="D19:I19" si="2">+D11</f>
        <v>5000</v>
      </c>
      <c r="E19" s="273">
        <f t="shared" si="2"/>
        <v>0</v>
      </c>
      <c r="F19" s="273">
        <f t="shared" si="2"/>
        <v>0</v>
      </c>
      <c r="G19" s="273">
        <f t="shared" si="2"/>
        <v>5000</v>
      </c>
      <c r="H19" s="273">
        <f t="shared" si="2"/>
        <v>10000</v>
      </c>
      <c r="I19" s="273">
        <f t="shared" si="2"/>
        <v>0</v>
      </c>
      <c r="J19" s="117"/>
      <c r="K19" s="117"/>
      <c r="L19" s="117"/>
      <c r="M19" s="117"/>
    </row>
    <row r="20" spans="1:13" outlineLevel="1" x14ac:dyDescent="0.25">
      <c r="B20" s="271">
        <v>1</v>
      </c>
      <c r="C20" s="271"/>
      <c r="D20" s="271"/>
      <c r="E20" s="271"/>
      <c r="F20" s="271"/>
      <c r="G20" s="271"/>
      <c r="H20" s="271"/>
      <c r="I20" s="271"/>
      <c r="J20" s="117"/>
      <c r="K20" s="117"/>
      <c r="L20" s="117"/>
      <c r="M20" s="117"/>
    </row>
    <row r="21" spans="1:13" outlineLevel="1" x14ac:dyDescent="0.25">
      <c r="B21" s="271">
        <f>+B20+1</f>
        <v>2</v>
      </c>
      <c r="C21" s="271"/>
      <c r="D21" s="271"/>
      <c r="E21" s="271"/>
      <c r="F21" s="271"/>
      <c r="G21" s="271"/>
      <c r="H21" s="271"/>
      <c r="I21" s="271"/>
      <c r="J21" s="117"/>
      <c r="K21" s="117"/>
      <c r="L21" s="117"/>
      <c r="M21" s="117"/>
    </row>
    <row r="22" spans="1:13" outlineLevel="1" x14ac:dyDescent="0.25">
      <c r="B22" s="271">
        <f t="shared" ref="B22:B23" si="3">+B21+1</f>
        <v>3</v>
      </c>
      <c r="C22" s="271"/>
      <c r="D22" s="271"/>
      <c r="E22" s="271"/>
      <c r="F22" s="271"/>
      <c r="G22" s="271"/>
      <c r="H22" s="271"/>
      <c r="I22" s="271"/>
      <c r="J22" s="117"/>
      <c r="K22" s="117"/>
      <c r="L22" s="117"/>
      <c r="M22" s="117"/>
    </row>
    <row r="23" spans="1:13" outlineLevel="1" x14ac:dyDescent="0.25">
      <c r="B23" s="271">
        <f t="shared" si="3"/>
        <v>4</v>
      </c>
      <c r="C23" s="271"/>
      <c r="D23" s="271"/>
      <c r="E23" s="271"/>
      <c r="F23" s="271"/>
      <c r="G23" s="271"/>
      <c r="H23" s="271"/>
      <c r="I23" s="271"/>
      <c r="J23" s="117"/>
      <c r="K23" s="117"/>
      <c r="L23" s="117"/>
      <c r="M23" s="117"/>
    </row>
    <row r="24" spans="1:13" outlineLevel="1" x14ac:dyDescent="0.25">
      <c r="B24" s="271" t="s">
        <v>315</v>
      </c>
      <c r="C24" s="271"/>
      <c r="D24" s="271"/>
      <c r="E24" s="271"/>
      <c r="F24" s="271"/>
      <c r="G24" s="271"/>
      <c r="H24" s="271"/>
      <c r="I24" s="271"/>
      <c r="J24" s="117"/>
      <c r="K24" s="117"/>
      <c r="L24" s="117"/>
      <c r="M24" s="117"/>
    </row>
    <row r="25" spans="1:13" x14ac:dyDescent="0.25">
      <c r="B25" s="273" t="s">
        <v>309</v>
      </c>
      <c r="C25" s="273">
        <f t="shared" ref="C25:I25" si="4">SUM(C19:C24)</f>
        <v>10000</v>
      </c>
      <c r="D25" s="273">
        <f t="shared" si="4"/>
        <v>5000</v>
      </c>
      <c r="E25" s="273">
        <f t="shared" si="4"/>
        <v>0</v>
      </c>
      <c r="F25" s="273">
        <f t="shared" si="4"/>
        <v>0</v>
      </c>
      <c r="G25" s="273">
        <f t="shared" si="4"/>
        <v>5000</v>
      </c>
      <c r="H25" s="273">
        <f t="shared" si="4"/>
        <v>10000</v>
      </c>
      <c r="I25" s="273">
        <f t="shared" si="4"/>
        <v>0</v>
      </c>
      <c r="J25" s="117"/>
      <c r="K25" s="117"/>
      <c r="L25" s="117"/>
      <c r="M25" s="117"/>
    </row>
    <row r="26" spans="1:13" x14ac:dyDescent="0.25"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x14ac:dyDescent="0.25">
      <c r="C27" s="286" t="s">
        <v>411</v>
      </c>
      <c r="D27" s="286">
        <f>+SUM(C25:E25)</f>
        <v>15000</v>
      </c>
    </row>
    <row r="28" spans="1:13" x14ac:dyDescent="0.25">
      <c r="C28" s="286" t="s">
        <v>310</v>
      </c>
      <c r="D28" s="286">
        <f>+SUM(F25:I25)</f>
        <v>15000</v>
      </c>
    </row>
  </sheetData>
  <mergeCells count="6">
    <mergeCell ref="C2:I2"/>
    <mergeCell ref="C3:E3"/>
    <mergeCell ref="F3:I3"/>
    <mergeCell ref="C16:I16"/>
    <mergeCell ref="C17:E17"/>
    <mergeCell ref="F17:I17"/>
  </mergeCells>
  <pageMargins left="0.511811024" right="0.511811024" top="0.78740157499999996" bottom="0.78740157499999996" header="0.31496062000000002" footer="0.31496062000000002"/>
  <pageSetup paperSize="9" scale="82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showGridLines="0" zoomScale="130" zoomScaleNormal="130" workbookViewId="0">
      <selection activeCell="D18" sqref="D18"/>
    </sheetView>
  </sheetViews>
  <sheetFormatPr defaultColWidth="9.140625" defaultRowHeight="15" x14ac:dyDescent="0.25"/>
  <cols>
    <col min="1" max="1" width="2.140625" style="253" customWidth="1"/>
    <col min="2" max="2" width="30.140625" style="253" customWidth="1"/>
    <col min="3" max="4" width="9.7109375" style="117" customWidth="1"/>
    <col min="5" max="6" width="16.28515625" style="117" customWidth="1"/>
    <col min="7" max="7" width="9.7109375" style="117" customWidth="1"/>
    <col min="8" max="9" width="9.7109375" style="253" customWidth="1"/>
    <col min="10" max="10" width="9.7109375" style="117" customWidth="1"/>
    <col min="11" max="12" width="4.5703125" style="253" customWidth="1"/>
    <col min="13" max="16384" width="9.140625" style="253"/>
  </cols>
  <sheetData>
    <row r="1" spans="1:20" s="117" customFormat="1" x14ac:dyDescent="0.25">
      <c r="A1" s="253"/>
      <c r="B1" s="253"/>
      <c r="H1" s="253"/>
      <c r="I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s="117" customFormat="1" x14ac:dyDescent="0.25">
      <c r="A2" s="253"/>
      <c r="B2" s="253"/>
      <c r="C2" s="117" t="s">
        <v>415</v>
      </c>
      <c r="H2" s="253"/>
      <c r="I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1:20" x14ac:dyDescent="0.25">
      <c r="B3" s="290" t="s">
        <v>414</v>
      </c>
      <c r="C3" s="291">
        <v>10000</v>
      </c>
    </row>
    <row r="4" spans="1:20" x14ac:dyDescent="0.25">
      <c r="B4" s="290" t="s">
        <v>416</v>
      </c>
      <c r="C4" s="291">
        <f>+C3*5%</f>
        <v>500</v>
      </c>
    </row>
    <row r="5" spans="1:20" x14ac:dyDescent="0.25">
      <c r="B5" s="290" t="s">
        <v>417</v>
      </c>
      <c r="C5" s="291">
        <f>+C3-C4</f>
        <v>9500</v>
      </c>
    </row>
    <row r="6" spans="1:20" x14ac:dyDescent="0.25">
      <c r="B6" s="290" t="s">
        <v>107</v>
      </c>
      <c r="C6" s="291">
        <v>8000</v>
      </c>
    </row>
    <row r="7" spans="1:20" x14ac:dyDescent="0.25">
      <c r="B7" s="290" t="s">
        <v>420</v>
      </c>
      <c r="C7" s="291">
        <v>1500</v>
      </c>
    </row>
    <row r="8" spans="1:20" x14ac:dyDescent="0.25">
      <c r="B8" s="290" t="s">
        <v>422</v>
      </c>
      <c r="C8" s="291">
        <f>+C7*0.666666666666667</f>
        <v>1000.0000000000005</v>
      </c>
    </row>
    <row r="9" spans="1:20" x14ac:dyDescent="0.25">
      <c r="A9" s="117"/>
      <c r="B9" s="117"/>
    </row>
    <row r="10" spans="1:20" x14ac:dyDescent="0.25">
      <c r="B10" s="254"/>
      <c r="C10" s="33"/>
      <c r="D10" s="33"/>
      <c r="E10" s="410" t="s">
        <v>418</v>
      </c>
      <c r="F10" s="408"/>
    </row>
    <row r="11" spans="1:20" x14ac:dyDescent="0.25">
      <c r="B11" s="252"/>
      <c r="C11" s="292" t="s">
        <v>418</v>
      </c>
      <c r="D11" s="292" t="s">
        <v>421</v>
      </c>
      <c r="E11" s="292" t="s">
        <v>423</v>
      </c>
      <c r="F11" s="251" t="s">
        <v>424</v>
      </c>
    </row>
    <row r="12" spans="1:20" x14ac:dyDescent="0.25">
      <c r="B12" s="252" t="s">
        <v>141</v>
      </c>
      <c r="C12" s="117">
        <v>9500</v>
      </c>
      <c r="D12" s="293">
        <f>+C12/C5</f>
        <v>1</v>
      </c>
      <c r="E12" s="289">
        <f>+D12*$C$6</f>
        <v>8000</v>
      </c>
      <c r="F12" s="295">
        <f>+D12*C7</f>
        <v>1500</v>
      </c>
    </row>
    <row r="13" spans="1:20" x14ac:dyDescent="0.25">
      <c r="B13" s="252" t="s">
        <v>118</v>
      </c>
      <c r="C13" s="117">
        <v>7200</v>
      </c>
      <c r="D13" s="293">
        <f>+C13/SUM($C$6,$C$8)</f>
        <v>0.8</v>
      </c>
      <c r="E13" s="289">
        <f t="shared" ref="E13:E14" si="0">+D13*$C$6</f>
        <v>6400</v>
      </c>
      <c r="F13" s="295">
        <f>+D13*$C$8</f>
        <v>800.00000000000045</v>
      </c>
    </row>
    <row r="14" spans="1:20" x14ac:dyDescent="0.25">
      <c r="B14" s="252" t="s">
        <v>419</v>
      </c>
      <c r="C14" s="117">
        <v>4500</v>
      </c>
      <c r="D14" s="293">
        <f>+C14/SUM($C$6,$C$8)</f>
        <v>0.5</v>
      </c>
      <c r="E14" s="289">
        <f t="shared" si="0"/>
        <v>4000</v>
      </c>
      <c r="F14" s="295">
        <f>+D14*$C$8</f>
        <v>500.00000000000023</v>
      </c>
    </row>
    <row r="15" spans="1:20" x14ac:dyDescent="0.25">
      <c r="B15" s="48" t="s">
        <v>9</v>
      </c>
      <c r="C15" s="120">
        <f>SUM(C12:C14)</f>
        <v>21200</v>
      </c>
      <c r="D15" s="294">
        <f>SUM(D12:D14)</f>
        <v>2.2999999999999998</v>
      </c>
      <c r="E15" s="296">
        <f>SUM(E12:E14)</f>
        <v>18400</v>
      </c>
      <c r="F15" s="297">
        <f>SUM(F12:F14)</f>
        <v>2800.0000000000009</v>
      </c>
    </row>
  </sheetData>
  <mergeCells count="1">
    <mergeCell ref="E10:F10"/>
  </mergeCells>
  <pageMargins left="0.511811024" right="0.511811024" top="0.78740157499999996" bottom="0.78740157499999996" header="0.31496062000000002" footer="0.31496062000000002"/>
  <pageSetup paperSize="9" scale="82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topLeftCell="A16" zoomScale="130" zoomScaleNormal="130" workbookViewId="0">
      <selection activeCell="D18" sqref="D18"/>
    </sheetView>
  </sheetViews>
  <sheetFormatPr defaultColWidth="9.140625" defaultRowHeight="15" x14ac:dyDescent="0.25"/>
  <cols>
    <col min="1" max="1" width="2.140625" style="253" customWidth="1"/>
    <col min="2" max="2" width="43.5703125" style="253" customWidth="1"/>
    <col min="3" max="3" width="42" style="117" customWidth="1"/>
    <col min="4" max="4" width="9.7109375" style="117" customWidth="1"/>
    <col min="5" max="6" width="16.28515625" style="117" customWidth="1"/>
    <col min="7" max="7" width="9.7109375" style="117" customWidth="1"/>
    <col min="8" max="9" width="9.7109375" style="253" customWidth="1"/>
    <col min="10" max="10" width="9.7109375" style="117" customWidth="1"/>
    <col min="11" max="12" width="4.5703125" style="253" customWidth="1"/>
    <col min="13" max="16384" width="9.140625" style="253"/>
  </cols>
  <sheetData>
    <row r="1" spans="1:20" s="117" customFormat="1" x14ac:dyDescent="0.25">
      <c r="A1" s="253"/>
      <c r="B1" s="253"/>
      <c r="H1" s="253"/>
      <c r="I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0" x14ac:dyDescent="0.25">
      <c r="B2" s="475" t="s">
        <v>425</v>
      </c>
      <c r="C2" s="475"/>
      <c r="D2" s="475"/>
    </row>
    <row r="3" spans="1:20" x14ac:dyDescent="0.25">
      <c r="B3" s="288" t="s">
        <v>427</v>
      </c>
      <c r="C3" s="303" t="s">
        <v>426</v>
      </c>
      <c r="D3" s="299">
        <f>100000/10000</f>
        <v>10</v>
      </c>
    </row>
    <row r="4" spans="1:20" x14ac:dyDescent="0.25">
      <c r="B4" s="288" t="s">
        <v>428</v>
      </c>
      <c r="C4" s="303" t="s">
        <v>429</v>
      </c>
      <c r="D4" s="299">
        <f>46000/(9000+200)</f>
        <v>5</v>
      </c>
    </row>
    <row r="5" spans="1:20" x14ac:dyDescent="0.25">
      <c r="B5" s="288" t="s">
        <v>430</v>
      </c>
      <c r="C5" s="303" t="s">
        <v>431</v>
      </c>
      <c r="D5" s="299">
        <f>73600/(9000+200)</f>
        <v>8</v>
      </c>
    </row>
    <row r="6" spans="1:20" x14ac:dyDescent="0.25">
      <c r="B6" s="298" t="s">
        <v>9</v>
      </c>
      <c r="C6" s="304"/>
      <c r="D6" s="300">
        <f>SUM(D3:D5)</f>
        <v>23</v>
      </c>
    </row>
    <row r="7" spans="1:20" x14ac:dyDescent="0.25">
      <c r="B7" s="305" t="s">
        <v>432</v>
      </c>
      <c r="C7" s="306" t="s">
        <v>433</v>
      </c>
      <c r="D7" s="307">
        <f>+D6*9000</f>
        <v>207000</v>
      </c>
    </row>
    <row r="8" spans="1:20" x14ac:dyDescent="0.25">
      <c r="B8" s="305" t="s">
        <v>434</v>
      </c>
      <c r="C8" s="306" t="s">
        <v>433</v>
      </c>
      <c r="D8" s="307">
        <f>+D6*9000</f>
        <v>207000</v>
      </c>
    </row>
    <row r="9" spans="1:20" x14ac:dyDescent="0.25">
      <c r="B9" s="305" t="s">
        <v>435</v>
      </c>
      <c r="C9" s="306" t="s">
        <v>436</v>
      </c>
      <c r="D9" s="307">
        <v>0</v>
      </c>
    </row>
    <row r="10" spans="1:20" ht="30" x14ac:dyDescent="0.25">
      <c r="B10" s="305" t="s">
        <v>437</v>
      </c>
      <c r="C10" s="306" t="s">
        <v>438</v>
      </c>
      <c r="D10" s="307">
        <f>1000*10+1000*0.2*5+1000*0.2*8</f>
        <v>12600</v>
      </c>
    </row>
    <row r="12" spans="1:20" x14ac:dyDescent="0.25">
      <c r="B12" s="475" t="s">
        <v>439</v>
      </c>
      <c r="C12" s="475"/>
      <c r="D12" s="475"/>
    </row>
    <row r="13" spans="1:20" x14ac:dyDescent="0.25">
      <c r="B13" s="288" t="s">
        <v>427</v>
      </c>
      <c r="C13" s="303" t="s">
        <v>440</v>
      </c>
      <c r="D13" s="299">
        <f>110000/10000</f>
        <v>11</v>
      </c>
    </row>
    <row r="14" spans="1:20" ht="30" x14ac:dyDescent="0.25">
      <c r="B14" s="288" t="s">
        <v>428</v>
      </c>
      <c r="C14" s="303" t="s">
        <v>441</v>
      </c>
      <c r="D14" s="299">
        <f>51700/(1000*0.8+(9000-1000)+2000*0.3)</f>
        <v>5.5</v>
      </c>
    </row>
    <row r="15" spans="1:20" ht="30" x14ac:dyDescent="0.25">
      <c r="B15" s="288" t="s">
        <v>430</v>
      </c>
      <c r="C15" s="303" t="s">
        <v>442</v>
      </c>
      <c r="D15" s="299">
        <f>82720/(1000*0.8+(9000-1000)+2000*0.3)</f>
        <v>8.8000000000000007</v>
      </c>
    </row>
    <row r="16" spans="1:20" x14ac:dyDescent="0.25">
      <c r="B16" s="298" t="s">
        <v>9</v>
      </c>
      <c r="C16" s="304"/>
      <c r="D16" s="300">
        <f>SUM(D13:D15)</f>
        <v>25.3</v>
      </c>
    </row>
    <row r="17" spans="2:10" s="287" customFormat="1" ht="30" x14ac:dyDescent="0.25">
      <c r="B17" s="308" t="s">
        <v>444</v>
      </c>
      <c r="C17" s="309" t="s">
        <v>443</v>
      </c>
      <c r="D17" s="310">
        <f>1000*10+200*5+800*5.5+200*8+800*8.8</f>
        <v>24040</v>
      </c>
      <c r="E17" s="117"/>
      <c r="F17" s="117"/>
      <c r="G17" s="117"/>
      <c r="J17" s="117"/>
    </row>
    <row r="18" spans="2:10" s="287" customFormat="1" ht="30" x14ac:dyDescent="0.25">
      <c r="B18" s="308" t="s">
        <v>445</v>
      </c>
      <c r="C18" s="309" t="s">
        <v>446</v>
      </c>
      <c r="D18" s="311">
        <f>+D17/1000</f>
        <v>24.04</v>
      </c>
      <c r="E18" s="117"/>
      <c r="F18" s="117"/>
      <c r="G18" s="117"/>
      <c r="J18" s="117"/>
    </row>
    <row r="19" spans="2:10" x14ac:dyDescent="0.25">
      <c r="B19" s="305" t="s">
        <v>432</v>
      </c>
      <c r="C19" s="306" t="s">
        <v>447</v>
      </c>
      <c r="D19" s="307">
        <f>+(9000-1000)*D16+1000*D18</f>
        <v>226440</v>
      </c>
    </row>
    <row r="20" spans="2:10" x14ac:dyDescent="0.25">
      <c r="B20" s="305" t="s">
        <v>434</v>
      </c>
      <c r="C20" s="306" t="s">
        <v>448</v>
      </c>
      <c r="D20" s="307">
        <f>+D18*1000+D16*5000</f>
        <v>150540</v>
      </c>
    </row>
    <row r="21" spans="2:10" x14ac:dyDescent="0.25">
      <c r="B21" s="305" t="s">
        <v>435</v>
      </c>
      <c r="C21" s="306" t="s">
        <v>449</v>
      </c>
      <c r="D21" s="307">
        <f>3000*D16</f>
        <v>75900</v>
      </c>
    </row>
    <row r="22" spans="2:10" ht="30" x14ac:dyDescent="0.25">
      <c r="B22" s="305" t="s">
        <v>437</v>
      </c>
      <c r="C22" s="306" t="s">
        <v>450</v>
      </c>
      <c r="D22" s="307">
        <f>2000*D13+2000*30%*D14+2000*30%*D15</f>
        <v>30580</v>
      </c>
    </row>
  </sheetData>
  <mergeCells count="2">
    <mergeCell ref="B2:D2"/>
    <mergeCell ref="B12:D12"/>
  </mergeCells>
  <pageMargins left="0.511811024" right="0.511811024" top="0.78740157499999996" bottom="0.78740157499999996" header="0.31496062000000002" footer="0.31496062000000002"/>
  <pageSetup paperSize="9" scale="82" orientation="landscape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3"/>
  <sheetViews>
    <sheetView showGridLines="0" topLeftCell="A28" zoomScale="130" zoomScaleNormal="130" workbookViewId="0">
      <selection activeCell="B42" sqref="B42"/>
    </sheetView>
  </sheetViews>
  <sheetFormatPr defaultColWidth="9.140625" defaultRowHeight="15" outlineLevelRow="1" x14ac:dyDescent="0.25"/>
  <cols>
    <col min="1" max="1" width="2.140625" style="302" customWidth="1"/>
    <col min="2" max="2" width="30.5703125" style="302" customWidth="1"/>
    <col min="3" max="4" width="14.85546875" style="302" customWidth="1"/>
    <col min="5" max="5" width="9.140625" style="302"/>
    <col min="6" max="7" width="10.42578125" style="302" bestFit="1" customWidth="1"/>
    <col min="8" max="16384" width="9.140625" style="302"/>
  </cols>
  <sheetData>
    <row r="1" spans="1:5" s="117" customFormat="1" x14ac:dyDescent="0.25">
      <c r="A1" s="302"/>
    </row>
    <row r="2" spans="1:5" ht="15.75" x14ac:dyDescent="0.25">
      <c r="B2" s="321" t="s">
        <v>451</v>
      </c>
      <c r="C2" s="322"/>
      <c r="D2" s="323"/>
    </row>
    <row r="3" spans="1:5" ht="15.75" x14ac:dyDescent="0.25">
      <c r="B3" s="324" t="s">
        <v>92</v>
      </c>
      <c r="C3" s="320">
        <v>2000000</v>
      </c>
      <c r="D3" s="325"/>
    </row>
    <row r="4" spans="1:5" ht="15.75" x14ac:dyDescent="0.25">
      <c r="B4" s="324" t="s">
        <v>207</v>
      </c>
      <c r="C4" s="320">
        <v>600000</v>
      </c>
      <c r="D4" s="325"/>
    </row>
    <row r="5" spans="1:5" ht="15.75" x14ac:dyDescent="0.25">
      <c r="B5" s="324" t="s">
        <v>452</v>
      </c>
      <c r="C5" s="320">
        <v>360000</v>
      </c>
      <c r="D5" s="325"/>
    </row>
    <row r="6" spans="1:5" ht="15.75" x14ac:dyDescent="0.25">
      <c r="B6" s="326" t="s">
        <v>9</v>
      </c>
      <c r="C6" s="327">
        <f>SUM(C3:C5)</f>
        <v>2960000</v>
      </c>
      <c r="D6" s="328"/>
    </row>
    <row r="7" spans="1:5" x14ac:dyDescent="0.25">
      <c r="B7" s="318" t="s">
        <v>453</v>
      </c>
      <c r="C7" s="319" t="s">
        <v>454</v>
      </c>
      <c r="D7" s="319" t="s">
        <v>455</v>
      </c>
    </row>
    <row r="8" spans="1:5" x14ac:dyDescent="0.25">
      <c r="B8" s="315" t="s">
        <v>105</v>
      </c>
      <c r="C8" s="315">
        <v>300</v>
      </c>
      <c r="D8" s="315">
        <v>400</v>
      </c>
    </row>
    <row r="9" spans="1:5" x14ac:dyDescent="0.25">
      <c r="B9" s="315" t="s">
        <v>456</v>
      </c>
      <c r="C9" s="315">
        <v>122.5</v>
      </c>
      <c r="D9" s="315">
        <v>180.8</v>
      </c>
    </row>
    <row r="10" spans="1:5" x14ac:dyDescent="0.25">
      <c r="B10" s="315" t="s">
        <v>457</v>
      </c>
      <c r="C10" s="315">
        <v>350</v>
      </c>
      <c r="D10" s="315">
        <v>600</v>
      </c>
    </row>
    <row r="11" spans="1:5" x14ac:dyDescent="0.25">
      <c r="B11" s="314" t="s">
        <v>458</v>
      </c>
      <c r="C11" s="317" t="s">
        <v>454</v>
      </c>
      <c r="D11" s="317" t="s">
        <v>455</v>
      </c>
      <c r="E11" s="317" t="s">
        <v>9</v>
      </c>
    </row>
    <row r="12" spans="1:5" x14ac:dyDescent="0.25">
      <c r="B12" s="329" t="s">
        <v>459</v>
      </c>
      <c r="C12" s="336">
        <v>2000</v>
      </c>
      <c r="D12" s="336">
        <v>2000</v>
      </c>
      <c r="E12" s="337">
        <f>SUM(C12:D12)</f>
        <v>4000</v>
      </c>
    </row>
    <row r="13" spans="1:5" x14ac:dyDescent="0.25">
      <c r="B13" s="329" t="s">
        <v>460</v>
      </c>
      <c r="C13" s="336">
        <v>15000</v>
      </c>
      <c r="D13" s="336">
        <v>24500</v>
      </c>
      <c r="E13" s="337">
        <f t="shared" ref="E13:E14" si="0">SUM(C13:D13)</f>
        <v>39500</v>
      </c>
    </row>
    <row r="14" spans="1:5" x14ac:dyDescent="0.25">
      <c r="B14" s="329" t="s">
        <v>468</v>
      </c>
      <c r="C14" s="334">
        <f>+C13/$E$13</f>
        <v>0.379746835443038</v>
      </c>
      <c r="D14" s="334">
        <f>+D13/$E$13</f>
        <v>0.620253164556962</v>
      </c>
      <c r="E14" s="335">
        <f t="shared" si="0"/>
        <v>1</v>
      </c>
    </row>
    <row r="15" spans="1:5" x14ac:dyDescent="0.25">
      <c r="B15" s="315" t="s">
        <v>461</v>
      </c>
      <c r="C15" s="316">
        <v>1900</v>
      </c>
      <c r="D15" s="316">
        <v>2600</v>
      </c>
    </row>
    <row r="17" spans="2:7" x14ac:dyDescent="0.25">
      <c r="B17" s="341" t="s">
        <v>11</v>
      </c>
      <c r="C17" s="476" t="str">
        <f>+C11</f>
        <v xml:space="preserve"> Enceradeira </v>
      </c>
      <c r="D17" s="477"/>
      <c r="E17" s="476" t="str">
        <f>+D11</f>
        <v>Aspirador</v>
      </c>
      <c r="F17" s="477"/>
      <c r="G17" s="342" t="s">
        <v>9</v>
      </c>
    </row>
    <row r="18" spans="2:7" x14ac:dyDescent="0.25">
      <c r="B18" s="343" t="s">
        <v>467</v>
      </c>
      <c r="C18" s="344" t="s">
        <v>462</v>
      </c>
      <c r="D18" s="340" t="s">
        <v>326</v>
      </c>
      <c r="E18" s="344" t="s">
        <v>462</v>
      </c>
      <c r="F18" s="340" t="s">
        <v>326</v>
      </c>
      <c r="G18" s="343" t="s">
        <v>326</v>
      </c>
    </row>
    <row r="19" spans="2:7" outlineLevel="1" x14ac:dyDescent="0.25">
      <c r="B19" s="332" t="s">
        <v>55</v>
      </c>
      <c r="C19" s="333">
        <f>+C15</f>
        <v>1900</v>
      </c>
      <c r="D19" s="301">
        <f>+C19*$C$12</f>
        <v>3800000</v>
      </c>
      <c r="E19" s="333">
        <f>+D15</f>
        <v>2600</v>
      </c>
      <c r="F19" s="301">
        <f>+E19*$D$12</f>
        <v>5200000</v>
      </c>
      <c r="G19" s="39">
        <f>+F19+D19</f>
        <v>9000000</v>
      </c>
    </row>
    <row r="20" spans="2:7" outlineLevel="1" x14ac:dyDescent="0.25">
      <c r="B20" s="331" t="s">
        <v>463</v>
      </c>
      <c r="C20" s="330">
        <f>-C8</f>
        <v>-300</v>
      </c>
      <c r="D20" s="45">
        <f t="shared" ref="D20:D22" si="1">+C20*$C$12</f>
        <v>-600000</v>
      </c>
      <c r="E20" s="330">
        <f t="shared" ref="E20:E22" si="2">-D8</f>
        <v>-400</v>
      </c>
      <c r="F20" s="45">
        <f t="shared" ref="F20:F22" si="3">+E20*$D$12</f>
        <v>-800000</v>
      </c>
      <c r="G20" s="39">
        <f t="shared" ref="G20:G23" si="4">+F20+D20</f>
        <v>-1400000</v>
      </c>
    </row>
    <row r="21" spans="2:7" outlineLevel="1" x14ac:dyDescent="0.25">
      <c r="B21" s="331" t="s">
        <v>464</v>
      </c>
      <c r="C21" s="330">
        <f t="shared" ref="C21" si="5">-C9</f>
        <v>-122.5</v>
      </c>
      <c r="D21" s="45">
        <f t="shared" si="1"/>
        <v>-245000</v>
      </c>
      <c r="E21" s="330">
        <f t="shared" si="2"/>
        <v>-180.8</v>
      </c>
      <c r="F21" s="45">
        <f t="shared" si="3"/>
        <v>-361600</v>
      </c>
      <c r="G21" s="39">
        <f t="shared" si="4"/>
        <v>-606600</v>
      </c>
    </row>
    <row r="22" spans="2:7" outlineLevel="1" x14ac:dyDescent="0.25">
      <c r="B22" s="331" t="s">
        <v>465</v>
      </c>
      <c r="C22" s="330">
        <f t="shared" ref="C22" si="6">-C10</f>
        <v>-350</v>
      </c>
      <c r="D22" s="45">
        <f t="shared" si="1"/>
        <v>-700000</v>
      </c>
      <c r="E22" s="330">
        <f t="shared" si="2"/>
        <v>-600</v>
      </c>
      <c r="F22" s="45">
        <f t="shared" si="3"/>
        <v>-1200000</v>
      </c>
      <c r="G22" s="39">
        <f t="shared" si="4"/>
        <v>-1900000</v>
      </c>
    </row>
    <row r="23" spans="2:7" outlineLevel="1" x14ac:dyDescent="0.25">
      <c r="B23" s="345" t="s">
        <v>466</v>
      </c>
      <c r="C23" s="346">
        <f>+D23/C12</f>
        <v>-562.02531645569627</v>
      </c>
      <c r="D23" s="347">
        <f>-$C$6*C14</f>
        <v>-1124050.6329113925</v>
      </c>
      <c r="E23" s="346">
        <f>+F23/D12</f>
        <v>-917.97468354430373</v>
      </c>
      <c r="F23" s="347">
        <f>-$C$6*D14</f>
        <v>-1835949.3670886075</v>
      </c>
      <c r="G23" s="348">
        <f t="shared" si="4"/>
        <v>-2960000</v>
      </c>
    </row>
    <row r="24" spans="2:7" x14ac:dyDescent="0.25">
      <c r="B24" s="338" t="s">
        <v>328</v>
      </c>
      <c r="C24" s="339">
        <f>SUM(C19:C23)</f>
        <v>565.47468354430373</v>
      </c>
      <c r="D24" s="340">
        <f>SUM(D19:D23)</f>
        <v>1130949.3670886075</v>
      </c>
      <c r="E24" s="339">
        <f>SUM(E19:E23)</f>
        <v>501.22531645569632</v>
      </c>
      <c r="F24" s="340">
        <f>SUM(F19:F23)</f>
        <v>1002450.6329113925</v>
      </c>
      <c r="G24" s="340">
        <f>SUM(G19:G23)</f>
        <v>2133400</v>
      </c>
    </row>
    <row r="26" spans="2:7" x14ac:dyDescent="0.25">
      <c r="B26" s="341" t="s">
        <v>11</v>
      </c>
      <c r="C26" s="476" t="str">
        <f>+C17</f>
        <v xml:space="preserve"> Enceradeira </v>
      </c>
      <c r="D26" s="477"/>
      <c r="E26" s="476" t="str">
        <f>+E17</f>
        <v>Aspirador</v>
      </c>
      <c r="F26" s="477"/>
      <c r="G26" s="342" t="s">
        <v>9</v>
      </c>
    </row>
    <row r="27" spans="2:7" x14ac:dyDescent="0.25">
      <c r="B27" s="343" t="s">
        <v>467</v>
      </c>
      <c r="C27" s="344" t="s">
        <v>462</v>
      </c>
      <c r="D27" s="340" t="s">
        <v>326</v>
      </c>
      <c r="E27" s="344" t="s">
        <v>462</v>
      </c>
      <c r="F27" s="340" t="s">
        <v>326</v>
      </c>
      <c r="G27" s="343" t="s">
        <v>326</v>
      </c>
    </row>
    <row r="28" spans="2:7" outlineLevel="1" x14ac:dyDescent="0.25">
      <c r="B28" s="332" t="s">
        <v>55</v>
      </c>
      <c r="C28" s="333">
        <f>+C19</f>
        <v>1900</v>
      </c>
      <c r="D28" s="301">
        <f>+C28*$C$12</f>
        <v>3800000</v>
      </c>
      <c r="E28" s="333">
        <f>+E19</f>
        <v>2600</v>
      </c>
      <c r="F28" s="301">
        <f>+E28*$D$12</f>
        <v>5200000</v>
      </c>
      <c r="G28" s="39">
        <f>+F28+D28</f>
        <v>9000000</v>
      </c>
    </row>
    <row r="29" spans="2:7" outlineLevel="1" x14ac:dyDescent="0.25">
      <c r="B29" s="331" t="s">
        <v>463</v>
      </c>
      <c r="C29" s="330">
        <f>+C20</f>
        <v>-300</v>
      </c>
      <c r="D29" s="45">
        <f t="shared" ref="D29:D32" si="7">+C29*$C$12</f>
        <v>-600000</v>
      </c>
      <c r="E29" s="330">
        <f>+E20</f>
        <v>-400</v>
      </c>
      <c r="F29" s="45">
        <f t="shared" ref="F29:F32" si="8">+E29*$D$12</f>
        <v>-800000</v>
      </c>
      <c r="G29" s="39">
        <f t="shared" ref="G29:G32" si="9">+F29+D29</f>
        <v>-1400000</v>
      </c>
    </row>
    <row r="30" spans="2:7" outlineLevel="1" x14ac:dyDescent="0.25">
      <c r="B30" s="331" t="s">
        <v>464</v>
      </c>
      <c r="C30" s="330">
        <f t="shared" ref="C30:E31" si="10">+C21</f>
        <v>-122.5</v>
      </c>
      <c r="D30" s="45">
        <f t="shared" si="7"/>
        <v>-245000</v>
      </c>
      <c r="E30" s="330">
        <f t="shared" si="10"/>
        <v>-180.8</v>
      </c>
      <c r="F30" s="45">
        <f t="shared" si="8"/>
        <v>-361600</v>
      </c>
      <c r="G30" s="39">
        <f t="shared" si="9"/>
        <v>-606600</v>
      </c>
    </row>
    <row r="31" spans="2:7" outlineLevel="1" x14ac:dyDescent="0.25">
      <c r="B31" s="331" t="s">
        <v>465</v>
      </c>
      <c r="C31" s="330">
        <f t="shared" si="10"/>
        <v>-350</v>
      </c>
      <c r="D31" s="45">
        <f t="shared" si="7"/>
        <v>-700000</v>
      </c>
      <c r="E31" s="330">
        <f t="shared" si="10"/>
        <v>-600</v>
      </c>
      <c r="F31" s="45">
        <f t="shared" si="8"/>
        <v>-1200000</v>
      </c>
      <c r="G31" s="39">
        <f t="shared" si="9"/>
        <v>-1900000</v>
      </c>
    </row>
    <row r="32" spans="2:7" outlineLevel="1" x14ac:dyDescent="0.25">
      <c r="B32" s="345" t="s">
        <v>466</v>
      </c>
      <c r="C32" s="346">
        <f>-$C$6/$E$12</f>
        <v>-740</v>
      </c>
      <c r="D32" s="347">
        <f t="shared" si="7"/>
        <v>-1480000</v>
      </c>
      <c r="E32" s="346">
        <f>-$C$6/$E$12</f>
        <v>-740</v>
      </c>
      <c r="F32" s="347">
        <f t="shared" si="8"/>
        <v>-1480000</v>
      </c>
      <c r="G32" s="348">
        <f t="shared" si="9"/>
        <v>-2960000</v>
      </c>
    </row>
    <row r="33" spans="2:7" x14ac:dyDescent="0.25">
      <c r="B33" s="338" t="s">
        <v>328</v>
      </c>
      <c r="C33" s="339">
        <f>SUM(C28:C32)</f>
        <v>387.5</v>
      </c>
      <c r="D33" s="340">
        <f>SUM(D28:D32)</f>
        <v>775000</v>
      </c>
      <c r="E33" s="339">
        <f>SUM(E28:E32)</f>
        <v>679.2</v>
      </c>
      <c r="F33" s="340">
        <f>SUM(F28:F32)</f>
        <v>1358400</v>
      </c>
      <c r="G33" s="340">
        <f>SUM(G28:G32)</f>
        <v>2133400</v>
      </c>
    </row>
    <row r="35" spans="2:7" x14ac:dyDescent="0.25">
      <c r="B35" s="341" t="s">
        <v>11</v>
      </c>
      <c r="C35" s="476" t="str">
        <f>+C26</f>
        <v xml:space="preserve"> Enceradeira </v>
      </c>
      <c r="D35" s="477"/>
      <c r="E35" s="476" t="str">
        <f>+E26</f>
        <v>Aspirador</v>
      </c>
      <c r="F35" s="477"/>
      <c r="G35" s="342" t="s">
        <v>9</v>
      </c>
    </row>
    <row r="36" spans="2:7" x14ac:dyDescent="0.25">
      <c r="B36" s="343" t="s">
        <v>469</v>
      </c>
      <c r="C36" s="344" t="s">
        <v>462</v>
      </c>
      <c r="D36" s="340" t="s">
        <v>326</v>
      </c>
      <c r="E36" s="344" t="s">
        <v>462</v>
      </c>
      <c r="F36" s="340" t="s">
        <v>326</v>
      </c>
      <c r="G36" s="343" t="s">
        <v>326</v>
      </c>
    </row>
    <row r="37" spans="2:7" outlineLevel="1" x14ac:dyDescent="0.25">
      <c r="B37" s="332" t="s">
        <v>55</v>
      </c>
      <c r="C37" s="333">
        <f>+C28</f>
        <v>1900</v>
      </c>
      <c r="D37" s="301">
        <f>+C37*$C$12</f>
        <v>3800000</v>
      </c>
      <c r="E37" s="333">
        <f>+E28</f>
        <v>2600</v>
      </c>
      <c r="F37" s="301">
        <f>+E37*$D$12</f>
        <v>5200000</v>
      </c>
      <c r="G37" s="39">
        <f>+F37+D37</f>
        <v>9000000</v>
      </c>
    </row>
    <row r="38" spans="2:7" outlineLevel="1" x14ac:dyDescent="0.25">
      <c r="B38" s="331" t="s">
        <v>463</v>
      </c>
      <c r="C38" s="330">
        <f>+C29</f>
        <v>-300</v>
      </c>
      <c r="D38" s="45">
        <f t="shared" ref="D38:D40" si="11">+C38*$C$12</f>
        <v>-600000</v>
      </c>
      <c r="E38" s="330">
        <f>+E29</f>
        <v>-400</v>
      </c>
      <c r="F38" s="45">
        <f t="shared" ref="F38:F40" si="12">+E38*$D$12</f>
        <v>-800000</v>
      </c>
      <c r="G38" s="39">
        <f t="shared" ref="G38:G40" si="13">+F38+D38</f>
        <v>-1400000</v>
      </c>
    </row>
    <row r="39" spans="2:7" outlineLevel="1" x14ac:dyDescent="0.25">
      <c r="B39" s="331" t="s">
        <v>464</v>
      </c>
      <c r="C39" s="330">
        <f t="shared" ref="C39" si="14">+C30</f>
        <v>-122.5</v>
      </c>
      <c r="D39" s="45">
        <f t="shared" si="11"/>
        <v>-245000</v>
      </c>
      <c r="E39" s="330">
        <f t="shared" ref="E39" si="15">+E30</f>
        <v>-180.8</v>
      </c>
      <c r="F39" s="45">
        <f t="shared" si="12"/>
        <v>-361600</v>
      </c>
      <c r="G39" s="39">
        <f t="shared" si="13"/>
        <v>-606600</v>
      </c>
    </row>
    <row r="40" spans="2:7" outlineLevel="1" x14ac:dyDescent="0.25">
      <c r="B40" s="331" t="s">
        <v>465</v>
      </c>
      <c r="C40" s="330">
        <f t="shared" ref="C40" si="16">+C31</f>
        <v>-350</v>
      </c>
      <c r="D40" s="45">
        <f t="shared" si="11"/>
        <v>-700000</v>
      </c>
      <c r="E40" s="330">
        <f t="shared" ref="E40" si="17">+E31</f>
        <v>-600</v>
      </c>
      <c r="F40" s="45">
        <f t="shared" si="12"/>
        <v>-1200000</v>
      </c>
      <c r="G40" s="39">
        <f t="shared" si="13"/>
        <v>-1900000</v>
      </c>
    </row>
    <row r="41" spans="2:7" outlineLevel="1" x14ac:dyDescent="0.25">
      <c r="B41" s="332" t="s">
        <v>470</v>
      </c>
      <c r="C41" s="333">
        <f>SUM(C37:C40)</f>
        <v>1127.5</v>
      </c>
      <c r="D41" s="301">
        <f>SUM(D37:D40)</f>
        <v>2255000</v>
      </c>
      <c r="E41" s="333">
        <f>SUM(E37:E40)</f>
        <v>1419.2</v>
      </c>
      <c r="F41" s="301">
        <f>SUM(F37:F40)</f>
        <v>2838400</v>
      </c>
      <c r="G41" s="39">
        <f>SUM(G37:G40)</f>
        <v>5093400</v>
      </c>
    </row>
    <row r="42" spans="2:7" outlineLevel="1" x14ac:dyDescent="0.25">
      <c r="B42" s="345" t="s">
        <v>466</v>
      </c>
      <c r="C42" s="346"/>
      <c r="D42" s="347"/>
      <c r="E42" s="346"/>
      <c r="F42" s="347"/>
      <c r="G42" s="348">
        <f>+G32</f>
        <v>-2960000</v>
      </c>
    </row>
    <row r="43" spans="2:7" x14ac:dyDescent="0.25">
      <c r="B43" s="338" t="s">
        <v>328</v>
      </c>
      <c r="C43" s="339"/>
      <c r="D43" s="340"/>
      <c r="E43" s="339"/>
      <c r="F43" s="340"/>
      <c r="G43" s="340">
        <f>+SUM(G41:G42)</f>
        <v>2133400</v>
      </c>
    </row>
  </sheetData>
  <mergeCells count="6">
    <mergeCell ref="C26:D26"/>
    <mergeCell ref="E26:F26"/>
    <mergeCell ref="C35:D35"/>
    <mergeCell ref="E35:F35"/>
    <mergeCell ref="C17:D17"/>
    <mergeCell ref="E17:F17"/>
  </mergeCells>
  <pageMargins left="0.511811024" right="0.511811024" top="0.78740157499999996" bottom="0.78740157499999996" header="0.31496062000000002" footer="0.31496062000000002"/>
  <pageSetup paperSize="9" scale="82" orientation="landscape" verticalDpi="300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zoomScale="130" zoomScaleNormal="130" workbookViewId="0">
      <selection activeCell="B15" sqref="B15"/>
    </sheetView>
  </sheetViews>
  <sheetFormatPr defaultColWidth="9.140625" defaultRowHeight="15" x14ac:dyDescent="0.25"/>
  <cols>
    <col min="1" max="1" width="2.140625" style="302" customWidth="1"/>
    <col min="2" max="2" width="36.7109375" style="302" customWidth="1"/>
    <col min="3" max="6" width="10.85546875" style="302" customWidth="1"/>
    <col min="7" max="7" width="10.42578125" style="302" bestFit="1" customWidth="1"/>
    <col min="8" max="16384" width="9.140625" style="302"/>
  </cols>
  <sheetData>
    <row r="1" spans="1:6" s="117" customFormat="1" x14ac:dyDescent="0.25">
      <c r="A1" s="302"/>
    </row>
    <row r="2" spans="1:6" x14ac:dyDescent="0.25">
      <c r="B2" s="349" t="s">
        <v>471</v>
      </c>
      <c r="C2" s="349" t="s">
        <v>472</v>
      </c>
      <c r="D2" s="349" t="s">
        <v>473</v>
      </c>
      <c r="E2" s="349" t="s">
        <v>474</v>
      </c>
      <c r="F2" s="349" t="s">
        <v>9</v>
      </c>
    </row>
    <row r="3" spans="1:6" x14ac:dyDescent="0.25">
      <c r="B3" s="350" t="s">
        <v>26</v>
      </c>
      <c r="C3" s="271">
        <v>400</v>
      </c>
      <c r="D3" s="271">
        <v>600</v>
      </c>
      <c r="E3" s="271">
        <v>1000</v>
      </c>
      <c r="F3" s="273">
        <f>SUM(C3:E3)</f>
        <v>2000</v>
      </c>
    </row>
    <row r="4" spans="1:6" x14ac:dyDescent="0.25">
      <c r="B4" s="350" t="s">
        <v>476</v>
      </c>
      <c r="C4" s="271">
        <f>-C3*0.3</f>
        <v>-120</v>
      </c>
      <c r="D4" s="271">
        <f>-D3*0.4</f>
        <v>-240</v>
      </c>
      <c r="E4" s="271">
        <f>-E3*0.6</f>
        <v>-600</v>
      </c>
      <c r="F4" s="273">
        <f t="shared" ref="F4:F5" si="0">SUM(C4:E4)</f>
        <v>-960</v>
      </c>
    </row>
    <row r="5" spans="1:6" x14ac:dyDescent="0.25">
      <c r="B5" s="350" t="s">
        <v>477</v>
      </c>
      <c r="C5" s="271">
        <f>-C3/$F$3*1300</f>
        <v>-260</v>
      </c>
      <c r="D5" s="271">
        <f t="shared" ref="D5:E5" si="1">-D3/$F$3*1300</f>
        <v>-390</v>
      </c>
      <c r="E5" s="271">
        <f t="shared" si="1"/>
        <v>-650</v>
      </c>
      <c r="F5" s="273">
        <f t="shared" si="0"/>
        <v>-1300</v>
      </c>
    </row>
    <row r="6" spans="1:6" x14ac:dyDescent="0.25">
      <c r="B6" s="272" t="s">
        <v>475</v>
      </c>
      <c r="C6" s="273">
        <f>SUM(C3:C5)</f>
        <v>20</v>
      </c>
      <c r="D6" s="273">
        <f>SUM(D3:D5)</f>
        <v>-30</v>
      </c>
      <c r="E6" s="273">
        <f>SUM(E3:E5)</f>
        <v>-250</v>
      </c>
      <c r="F6" s="273">
        <f>SUM(F3:F5)</f>
        <v>-260</v>
      </c>
    </row>
    <row r="8" spans="1:6" x14ac:dyDescent="0.25">
      <c r="B8" s="349" t="s">
        <v>478</v>
      </c>
      <c r="C8" s="349" t="s">
        <v>472</v>
      </c>
      <c r="D8" s="349" t="s">
        <v>473</v>
      </c>
      <c r="E8" s="349" t="s">
        <v>474</v>
      </c>
      <c r="F8" s="349" t="s">
        <v>9</v>
      </c>
    </row>
    <row r="9" spans="1:6" x14ac:dyDescent="0.25">
      <c r="B9" s="350" t="s">
        <v>26</v>
      </c>
      <c r="C9" s="271">
        <v>400</v>
      </c>
      <c r="D9" s="271">
        <v>600</v>
      </c>
      <c r="E9" s="271">
        <v>1000</v>
      </c>
      <c r="F9" s="273">
        <f>SUM(C9:E9)</f>
        <v>2000</v>
      </c>
    </row>
    <row r="10" spans="1:6" x14ac:dyDescent="0.25">
      <c r="B10" s="350" t="s">
        <v>476</v>
      </c>
      <c r="C10" s="271">
        <f>-C9*0.3</f>
        <v>-120</v>
      </c>
      <c r="D10" s="271">
        <f>-D9*0.4</f>
        <v>-240</v>
      </c>
      <c r="E10" s="271">
        <f>-E9*0.6</f>
        <v>-600</v>
      </c>
      <c r="F10" s="273">
        <f t="shared" ref="F10" si="2">SUM(C10:E10)</f>
        <v>-960</v>
      </c>
    </row>
    <row r="11" spans="1:6" x14ac:dyDescent="0.25">
      <c r="B11" s="272" t="s">
        <v>479</v>
      </c>
      <c r="C11" s="273">
        <f>SUM(C7:C10)</f>
        <v>280</v>
      </c>
      <c r="D11" s="273">
        <f>SUM(D7:D10)</f>
        <v>360</v>
      </c>
      <c r="E11" s="273">
        <f>SUM(E7:E10)</f>
        <v>400</v>
      </c>
      <c r="F11" s="273">
        <f>SUM(F9:F10)</f>
        <v>1040</v>
      </c>
    </row>
    <row r="12" spans="1:6" x14ac:dyDescent="0.25">
      <c r="B12" s="350" t="s">
        <v>477</v>
      </c>
      <c r="C12" s="271"/>
      <c r="D12" s="271"/>
      <c r="E12" s="271"/>
      <c r="F12" s="273">
        <f>+F5</f>
        <v>-1300</v>
      </c>
    </row>
    <row r="13" spans="1:6" x14ac:dyDescent="0.25">
      <c r="B13" s="272" t="s">
        <v>475</v>
      </c>
      <c r="C13" s="273"/>
      <c r="D13" s="273"/>
      <c r="E13" s="273"/>
      <c r="F13" s="273">
        <f>SUM(F11:F12)</f>
        <v>-260</v>
      </c>
    </row>
  </sheetData>
  <pageMargins left="0.511811024" right="0.511811024" top="0.78740157499999996" bottom="0.78740157499999996" header="0.31496062000000002" footer="0.31496062000000002"/>
  <pageSetup paperSize="9" scale="82" orientation="landscape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topLeftCell="A13" zoomScale="130" zoomScaleNormal="130" workbookViewId="0">
      <selection activeCell="B19" sqref="B19:E27"/>
    </sheetView>
  </sheetViews>
  <sheetFormatPr defaultColWidth="9.140625" defaultRowHeight="15" x14ac:dyDescent="0.25"/>
  <cols>
    <col min="1" max="1" width="2.140625" style="359" customWidth="1"/>
    <col min="2" max="2" width="44" style="359" customWidth="1"/>
    <col min="3" max="4" width="10.85546875" style="117" customWidth="1"/>
    <col min="5" max="5" width="23.7109375" style="117" customWidth="1"/>
    <col min="6" max="6" width="10.85546875" style="117" customWidth="1"/>
    <col min="7" max="7" width="10.42578125" style="117" bestFit="1" customWidth="1"/>
    <col min="8" max="16384" width="9.140625" style="359"/>
  </cols>
  <sheetData>
    <row r="1" spans="1:3" s="117" customFormat="1" x14ac:dyDescent="0.25">
      <c r="A1" s="359"/>
    </row>
    <row r="2" spans="1:3" x14ac:dyDescent="0.25">
      <c r="B2" s="52" t="s">
        <v>492</v>
      </c>
      <c r="C2" s="53"/>
    </row>
    <row r="3" spans="1:3" x14ac:dyDescent="0.25">
      <c r="B3" s="358" t="s">
        <v>493</v>
      </c>
      <c r="C3" s="150">
        <v>50</v>
      </c>
    </row>
    <row r="4" spans="1:3" x14ac:dyDescent="0.25">
      <c r="B4" s="358" t="s">
        <v>500</v>
      </c>
      <c r="C4" s="361">
        <v>-20</v>
      </c>
    </row>
    <row r="5" spans="1:3" x14ac:dyDescent="0.25">
      <c r="B5" s="38" t="s">
        <v>494</v>
      </c>
      <c r="C5" s="165">
        <f>SUM(C3:C4)</f>
        <v>30</v>
      </c>
    </row>
    <row r="6" spans="1:3" x14ac:dyDescent="0.25">
      <c r="B6" s="358" t="s">
        <v>495</v>
      </c>
      <c r="C6" s="45">
        <v>45000</v>
      </c>
    </row>
    <row r="7" spans="1:3" x14ac:dyDescent="0.25">
      <c r="B7" s="358" t="s">
        <v>496</v>
      </c>
      <c r="C7" s="45">
        <v>1200</v>
      </c>
    </row>
    <row r="8" spans="1:3" x14ac:dyDescent="0.25">
      <c r="B8" s="358" t="s">
        <v>497</v>
      </c>
      <c r="C8" s="45">
        <v>200000</v>
      </c>
    </row>
    <row r="9" spans="1:3" x14ac:dyDescent="0.25">
      <c r="B9" s="358" t="s">
        <v>498</v>
      </c>
      <c r="C9" s="54">
        <v>1.2E-2</v>
      </c>
    </row>
    <row r="10" spans="1:3" x14ac:dyDescent="0.25">
      <c r="B10" s="358" t="s">
        <v>499</v>
      </c>
      <c r="C10" s="45">
        <f>+C8*C9</f>
        <v>2400</v>
      </c>
    </row>
    <row r="11" spans="1:3" x14ac:dyDescent="0.25">
      <c r="B11" s="360" t="s">
        <v>501</v>
      </c>
      <c r="C11" s="121">
        <v>7200</v>
      </c>
    </row>
    <row r="13" spans="1:3" x14ac:dyDescent="0.25">
      <c r="B13" s="368"/>
      <c r="C13" s="369" t="s">
        <v>502</v>
      </c>
    </row>
    <row r="14" spans="1:3" x14ac:dyDescent="0.25">
      <c r="B14" s="367" t="s">
        <v>503</v>
      </c>
      <c r="C14" s="291">
        <f>+C6/C5</f>
        <v>1500</v>
      </c>
    </row>
    <row r="15" spans="1:3" x14ac:dyDescent="0.25">
      <c r="B15" s="367" t="s">
        <v>504</v>
      </c>
      <c r="C15" s="291">
        <f>+C10/C5+C14</f>
        <v>1580</v>
      </c>
    </row>
    <row r="16" spans="1:3" x14ac:dyDescent="0.25">
      <c r="B16" s="367" t="s">
        <v>505</v>
      </c>
      <c r="C16" s="291">
        <f>+(C6-C7)/C5</f>
        <v>1460</v>
      </c>
    </row>
    <row r="17" spans="2:7" s="362" customFormat="1" x14ac:dyDescent="0.25">
      <c r="B17" s="367" t="s">
        <v>506</v>
      </c>
      <c r="C17" s="291">
        <f>+C11/C5+C16</f>
        <v>1700</v>
      </c>
      <c r="D17" s="117"/>
      <c r="E17" s="117"/>
      <c r="F17" s="117"/>
      <c r="G17" s="117"/>
    </row>
    <row r="19" spans="2:7" x14ac:dyDescent="0.25">
      <c r="B19" s="371"/>
      <c r="C19" s="369" t="s">
        <v>502</v>
      </c>
      <c r="D19" s="371" t="s">
        <v>508</v>
      </c>
    </row>
    <row r="20" spans="2:7" x14ac:dyDescent="0.25">
      <c r="B20" s="373" t="s">
        <v>507</v>
      </c>
      <c r="C20" s="374">
        <v>1650</v>
      </c>
      <c r="D20" s="375"/>
    </row>
    <row r="21" spans="2:7" s="362" customFormat="1" x14ac:dyDescent="0.25">
      <c r="B21" s="378" t="s">
        <v>509</v>
      </c>
      <c r="C21" s="379">
        <f>+C20-C14</f>
        <v>150</v>
      </c>
      <c r="D21" s="380">
        <f>+C21*$C$5</f>
        <v>4500</v>
      </c>
      <c r="E21" s="478" t="s">
        <v>35</v>
      </c>
      <c r="F21" s="117"/>
      <c r="G21" s="117"/>
    </row>
    <row r="22" spans="2:7" s="362" customFormat="1" x14ac:dyDescent="0.25">
      <c r="B22" s="381" t="s">
        <v>510</v>
      </c>
      <c r="C22" s="382">
        <f>+C20-C15</f>
        <v>70</v>
      </c>
      <c r="D22" s="383">
        <f>+C22*$C$5</f>
        <v>2100</v>
      </c>
      <c r="E22" s="479"/>
      <c r="F22" s="117"/>
      <c r="G22" s="117"/>
    </row>
    <row r="23" spans="2:7" s="362" customFormat="1" ht="15" customHeight="1" x14ac:dyDescent="0.25">
      <c r="B23" s="384" t="s">
        <v>511</v>
      </c>
      <c r="C23" s="379"/>
      <c r="D23" s="380"/>
      <c r="E23" s="478" t="s">
        <v>36</v>
      </c>
      <c r="F23" s="117"/>
      <c r="G23" s="117"/>
    </row>
    <row r="24" spans="2:7" s="362" customFormat="1" x14ac:dyDescent="0.25">
      <c r="B24" s="385" t="s">
        <v>509</v>
      </c>
      <c r="C24" s="376">
        <f>+C20-C14</f>
        <v>150</v>
      </c>
      <c r="D24" s="377">
        <f>+C24*$C$5</f>
        <v>4500</v>
      </c>
      <c r="E24" s="480"/>
      <c r="F24" s="117"/>
      <c r="G24" s="117"/>
    </row>
    <row r="25" spans="2:7" s="362" customFormat="1" x14ac:dyDescent="0.25">
      <c r="B25" s="385" t="s">
        <v>207</v>
      </c>
      <c r="C25" s="376">
        <f>+C14-C16</f>
        <v>40</v>
      </c>
      <c r="D25" s="377">
        <f>+C25*$C$5</f>
        <v>1200</v>
      </c>
      <c r="E25" s="480"/>
      <c r="F25" s="117"/>
      <c r="G25" s="117"/>
    </row>
    <row r="26" spans="2:7" s="362" customFormat="1" x14ac:dyDescent="0.25">
      <c r="B26" s="386" t="s">
        <v>9</v>
      </c>
      <c r="C26" s="370"/>
      <c r="D26" s="372">
        <f>SUM(D24:D25)</f>
        <v>5700</v>
      </c>
      <c r="E26" s="480"/>
      <c r="F26" s="117"/>
      <c r="G26" s="117"/>
    </row>
    <row r="27" spans="2:7" s="362" customFormat="1" x14ac:dyDescent="0.25">
      <c r="B27" s="387" t="s">
        <v>512</v>
      </c>
      <c r="C27" s="388">
        <f>+C20-C17</f>
        <v>-50</v>
      </c>
      <c r="D27" s="389">
        <f>+C27*C5</f>
        <v>-1500</v>
      </c>
      <c r="E27" s="479"/>
      <c r="F27" s="117"/>
      <c r="G27" s="117"/>
    </row>
  </sheetData>
  <mergeCells count="2">
    <mergeCell ref="E21:E22"/>
    <mergeCell ref="E23:E27"/>
  </mergeCells>
  <pageMargins left="0.511811024" right="0.511811024" top="0.78740157499999996" bottom="0.78740157499999996" header="0.31496062000000002" footer="0.31496062000000002"/>
  <pageSetup paperSize="9" scale="82"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opLeftCell="A20" zoomScale="130" zoomScaleNormal="130" workbookViewId="0">
      <selection activeCell="B26" sqref="B26:E34"/>
    </sheetView>
  </sheetViews>
  <sheetFormatPr defaultColWidth="9.140625" defaultRowHeight="15" x14ac:dyDescent="0.25"/>
  <cols>
    <col min="1" max="1" width="2.140625" style="364" customWidth="1"/>
    <col min="2" max="2" width="44" style="364" customWidth="1"/>
    <col min="3" max="4" width="10.85546875" style="117" customWidth="1"/>
    <col min="5" max="5" width="19.85546875" style="117" customWidth="1"/>
    <col min="6" max="6" width="10.85546875" style="117" customWidth="1"/>
    <col min="7" max="7" width="10.42578125" style="117" bestFit="1" customWidth="1"/>
    <col min="8" max="16384" width="9.140625" style="364"/>
  </cols>
  <sheetData>
    <row r="1" spans="1:4" s="117" customFormat="1" x14ac:dyDescent="0.25">
      <c r="A1" s="364"/>
    </row>
    <row r="2" spans="1:4" x14ac:dyDescent="0.25">
      <c r="B2" s="366"/>
      <c r="C2" s="398" t="s">
        <v>513</v>
      </c>
    </row>
    <row r="3" spans="1:4" x14ac:dyDescent="0.25">
      <c r="B3" s="38" t="s">
        <v>514</v>
      </c>
      <c r="C3" s="165">
        <v>500</v>
      </c>
    </row>
    <row r="4" spans="1:4" x14ac:dyDescent="0.25">
      <c r="B4" s="363" t="s">
        <v>515</v>
      </c>
      <c r="C4" s="150">
        <f>-C3*10%</f>
        <v>-50</v>
      </c>
    </row>
    <row r="5" spans="1:4" x14ac:dyDescent="0.25">
      <c r="B5" s="38" t="s">
        <v>516</v>
      </c>
      <c r="C5" s="165">
        <f>SUM(C3:C4)</f>
        <v>450</v>
      </c>
    </row>
    <row r="6" spans="1:4" x14ac:dyDescent="0.25">
      <c r="B6" s="363" t="s">
        <v>517</v>
      </c>
      <c r="C6" s="150">
        <f>-C5*0.2</f>
        <v>-90</v>
      </c>
    </row>
    <row r="7" spans="1:4" x14ac:dyDescent="0.25">
      <c r="B7" s="363" t="s">
        <v>518</v>
      </c>
      <c r="C7" s="150">
        <v>-210</v>
      </c>
      <c r="D7" s="117">
        <f>-SUM(C6:C7)-C4</f>
        <v>350</v>
      </c>
    </row>
    <row r="8" spans="1:4" x14ac:dyDescent="0.25">
      <c r="B8" s="38" t="s">
        <v>519</v>
      </c>
      <c r="C8" s="165">
        <f>SUM(C5:C7)</f>
        <v>150</v>
      </c>
    </row>
    <row r="9" spans="1:4" x14ac:dyDescent="0.25">
      <c r="B9" s="363" t="s">
        <v>237</v>
      </c>
      <c r="C9" s="150">
        <f>-C8*40%</f>
        <v>-60</v>
      </c>
      <c r="D9" s="117">
        <f>-C9+D7</f>
        <v>410</v>
      </c>
    </row>
    <row r="10" spans="1:4" x14ac:dyDescent="0.25">
      <c r="B10" s="48" t="s">
        <v>520</v>
      </c>
      <c r="C10" s="149">
        <f>SUM(C8:C9)</f>
        <v>90</v>
      </c>
    </row>
    <row r="12" spans="1:4" x14ac:dyDescent="0.25">
      <c r="B12" s="396" t="s">
        <v>521</v>
      </c>
      <c r="C12" s="397">
        <v>900000</v>
      </c>
    </row>
    <row r="14" spans="1:4" x14ac:dyDescent="0.25">
      <c r="B14" s="366"/>
      <c r="C14" s="398" t="s">
        <v>522</v>
      </c>
    </row>
    <row r="15" spans="1:4" x14ac:dyDescent="0.25">
      <c r="B15" s="363" t="s">
        <v>523</v>
      </c>
      <c r="C15" s="45">
        <v>75000</v>
      </c>
    </row>
    <row r="16" spans="1:4" x14ac:dyDescent="0.25">
      <c r="B16" s="363" t="s">
        <v>524</v>
      </c>
      <c r="C16" s="45">
        <v>6000</v>
      </c>
    </row>
    <row r="17" spans="2:5" x14ac:dyDescent="0.25">
      <c r="B17" s="363" t="s">
        <v>525</v>
      </c>
      <c r="C17" s="45">
        <f>+C12*15%/12</f>
        <v>11250</v>
      </c>
    </row>
    <row r="18" spans="2:5" x14ac:dyDescent="0.25">
      <c r="B18" s="365" t="s">
        <v>526</v>
      </c>
      <c r="C18" s="121">
        <v>24000</v>
      </c>
    </row>
    <row r="20" spans="2:5" x14ac:dyDescent="0.25">
      <c r="B20" s="368"/>
      <c r="C20" s="369" t="s">
        <v>527</v>
      </c>
    </row>
    <row r="21" spans="2:5" x14ac:dyDescent="0.25">
      <c r="B21" s="399" t="s">
        <v>503</v>
      </c>
      <c r="C21" s="400">
        <f>+C15/C8</f>
        <v>500</v>
      </c>
      <c r="D21" s="481" t="s">
        <v>35</v>
      </c>
      <c r="E21" s="478"/>
    </row>
    <row r="22" spans="2:5" x14ac:dyDescent="0.25">
      <c r="B22" s="401" t="s">
        <v>504</v>
      </c>
      <c r="C22" s="402">
        <f>+C17/C10+C21</f>
        <v>625</v>
      </c>
      <c r="D22" s="482"/>
      <c r="E22" s="479"/>
    </row>
    <row r="23" spans="2:5" x14ac:dyDescent="0.25">
      <c r="B23" s="399" t="s">
        <v>505</v>
      </c>
      <c r="C23" s="400">
        <f>+(C15-C16)/C8</f>
        <v>460</v>
      </c>
      <c r="D23" s="481" t="s">
        <v>36</v>
      </c>
      <c r="E23" s="478"/>
    </row>
    <row r="24" spans="2:5" x14ac:dyDescent="0.25">
      <c r="B24" s="401" t="s">
        <v>506</v>
      </c>
      <c r="C24" s="402">
        <f>+(C18-C16)/C10+C21</f>
        <v>700</v>
      </c>
      <c r="D24" s="482"/>
      <c r="E24" s="479"/>
    </row>
    <row r="26" spans="2:5" x14ac:dyDescent="0.25">
      <c r="B26" s="371"/>
      <c r="C26" s="369" t="str">
        <f>+C20</f>
        <v>ton/mês</v>
      </c>
      <c r="D26" s="371" t="s">
        <v>508</v>
      </c>
    </row>
    <row r="27" spans="2:5" x14ac:dyDescent="0.25">
      <c r="B27" s="373" t="s">
        <v>507</v>
      </c>
      <c r="C27" s="374">
        <v>650</v>
      </c>
      <c r="D27" s="375"/>
    </row>
    <row r="28" spans="2:5" x14ac:dyDescent="0.25">
      <c r="B28" s="378" t="s">
        <v>509</v>
      </c>
      <c r="C28" s="379">
        <f>+C27-C21</f>
        <v>150</v>
      </c>
      <c r="D28" s="380">
        <f>+C28*C10</f>
        <v>13500</v>
      </c>
      <c r="E28" s="478" t="s">
        <v>35</v>
      </c>
    </row>
    <row r="29" spans="2:5" x14ac:dyDescent="0.25">
      <c r="B29" s="381" t="s">
        <v>510</v>
      </c>
      <c r="C29" s="382">
        <f>+C27-C22</f>
        <v>25</v>
      </c>
      <c r="D29" s="383">
        <f>+C29*C10</f>
        <v>2250</v>
      </c>
      <c r="E29" s="479"/>
    </row>
    <row r="30" spans="2:5" x14ac:dyDescent="0.25">
      <c r="B30" s="384" t="s">
        <v>511</v>
      </c>
      <c r="C30" s="379"/>
      <c r="D30" s="380"/>
      <c r="E30" s="478" t="s">
        <v>36</v>
      </c>
    </row>
    <row r="31" spans="2:5" x14ac:dyDescent="0.25">
      <c r="B31" s="385" t="s">
        <v>509</v>
      </c>
      <c r="C31" s="376">
        <f>+C27-C21</f>
        <v>150</v>
      </c>
      <c r="D31" s="377">
        <f>+C31*C10</f>
        <v>13500</v>
      </c>
      <c r="E31" s="480"/>
    </row>
    <row r="32" spans="2:5" x14ac:dyDescent="0.25">
      <c r="B32" s="385" t="s">
        <v>207</v>
      </c>
      <c r="C32" s="376">
        <f>+C21-C23</f>
        <v>40</v>
      </c>
      <c r="D32" s="377">
        <f>+C32*C8</f>
        <v>6000</v>
      </c>
      <c r="E32" s="480"/>
    </row>
    <row r="33" spans="2:5" x14ac:dyDescent="0.25">
      <c r="B33" s="386" t="s">
        <v>9</v>
      </c>
      <c r="C33" s="370"/>
      <c r="D33" s="372">
        <f>SUM(D31:D32)</f>
        <v>19500</v>
      </c>
      <c r="E33" s="480"/>
    </row>
    <row r="34" spans="2:5" x14ac:dyDescent="0.25">
      <c r="B34" s="387" t="s">
        <v>528</v>
      </c>
      <c r="C34" s="388">
        <f>+C24-C27</f>
        <v>50</v>
      </c>
      <c r="D34" s="389">
        <f>+C34*C10</f>
        <v>4500</v>
      </c>
      <c r="E34" s="479"/>
    </row>
  </sheetData>
  <mergeCells count="4">
    <mergeCell ref="D21:E22"/>
    <mergeCell ref="D23:E24"/>
    <mergeCell ref="E28:E29"/>
    <mergeCell ref="E30:E34"/>
  </mergeCells>
  <pageMargins left="0.511811024" right="0.511811024" top="0.78740157499999996" bottom="0.78740157499999996" header="0.31496062000000002" footer="0.31496062000000002"/>
  <pageSetup paperSize="9" scale="82" orientation="landscape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5"/>
  <sheetViews>
    <sheetView showGridLines="0" tabSelected="1" topLeftCell="A24" zoomScale="130" zoomScaleNormal="130" workbookViewId="0">
      <selection activeCell="C40" sqref="C40:D40"/>
    </sheetView>
  </sheetViews>
  <sheetFormatPr defaultColWidth="9.140625" defaultRowHeight="15" x14ac:dyDescent="0.25"/>
  <cols>
    <col min="1" max="1" width="2.140625" style="393" customWidth="1"/>
    <col min="2" max="2" width="36.42578125" style="393" customWidth="1"/>
    <col min="3" max="7" width="8.42578125" style="117" customWidth="1"/>
    <col min="8" max="8" width="8.42578125" style="393" customWidth="1"/>
    <col min="9" max="9" width="8.85546875" style="393" bestFit="1" customWidth="1"/>
    <col min="10" max="16384" width="9.140625" style="393"/>
  </cols>
  <sheetData>
    <row r="1" spans="1:6" s="117" customFormat="1" x14ac:dyDescent="0.25">
      <c r="A1" s="393"/>
    </row>
    <row r="2" spans="1:6" x14ac:dyDescent="0.25">
      <c r="B2" s="487"/>
      <c r="C2" s="488" t="s">
        <v>529</v>
      </c>
      <c r="D2" s="488" t="s">
        <v>530</v>
      </c>
      <c r="E2" s="488" t="s">
        <v>531</v>
      </c>
      <c r="F2" s="489" t="s">
        <v>9</v>
      </c>
    </row>
    <row r="3" spans="1:6" x14ac:dyDescent="0.25">
      <c r="B3" s="491" t="s">
        <v>532</v>
      </c>
      <c r="C3" s="492">
        <v>5000</v>
      </c>
      <c r="D3" s="492">
        <v>2000</v>
      </c>
      <c r="E3" s="492">
        <v>3000</v>
      </c>
      <c r="F3" s="495">
        <f>SUM(C3:E3)</f>
        <v>10000</v>
      </c>
    </row>
    <row r="4" spans="1:6" x14ac:dyDescent="0.25">
      <c r="B4" s="491" t="s">
        <v>537</v>
      </c>
      <c r="C4" s="494">
        <f>+C3/$F$3</f>
        <v>0.5</v>
      </c>
      <c r="D4" s="494">
        <f t="shared" ref="D4:E4" si="0">+D3/$F$3</f>
        <v>0.2</v>
      </c>
      <c r="E4" s="494">
        <f t="shared" si="0"/>
        <v>0.3</v>
      </c>
      <c r="F4" s="496">
        <f>SUM(C4:E4)</f>
        <v>1</v>
      </c>
    </row>
    <row r="5" spans="1:6" x14ac:dyDescent="0.25">
      <c r="B5" s="324" t="s">
        <v>533</v>
      </c>
      <c r="C5" s="485">
        <v>20</v>
      </c>
      <c r="D5" s="485">
        <v>50</v>
      </c>
      <c r="E5" s="485">
        <v>35</v>
      </c>
      <c r="F5" s="45"/>
    </row>
    <row r="6" spans="1:6" x14ac:dyDescent="0.25">
      <c r="B6" s="324" t="s">
        <v>534</v>
      </c>
      <c r="C6" s="485">
        <v>15</v>
      </c>
      <c r="D6" s="485">
        <v>25</v>
      </c>
      <c r="E6" s="485">
        <v>20</v>
      </c>
      <c r="F6" s="45"/>
    </row>
    <row r="7" spans="1:6" x14ac:dyDescent="0.25">
      <c r="B7" s="324" t="s">
        <v>548</v>
      </c>
      <c r="C7" s="485">
        <f>+C5-C6</f>
        <v>5</v>
      </c>
      <c r="D7" s="485">
        <f t="shared" ref="D7:E7" si="1">+D5-D6</f>
        <v>25</v>
      </c>
      <c r="E7" s="485">
        <f t="shared" si="1"/>
        <v>15</v>
      </c>
      <c r="F7" s="45"/>
    </row>
    <row r="8" spans="1:6" x14ac:dyDescent="0.25">
      <c r="B8" s="501" t="s">
        <v>535</v>
      </c>
      <c r="C8" s="502">
        <v>0.4</v>
      </c>
      <c r="D8" s="502"/>
      <c r="E8" s="502"/>
      <c r="F8" s="53"/>
    </row>
    <row r="9" spans="1:6" x14ac:dyDescent="0.25">
      <c r="B9" s="324" t="s">
        <v>536</v>
      </c>
      <c r="C9" s="486">
        <v>1080000</v>
      </c>
      <c r="D9" s="486"/>
      <c r="E9" s="486"/>
      <c r="F9" s="45"/>
    </row>
    <row r="10" spans="1:6" x14ac:dyDescent="0.25">
      <c r="B10" s="324" t="s">
        <v>543</v>
      </c>
      <c r="C10" s="484"/>
      <c r="D10" s="484">
        <f>C9/12</f>
        <v>90000</v>
      </c>
      <c r="E10" s="484"/>
      <c r="F10" s="45"/>
    </row>
    <row r="11" spans="1:6" x14ac:dyDescent="0.25">
      <c r="B11" s="324" t="s">
        <v>521</v>
      </c>
      <c r="C11" s="484"/>
      <c r="D11" s="484">
        <v>800000</v>
      </c>
      <c r="E11" s="484"/>
      <c r="F11" s="45"/>
    </row>
    <row r="12" spans="1:6" x14ac:dyDescent="0.25">
      <c r="B12" s="324" t="s">
        <v>544</v>
      </c>
      <c r="C12" s="484"/>
      <c r="D12" s="484">
        <f>+D11*0.216</f>
        <v>172800</v>
      </c>
      <c r="E12" s="484"/>
      <c r="F12" s="45"/>
    </row>
    <row r="13" spans="1:6" x14ac:dyDescent="0.25">
      <c r="B13" s="324" t="s">
        <v>499</v>
      </c>
      <c r="C13" s="484"/>
      <c r="D13" s="484">
        <f>+D12/12</f>
        <v>14400</v>
      </c>
      <c r="E13" s="484"/>
      <c r="F13" s="45"/>
    </row>
    <row r="14" spans="1:6" x14ac:dyDescent="0.25">
      <c r="B14" s="324" t="s">
        <v>546</v>
      </c>
      <c r="C14" s="484"/>
      <c r="D14" s="484">
        <v>72000</v>
      </c>
      <c r="E14" s="484"/>
      <c r="F14" s="45"/>
    </row>
    <row r="15" spans="1:6" x14ac:dyDescent="0.25">
      <c r="B15" s="490" t="s">
        <v>547</v>
      </c>
      <c r="C15" s="503"/>
      <c r="D15" s="503">
        <f>+D14/12</f>
        <v>6000</v>
      </c>
      <c r="E15" s="503"/>
      <c r="F15" s="121"/>
    </row>
    <row r="16" spans="1:6" x14ac:dyDescent="0.25">
      <c r="B16" s="483"/>
      <c r="C16" s="484"/>
      <c r="D16" s="484"/>
      <c r="E16" s="484"/>
    </row>
    <row r="17" spans="2:7" x14ac:dyDescent="0.25">
      <c r="B17" s="394"/>
      <c r="C17" s="391" t="str">
        <f>+C2</f>
        <v>Camisas</v>
      </c>
      <c r="D17" s="391" t="str">
        <f>+D2</f>
        <v>Blusas</v>
      </c>
      <c r="E17" s="391" t="str">
        <f>+E2</f>
        <v>Calças</v>
      </c>
      <c r="F17" s="390" t="s">
        <v>538</v>
      </c>
    </row>
    <row r="18" spans="2:7" x14ac:dyDescent="0.25">
      <c r="B18" s="392" t="s">
        <v>539</v>
      </c>
      <c r="C18" s="497">
        <f>+C5*C4</f>
        <v>10</v>
      </c>
      <c r="D18" s="497">
        <f>+D5*D4</f>
        <v>10</v>
      </c>
      <c r="E18" s="497">
        <f>+E5*E4</f>
        <v>10.5</v>
      </c>
      <c r="F18" s="498">
        <f>SUM(C18:E18)</f>
        <v>30.5</v>
      </c>
    </row>
    <row r="19" spans="2:7" x14ac:dyDescent="0.25">
      <c r="B19" s="392" t="s">
        <v>540</v>
      </c>
      <c r="C19" s="497">
        <f>+C6*C4</f>
        <v>7.5</v>
      </c>
      <c r="D19" s="497">
        <f t="shared" ref="D19:E19" si="2">+D6*D4</f>
        <v>5</v>
      </c>
      <c r="E19" s="497">
        <f t="shared" si="2"/>
        <v>6</v>
      </c>
      <c r="F19" s="498">
        <f>SUM(C19:E19)</f>
        <v>18.5</v>
      </c>
    </row>
    <row r="20" spans="2:7" x14ac:dyDescent="0.25">
      <c r="B20" s="38" t="s">
        <v>541</v>
      </c>
      <c r="C20" s="292"/>
      <c r="D20" s="292"/>
      <c r="E20" s="292"/>
      <c r="F20" s="498">
        <f>+F18-F19</f>
        <v>12</v>
      </c>
    </row>
    <row r="21" spans="2:7" x14ac:dyDescent="0.25">
      <c r="B21" s="392" t="s">
        <v>237</v>
      </c>
      <c r="F21" s="499">
        <f>F20*C8</f>
        <v>4.8000000000000007</v>
      </c>
    </row>
    <row r="22" spans="2:7" x14ac:dyDescent="0.25">
      <c r="B22" s="48" t="s">
        <v>542</v>
      </c>
      <c r="C22" s="120"/>
      <c r="D22" s="120"/>
      <c r="E22" s="120"/>
      <c r="F22" s="500">
        <f>+F20-F21</f>
        <v>7.1999999999999993</v>
      </c>
    </row>
    <row r="24" spans="2:7" x14ac:dyDescent="0.25">
      <c r="B24" s="368"/>
      <c r="C24" s="369" t="s">
        <v>545</v>
      </c>
    </row>
    <row r="25" spans="2:7" x14ac:dyDescent="0.25">
      <c r="B25" s="399" t="s">
        <v>503</v>
      </c>
      <c r="C25" s="400">
        <f>+D10/F20</f>
        <v>7500</v>
      </c>
      <c r="D25" s="481" t="s">
        <v>35</v>
      </c>
      <c r="E25" s="478"/>
    </row>
    <row r="26" spans="2:7" x14ac:dyDescent="0.25">
      <c r="B26" s="401" t="s">
        <v>504</v>
      </c>
      <c r="C26" s="402">
        <f>+D13/F22+C25</f>
        <v>9500</v>
      </c>
      <c r="D26" s="482"/>
      <c r="E26" s="479"/>
    </row>
    <row r="27" spans="2:7" x14ac:dyDescent="0.25">
      <c r="B27" s="504" t="s">
        <v>505</v>
      </c>
      <c r="C27" s="505">
        <f>+(D10-D15)/F20</f>
        <v>7000</v>
      </c>
      <c r="D27" s="506" t="s">
        <v>36</v>
      </c>
      <c r="E27" s="507"/>
    </row>
    <row r="29" spans="2:7" x14ac:dyDescent="0.25">
      <c r="B29" s="371"/>
      <c r="C29" s="369" t="str">
        <f>+C24</f>
        <v>peças/mês</v>
      </c>
      <c r="D29" s="371" t="s">
        <v>508</v>
      </c>
    </row>
    <row r="30" spans="2:7" x14ac:dyDescent="0.25">
      <c r="B30" s="509" t="s">
        <v>507</v>
      </c>
      <c r="C30" s="510">
        <v>10000</v>
      </c>
      <c r="D30" s="395"/>
    </row>
    <row r="31" spans="2:7" ht="15" customHeight="1" x14ac:dyDescent="0.25">
      <c r="B31" s="378" t="s">
        <v>509</v>
      </c>
      <c r="C31" s="379">
        <f>+C30-C25</f>
        <v>2500</v>
      </c>
      <c r="D31" s="380">
        <f>+C31*$F$22</f>
        <v>18000</v>
      </c>
      <c r="E31" s="481" t="s">
        <v>35</v>
      </c>
      <c r="F31" s="481"/>
      <c r="G31" s="478"/>
    </row>
    <row r="32" spans="2:7" x14ac:dyDescent="0.25">
      <c r="B32" s="381" t="s">
        <v>510</v>
      </c>
      <c r="C32" s="382">
        <f>+C30-C26</f>
        <v>500</v>
      </c>
      <c r="D32" s="383">
        <f>+C32*$F$22</f>
        <v>3599.9999999999995</v>
      </c>
      <c r="E32" s="482"/>
      <c r="F32" s="482"/>
      <c r="G32" s="479"/>
    </row>
    <row r="33" spans="2:10" ht="15" customHeight="1" x14ac:dyDescent="0.25">
      <c r="B33" s="511" t="s">
        <v>511</v>
      </c>
      <c r="C33" s="376"/>
      <c r="D33" s="377"/>
      <c r="E33" s="508" t="s">
        <v>36</v>
      </c>
      <c r="F33" s="508"/>
      <c r="G33" s="480"/>
    </row>
    <row r="34" spans="2:10" x14ac:dyDescent="0.25">
      <c r="B34" s="385" t="s">
        <v>509</v>
      </c>
      <c r="C34" s="376">
        <f>+C30-C25</f>
        <v>2500</v>
      </c>
      <c r="D34" s="377">
        <f>+C34*F22</f>
        <v>18000</v>
      </c>
      <c r="E34" s="508"/>
      <c r="F34" s="508"/>
      <c r="G34" s="480"/>
    </row>
    <row r="35" spans="2:10" x14ac:dyDescent="0.25">
      <c r="B35" s="385" t="s">
        <v>207</v>
      </c>
      <c r="C35" s="376">
        <f>+C25-C27</f>
        <v>500</v>
      </c>
      <c r="D35" s="377">
        <f>+C35*F20</f>
        <v>6000</v>
      </c>
      <c r="E35" s="508"/>
      <c r="F35" s="508"/>
      <c r="G35" s="480"/>
    </row>
    <row r="36" spans="2:10" x14ac:dyDescent="0.25">
      <c r="B36" s="387" t="s">
        <v>9</v>
      </c>
      <c r="C36" s="388"/>
      <c r="D36" s="403">
        <f>SUM(D34:D35)</f>
        <v>24000</v>
      </c>
      <c r="E36" s="482"/>
      <c r="F36" s="482"/>
      <c r="G36" s="479"/>
    </row>
    <row r="38" spans="2:10" x14ac:dyDescent="0.25">
      <c r="B38" s="513" t="s">
        <v>30</v>
      </c>
      <c r="C38" s="513"/>
      <c r="D38" s="513"/>
      <c r="E38" s="513"/>
      <c r="F38" s="513"/>
      <c r="G38" s="513"/>
      <c r="H38" s="513"/>
      <c r="I38" s="513"/>
    </row>
    <row r="39" spans="2:10" x14ac:dyDescent="0.25">
      <c r="B39" s="512" t="s">
        <v>549</v>
      </c>
      <c r="C39" s="523">
        <f>+C30</f>
        <v>10000</v>
      </c>
      <c r="D39" s="523"/>
      <c r="E39" s="523"/>
      <c r="F39" s="523"/>
      <c r="G39" s="523"/>
      <c r="H39" s="523"/>
      <c r="I39" s="523"/>
    </row>
    <row r="40" spans="2:10" x14ac:dyDescent="0.25">
      <c r="B40" s="514"/>
      <c r="C40" s="516" t="str">
        <f>+C2</f>
        <v>Camisas</v>
      </c>
      <c r="D40" s="516"/>
      <c r="E40" s="516" t="str">
        <f t="shared" ref="E40" si="3">+D2</f>
        <v>Blusas</v>
      </c>
      <c r="F40" s="516"/>
      <c r="G40" s="516" t="str">
        <f>+E2</f>
        <v>Calças</v>
      </c>
      <c r="H40" s="516"/>
      <c r="I40" s="515" t="str">
        <f>+F2</f>
        <v>TOTAL</v>
      </c>
      <c r="J40" s="117"/>
    </row>
    <row r="41" spans="2:10" x14ac:dyDescent="0.25">
      <c r="B41" s="512" t="s">
        <v>550</v>
      </c>
      <c r="C41" s="520">
        <f>+$C$39*C4</f>
        <v>5000</v>
      </c>
      <c r="D41" s="520"/>
      <c r="E41" s="520">
        <f t="shared" ref="E41" si="4">+$C$39*D4</f>
        <v>2000</v>
      </c>
      <c r="F41" s="520"/>
      <c r="G41" s="520">
        <f>+$C$39*E4</f>
        <v>3000</v>
      </c>
      <c r="H41" s="520"/>
      <c r="I41" s="493">
        <f>SUM(C41:G41)</f>
        <v>10000</v>
      </c>
      <c r="J41" s="117"/>
    </row>
    <row r="42" spans="2:10" x14ac:dyDescent="0.25">
      <c r="B42" s="517"/>
      <c r="C42" s="518" t="s">
        <v>421</v>
      </c>
      <c r="D42" s="518" t="s">
        <v>551</v>
      </c>
      <c r="E42" s="518" t="s">
        <v>421</v>
      </c>
      <c r="F42" s="518" t="s">
        <v>551</v>
      </c>
      <c r="G42" s="518" t="s">
        <v>421</v>
      </c>
      <c r="H42" s="518" t="s">
        <v>551</v>
      </c>
      <c r="I42" s="518" t="s">
        <v>551</v>
      </c>
      <c r="J42" s="117"/>
    </row>
    <row r="43" spans="2:10" x14ac:dyDescent="0.25">
      <c r="B43" s="367" t="s">
        <v>55</v>
      </c>
      <c r="C43" s="519">
        <f>+C5</f>
        <v>20</v>
      </c>
      <c r="D43" s="174">
        <f>+C43*$C$41</f>
        <v>100000</v>
      </c>
      <c r="E43" s="519">
        <f>+D5</f>
        <v>50</v>
      </c>
      <c r="F43" s="174">
        <f>+E43*$E$41</f>
        <v>100000</v>
      </c>
      <c r="G43" s="519">
        <f>+E5</f>
        <v>35</v>
      </c>
      <c r="H43" s="174">
        <f>+G43*$G$41</f>
        <v>105000</v>
      </c>
      <c r="I43" s="372">
        <f>+D43+F43+H43</f>
        <v>305000</v>
      </c>
      <c r="J43" s="117"/>
    </row>
    <row r="44" spans="2:10" x14ac:dyDescent="0.25">
      <c r="B44" s="367" t="s">
        <v>552</v>
      </c>
      <c r="C44" s="519">
        <f>-C6</f>
        <v>-15</v>
      </c>
      <c r="D44" s="174">
        <f>+C44*$C$41</f>
        <v>-75000</v>
      </c>
      <c r="E44" s="519">
        <f>-D6</f>
        <v>-25</v>
      </c>
      <c r="F44" s="174">
        <f>+E44*$E$41</f>
        <v>-50000</v>
      </c>
      <c r="G44" s="519">
        <f>-E6</f>
        <v>-20</v>
      </c>
      <c r="H44" s="174">
        <f>+G44*$G$41</f>
        <v>-60000</v>
      </c>
      <c r="I44" s="372">
        <f>+D44+F44+H44</f>
        <v>-185000</v>
      </c>
      <c r="J44" s="117"/>
    </row>
    <row r="45" spans="2:10" x14ac:dyDescent="0.25">
      <c r="B45" s="521" t="s">
        <v>553</v>
      </c>
      <c r="C45" s="522">
        <f>SUM(C43:C44)</f>
        <v>5</v>
      </c>
      <c r="D45" s="372">
        <f>SUM(D43:D44)</f>
        <v>25000</v>
      </c>
      <c r="E45" s="522">
        <f>SUM(E43:E44)</f>
        <v>25</v>
      </c>
      <c r="F45" s="372">
        <f>SUM(F43:F44)</f>
        <v>50000</v>
      </c>
      <c r="G45" s="522">
        <f>SUM(G43:G44)</f>
        <v>15</v>
      </c>
      <c r="H45" s="372">
        <f>SUM(H43:H44)</f>
        <v>45000</v>
      </c>
      <c r="I45" s="372">
        <f>+D45+F45+H45</f>
        <v>120000</v>
      </c>
      <c r="J45" s="117"/>
    </row>
    <row r="46" spans="2:10" x14ac:dyDescent="0.25">
      <c r="B46" s="367" t="s">
        <v>554</v>
      </c>
      <c r="C46" s="519"/>
      <c r="D46" s="174"/>
      <c r="E46" s="519"/>
      <c r="F46" s="174"/>
      <c r="G46" s="519"/>
      <c r="H46" s="174"/>
      <c r="I46" s="174">
        <f>-D10</f>
        <v>-90000</v>
      </c>
      <c r="J46" s="117"/>
    </row>
    <row r="47" spans="2:10" x14ac:dyDescent="0.25">
      <c r="B47" s="521" t="s">
        <v>555</v>
      </c>
      <c r="C47" s="372"/>
      <c r="D47" s="372"/>
      <c r="E47" s="372"/>
      <c r="F47" s="372"/>
      <c r="G47" s="372"/>
      <c r="H47" s="372"/>
      <c r="I47" s="372">
        <f>SUM(I45:I46)</f>
        <v>30000</v>
      </c>
      <c r="J47" s="117"/>
    </row>
    <row r="48" spans="2:10" x14ac:dyDescent="0.25">
      <c r="B48" s="367" t="s">
        <v>237</v>
      </c>
      <c r="C48" s="519"/>
      <c r="D48" s="174"/>
      <c r="E48" s="519"/>
      <c r="F48" s="174"/>
      <c r="G48" s="519"/>
      <c r="H48" s="174"/>
      <c r="I48" s="174">
        <f>IF(I47&gt;0,-I47*C8,0)</f>
        <v>-12000</v>
      </c>
    </row>
    <row r="49" spans="2:9" x14ac:dyDescent="0.25">
      <c r="B49" s="521" t="s">
        <v>556</v>
      </c>
      <c r="C49" s="372"/>
      <c r="D49" s="372"/>
      <c r="E49" s="372"/>
      <c r="F49" s="372"/>
      <c r="G49" s="372"/>
      <c r="H49" s="372"/>
      <c r="I49" s="372">
        <f>SUM(I47:I48)</f>
        <v>18000</v>
      </c>
    </row>
    <row r="50" spans="2:9" x14ac:dyDescent="0.25">
      <c r="B50" s="367" t="s">
        <v>557</v>
      </c>
      <c r="C50" s="519"/>
      <c r="D50" s="174"/>
      <c r="E50" s="519"/>
      <c r="F50" s="174"/>
      <c r="G50" s="519"/>
      <c r="H50" s="174"/>
      <c r="I50" s="174">
        <f>-D13</f>
        <v>-14400</v>
      </c>
    </row>
    <row r="51" spans="2:9" x14ac:dyDescent="0.25">
      <c r="B51" s="521" t="s">
        <v>558</v>
      </c>
      <c r="C51" s="372"/>
      <c r="D51" s="372"/>
      <c r="E51" s="372"/>
      <c r="F51" s="372"/>
      <c r="G51" s="372"/>
      <c r="H51" s="372"/>
      <c r="I51" s="372">
        <f>SUM(I49:I50)</f>
        <v>3600</v>
      </c>
    </row>
    <row r="53" spans="2:9" x14ac:dyDescent="0.25">
      <c r="B53" s="521" t="s">
        <v>560</v>
      </c>
      <c r="C53" s="372"/>
      <c r="D53" s="372"/>
      <c r="E53" s="372"/>
      <c r="F53" s="372"/>
      <c r="G53" s="372"/>
      <c r="H53" s="372"/>
      <c r="I53" s="372">
        <f>+I49</f>
        <v>18000</v>
      </c>
    </row>
    <row r="54" spans="2:9" x14ac:dyDescent="0.25">
      <c r="B54" s="367" t="s">
        <v>559</v>
      </c>
      <c r="C54" s="519"/>
      <c r="D54" s="174"/>
      <c r="E54" s="519"/>
      <c r="F54" s="174"/>
      <c r="G54" s="519"/>
      <c r="H54" s="174"/>
      <c r="I54" s="174">
        <f>+D15</f>
        <v>6000</v>
      </c>
    </row>
    <row r="55" spans="2:9" x14ac:dyDescent="0.25">
      <c r="B55" s="521" t="s">
        <v>561</v>
      </c>
      <c r="C55" s="372"/>
      <c r="D55" s="372"/>
      <c r="E55" s="372"/>
      <c r="F55" s="372"/>
      <c r="G55" s="372"/>
      <c r="H55" s="372"/>
      <c r="I55" s="372">
        <f>SUM(I53:I54)</f>
        <v>24000</v>
      </c>
    </row>
  </sheetData>
  <mergeCells count="14">
    <mergeCell ref="C39:I39"/>
    <mergeCell ref="C40:D40"/>
    <mergeCell ref="E40:F40"/>
    <mergeCell ref="G40:H40"/>
    <mergeCell ref="C41:D41"/>
    <mergeCell ref="E41:F41"/>
    <mergeCell ref="G41:H41"/>
    <mergeCell ref="E31:G32"/>
    <mergeCell ref="E33:G36"/>
    <mergeCell ref="B38:I38"/>
    <mergeCell ref="C8:E8"/>
    <mergeCell ref="C9:E9"/>
    <mergeCell ref="D25:E26"/>
    <mergeCell ref="D27:E27"/>
  </mergeCells>
  <pageMargins left="0.511811024" right="0.511811024" top="0.78740157499999996" bottom="0.78740157499999996" header="0.31496062000000002" footer="0.31496062000000002"/>
  <pageSetup paperSize="9" scale="82" orientation="landscape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28"/>
  <sheetViews>
    <sheetView showGridLines="0" zoomScale="110" zoomScaleNormal="110" workbookViewId="0">
      <selection activeCell="E24" sqref="E24"/>
    </sheetView>
  </sheetViews>
  <sheetFormatPr defaultColWidth="9.140625" defaultRowHeight="15" outlineLevelRow="1" x14ac:dyDescent="0.25"/>
  <cols>
    <col min="1" max="1" width="1.42578125" style="30" customWidth="1"/>
    <col min="2" max="2" width="47" style="30" customWidth="1"/>
    <col min="3" max="5" width="11" style="30" customWidth="1"/>
    <col min="6" max="6" width="16" style="30" customWidth="1"/>
    <col min="7" max="8" width="9.140625" style="30" customWidth="1"/>
    <col min="9" max="16384" width="9.140625" style="30"/>
  </cols>
  <sheetData>
    <row r="2" spans="2:7" x14ac:dyDescent="0.25">
      <c r="B2" s="29" t="s">
        <v>45</v>
      </c>
    </row>
    <row r="3" spans="2:7" x14ac:dyDescent="0.25">
      <c r="B3" s="31" t="s">
        <v>46</v>
      </c>
      <c r="C3" s="30">
        <v>10000</v>
      </c>
    </row>
    <row r="4" spans="2:7" x14ac:dyDescent="0.25">
      <c r="B4" s="31" t="s">
        <v>47</v>
      </c>
      <c r="C4" s="30">
        <v>10000</v>
      </c>
    </row>
    <row r="5" spans="2:7" x14ac:dyDescent="0.25">
      <c r="B5" s="31" t="s">
        <v>48</v>
      </c>
      <c r="C5" s="30">
        <v>13000</v>
      </c>
    </row>
    <row r="6" spans="2:7" x14ac:dyDescent="0.25">
      <c r="B6" s="31" t="s">
        <v>49</v>
      </c>
      <c r="C6" s="32">
        <v>0.12</v>
      </c>
    </row>
    <row r="7" spans="2:7" x14ac:dyDescent="0.25">
      <c r="B7" s="31" t="s">
        <v>50</v>
      </c>
      <c r="C7" s="30">
        <v>12000</v>
      </c>
    </row>
    <row r="8" spans="2:7" x14ac:dyDescent="0.25">
      <c r="B8" s="31"/>
    </row>
    <row r="9" spans="2:7" outlineLevel="1" x14ac:dyDescent="0.25">
      <c r="B9" s="407" t="s">
        <v>11</v>
      </c>
      <c r="C9" s="33"/>
      <c r="D9" s="410" t="s">
        <v>51</v>
      </c>
      <c r="E9" s="408"/>
    </row>
    <row r="10" spans="2:7" outlineLevel="1" x14ac:dyDescent="0.25">
      <c r="B10" s="409"/>
      <c r="C10" s="34" t="s">
        <v>52</v>
      </c>
      <c r="D10" s="35" t="s">
        <v>53</v>
      </c>
      <c r="E10" s="36" t="s">
        <v>54</v>
      </c>
      <c r="F10" s="37"/>
      <c r="G10" s="37"/>
    </row>
    <row r="11" spans="2:7" outlineLevel="1" x14ac:dyDescent="0.25">
      <c r="B11" s="38" t="s">
        <v>55</v>
      </c>
      <c r="C11" s="39">
        <f>+C5</f>
        <v>13000</v>
      </c>
      <c r="D11" s="40">
        <v>13000</v>
      </c>
      <c r="E11" s="41">
        <v>13000</v>
      </c>
      <c r="F11" s="37"/>
    </row>
    <row r="12" spans="2:7" outlineLevel="1" x14ac:dyDescent="0.25">
      <c r="B12" s="42" t="s">
        <v>56</v>
      </c>
      <c r="C12" s="43">
        <f>-C4</f>
        <v>-10000</v>
      </c>
      <c r="D12" s="44">
        <f>+C12*(1+C6)</f>
        <v>-11200.000000000002</v>
      </c>
      <c r="E12" s="45">
        <f>-C7</f>
        <v>-12000</v>
      </c>
    </row>
    <row r="13" spans="2:7" outlineLevel="1" x14ac:dyDescent="0.25">
      <c r="B13" s="38" t="s">
        <v>32</v>
      </c>
      <c r="C13" s="39">
        <f>SUM(C11:C12)</f>
        <v>3000</v>
      </c>
      <c r="D13" s="40">
        <f t="shared" ref="D13:E13" si="0">SUM(D11:D12)</f>
        <v>1799.9999999999982</v>
      </c>
      <c r="E13" s="41">
        <f t="shared" si="0"/>
        <v>1000</v>
      </c>
      <c r="F13" s="37"/>
      <c r="G13" s="37"/>
    </row>
    <row r="14" spans="2:7" outlineLevel="1" x14ac:dyDescent="0.25">
      <c r="B14" s="46" t="s">
        <v>57</v>
      </c>
      <c r="C14" s="39"/>
      <c r="D14" s="40"/>
      <c r="E14" s="47">
        <v>800</v>
      </c>
      <c r="F14" s="37"/>
      <c r="G14" s="37"/>
    </row>
    <row r="15" spans="2:7" outlineLevel="1" x14ac:dyDescent="0.25">
      <c r="B15" s="42"/>
      <c r="C15" s="43"/>
      <c r="D15" s="44"/>
      <c r="E15" s="45"/>
    </row>
    <row r="16" spans="2:7" outlineLevel="1" x14ac:dyDescent="0.25">
      <c r="B16" s="48" t="s">
        <v>34</v>
      </c>
      <c r="C16" s="49">
        <f>SUM(C13:C15)</f>
        <v>3000</v>
      </c>
      <c r="D16" s="50">
        <f t="shared" ref="D16:E16" si="1">SUM(D13:D15)</f>
        <v>1799.9999999999982</v>
      </c>
      <c r="E16" s="51">
        <f t="shared" si="1"/>
        <v>1800</v>
      </c>
    </row>
    <row r="17" spans="2:3" x14ac:dyDescent="0.25">
      <c r="B17" s="31"/>
    </row>
    <row r="18" spans="2:3" x14ac:dyDescent="0.25">
      <c r="B18" s="407" t="s">
        <v>58</v>
      </c>
      <c r="C18" s="408"/>
    </row>
    <row r="19" spans="2:3" x14ac:dyDescent="0.25">
      <c r="B19" s="411" t="s">
        <v>59</v>
      </c>
      <c r="C19" s="412"/>
    </row>
    <row r="20" spans="2:3" x14ac:dyDescent="0.25">
      <c r="B20" s="407" t="s">
        <v>4</v>
      </c>
      <c r="C20" s="408"/>
    </row>
    <row r="21" spans="2:3" x14ac:dyDescent="0.25">
      <c r="B21" s="42" t="s">
        <v>39</v>
      </c>
      <c r="C21" s="45">
        <v>13000</v>
      </c>
    </row>
    <row r="22" spans="2:3" x14ac:dyDescent="0.25">
      <c r="B22" s="42"/>
      <c r="C22" s="45"/>
    </row>
    <row r="23" spans="2:3" x14ac:dyDescent="0.25">
      <c r="B23" s="48" t="s">
        <v>9</v>
      </c>
      <c r="C23" s="51">
        <f>SUM(C21:C22)</f>
        <v>13000</v>
      </c>
    </row>
    <row r="24" spans="2:3" x14ac:dyDescent="0.25">
      <c r="B24" s="407" t="s">
        <v>60</v>
      </c>
      <c r="C24" s="408"/>
    </row>
    <row r="25" spans="2:3" x14ac:dyDescent="0.25">
      <c r="B25" s="42" t="s">
        <v>42</v>
      </c>
      <c r="C25" s="45">
        <f>++C3*(1+C6)</f>
        <v>11200.000000000002</v>
      </c>
    </row>
    <row r="26" spans="2:3" x14ac:dyDescent="0.25">
      <c r="B26" s="42" t="s">
        <v>61</v>
      </c>
      <c r="C26" s="45">
        <f>+E14</f>
        <v>800</v>
      </c>
    </row>
    <row r="27" spans="2:3" x14ac:dyDescent="0.25">
      <c r="B27" s="42" t="s">
        <v>62</v>
      </c>
      <c r="C27" s="45">
        <f>+C21+E12</f>
        <v>1000</v>
      </c>
    </row>
    <row r="28" spans="2:3" x14ac:dyDescent="0.25">
      <c r="B28" s="48" t="s">
        <v>9</v>
      </c>
      <c r="C28" s="51">
        <f>SUM(C25:C27)</f>
        <v>13000.000000000002</v>
      </c>
    </row>
  </sheetData>
  <mergeCells count="6">
    <mergeCell ref="B24:C24"/>
    <mergeCell ref="B9:B10"/>
    <mergeCell ref="D9:E9"/>
    <mergeCell ref="B18:C18"/>
    <mergeCell ref="B19:C19"/>
    <mergeCell ref="B20:C20"/>
  </mergeCells>
  <pageMargins left="0.511811024" right="0.511811024" top="0.78740157499999996" bottom="0.78740157499999996" header="0.31496062000000002" footer="0.31496062000000002"/>
  <pageSetup paperSize="9" orientation="portrait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25"/>
  <sheetViews>
    <sheetView showGridLines="0" zoomScale="110" zoomScaleNormal="110" workbookViewId="0">
      <selection activeCell="K17" sqref="K17"/>
    </sheetView>
  </sheetViews>
  <sheetFormatPr defaultColWidth="9.140625" defaultRowHeight="15" x14ac:dyDescent="0.25"/>
  <cols>
    <col min="1" max="1" width="1.42578125" style="30" customWidth="1"/>
    <col min="2" max="2" width="22.7109375" style="30" bestFit="1" customWidth="1"/>
    <col min="3" max="5" width="11" style="30" customWidth="1"/>
    <col min="6" max="6" width="16" style="30" customWidth="1"/>
    <col min="7" max="8" width="9.140625" style="30" customWidth="1"/>
    <col min="9" max="16384" width="9.140625" style="30"/>
  </cols>
  <sheetData>
    <row r="2" spans="2:7" x14ac:dyDescent="0.25">
      <c r="B2" s="52" t="s">
        <v>63</v>
      </c>
      <c r="C2" s="53"/>
    </row>
    <row r="3" spans="2:7" x14ac:dyDescent="0.25">
      <c r="B3" s="42" t="s">
        <v>64</v>
      </c>
      <c r="C3" s="54">
        <v>0.4</v>
      </c>
    </row>
    <row r="4" spans="2:7" x14ac:dyDescent="0.25">
      <c r="B4" s="55" t="s">
        <v>65</v>
      </c>
      <c r="C4" s="56">
        <v>0.1</v>
      </c>
    </row>
    <row r="5" spans="2:7" x14ac:dyDescent="0.25">
      <c r="B5" s="31"/>
    </row>
    <row r="6" spans="2:7" x14ac:dyDescent="0.25">
      <c r="B6" s="407" t="s">
        <v>11</v>
      </c>
      <c r="C6" s="33"/>
      <c r="D6" s="410" t="s">
        <v>66</v>
      </c>
      <c r="E6" s="408"/>
      <c r="F6" s="410" t="s">
        <v>51</v>
      </c>
      <c r="G6" s="408"/>
    </row>
    <row r="7" spans="2:7" x14ac:dyDescent="0.25">
      <c r="B7" s="409"/>
      <c r="C7" s="34" t="s">
        <v>52</v>
      </c>
      <c r="D7" s="35" t="s">
        <v>53</v>
      </c>
      <c r="E7" s="36" t="s">
        <v>54</v>
      </c>
      <c r="F7" s="35" t="s">
        <v>53</v>
      </c>
      <c r="G7" s="36" t="s">
        <v>54</v>
      </c>
    </row>
    <row r="8" spans="2:7" x14ac:dyDescent="0.25">
      <c r="B8" s="38" t="s">
        <v>55</v>
      </c>
      <c r="C8" s="39">
        <v>2500</v>
      </c>
      <c r="D8" s="40">
        <f>+C8</f>
        <v>2500</v>
      </c>
      <c r="E8" s="41">
        <f>+D8</f>
        <v>2500</v>
      </c>
      <c r="F8" s="40">
        <f>+D8*(1+$C$4)</f>
        <v>2750</v>
      </c>
      <c r="G8" s="41">
        <f>+E8*(1+$C$4)</f>
        <v>2750</v>
      </c>
    </row>
    <row r="9" spans="2:7" x14ac:dyDescent="0.25">
      <c r="B9" s="42" t="s">
        <v>56</v>
      </c>
      <c r="C9" s="43">
        <v>-1500</v>
      </c>
      <c r="D9" s="44">
        <f>+C9*(1+C3)</f>
        <v>-2100</v>
      </c>
      <c r="E9" s="45">
        <v>-2200</v>
      </c>
      <c r="F9" s="44">
        <f>+D9*(1+$C$4)</f>
        <v>-2310</v>
      </c>
      <c r="G9" s="45">
        <f>+E9*(1+$C$4)</f>
        <v>-2420</v>
      </c>
    </row>
    <row r="10" spans="2:7" x14ac:dyDescent="0.25">
      <c r="B10" s="38" t="s">
        <v>32</v>
      </c>
      <c r="C10" s="39">
        <f>SUM(C8:C9)</f>
        <v>1000</v>
      </c>
      <c r="D10" s="40">
        <f t="shared" ref="D10:G10" si="0">SUM(D8:D9)</f>
        <v>400</v>
      </c>
      <c r="E10" s="41">
        <f t="shared" si="0"/>
        <v>300</v>
      </c>
      <c r="F10" s="40">
        <f t="shared" si="0"/>
        <v>440</v>
      </c>
      <c r="G10" s="41">
        <f t="shared" si="0"/>
        <v>330</v>
      </c>
    </row>
    <row r="11" spans="2:7" x14ac:dyDescent="0.25">
      <c r="B11" s="46" t="s">
        <v>57</v>
      </c>
      <c r="C11" s="39"/>
      <c r="D11" s="40"/>
      <c r="E11" s="47">
        <v>100</v>
      </c>
      <c r="F11" s="40"/>
      <c r="G11" s="45">
        <f>+E11*(1+$C$4)</f>
        <v>110.00000000000001</v>
      </c>
    </row>
    <row r="12" spans="2:7" x14ac:dyDescent="0.25">
      <c r="B12" s="42" t="s">
        <v>67</v>
      </c>
      <c r="C12" s="43"/>
      <c r="D12" s="44"/>
      <c r="E12" s="45"/>
      <c r="F12" s="44">
        <f>+G12</f>
        <v>-250</v>
      </c>
      <c r="G12" s="45">
        <v>-250</v>
      </c>
    </row>
    <row r="13" spans="2:7" x14ac:dyDescent="0.25">
      <c r="B13" s="48" t="s">
        <v>34</v>
      </c>
      <c r="C13" s="49">
        <f>SUM(C10:C12)</f>
        <v>1000</v>
      </c>
      <c r="D13" s="50">
        <f t="shared" ref="D13:G13" si="1">SUM(D10:D12)</f>
        <v>400</v>
      </c>
      <c r="E13" s="51">
        <f t="shared" si="1"/>
        <v>400</v>
      </c>
      <c r="F13" s="50">
        <f t="shared" si="1"/>
        <v>190</v>
      </c>
      <c r="G13" s="51">
        <f t="shared" si="1"/>
        <v>190</v>
      </c>
    </row>
    <row r="14" spans="2:7" x14ac:dyDescent="0.25">
      <c r="B14" s="31"/>
    </row>
    <row r="15" spans="2:7" x14ac:dyDescent="0.25">
      <c r="B15" s="407" t="s">
        <v>58</v>
      </c>
      <c r="C15" s="408"/>
    </row>
    <row r="16" spans="2:7" x14ac:dyDescent="0.25">
      <c r="B16" s="411" t="s">
        <v>59</v>
      </c>
      <c r="C16" s="412"/>
    </row>
    <row r="17" spans="2:3" x14ac:dyDescent="0.25">
      <c r="B17" s="407" t="s">
        <v>4</v>
      </c>
      <c r="C17" s="408"/>
    </row>
    <row r="18" spans="2:3" x14ac:dyDescent="0.25">
      <c r="B18" s="42" t="s">
        <v>39</v>
      </c>
      <c r="C18" s="45">
        <f>+C8</f>
        <v>2500</v>
      </c>
    </row>
    <row r="19" spans="2:3" x14ac:dyDescent="0.25">
      <c r="B19" s="42"/>
      <c r="C19" s="45"/>
    </row>
    <row r="20" spans="2:3" x14ac:dyDescent="0.25">
      <c r="B20" s="48" t="s">
        <v>9</v>
      </c>
      <c r="C20" s="51">
        <f>SUM(C18:C19)</f>
        <v>2500</v>
      </c>
    </row>
    <row r="21" spans="2:3" x14ac:dyDescent="0.25">
      <c r="B21" s="407" t="s">
        <v>60</v>
      </c>
      <c r="C21" s="408"/>
    </row>
    <row r="22" spans="2:3" x14ac:dyDescent="0.25">
      <c r="B22" s="42" t="s">
        <v>42</v>
      </c>
      <c r="C22" s="45">
        <f>1500*(1+C3)*(1+C4)</f>
        <v>2310</v>
      </c>
    </row>
    <row r="23" spans="2:3" x14ac:dyDescent="0.25">
      <c r="B23" s="42" t="s">
        <v>61</v>
      </c>
      <c r="C23" s="45">
        <f>+G11</f>
        <v>110.00000000000001</v>
      </c>
    </row>
    <row r="24" spans="2:3" x14ac:dyDescent="0.25">
      <c r="B24" s="42" t="s">
        <v>62</v>
      </c>
      <c r="C24" s="45">
        <f>+C18+G9</f>
        <v>80</v>
      </c>
    </row>
    <row r="25" spans="2:3" x14ac:dyDescent="0.25">
      <c r="B25" s="48" t="s">
        <v>9</v>
      </c>
      <c r="C25" s="51">
        <f>SUM(C22:C24)</f>
        <v>2500</v>
      </c>
    </row>
  </sheetData>
  <mergeCells count="7">
    <mergeCell ref="B21:C21"/>
    <mergeCell ref="B6:B7"/>
    <mergeCell ref="D6:E6"/>
    <mergeCell ref="F6:G6"/>
    <mergeCell ref="B15:C15"/>
    <mergeCell ref="B16:C16"/>
    <mergeCell ref="B17:C17"/>
  </mergeCells>
  <pageMargins left="0.511811024" right="0.511811024" top="0.78740157499999996" bottom="0.78740157499999996" header="0.31496062000000002" footer="0.31496062000000002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showGridLines="0" topLeftCell="A16" zoomScale="150" zoomScaleNormal="150" workbookViewId="0">
      <selection activeCell="B17" sqref="B17:G23"/>
    </sheetView>
  </sheetViews>
  <sheetFormatPr defaultColWidth="9.140625" defaultRowHeight="15" x14ac:dyDescent="0.25"/>
  <cols>
    <col min="1" max="1" width="1.42578125" style="30" customWidth="1"/>
    <col min="2" max="2" width="22.7109375" style="30" bestFit="1" customWidth="1"/>
    <col min="3" max="5" width="11" style="30" customWidth="1"/>
    <col min="6" max="7" width="9.140625" style="30" customWidth="1"/>
    <col min="8" max="16384" width="9.140625" style="30"/>
  </cols>
  <sheetData>
    <row r="2" spans="2:5" x14ac:dyDescent="0.25">
      <c r="B2" s="425" t="s">
        <v>68</v>
      </c>
      <c r="C2" s="426"/>
      <c r="D2" s="426"/>
      <c r="E2" s="427"/>
    </row>
    <row r="3" spans="2:5" x14ac:dyDescent="0.25">
      <c r="B3" s="419" t="s">
        <v>69</v>
      </c>
      <c r="C3" s="420"/>
      <c r="D3" s="420"/>
      <c r="E3" s="421"/>
    </row>
    <row r="4" spans="2:5" x14ac:dyDescent="0.25">
      <c r="B4" s="422" t="s">
        <v>70</v>
      </c>
      <c r="C4" s="423"/>
      <c r="D4" s="423"/>
      <c r="E4" s="424"/>
    </row>
    <row r="6" spans="2:5" x14ac:dyDescent="0.25">
      <c r="B6" s="29" t="s">
        <v>71</v>
      </c>
    </row>
    <row r="7" spans="2:5" x14ac:dyDescent="0.25">
      <c r="B7" s="413" t="s">
        <v>72</v>
      </c>
      <c r="C7" s="414"/>
      <c r="D7" s="414"/>
      <c r="E7" s="415"/>
    </row>
    <row r="8" spans="2:5" x14ac:dyDescent="0.25">
      <c r="B8" s="416" t="s">
        <v>73</v>
      </c>
      <c r="C8" s="417"/>
      <c r="D8" s="417"/>
      <c r="E8" s="418"/>
    </row>
    <row r="10" spans="2:5" x14ac:dyDescent="0.25">
      <c r="B10" s="57" t="s">
        <v>74</v>
      </c>
      <c r="C10" s="58" t="s">
        <v>75</v>
      </c>
      <c r="D10" s="59" t="s">
        <v>76</v>
      </c>
    </row>
    <row r="11" spans="2:5" x14ac:dyDescent="0.25">
      <c r="B11" s="60" t="s">
        <v>77</v>
      </c>
      <c r="C11" s="61"/>
      <c r="D11" s="62">
        <v>50000</v>
      </c>
    </row>
    <row r="12" spans="2:5" x14ac:dyDescent="0.25">
      <c r="B12" s="60" t="s">
        <v>78</v>
      </c>
      <c r="C12" s="61">
        <f>40000+3000</f>
        <v>43000</v>
      </c>
      <c r="D12" s="62"/>
    </row>
    <row r="13" spans="2:5" x14ac:dyDescent="0.25">
      <c r="B13" s="60" t="s">
        <v>79</v>
      </c>
      <c r="C13" s="61">
        <v>10000</v>
      </c>
      <c r="D13" s="62"/>
    </row>
    <row r="14" spans="2:5" x14ac:dyDescent="0.25">
      <c r="B14" s="60" t="s">
        <v>39</v>
      </c>
      <c r="C14" s="61"/>
      <c r="D14" s="62">
        <v>3000</v>
      </c>
    </row>
    <row r="15" spans="2:5" x14ac:dyDescent="0.25">
      <c r="B15" s="63" t="s">
        <v>9</v>
      </c>
      <c r="C15" s="64">
        <f>+SUM(C11:C14)</f>
        <v>53000</v>
      </c>
      <c r="D15" s="65">
        <f>+SUM(D11:D14)</f>
        <v>53000</v>
      </c>
    </row>
    <row r="17" spans="2:7" ht="15" customHeight="1" x14ac:dyDescent="0.25">
      <c r="B17" s="425" t="s">
        <v>80</v>
      </c>
      <c r="C17" s="426"/>
      <c r="D17" s="426"/>
      <c r="E17" s="426"/>
      <c r="F17" s="426"/>
      <c r="G17" s="427"/>
    </row>
    <row r="18" spans="2:7" ht="15" customHeight="1" x14ac:dyDescent="0.25">
      <c r="B18" s="419" t="s">
        <v>81</v>
      </c>
      <c r="C18" s="420"/>
      <c r="D18" s="420"/>
      <c r="E18" s="420"/>
      <c r="F18" s="420"/>
      <c r="G18" s="421"/>
    </row>
    <row r="19" spans="2:7" ht="31.5" customHeight="1" x14ac:dyDescent="0.25">
      <c r="B19" s="419" t="s">
        <v>82</v>
      </c>
      <c r="C19" s="420"/>
      <c r="D19" s="420"/>
      <c r="E19" s="420"/>
      <c r="F19" s="420"/>
      <c r="G19" s="421"/>
    </row>
    <row r="20" spans="2:7" x14ac:dyDescent="0.25">
      <c r="B20" s="419" t="s">
        <v>83</v>
      </c>
      <c r="C20" s="420"/>
      <c r="D20" s="420"/>
      <c r="E20" s="420"/>
      <c r="F20" s="420"/>
      <c r="G20" s="421"/>
    </row>
    <row r="21" spans="2:7" x14ac:dyDescent="0.25">
      <c r="B21" s="419" t="s">
        <v>84</v>
      </c>
      <c r="C21" s="420"/>
      <c r="D21" s="420"/>
      <c r="E21" s="420"/>
      <c r="F21" s="420"/>
      <c r="G21" s="421"/>
    </row>
    <row r="22" spans="2:7" x14ac:dyDescent="0.25">
      <c r="B22" s="419" t="s">
        <v>85</v>
      </c>
      <c r="C22" s="420"/>
      <c r="D22" s="420"/>
      <c r="E22" s="420"/>
      <c r="F22" s="420"/>
      <c r="G22" s="421"/>
    </row>
    <row r="23" spans="2:7" x14ac:dyDescent="0.25">
      <c r="B23" s="422" t="s">
        <v>86</v>
      </c>
      <c r="C23" s="423"/>
      <c r="D23" s="423"/>
      <c r="E23" s="423"/>
      <c r="F23" s="423"/>
      <c r="G23" s="424"/>
    </row>
    <row r="25" spans="2:7" x14ac:dyDescent="0.25">
      <c r="B25" s="29" t="s">
        <v>71</v>
      </c>
    </row>
    <row r="26" spans="2:7" x14ac:dyDescent="0.25">
      <c r="B26" s="413" t="s">
        <v>87</v>
      </c>
      <c r="C26" s="414"/>
      <c r="D26" s="414"/>
      <c r="E26" s="415"/>
    </row>
    <row r="27" spans="2:7" x14ac:dyDescent="0.25">
      <c r="B27" s="416" t="s">
        <v>88</v>
      </c>
      <c r="C27" s="417"/>
      <c r="D27" s="417"/>
      <c r="E27" s="418"/>
    </row>
  </sheetData>
  <mergeCells count="14">
    <mergeCell ref="B18:G18"/>
    <mergeCell ref="B17:G17"/>
    <mergeCell ref="B2:E2"/>
    <mergeCell ref="B3:E3"/>
    <mergeCell ref="B4:E4"/>
    <mergeCell ref="B7:E7"/>
    <mergeCell ref="B8:E8"/>
    <mergeCell ref="B26:E26"/>
    <mergeCell ref="B27:E27"/>
    <mergeCell ref="B19:G19"/>
    <mergeCell ref="B20:G20"/>
    <mergeCell ref="B21:G21"/>
    <mergeCell ref="B22:G22"/>
    <mergeCell ref="B23:G23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7"/>
  <sheetViews>
    <sheetView showGridLines="0" topLeftCell="A52" zoomScale="150" zoomScaleNormal="150" workbookViewId="0">
      <selection activeCell="D49" sqref="D49"/>
    </sheetView>
  </sheetViews>
  <sheetFormatPr defaultColWidth="9.140625" defaultRowHeight="15" x14ac:dyDescent="0.25"/>
  <cols>
    <col min="1" max="1" width="1.42578125" style="30" customWidth="1"/>
    <col min="2" max="2" width="39.42578125" style="30" customWidth="1"/>
    <col min="3" max="5" width="11" style="30" customWidth="1"/>
    <col min="6" max="7" width="9.140625" style="30" customWidth="1"/>
    <col min="8" max="16384" width="9.140625" style="30"/>
  </cols>
  <sheetData>
    <row r="1" spans="2:4" ht="15.75" thickBot="1" x14ac:dyDescent="0.3"/>
    <row r="2" spans="2:4" ht="15.75" thickBot="1" x14ac:dyDescent="0.3">
      <c r="B2" s="429" t="s">
        <v>89</v>
      </c>
      <c r="C2" s="430"/>
      <c r="D2" s="73"/>
    </row>
    <row r="3" spans="2:4" x14ac:dyDescent="0.25">
      <c r="B3" s="74" t="s">
        <v>90</v>
      </c>
      <c r="C3" s="75">
        <v>70000</v>
      </c>
      <c r="D3" s="76" t="s">
        <v>108</v>
      </c>
    </row>
    <row r="4" spans="2:4" x14ac:dyDescent="0.25">
      <c r="B4" s="77" t="s">
        <v>91</v>
      </c>
      <c r="C4" s="78">
        <v>118000</v>
      </c>
      <c r="D4" s="76"/>
    </row>
    <row r="5" spans="2:4" x14ac:dyDescent="0.25">
      <c r="B5" s="77" t="s">
        <v>92</v>
      </c>
      <c r="C5" s="78">
        <v>30000</v>
      </c>
      <c r="D5" s="76" t="s">
        <v>108</v>
      </c>
    </row>
    <row r="6" spans="2:4" x14ac:dyDescent="0.25">
      <c r="B6" s="77" t="s">
        <v>93</v>
      </c>
      <c r="C6" s="78">
        <v>450000</v>
      </c>
      <c r="D6" s="76"/>
    </row>
    <row r="7" spans="2:4" x14ac:dyDescent="0.25">
      <c r="B7" s="77" t="s">
        <v>94</v>
      </c>
      <c r="C7" s="78">
        <v>6000</v>
      </c>
      <c r="D7" s="76" t="s">
        <v>108</v>
      </c>
    </row>
    <row r="8" spans="2:4" x14ac:dyDescent="0.25">
      <c r="B8" s="77" t="s">
        <v>95</v>
      </c>
      <c r="C8" s="78">
        <v>90000</v>
      </c>
      <c r="D8" s="76"/>
    </row>
    <row r="9" spans="2:4" x14ac:dyDescent="0.25">
      <c r="B9" s="77" t="s">
        <v>96</v>
      </c>
      <c r="C9" s="79">
        <v>800</v>
      </c>
      <c r="D9" s="76" t="s">
        <v>108</v>
      </c>
    </row>
    <row r="10" spans="2:4" x14ac:dyDescent="0.25">
      <c r="B10" s="77" t="s">
        <v>97</v>
      </c>
      <c r="C10" s="78">
        <v>50000</v>
      </c>
      <c r="D10" s="76"/>
    </row>
    <row r="11" spans="2:4" x14ac:dyDescent="0.25">
      <c r="B11" s="77" t="s">
        <v>98</v>
      </c>
      <c r="C11" s="78">
        <v>20000</v>
      </c>
      <c r="D11" s="76" t="s">
        <v>108</v>
      </c>
    </row>
    <row r="12" spans="2:4" x14ac:dyDescent="0.25">
      <c r="B12" s="77" t="s">
        <v>99</v>
      </c>
      <c r="C12" s="78">
        <v>4200</v>
      </c>
      <c r="D12" s="76" t="s">
        <v>108</v>
      </c>
    </row>
    <row r="13" spans="2:4" x14ac:dyDescent="0.25">
      <c r="B13" s="77" t="s">
        <v>100</v>
      </c>
      <c r="C13" s="78">
        <v>3000</v>
      </c>
      <c r="D13" s="76"/>
    </row>
    <row r="14" spans="2:4" ht="15.75" thickBot="1" x14ac:dyDescent="0.3">
      <c r="B14" s="80" t="s">
        <v>101</v>
      </c>
      <c r="C14" s="81">
        <v>19000</v>
      </c>
      <c r="D14" s="76" t="s">
        <v>108</v>
      </c>
    </row>
    <row r="15" spans="2:4" ht="15.75" thickBot="1" x14ac:dyDescent="0.3">
      <c r="B15" s="76"/>
      <c r="C15" s="76"/>
      <c r="D15" s="76"/>
    </row>
    <row r="16" spans="2:4" ht="15.75" thickBot="1" x14ac:dyDescent="0.3">
      <c r="B16" s="82" t="s">
        <v>102</v>
      </c>
      <c r="C16" s="83" t="s">
        <v>103</v>
      </c>
      <c r="D16" s="84" t="s">
        <v>104</v>
      </c>
    </row>
    <row r="17" spans="2:4" x14ac:dyDescent="0.25">
      <c r="B17" s="77" t="s">
        <v>105</v>
      </c>
      <c r="C17" s="78">
        <v>7000</v>
      </c>
      <c r="D17" s="85">
        <v>15000</v>
      </c>
    </row>
    <row r="18" spans="2:4" x14ac:dyDescent="0.25">
      <c r="B18" s="77" t="s">
        <v>106</v>
      </c>
      <c r="C18" s="78">
        <v>10000</v>
      </c>
      <c r="D18" s="85">
        <v>5000</v>
      </c>
    </row>
    <row r="19" spans="2:4" ht="15.75" thickBot="1" x14ac:dyDescent="0.3">
      <c r="B19" s="80" t="s">
        <v>107</v>
      </c>
      <c r="C19" s="81">
        <v>20000</v>
      </c>
      <c r="D19" s="86">
        <v>35000</v>
      </c>
    </row>
    <row r="21" spans="2:4" x14ac:dyDescent="0.25">
      <c r="B21" s="428" t="s">
        <v>109</v>
      </c>
      <c r="C21" s="428"/>
    </row>
    <row r="22" spans="2:4" x14ac:dyDescent="0.25">
      <c r="B22" s="88" t="s">
        <v>110</v>
      </c>
      <c r="C22" s="87">
        <f>+C17</f>
        <v>7000</v>
      </c>
    </row>
    <row r="23" spans="2:4" x14ac:dyDescent="0.25">
      <c r="B23" s="88" t="s">
        <v>111</v>
      </c>
      <c r="C23" s="87">
        <f>+C4</f>
        <v>118000</v>
      </c>
    </row>
    <row r="24" spans="2:4" x14ac:dyDescent="0.25">
      <c r="B24" s="88" t="s">
        <v>112</v>
      </c>
      <c r="C24" s="87">
        <f>-D17</f>
        <v>-15000</v>
      </c>
    </row>
    <row r="25" spans="2:4" x14ac:dyDescent="0.25">
      <c r="B25" s="91" t="s">
        <v>9</v>
      </c>
      <c r="C25" s="92">
        <f>SUM(C22:C24)</f>
        <v>110000</v>
      </c>
    </row>
    <row r="27" spans="2:4" x14ac:dyDescent="0.25">
      <c r="B27" s="428" t="s">
        <v>113</v>
      </c>
      <c r="C27" s="428"/>
    </row>
    <row r="28" spans="2:4" x14ac:dyDescent="0.25">
      <c r="B28" s="88" t="s">
        <v>119</v>
      </c>
      <c r="C28" s="87">
        <f>+C25</f>
        <v>110000</v>
      </c>
    </row>
    <row r="29" spans="2:4" x14ac:dyDescent="0.25">
      <c r="B29" s="88" t="s">
        <v>118</v>
      </c>
      <c r="C29" s="87">
        <f>+C3</f>
        <v>70000</v>
      </c>
    </row>
    <row r="30" spans="2:4" x14ac:dyDescent="0.25">
      <c r="B30" s="88" t="s">
        <v>120</v>
      </c>
      <c r="C30" s="87">
        <f>+C5</f>
        <v>30000</v>
      </c>
    </row>
    <row r="31" spans="2:4" x14ac:dyDescent="0.25">
      <c r="B31" s="88" t="s">
        <v>121</v>
      </c>
      <c r="C31" s="87">
        <f>+C7</f>
        <v>6000</v>
      </c>
    </row>
    <row r="32" spans="2:4" x14ac:dyDescent="0.25">
      <c r="B32" s="88" t="s">
        <v>122</v>
      </c>
      <c r="C32" s="87">
        <f>+C9</f>
        <v>800</v>
      </c>
    </row>
    <row r="33" spans="2:3" x14ac:dyDescent="0.25">
      <c r="B33" s="88" t="s">
        <v>123</v>
      </c>
      <c r="C33" s="87">
        <f>+C11</f>
        <v>20000</v>
      </c>
    </row>
    <row r="34" spans="2:3" x14ac:dyDescent="0.25">
      <c r="B34" s="88" t="s">
        <v>124</v>
      </c>
      <c r="C34" s="87">
        <f>+C12</f>
        <v>4200</v>
      </c>
    </row>
    <row r="35" spans="2:3" x14ac:dyDescent="0.25">
      <c r="B35" s="88" t="s">
        <v>125</v>
      </c>
      <c r="C35" s="87">
        <f>+C14</f>
        <v>19000</v>
      </c>
    </row>
    <row r="36" spans="2:3" x14ac:dyDescent="0.25">
      <c r="B36" s="91" t="s">
        <v>9</v>
      </c>
      <c r="C36" s="92">
        <f>SUM(C28:C35)</f>
        <v>260000</v>
      </c>
    </row>
    <row r="38" spans="2:3" x14ac:dyDescent="0.25">
      <c r="B38" s="428" t="s">
        <v>117</v>
      </c>
      <c r="C38" s="428"/>
    </row>
    <row r="39" spans="2:3" x14ac:dyDescent="0.25">
      <c r="B39" s="88" t="s">
        <v>114</v>
      </c>
      <c r="C39" s="87">
        <f>+C18</f>
        <v>10000</v>
      </c>
    </row>
    <row r="40" spans="2:3" x14ac:dyDescent="0.25">
      <c r="B40" s="88" t="s">
        <v>115</v>
      </c>
      <c r="C40" s="87">
        <f>+C36</f>
        <v>260000</v>
      </c>
    </row>
    <row r="41" spans="2:3" x14ac:dyDescent="0.25">
      <c r="B41" s="88" t="s">
        <v>116</v>
      </c>
      <c r="C41" s="87">
        <f>-D18</f>
        <v>-5000</v>
      </c>
    </row>
    <row r="42" spans="2:3" x14ac:dyDescent="0.25">
      <c r="B42" s="91" t="s">
        <v>9</v>
      </c>
      <c r="C42" s="92">
        <f>SUM(C39:C41)</f>
        <v>265000</v>
      </c>
    </row>
    <row r="44" spans="2:3" x14ac:dyDescent="0.25">
      <c r="B44" s="428" t="s">
        <v>126</v>
      </c>
      <c r="C44" s="428"/>
    </row>
    <row r="45" spans="2:3" x14ac:dyDescent="0.25">
      <c r="B45" s="88" t="s">
        <v>127</v>
      </c>
      <c r="C45" s="87">
        <f>+C19</f>
        <v>20000</v>
      </c>
    </row>
    <row r="46" spans="2:3" x14ac:dyDescent="0.25">
      <c r="B46" s="88" t="s">
        <v>128</v>
      </c>
      <c r="C46" s="87">
        <f>+C42</f>
        <v>265000</v>
      </c>
    </row>
    <row r="47" spans="2:3" x14ac:dyDescent="0.25">
      <c r="B47" s="88" t="s">
        <v>116</v>
      </c>
      <c r="C47" s="87">
        <f>-D19</f>
        <v>-35000</v>
      </c>
    </row>
    <row r="48" spans="2:3" x14ac:dyDescent="0.25">
      <c r="B48" s="91" t="s">
        <v>9</v>
      </c>
      <c r="C48" s="92">
        <f>SUM(C45:C47)</f>
        <v>250000</v>
      </c>
    </row>
    <row r="50" spans="2:3" x14ac:dyDescent="0.25">
      <c r="B50" s="428" t="s">
        <v>30</v>
      </c>
      <c r="C50" s="428"/>
    </row>
    <row r="51" spans="2:3" x14ac:dyDescent="0.25">
      <c r="B51" s="88" t="s">
        <v>55</v>
      </c>
      <c r="C51" s="87">
        <f>+C6</f>
        <v>450000</v>
      </c>
    </row>
    <row r="52" spans="2:3" x14ac:dyDescent="0.25">
      <c r="B52" s="88" t="s">
        <v>129</v>
      </c>
      <c r="C52" s="87">
        <f>-C48</f>
        <v>-250000</v>
      </c>
    </row>
    <row r="53" spans="2:3" x14ac:dyDescent="0.25">
      <c r="B53" s="89" t="s">
        <v>32</v>
      </c>
      <c r="C53" s="90">
        <f>SUM(C51:C52)</f>
        <v>200000</v>
      </c>
    </row>
    <row r="54" spans="2:3" x14ac:dyDescent="0.25">
      <c r="B54" s="88" t="s">
        <v>130</v>
      </c>
      <c r="C54" s="87">
        <f>-C8</f>
        <v>-90000</v>
      </c>
    </row>
    <row r="55" spans="2:3" x14ac:dyDescent="0.25">
      <c r="B55" s="88" t="s">
        <v>131</v>
      </c>
      <c r="C55" s="87">
        <f>-C10</f>
        <v>-50000</v>
      </c>
    </row>
    <row r="56" spans="2:3" x14ac:dyDescent="0.25">
      <c r="B56" s="88" t="s">
        <v>132</v>
      </c>
      <c r="C56" s="87">
        <f>-C13</f>
        <v>-3000</v>
      </c>
    </row>
    <row r="57" spans="2:3" x14ac:dyDescent="0.25">
      <c r="B57" s="91" t="s">
        <v>133</v>
      </c>
      <c r="C57" s="92">
        <f>SUM(C53:C56)</f>
        <v>57000</v>
      </c>
    </row>
  </sheetData>
  <mergeCells count="6">
    <mergeCell ref="B44:C44"/>
    <mergeCell ref="B50:C50"/>
    <mergeCell ref="B2:C2"/>
    <mergeCell ref="B21:C21"/>
    <mergeCell ref="B38:C38"/>
    <mergeCell ref="B27:C27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showGridLines="0" zoomScale="120" zoomScaleNormal="120" workbookViewId="0">
      <selection activeCell="G3" sqref="G3:G5"/>
    </sheetView>
  </sheetViews>
  <sheetFormatPr defaultColWidth="9.140625" defaultRowHeight="15" x14ac:dyDescent="0.25"/>
  <cols>
    <col min="1" max="1" width="1.42578125" style="30" customWidth="1"/>
    <col min="2" max="2" width="30.42578125" style="30" customWidth="1"/>
    <col min="3" max="5" width="11" style="30" customWidth="1"/>
    <col min="6" max="6" width="20.5703125" style="30" customWidth="1"/>
    <col min="7" max="7" width="19.140625" style="30" customWidth="1"/>
    <col min="8" max="8" width="9.140625" style="30"/>
    <col min="9" max="9" width="2.42578125" style="30" customWidth="1"/>
    <col min="10" max="16384" width="9.140625" style="30"/>
  </cols>
  <sheetData>
    <row r="2" spans="2:11" x14ac:dyDescent="0.25">
      <c r="B2" s="90" t="s">
        <v>134</v>
      </c>
      <c r="C2" s="90" t="s">
        <v>137</v>
      </c>
      <c r="D2" s="90" t="s">
        <v>138</v>
      </c>
      <c r="E2" s="101" t="s">
        <v>149</v>
      </c>
      <c r="F2" s="101" t="s">
        <v>150</v>
      </c>
      <c r="G2" s="101" t="s">
        <v>151</v>
      </c>
    </row>
    <row r="3" spans="2:11" x14ac:dyDescent="0.25">
      <c r="B3" s="93" t="s">
        <v>135</v>
      </c>
      <c r="C3" s="87">
        <v>20000</v>
      </c>
      <c r="D3" s="87" t="s">
        <v>139</v>
      </c>
      <c r="E3" s="102">
        <v>18</v>
      </c>
      <c r="F3" s="100">
        <f>+E3*C3</f>
        <v>360000</v>
      </c>
      <c r="G3" s="107">
        <f>+F3/$F$5</f>
        <v>0.66666666666666663</v>
      </c>
      <c r="H3" s="105"/>
      <c r="J3" s="104"/>
      <c r="K3" s="104"/>
    </row>
    <row r="4" spans="2:11" x14ac:dyDescent="0.25">
      <c r="B4" s="93" t="s">
        <v>136</v>
      </c>
      <c r="C4" s="87">
        <v>16000</v>
      </c>
      <c r="D4" s="87" t="s">
        <v>140</v>
      </c>
      <c r="E4" s="102">
        <v>11.25</v>
      </c>
      <c r="F4" s="100">
        <f t="shared" ref="F4" si="0">+E4*C4</f>
        <v>180000</v>
      </c>
      <c r="G4" s="107">
        <f t="shared" ref="G4" si="1">+F4/$F$5</f>
        <v>0.33333333333333331</v>
      </c>
      <c r="H4" s="105"/>
      <c r="J4" s="104"/>
      <c r="K4" s="104"/>
    </row>
    <row r="5" spans="2:11" x14ac:dyDescent="0.25">
      <c r="B5" s="93"/>
      <c r="C5" s="87"/>
      <c r="D5" s="87"/>
      <c r="E5" s="103">
        <f>SUM(E3:E4)</f>
        <v>29.25</v>
      </c>
      <c r="F5" s="101">
        <f>SUM(F3:F4)</f>
        <v>540000</v>
      </c>
      <c r="G5" s="108">
        <f>SUM(G3:G4)</f>
        <v>1</v>
      </c>
      <c r="H5" s="105"/>
    </row>
    <row r="8" spans="2:11" x14ac:dyDescent="0.25">
      <c r="B8" s="87"/>
      <c r="C8" s="90" t="s">
        <v>135</v>
      </c>
      <c r="D8" s="90" t="s">
        <v>136</v>
      </c>
      <c r="E8" s="90" t="s">
        <v>9</v>
      </c>
    </row>
    <row r="9" spans="2:11" x14ac:dyDescent="0.25">
      <c r="B9" s="97" t="s">
        <v>141</v>
      </c>
      <c r="C9" s="98">
        <f>12000*2</f>
        <v>24000</v>
      </c>
      <c r="D9" s="98">
        <f>8000*2</f>
        <v>16000</v>
      </c>
      <c r="E9" s="99">
        <f>SUM(C9:D9)</f>
        <v>40000</v>
      </c>
      <c r="F9" s="98" t="s">
        <v>142</v>
      </c>
    </row>
    <row r="10" spans="2:11" x14ac:dyDescent="0.25">
      <c r="B10" s="97" t="s">
        <v>118</v>
      </c>
      <c r="C10" s="98">
        <f>5*6000</f>
        <v>30000</v>
      </c>
      <c r="D10" s="98">
        <f>5*3000</f>
        <v>15000</v>
      </c>
      <c r="E10" s="99">
        <f t="shared" ref="E10:E16" si="2">SUM(C10:D10)</f>
        <v>45000</v>
      </c>
      <c r="F10" s="98" t="s">
        <v>142</v>
      </c>
    </row>
    <row r="11" spans="2:11" x14ac:dyDescent="0.25">
      <c r="B11" s="97" t="s">
        <v>152</v>
      </c>
      <c r="C11" s="98">
        <f>+(320000/400000)*12000</f>
        <v>9600</v>
      </c>
      <c r="D11" s="98">
        <f>+(320000/400000)*8000</f>
        <v>6400</v>
      </c>
      <c r="E11" s="99">
        <f t="shared" si="2"/>
        <v>16000</v>
      </c>
      <c r="F11" s="98" t="s">
        <v>142</v>
      </c>
    </row>
    <row r="12" spans="2:11" x14ac:dyDescent="0.25">
      <c r="B12" s="94" t="s">
        <v>143</v>
      </c>
      <c r="C12" s="95">
        <f>3600*$G$3</f>
        <v>2400</v>
      </c>
      <c r="D12" s="95">
        <f>3600*$G$4</f>
        <v>1200</v>
      </c>
      <c r="E12" s="96">
        <f t="shared" si="2"/>
        <v>3600</v>
      </c>
      <c r="F12" s="95" t="s">
        <v>148</v>
      </c>
    </row>
    <row r="13" spans="2:11" x14ac:dyDescent="0.25">
      <c r="B13" s="94" t="s">
        <v>144</v>
      </c>
      <c r="C13" s="95">
        <f>12000*$G$3</f>
        <v>8000</v>
      </c>
      <c r="D13" s="95">
        <f>12000*$G$4</f>
        <v>4000</v>
      </c>
      <c r="E13" s="96">
        <f t="shared" si="2"/>
        <v>12000</v>
      </c>
      <c r="F13" s="95" t="s">
        <v>148</v>
      </c>
    </row>
    <row r="14" spans="2:11" x14ac:dyDescent="0.25">
      <c r="B14" s="94" t="s">
        <v>145</v>
      </c>
      <c r="C14" s="95">
        <f>4500*$G$3</f>
        <v>3000</v>
      </c>
      <c r="D14" s="95">
        <f>4500*$G$4</f>
        <v>1500</v>
      </c>
      <c r="E14" s="96">
        <f t="shared" si="2"/>
        <v>4500</v>
      </c>
      <c r="F14" s="95" t="s">
        <v>148</v>
      </c>
    </row>
    <row r="15" spans="2:11" x14ac:dyDescent="0.25">
      <c r="B15" s="94" t="s">
        <v>146</v>
      </c>
      <c r="C15" s="95">
        <f>1500*$G$3</f>
        <v>1000</v>
      </c>
      <c r="D15" s="95">
        <f>1500*$G$4</f>
        <v>500</v>
      </c>
      <c r="E15" s="96">
        <f t="shared" si="2"/>
        <v>1500</v>
      </c>
      <c r="F15" s="95" t="s">
        <v>148</v>
      </c>
    </row>
    <row r="16" spans="2:11" x14ac:dyDescent="0.25">
      <c r="B16" s="94" t="s">
        <v>147</v>
      </c>
      <c r="C16" s="95">
        <f>2400*$G$3</f>
        <v>1600</v>
      </c>
      <c r="D16" s="95">
        <f>2400*$G$4</f>
        <v>800</v>
      </c>
      <c r="E16" s="96">
        <f t="shared" si="2"/>
        <v>2400</v>
      </c>
      <c r="F16" s="95" t="s">
        <v>148</v>
      </c>
    </row>
    <row r="17" spans="2:6" x14ac:dyDescent="0.25">
      <c r="B17" s="89" t="s">
        <v>9</v>
      </c>
      <c r="C17" s="90">
        <f>SUM(C9:C16)</f>
        <v>79600</v>
      </c>
      <c r="D17" s="90">
        <f t="shared" ref="D17:E17" si="3">SUM(D9:D16)</f>
        <v>45400</v>
      </c>
      <c r="E17" s="90">
        <f t="shared" si="3"/>
        <v>125000</v>
      </c>
      <c r="F17" s="37"/>
    </row>
    <row r="18" spans="2:6" x14ac:dyDescent="0.25">
      <c r="B18" s="31"/>
    </row>
    <row r="19" spans="2:6" x14ac:dyDescent="0.25">
      <c r="B19" s="431" t="s">
        <v>153</v>
      </c>
      <c r="C19" s="106">
        <f>+C17/C3</f>
        <v>3.98</v>
      </c>
      <c r="D19" s="106">
        <f>+D17/C4</f>
        <v>2.8374999999999999</v>
      </c>
    </row>
    <row r="20" spans="2:6" x14ac:dyDescent="0.25">
      <c r="B20" s="431"/>
      <c r="C20" s="106" t="s">
        <v>154</v>
      </c>
      <c r="D20" s="106" t="s">
        <v>155</v>
      </c>
    </row>
    <row r="21" spans="2:6" x14ac:dyDescent="0.25">
      <c r="B21" s="31"/>
    </row>
    <row r="22" spans="2:6" x14ac:dyDescent="0.25">
      <c r="B22" s="31"/>
    </row>
    <row r="23" spans="2:6" x14ac:dyDescent="0.25">
      <c r="B23" s="31"/>
    </row>
    <row r="24" spans="2:6" x14ac:dyDescent="0.25">
      <c r="B24" s="31"/>
    </row>
    <row r="25" spans="2:6" x14ac:dyDescent="0.25">
      <c r="B25" s="31"/>
    </row>
    <row r="26" spans="2:6" x14ac:dyDescent="0.25">
      <c r="B26" s="31"/>
    </row>
    <row r="27" spans="2:6" x14ac:dyDescent="0.25">
      <c r="B27" s="31"/>
    </row>
    <row r="28" spans="2:6" x14ac:dyDescent="0.25">
      <c r="B28" s="31"/>
    </row>
    <row r="29" spans="2:6" x14ac:dyDescent="0.25">
      <c r="B29" s="31"/>
    </row>
    <row r="30" spans="2:6" x14ac:dyDescent="0.25">
      <c r="B30" s="31"/>
    </row>
    <row r="31" spans="2:6" x14ac:dyDescent="0.25">
      <c r="B31" s="31"/>
    </row>
    <row r="32" spans="2:6" x14ac:dyDescent="0.25">
      <c r="B32" s="31"/>
    </row>
  </sheetData>
  <mergeCells count="1">
    <mergeCell ref="B19:B20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showGridLines="0" topLeftCell="A4" zoomScale="120" zoomScaleNormal="120" workbookViewId="0">
      <selection activeCell="B16" sqref="B16"/>
    </sheetView>
  </sheetViews>
  <sheetFormatPr defaultColWidth="9.140625" defaultRowHeight="15" x14ac:dyDescent="0.25"/>
  <cols>
    <col min="1" max="1" width="1.42578125" style="30" customWidth="1"/>
    <col min="2" max="2" width="49" style="30" bestFit="1" customWidth="1"/>
    <col min="3" max="4" width="14.7109375" style="30" customWidth="1"/>
    <col min="5" max="5" width="19.140625" style="30" customWidth="1"/>
    <col min="6" max="6" width="9.140625" style="30"/>
    <col min="7" max="7" width="2.42578125" style="30" customWidth="1"/>
    <col min="8" max="16384" width="9.140625" style="30"/>
  </cols>
  <sheetData>
    <row r="2" spans="2:5" x14ac:dyDescent="0.25">
      <c r="B2" s="113"/>
      <c r="C2" s="109" t="s">
        <v>185</v>
      </c>
      <c r="D2" s="109" t="s">
        <v>186</v>
      </c>
      <c r="E2" s="109" t="s">
        <v>187</v>
      </c>
    </row>
    <row r="3" spans="2:5" x14ac:dyDescent="0.25">
      <c r="B3" s="110" t="s">
        <v>157</v>
      </c>
      <c r="C3" s="112">
        <v>98400</v>
      </c>
      <c r="D3" s="112"/>
      <c r="E3" s="112" t="s">
        <v>4</v>
      </c>
    </row>
    <row r="4" spans="2:5" x14ac:dyDescent="0.25">
      <c r="B4" s="110" t="s">
        <v>158</v>
      </c>
      <c r="C4" s="112">
        <v>161600</v>
      </c>
      <c r="D4" s="112"/>
      <c r="E4" s="112" t="s">
        <v>4</v>
      </c>
    </row>
    <row r="5" spans="2:5" x14ac:dyDescent="0.25">
      <c r="B5" s="110" t="s">
        <v>159</v>
      </c>
      <c r="C5" s="112">
        <v>390000</v>
      </c>
      <c r="D5" s="112"/>
      <c r="E5" s="112" t="s">
        <v>4</v>
      </c>
    </row>
    <row r="6" spans="2:5" x14ac:dyDescent="0.25">
      <c r="B6" s="110" t="s">
        <v>160</v>
      </c>
      <c r="C6" s="112">
        <v>97500</v>
      </c>
      <c r="D6" s="112"/>
      <c r="E6" s="112" t="s">
        <v>4</v>
      </c>
    </row>
    <row r="7" spans="2:5" x14ac:dyDescent="0.25">
      <c r="B7" s="110" t="s">
        <v>161</v>
      </c>
      <c r="C7" s="112">
        <v>200000</v>
      </c>
      <c r="D7" s="112"/>
      <c r="E7" s="112" t="s">
        <v>4</v>
      </c>
    </row>
    <row r="8" spans="2:5" x14ac:dyDescent="0.25">
      <c r="B8" s="110" t="s">
        <v>162</v>
      </c>
      <c r="C8" s="112"/>
      <c r="D8" s="112">
        <v>16000</v>
      </c>
      <c r="E8" s="112" t="s">
        <v>4</v>
      </c>
    </row>
    <row r="9" spans="2:5" x14ac:dyDescent="0.25">
      <c r="B9" s="110" t="s">
        <v>163</v>
      </c>
      <c r="C9" s="112">
        <v>40000</v>
      </c>
      <c r="D9" s="112"/>
      <c r="E9" s="112" t="s">
        <v>4</v>
      </c>
    </row>
    <row r="10" spans="2:5" x14ac:dyDescent="0.25">
      <c r="B10" s="110" t="s">
        <v>164</v>
      </c>
      <c r="C10" s="112"/>
      <c r="D10" s="112">
        <v>8000</v>
      </c>
      <c r="E10" s="112" t="s">
        <v>4</v>
      </c>
    </row>
    <row r="11" spans="2:5" x14ac:dyDescent="0.25">
      <c r="B11" s="110" t="s">
        <v>165</v>
      </c>
      <c r="C11" s="112">
        <v>120000</v>
      </c>
      <c r="D11" s="112"/>
      <c r="E11" s="112" t="s">
        <v>4</v>
      </c>
    </row>
    <row r="12" spans="2:5" x14ac:dyDescent="0.25">
      <c r="B12" s="110" t="s">
        <v>166</v>
      </c>
      <c r="C12" s="112"/>
      <c r="D12" s="112">
        <v>24000</v>
      </c>
      <c r="E12" s="112" t="s">
        <v>4</v>
      </c>
    </row>
    <row r="13" spans="2:5" x14ac:dyDescent="0.25">
      <c r="B13" s="110" t="s">
        <v>167</v>
      </c>
      <c r="C13" s="112">
        <v>60000</v>
      </c>
      <c r="D13" s="112"/>
      <c r="E13" s="112" t="s">
        <v>4</v>
      </c>
    </row>
    <row r="14" spans="2:5" x14ac:dyDescent="0.25">
      <c r="B14" s="110" t="s">
        <v>168</v>
      </c>
      <c r="C14" s="112"/>
      <c r="D14" s="112">
        <v>12000</v>
      </c>
      <c r="E14" s="112" t="s">
        <v>4</v>
      </c>
    </row>
    <row r="15" spans="2:5" x14ac:dyDescent="0.25">
      <c r="B15" s="110" t="s">
        <v>169</v>
      </c>
      <c r="C15" s="112"/>
      <c r="D15" s="112">
        <v>60000</v>
      </c>
      <c r="E15" s="112" t="s">
        <v>188</v>
      </c>
    </row>
    <row r="16" spans="2:5" x14ac:dyDescent="0.25">
      <c r="B16" s="110" t="s">
        <v>170</v>
      </c>
      <c r="C16" s="112"/>
      <c r="D16" s="112">
        <v>66000</v>
      </c>
      <c r="E16" s="112" t="s">
        <v>188</v>
      </c>
    </row>
    <row r="17" spans="2:5" x14ac:dyDescent="0.25">
      <c r="B17" s="110" t="s">
        <v>171</v>
      </c>
      <c r="C17" s="112"/>
      <c r="D17" s="112">
        <v>500000</v>
      </c>
      <c r="E17" s="112" t="s">
        <v>60</v>
      </c>
    </row>
    <row r="18" spans="2:5" x14ac:dyDescent="0.25">
      <c r="B18" s="110" t="s">
        <v>172</v>
      </c>
      <c r="C18" s="112"/>
      <c r="D18" s="112">
        <v>234000</v>
      </c>
      <c r="E18" s="112" t="s">
        <v>60</v>
      </c>
    </row>
    <row r="19" spans="2:5" x14ac:dyDescent="0.25">
      <c r="B19" s="110" t="s">
        <v>173</v>
      </c>
      <c r="C19" s="112">
        <v>230000</v>
      </c>
      <c r="D19" s="112"/>
      <c r="E19" s="112" t="s">
        <v>189</v>
      </c>
    </row>
    <row r="20" spans="2:5" x14ac:dyDescent="0.25">
      <c r="B20" s="110" t="s">
        <v>174</v>
      </c>
      <c r="C20" s="112">
        <v>120000</v>
      </c>
      <c r="D20" s="112"/>
      <c r="E20" s="112" t="s">
        <v>189</v>
      </c>
    </row>
    <row r="21" spans="2:5" x14ac:dyDescent="0.25">
      <c r="B21" s="110" t="s">
        <v>175</v>
      </c>
      <c r="C21" s="112">
        <v>56000</v>
      </c>
      <c r="D21" s="112"/>
      <c r="E21" s="112" t="s">
        <v>189</v>
      </c>
    </row>
    <row r="22" spans="2:5" x14ac:dyDescent="0.25">
      <c r="B22" s="110" t="s">
        <v>180</v>
      </c>
      <c r="C22" s="112">
        <v>12000</v>
      </c>
      <c r="D22" s="112"/>
      <c r="E22" s="112" t="s">
        <v>189</v>
      </c>
    </row>
    <row r="23" spans="2:5" x14ac:dyDescent="0.25">
      <c r="B23" s="110" t="s">
        <v>190</v>
      </c>
      <c r="C23" s="112">
        <v>80000</v>
      </c>
      <c r="D23" s="112"/>
      <c r="E23" s="112" t="s">
        <v>189</v>
      </c>
    </row>
    <row r="24" spans="2:5" x14ac:dyDescent="0.25">
      <c r="B24" s="110" t="s">
        <v>181</v>
      </c>
      <c r="C24" s="112">
        <v>32000</v>
      </c>
      <c r="D24" s="112"/>
      <c r="E24" s="112" t="s">
        <v>189</v>
      </c>
    </row>
    <row r="25" spans="2:5" x14ac:dyDescent="0.25">
      <c r="B25" s="110" t="s">
        <v>123</v>
      </c>
      <c r="C25" s="112">
        <v>120000</v>
      </c>
      <c r="D25" s="112"/>
      <c r="E25" s="112" t="s">
        <v>189</v>
      </c>
    </row>
    <row r="26" spans="2:5" x14ac:dyDescent="0.25">
      <c r="B26" s="110" t="s">
        <v>176</v>
      </c>
      <c r="C26" s="112">
        <v>15500</v>
      </c>
      <c r="D26" s="112"/>
      <c r="E26" s="112" t="s">
        <v>11</v>
      </c>
    </row>
    <row r="27" spans="2:5" x14ac:dyDescent="0.25">
      <c r="B27" s="110" t="s">
        <v>177</v>
      </c>
      <c r="C27" s="112">
        <v>8000</v>
      </c>
      <c r="D27" s="112"/>
      <c r="E27" s="112" t="s">
        <v>11</v>
      </c>
    </row>
    <row r="28" spans="2:5" x14ac:dyDescent="0.25">
      <c r="B28" s="110" t="s">
        <v>178</v>
      </c>
      <c r="C28" s="112">
        <v>4000</v>
      </c>
      <c r="D28" s="112"/>
      <c r="E28" s="112" t="s">
        <v>11</v>
      </c>
    </row>
    <row r="29" spans="2:5" x14ac:dyDescent="0.25">
      <c r="B29" s="110" t="s">
        <v>179</v>
      </c>
      <c r="C29" s="112">
        <v>6000</v>
      </c>
      <c r="D29" s="112"/>
      <c r="E29" s="112" t="s">
        <v>11</v>
      </c>
    </row>
    <row r="30" spans="2:5" x14ac:dyDescent="0.25">
      <c r="B30" s="110" t="s">
        <v>191</v>
      </c>
      <c r="C30" s="112">
        <v>50000</v>
      </c>
      <c r="D30" s="112"/>
      <c r="E30" s="112" t="s">
        <v>11</v>
      </c>
    </row>
    <row r="31" spans="2:5" x14ac:dyDescent="0.25">
      <c r="B31" s="110" t="s">
        <v>182</v>
      </c>
      <c r="C31" s="112">
        <v>16000</v>
      </c>
      <c r="D31" s="112"/>
      <c r="E31" s="112" t="s">
        <v>11</v>
      </c>
    </row>
    <row r="32" spans="2:5" x14ac:dyDescent="0.25">
      <c r="B32" s="110" t="s">
        <v>183</v>
      </c>
      <c r="C32" s="112">
        <v>3000</v>
      </c>
      <c r="D32" s="112"/>
      <c r="E32" s="112" t="s">
        <v>11</v>
      </c>
    </row>
    <row r="33" spans="1:5" x14ac:dyDescent="0.25">
      <c r="B33" s="110" t="s">
        <v>184</v>
      </c>
      <c r="C33" s="112"/>
      <c r="D33" s="112">
        <v>1000000</v>
      </c>
      <c r="E33" s="112" t="s">
        <v>11</v>
      </c>
    </row>
    <row r="34" spans="1:5" s="37" customFormat="1" x14ac:dyDescent="0.25">
      <c r="A34" s="30"/>
      <c r="B34" s="114" t="s">
        <v>9</v>
      </c>
      <c r="C34" s="115">
        <f t="shared" ref="C34:D34" si="0">SUM(C3:C33)</f>
        <v>1920000</v>
      </c>
      <c r="D34" s="115">
        <f t="shared" si="0"/>
        <v>1920000</v>
      </c>
      <c r="E34" s="115"/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9"/>
  <sheetViews>
    <sheetView showGridLines="0" topLeftCell="A28" zoomScale="120" zoomScaleNormal="120" workbookViewId="0">
      <selection activeCell="H44" sqref="H44"/>
    </sheetView>
  </sheetViews>
  <sheetFormatPr defaultColWidth="9.140625" defaultRowHeight="15" x14ac:dyDescent="0.25"/>
  <cols>
    <col min="1" max="1" width="1.42578125" style="30" customWidth="1"/>
    <col min="2" max="2" width="49" style="30" bestFit="1" customWidth="1"/>
    <col min="3" max="8" width="11.5703125" style="30" customWidth="1"/>
    <col min="9" max="16384" width="9.140625" style="30"/>
  </cols>
  <sheetData>
    <row r="2" spans="2:8" x14ac:dyDescent="0.25">
      <c r="B2" s="113"/>
      <c r="C2" s="109" t="s">
        <v>156</v>
      </c>
    </row>
    <row r="3" spans="2:8" x14ac:dyDescent="0.25">
      <c r="B3" s="110" t="s">
        <v>173</v>
      </c>
      <c r="C3" s="112">
        <v>230000</v>
      </c>
      <c r="D3" s="30" t="s">
        <v>203</v>
      </c>
    </row>
    <row r="4" spans="2:8" x14ac:dyDescent="0.25">
      <c r="B4" s="110" t="s">
        <v>174</v>
      </c>
      <c r="C4" s="112">
        <v>120000</v>
      </c>
      <c r="D4" s="30" t="s">
        <v>203</v>
      </c>
    </row>
    <row r="5" spans="2:8" x14ac:dyDescent="0.25">
      <c r="B5" s="110" t="s">
        <v>175</v>
      </c>
      <c r="C5" s="112">
        <v>56000</v>
      </c>
      <c r="D5" s="30" t="s">
        <v>204</v>
      </c>
    </row>
    <row r="6" spans="2:8" x14ac:dyDescent="0.25">
      <c r="B6" s="110" t="s">
        <v>180</v>
      </c>
      <c r="C6" s="112">
        <v>12000</v>
      </c>
      <c r="D6" s="30" t="s">
        <v>204</v>
      </c>
    </row>
    <row r="7" spans="2:8" x14ac:dyDescent="0.25">
      <c r="B7" s="110" t="s">
        <v>190</v>
      </c>
      <c r="C7" s="112">
        <v>80000</v>
      </c>
      <c r="D7" s="30" t="s">
        <v>204</v>
      </c>
    </row>
    <row r="8" spans="2:8" x14ac:dyDescent="0.25">
      <c r="B8" s="110" t="s">
        <v>181</v>
      </c>
      <c r="C8" s="112">
        <v>32000</v>
      </c>
      <c r="D8" s="30" t="s">
        <v>204</v>
      </c>
    </row>
    <row r="9" spans="2:8" x14ac:dyDescent="0.25">
      <c r="B9" s="110" t="s">
        <v>123</v>
      </c>
      <c r="C9" s="112">
        <v>120000</v>
      </c>
      <c r="D9" s="30" t="s">
        <v>204</v>
      </c>
    </row>
    <row r="10" spans="2:8" x14ac:dyDescent="0.25">
      <c r="B10" s="114" t="s">
        <v>9</v>
      </c>
      <c r="C10" s="115">
        <f>SUM(C3:C9)</f>
        <v>650000</v>
      </c>
    </row>
    <row r="12" spans="2:8" s="37" customFormat="1" x14ac:dyDescent="0.25">
      <c r="B12" s="66" t="s">
        <v>202</v>
      </c>
      <c r="C12" s="68" t="s">
        <v>198</v>
      </c>
      <c r="D12" s="68" t="s">
        <v>193</v>
      </c>
      <c r="E12" s="68" t="s">
        <v>199</v>
      </c>
      <c r="F12" s="68" t="s">
        <v>200</v>
      </c>
      <c r="G12" s="68" t="s">
        <v>201</v>
      </c>
      <c r="H12" s="67" t="s">
        <v>9</v>
      </c>
    </row>
    <row r="13" spans="2:8" x14ac:dyDescent="0.25">
      <c r="B13" s="44" t="s">
        <v>192</v>
      </c>
      <c r="C13" s="117">
        <v>665</v>
      </c>
      <c r="D13" s="117">
        <v>835</v>
      </c>
      <c r="E13" s="117">
        <v>120</v>
      </c>
      <c r="F13" s="117">
        <v>265</v>
      </c>
      <c r="G13" s="117">
        <v>115</v>
      </c>
      <c r="H13" s="69">
        <f>SUM(C13:G13)</f>
        <v>2000</v>
      </c>
    </row>
    <row r="14" spans="2:8" x14ac:dyDescent="0.25">
      <c r="B14" s="44" t="s">
        <v>195</v>
      </c>
      <c r="C14" s="117">
        <v>25</v>
      </c>
      <c r="D14" s="117">
        <v>33</v>
      </c>
      <c r="E14" s="117">
        <v>10</v>
      </c>
      <c r="F14" s="117">
        <v>7</v>
      </c>
      <c r="G14" s="117">
        <v>5</v>
      </c>
      <c r="H14" s="69">
        <f t="shared" ref="H14:H16" si="0">SUM(C14:G14)</f>
        <v>80</v>
      </c>
    </row>
    <row r="15" spans="2:8" x14ac:dyDescent="0.25">
      <c r="B15" s="44" t="s">
        <v>196</v>
      </c>
      <c r="C15" s="117">
        <v>14885</v>
      </c>
      <c r="D15" s="117">
        <v>22730</v>
      </c>
      <c r="E15" s="117">
        <v>920</v>
      </c>
      <c r="F15" s="117">
        <v>615</v>
      </c>
      <c r="G15" s="117">
        <v>850</v>
      </c>
      <c r="H15" s="69">
        <f t="shared" si="0"/>
        <v>40000</v>
      </c>
    </row>
    <row r="16" spans="2:8" x14ac:dyDescent="0.25">
      <c r="B16" s="118" t="s">
        <v>197</v>
      </c>
      <c r="C16" s="119">
        <v>31</v>
      </c>
      <c r="D16" s="119">
        <v>19</v>
      </c>
      <c r="E16" s="119">
        <v>14</v>
      </c>
      <c r="F16" s="119">
        <v>0</v>
      </c>
      <c r="G16" s="119">
        <v>0</v>
      </c>
      <c r="H16" s="51">
        <f t="shared" si="0"/>
        <v>64</v>
      </c>
    </row>
    <row r="18" spans="2:9" x14ac:dyDescent="0.25">
      <c r="B18" s="66" t="s">
        <v>221</v>
      </c>
      <c r="C18" s="68" t="s">
        <v>218</v>
      </c>
      <c r="D18" s="68" t="s">
        <v>219</v>
      </c>
      <c r="E18" s="67" t="s">
        <v>220</v>
      </c>
    </row>
    <row r="19" spans="2:9" x14ac:dyDescent="0.25">
      <c r="B19" s="44" t="s">
        <v>224</v>
      </c>
      <c r="C19" s="117">
        <v>23.5</v>
      </c>
      <c r="D19" s="117">
        <v>22</v>
      </c>
      <c r="E19" s="45">
        <v>32</v>
      </c>
    </row>
    <row r="20" spans="2:9" x14ac:dyDescent="0.25">
      <c r="B20" s="44" t="s">
        <v>222</v>
      </c>
      <c r="C20" s="117">
        <v>14000</v>
      </c>
      <c r="D20" s="117">
        <v>20000</v>
      </c>
      <c r="E20" s="45">
        <v>12000</v>
      </c>
    </row>
    <row r="21" spans="2:9" x14ac:dyDescent="0.25">
      <c r="B21" s="44" t="s">
        <v>223</v>
      </c>
      <c r="C21" s="117">
        <v>12000</v>
      </c>
      <c r="D21" s="117">
        <v>16200</v>
      </c>
      <c r="E21" s="45">
        <v>11300</v>
      </c>
    </row>
    <row r="22" spans="2:9" x14ac:dyDescent="0.25">
      <c r="B22" s="118" t="s">
        <v>225</v>
      </c>
      <c r="C22" s="119">
        <f>+C20-C21</f>
        <v>2000</v>
      </c>
      <c r="D22" s="119">
        <f t="shared" ref="D22:E22" si="1">+D20-D21</f>
        <v>3800</v>
      </c>
      <c r="E22" s="121">
        <f t="shared" si="1"/>
        <v>700</v>
      </c>
    </row>
    <row r="25" spans="2:9" x14ac:dyDescent="0.25">
      <c r="B25" s="66" t="s">
        <v>205</v>
      </c>
      <c r="C25" s="68" t="s">
        <v>198</v>
      </c>
      <c r="D25" s="68" t="s">
        <v>193</v>
      </c>
      <c r="E25" s="68" t="s">
        <v>199</v>
      </c>
      <c r="F25" s="68" t="s">
        <v>200</v>
      </c>
      <c r="G25" s="68" t="s">
        <v>201</v>
      </c>
      <c r="H25" s="67" t="s">
        <v>9</v>
      </c>
    </row>
    <row r="26" spans="2:9" x14ac:dyDescent="0.25">
      <c r="B26" s="70" t="s">
        <v>206</v>
      </c>
      <c r="C26" s="117">
        <f>+$C5*C14/$H14</f>
        <v>17500</v>
      </c>
      <c r="D26" s="117">
        <f t="shared" ref="D26:G26" si="2">+$C5*D14/$H14</f>
        <v>23100</v>
      </c>
      <c r="E26" s="117">
        <f t="shared" si="2"/>
        <v>7000</v>
      </c>
      <c r="F26" s="117">
        <f t="shared" si="2"/>
        <v>4900</v>
      </c>
      <c r="G26" s="117">
        <f t="shared" si="2"/>
        <v>3500</v>
      </c>
      <c r="H26" s="69">
        <f>SUM(C26:G26)</f>
        <v>56000</v>
      </c>
    </row>
    <row r="27" spans="2:9" x14ac:dyDescent="0.25">
      <c r="B27" s="70" t="s">
        <v>207</v>
      </c>
      <c r="C27" s="117">
        <f>+$C6*C15/$H15</f>
        <v>4465.5</v>
      </c>
      <c r="D27" s="117">
        <f t="shared" ref="D27:G27" si="3">+$C6*D15/$H15</f>
        <v>6819</v>
      </c>
      <c r="E27" s="117">
        <f t="shared" si="3"/>
        <v>276</v>
      </c>
      <c r="F27" s="117">
        <f t="shared" si="3"/>
        <v>184.5</v>
      </c>
      <c r="G27" s="117">
        <f t="shared" si="3"/>
        <v>255</v>
      </c>
      <c r="H27" s="69">
        <f t="shared" ref="H27:H32" si="4">SUM(C27:G27)</f>
        <v>12000</v>
      </c>
    </row>
    <row r="28" spans="2:9" x14ac:dyDescent="0.25">
      <c r="B28" s="70" t="s">
        <v>208</v>
      </c>
      <c r="C28" s="117">
        <f>+$C7*C15/$H15</f>
        <v>29770</v>
      </c>
      <c r="D28" s="117">
        <f t="shared" ref="D28:G28" si="5">+$C7*D15/$H15</f>
        <v>45460</v>
      </c>
      <c r="E28" s="117">
        <f t="shared" si="5"/>
        <v>1840</v>
      </c>
      <c r="F28" s="117">
        <f t="shared" si="5"/>
        <v>1230</v>
      </c>
      <c r="G28" s="117">
        <f t="shared" si="5"/>
        <v>1700</v>
      </c>
      <c r="H28" s="69">
        <f t="shared" si="4"/>
        <v>80000</v>
      </c>
    </row>
    <row r="29" spans="2:9" x14ac:dyDescent="0.25">
      <c r="B29" s="70" t="s">
        <v>209</v>
      </c>
      <c r="C29" s="117">
        <f>+$C8*C16/$H16</f>
        <v>15500</v>
      </c>
      <c r="D29" s="117">
        <f t="shared" ref="D29:G29" si="6">+$C8*D16/$H16</f>
        <v>9500</v>
      </c>
      <c r="E29" s="117">
        <f t="shared" si="6"/>
        <v>7000</v>
      </c>
      <c r="F29" s="117">
        <f t="shared" si="6"/>
        <v>0</v>
      </c>
      <c r="G29" s="117">
        <f t="shared" si="6"/>
        <v>0</v>
      </c>
      <c r="H29" s="69">
        <f t="shared" si="4"/>
        <v>32000</v>
      </c>
    </row>
    <row r="30" spans="2:9" x14ac:dyDescent="0.25">
      <c r="B30" s="70" t="s">
        <v>210</v>
      </c>
      <c r="C30" s="117">
        <f>+$C9*C13/$H13</f>
        <v>39900</v>
      </c>
      <c r="D30" s="117">
        <f t="shared" ref="D30:G30" si="7">+$C9*D13/$H13</f>
        <v>50100</v>
      </c>
      <c r="E30" s="117">
        <f t="shared" si="7"/>
        <v>7200</v>
      </c>
      <c r="F30" s="117">
        <f t="shared" si="7"/>
        <v>15900</v>
      </c>
      <c r="G30" s="117">
        <f t="shared" si="7"/>
        <v>6900</v>
      </c>
      <c r="H30" s="69">
        <f t="shared" si="4"/>
        <v>120000</v>
      </c>
    </row>
    <row r="31" spans="2:9" x14ac:dyDescent="0.25">
      <c r="B31" s="48" t="s">
        <v>9</v>
      </c>
      <c r="C31" s="120">
        <f>SUM(C26:C30)</f>
        <v>107135.5</v>
      </c>
      <c r="D31" s="120">
        <f t="shared" ref="D31:H31" si="8">SUM(D26:D30)</f>
        <v>134979</v>
      </c>
      <c r="E31" s="120">
        <f t="shared" si="8"/>
        <v>23316</v>
      </c>
      <c r="F31" s="120">
        <f t="shared" si="8"/>
        <v>22214.5</v>
      </c>
      <c r="G31" s="120">
        <f t="shared" si="8"/>
        <v>12355</v>
      </c>
      <c r="H31" s="51">
        <f t="shared" si="8"/>
        <v>300000</v>
      </c>
      <c r="I31" s="37"/>
    </row>
    <row r="32" spans="2:9" x14ac:dyDescent="0.25">
      <c r="B32" s="72" t="s">
        <v>211</v>
      </c>
      <c r="C32" s="33">
        <f>-$G$32*C14/SUM($C$14:$F$14)</f>
        <v>4118.333333333333</v>
      </c>
      <c r="D32" s="33">
        <f t="shared" ref="D32:F32" si="9">-$G$32*D14/SUM($C$14:$F$14)</f>
        <v>5436.2</v>
      </c>
      <c r="E32" s="33">
        <f t="shared" si="9"/>
        <v>1647.3333333333333</v>
      </c>
      <c r="F32" s="33">
        <f t="shared" si="9"/>
        <v>1153.1333333333334</v>
      </c>
      <c r="G32" s="33">
        <f>-G31</f>
        <v>-12355</v>
      </c>
      <c r="H32" s="67">
        <f t="shared" si="4"/>
        <v>0</v>
      </c>
    </row>
    <row r="33" spans="2:8" x14ac:dyDescent="0.25">
      <c r="B33" s="48" t="s">
        <v>9</v>
      </c>
      <c r="C33" s="120">
        <f>SUM(C31:C32)</f>
        <v>111253.83333333333</v>
      </c>
      <c r="D33" s="120">
        <f t="shared" ref="D33:H33" si="10">SUM(D31:D32)</f>
        <v>140415.20000000001</v>
      </c>
      <c r="E33" s="120">
        <f t="shared" si="10"/>
        <v>24963.333333333332</v>
      </c>
      <c r="F33" s="120">
        <f t="shared" si="10"/>
        <v>23367.633333333335</v>
      </c>
      <c r="G33" s="120">
        <f t="shared" si="10"/>
        <v>0</v>
      </c>
      <c r="H33" s="51">
        <f t="shared" si="10"/>
        <v>300000</v>
      </c>
    </row>
    <row r="34" spans="2:8" x14ac:dyDescent="0.25">
      <c r="B34" s="72" t="s">
        <v>212</v>
      </c>
      <c r="C34" s="33">
        <f>-$F$34*C16/$H$16</f>
        <v>11318.697395833335</v>
      </c>
      <c r="D34" s="33">
        <f t="shared" ref="D34:E34" si="11">-$F$34*D16/$H$16</f>
        <v>6937.2661458333341</v>
      </c>
      <c r="E34" s="33">
        <f t="shared" si="11"/>
        <v>5111.6697916666672</v>
      </c>
      <c r="F34" s="33">
        <f>-F33</f>
        <v>-23367.633333333335</v>
      </c>
      <c r="G34" s="33"/>
      <c r="H34" s="67">
        <f t="shared" ref="H34" si="12">SUM(C34:G34)</f>
        <v>0</v>
      </c>
    </row>
    <row r="35" spans="2:8" x14ac:dyDescent="0.25">
      <c r="B35" s="48" t="s">
        <v>9</v>
      </c>
      <c r="C35" s="120">
        <f>SUM(C33:C34)</f>
        <v>122572.53072916667</v>
      </c>
      <c r="D35" s="120">
        <f t="shared" ref="D35" si="13">SUM(D33:D34)</f>
        <v>147352.46614583334</v>
      </c>
      <c r="E35" s="120">
        <f t="shared" ref="E35" si="14">SUM(E33:E34)</f>
        <v>30075.003124999999</v>
      </c>
      <c r="F35" s="120">
        <f t="shared" ref="F35" si="15">SUM(F33:F34)</f>
        <v>0</v>
      </c>
      <c r="G35" s="120">
        <f t="shared" ref="G35" si="16">SUM(G33:G34)</f>
        <v>0</v>
      </c>
      <c r="H35" s="51">
        <f t="shared" ref="H35" si="17">SUM(H33:H34)</f>
        <v>300000</v>
      </c>
    </row>
    <row r="36" spans="2:8" x14ac:dyDescent="0.25">
      <c r="B36" s="72" t="s">
        <v>213</v>
      </c>
      <c r="C36" s="33">
        <f>-$E$36*0.65</f>
        <v>19548.752031250002</v>
      </c>
      <c r="D36" s="33">
        <f>-$E$36*0.35</f>
        <v>10526.251093749999</v>
      </c>
      <c r="E36" s="33">
        <f>-E35</f>
        <v>-30075.003124999999</v>
      </c>
      <c r="F36" s="33">
        <f>-F35</f>
        <v>0</v>
      </c>
      <c r="G36" s="33"/>
      <c r="H36" s="67">
        <f t="shared" ref="H36" si="18">SUM(C36:G36)</f>
        <v>3.637978807091713E-12</v>
      </c>
    </row>
    <row r="37" spans="2:8" x14ac:dyDescent="0.25">
      <c r="B37" s="48" t="s">
        <v>9</v>
      </c>
      <c r="C37" s="120">
        <f>SUM(C35:C36)</f>
        <v>142121.28276041668</v>
      </c>
      <c r="D37" s="120">
        <f t="shared" ref="D37" si="19">SUM(D35:D36)</f>
        <v>157878.71723958335</v>
      </c>
      <c r="E37" s="120">
        <f t="shared" ref="E37" si="20">SUM(E35:E36)</f>
        <v>0</v>
      </c>
      <c r="F37" s="120">
        <f t="shared" ref="F37" si="21">SUM(F35:F36)</f>
        <v>0</v>
      </c>
      <c r="G37" s="120">
        <f t="shared" ref="G37" si="22">SUM(G35:G36)</f>
        <v>0</v>
      </c>
      <c r="H37" s="51">
        <f t="shared" ref="H37" si="23">SUM(H35:H36)</f>
        <v>300000</v>
      </c>
    </row>
    <row r="38" spans="2:8" x14ac:dyDescent="0.25">
      <c r="B38" s="31"/>
    </row>
    <row r="39" spans="2:8" x14ac:dyDescent="0.25">
      <c r="B39" s="66" t="s">
        <v>226</v>
      </c>
      <c r="C39" s="68" t="s">
        <v>214</v>
      </c>
      <c r="D39" s="68" t="s">
        <v>215</v>
      </c>
      <c r="E39" s="68" t="s">
        <v>216</v>
      </c>
      <c r="F39" s="67" t="s">
        <v>9</v>
      </c>
    </row>
    <row r="40" spans="2:8" x14ac:dyDescent="0.25">
      <c r="B40" s="122" t="s">
        <v>141</v>
      </c>
      <c r="C40" s="117">
        <v>70000</v>
      </c>
      <c r="D40" s="117">
        <v>60000</v>
      </c>
      <c r="E40" s="117">
        <v>100000</v>
      </c>
      <c r="F40" s="69">
        <f t="shared" ref="F40:F42" si="24">SUM(C40:E40)</f>
        <v>230000</v>
      </c>
    </row>
    <row r="41" spans="2:8" x14ac:dyDescent="0.25">
      <c r="B41" s="122" t="s">
        <v>217</v>
      </c>
      <c r="C41" s="117">
        <v>36520</v>
      </c>
      <c r="D41" s="117">
        <v>31300</v>
      </c>
      <c r="E41" s="117">
        <v>52180</v>
      </c>
      <c r="F41" s="69">
        <f t="shared" si="24"/>
        <v>120000</v>
      </c>
    </row>
    <row r="42" spans="2:8" x14ac:dyDescent="0.25">
      <c r="B42" s="122" t="s">
        <v>194</v>
      </c>
      <c r="C42" s="117">
        <v>0</v>
      </c>
      <c r="D42" s="117">
        <f>+$C$37*D20/SUM($D$20:$E$20)</f>
        <v>88825.801725260419</v>
      </c>
      <c r="E42" s="117">
        <f>+$C$37*E20/SUM($D$20:$E$20)</f>
        <v>53295.481035156256</v>
      </c>
      <c r="F42" s="69">
        <f t="shared" si="24"/>
        <v>142121.28276041668</v>
      </c>
    </row>
    <row r="43" spans="2:8" x14ac:dyDescent="0.25">
      <c r="B43" s="122" t="s">
        <v>193</v>
      </c>
      <c r="C43" s="117">
        <f>+$D$37*C20/SUM($C$20:$D$20)</f>
        <v>65008.883569240206</v>
      </c>
      <c r="D43" s="117">
        <f>+$D$37*D20/SUM($C$20:$D$20)</f>
        <v>92869.833670343141</v>
      </c>
      <c r="E43" s="117">
        <v>0</v>
      </c>
      <c r="F43" s="69">
        <f>SUM(C43:E43)</f>
        <v>157878.71723958335</v>
      </c>
    </row>
    <row r="44" spans="2:8" x14ac:dyDescent="0.25">
      <c r="B44" s="123" t="s">
        <v>9</v>
      </c>
      <c r="C44" s="120">
        <f>+SUM(C40:C43)</f>
        <v>171528.88356924022</v>
      </c>
      <c r="D44" s="120">
        <f t="shared" ref="D44:F44" si="25">+SUM(D40:D43)</f>
        <v>272995.63539560355</v>
      </c>
      <c r="E44" s="120">
        <f t="shared" si="25"/>
        <v>205475.48103515626</v>
      </c>
      <c r="F44" s="51">
        <f t="shared" si="25"/>
        <v>650000</v>
      </c>
    </row>
    <row r="45" spans="2:8" x14ac:dyDescent="0.25">
      <c r="B45" s="111"/>
    </row>
    <row r="46" spans="2:8" x14ac:dyDescent="0.25">
      <c r="B46" s="116"/>
      <c r="C46" s="68" t="str">
        <f>+C39</f>
        <v>PROD A</v>
      </c>
      <c r="D46" s="68" t="str">
        <f t="shared" ref="D46:F46" si="26">+D39</f>
        <v>PROD B</v>
      </c>
      <c r="E46" s="68" t="str">
        <f t="shared" si="26"/>
        <v>PROD C</v>
      </c>
      <c r="F46" s="67" t="str">
        <f t="shared" si="26"/>
        <v>TOTAL</v>
      </c>
    </row>
    <row r="47" spans="2:8" x14ac:dyDescent="0.25">
      <c r="B47" s="124" t="s">
        <v>227</v>
      </c>
      <c r="C47" s="125">
        <f>+C44/C20</f>
        <v>12.252063112088587</v>
      </c>
      <c r="D47" s="125">
        <f t="shared" ref="D47:E47" si="27">+D44/D20</f>
        <v>13.649781769780176</v>
      </c>
      <c r="E47" s="125">
        <f t="shared" si="27"/>
        <v>17.122956752929689</v>
      </c>
      <c r="F47" s="45"/>
    </row>
    <row r="48" spans="2:8" x14ac:dyDescent="0.25">
      <c r="B48" s="70" t="s">
        <v>228</v>
      </c>
      <c r="C48" s="117">
        <f>+C47*C21</f>
        <v>147024.75734506303</v>
      </c>
      <c r="D48" s="117">
        <f t="shared" ref="D48:E48" si="28">+D47*D21</f>
        <v>221126.46467043887</v>
      </c>
      <c r="E48" s="117">
        <f t="shared" si="28"/>
        <v>193489.41130810548</v>
      </c>
      <c r="F48" s="69">
        <f>SUM(C48:E48)</f>
        <v>561640.63332360738</v>
      </c>
    </row>
    <row r="49" spans="2:6" x14ac:dyDescent="0.25">
      <c r="B49" s="71" t="s">
        <v>229</v>
      </c>
      <c r="C49" s="119">
        <f>+C47*C22</f>
        <v>24504.126224177173</v>
      </c>
      <c r="D49" s="119">
        <f t="shared" ref="D49:E49" si="29">+D47*D22</f>
        <v>51869.170725164673</v>
      </c>
      <c r="E49" s="119">
        <f t="shared" si="29"/>
        <v>11986.069727050783</v>
      </c>
      <c r="F49" s="51">
        <f>SUM(C49:E49)</f>
        <v>88359.36667639263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29</vt:i4>
      </vt:variant>
    </vt:vector>
  </HeadingPairs>
  <TitlesOfParts>
    <vt:vector size="29" baseType="lpstr">
      <vt:lpstr>EXEMPLO DEPRECIAÇÃO</vt:lpstr>
      <vt:lpstr>EXEMPLO COM LIVROS</vt:lpstr>
      <vt:lpstr>EXEMPLO CH, CHC e CR</vt:lpstr>
      <vt:lpstr>CIA ROLIÇA</vt:lpstr>
      <vt:lpstr>EXEMPLO CST MP</vt:lpstr>
      <vt:lpstr>MASON COMPANY</vt:lpstr>
      <vt:lpstr>CIA ANIEL</vt:lpstr>
      <vt:lpstr>CIA INTEGRAÇÃO - BALANCETE</vt:lpstr>
      <vt:lpstr>CIA INTEGRAÇÃO - CUSTOS</vt:lpstr>
      <vt:lpstr>CIA INTEGRAÇÃO - DEM CONTAB</vt:lpstr>
      <vt:lpstr>DOBRA E FECHA</vt:lpstr>
      <vt:lpstr>CONTABILIZAÇÃO CUSTOS</vt:lpstr>
      <vt:lpstr>CONTABILIZAÇÃO CUSTOS (RESOLUÇ)</vt:lpstr>
      <vt:lpstr>CONTABILIZAÇÃO CUSTOS (DEMONSTR</vt:lpstr>
      <vt:lpstr>CIA TIQUITA</vt:lpstr>
      <vt:lpstr>10.4 - CIA REGGIO</vt:lpstr>
      <vt:lpstr>14 - SAO TOMÉ</vt:lpstr>
      <vt:lpstr>11.2 - REGGIO</vt:lpstr>
      <vt:lpstr>11.3 - SÃO CRISTÓVÃO</vt:lpstr>
      <vt:lpstr>12 - CPC17 - I</vt:lpstr>
      <vt:lpstr>12 - CPC17 -II</vt:lpstr>
      <vt:lpstr>12 - CPC17 - I (CONTABILIZ)</vt:lpstr>
      <vt:lpstr>13.2 - Carbexa</vt:lpstr>
      <vt:lpstr>13.3 - Antártida</vt:lpstr>
      <vt:lpstr>TUDOLIMPO</vt:lpstr>
      <vt:lpstr>TRANSPORT TULIPA</vt:lpstr>
      <vt:lpstr>EXEMPLO DISK PIZZA (SEM IR)</vt:lpstr>
      <vt:lpstr>KING KONG</vt:lpstr>
      <vt:lpstr>CONFECÇÕES ANDRADE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Roni Cleber Bonizio</cp:lastModifiedBy>
  <dcterms:created xsi:type="dcterms:W3CDTF">2019-08-21T00:35:56Z</dcterms:created>
  <dcterms:modified xsi:type="dcterms:W3CDTF">2019-11-20T23:25:01Z</dcterms:modified>
</cp:coreProperties>
</file>