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 Paul Schwark\Google Drive\Martin sincronizado\Poli\PEF 2604\2019\191007 Aula 9\"/>
    </mc:Choice>
  </mc:AlternateContent>
  <xr:revisionPtr revIDLastSave="0" documentId="13_ncr:1_{28482577-77E4-4F83-865A-4C575BD052BF}" xr6:coauthVersionLast="45" xr6:coauthVersionMax="45" xr10:uidLastSave="{00000000-0000-0000-0000-000000000000}"/>
  <bookViews>
    <workbookView xWindow="-108" yWindow="-108" windowWidth="22320" windowHeight="13176" activeTab="1" xr2:uid="{00000000-000D-0000-FFFF-FFFF00000000}"/>
  </bookViews>
  <sheets>
    <sheet name="Det PeG - Dir y" sheetId="1" r:id="rId1"/>
    <sheet name="Calculos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2" l="1"/>
  <c r="B6" i="2" l="1"/>
  <c r="B5" i="2"/>
  <c r="B20" i="2" l="1"/>
  <c r="B19" i="2"/>
  <c r="B17" i="2"/>
  <c r="B11" i="2"/>
  <c r="B10" i="2"/>
  <c r="B4" i="2"/>
  <c r="D19" i="1" l="1"/>
  <c r="J14" i="1" s="1"/>
  <c r="K104" i="1"/>
  <c r="J104" i="1"/>
  <c r="K103" i="1"/>
  <c r="J103" i="1"/>
  <c r="K102" i="1"/>
  <c r="J102" i="1"/>
  <c r="K101" i="1"/>
  <c r="J101" i="1"/>
  <c r="J100" i="1"/>
  <c r="B8" i="2" s="1"/>
  <c r="B59" i="1"/>
  <c r="B60" i="1" s="1"/>
  <c r="B61" i="1" s="1"/>
  <c r="B62" i="1" s="1"/>
  <c r="B52" i="1"/>
  <c r="B53" i="1" s="1"/>
  <c r="B54" i="1" s="1"/>
  <c r="B55" i="1" s="1"/>
  <c r="C48" i="1"/>
  <c r="C55" i="1" s="1"/>
  <c r="C62" i="1" s="1"/>
  <c r="C47" i="1"/>
  <c r="C46" i="1"/>
  <c r="C53" i="1" s="1"/>
  <c r="C60" i="1" s="1"/>
  <c r="C45" i="1"/>
  <c r="C52" i="1" s="1"/>
  <c r="C59" i="1" s="1"/>
  <c r="B45" i="1"/>
  <c r="B46" i="1" s="1"/>
  <c r="B47" i="1" s="1"/>
  <c r="B48" i="1" s="1"/>
  <c r="C44" i="1"/>
  <c r="C51" i="1" s="1"/>
  <c r="C58" i="1" s="1"/>
  <c r="R42" i="1"/>
  <c r="E42" i="1"/>
  <c r="T32" i="1"/>
  <c r="U31" i="1"/>
  <c r="U28" i="1"/>
  <c r="U27" i="1"/>
  <c r="R27" i="1"/>
  <c r="F27" i="1"/>
  <c r="E27" i="1"/>
  <c r="F25" i="1"/>
  <c r="G25" i="1" s="1"/>
  <c r="G23" i="1" s="1"/>
  <c r="D25" i="1"/>
  <c r="R23" i="1"/>
  <c r="R24" i="1" s="1"/>
  <c r="F23" i="1"/>
  <c r="F24" i="1" s="1"/>
  <c r="E23" i="1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AD18" i="1"/>
  <c r="E32" i="1" s="1"/>
  <c r="G18" i="1"/>
  <c r="H18" i="1" s="1"/>
  <c r="G17" i="1"/>
  <c r="H17" i="1" s="1"/>
  <c r="G16" i="1"/>
  <c r="H16" i="1" s="1"/>
  <c r="G15" i="1"/>
  <c r="H15" i="1" s="1"/>
  <c r="C15" i="1"/>
  <c r="C16" i="1" s="1"/>
  <c r="C17" i="1" s="1"/>
  <c r="C18" i="1" s="1"/>
  <c r="G14" i="1"/>
  <c r="H14" i="1" s="1"/>
  <c r="G9" i="1"/>
  <c r="D35" i="1" s="1"/>
  <c r="D100" i="1" l="1"/>
  <c r="K100" i="1" s="1"/>
  <c r="F42" i="1"/>
  <c r="H19" i="1"/>
  <c r="AE15" i="1" s="1"/>
  <c r="AD16" i="1" s="1"/>
  <c r="E34" i="1"/>
  <c r="G34" i="1"/>
  <c r="F34" i="1"/>
  <c r="R35" i="1"/>
  <c r="R34" i="1"/>
  <c r="AE16" i="1"/>
  <c r="AD17" i="1" s="1"/>
  <c r="D31" i="1" s="1"/>
  <c r="T28" i="1"/>
  <c r="T27" i="1" s="1"/>
  <c r="AE14" i="1"/>
  <c r="F28" i="1" s="1"/>
  <c r="G42" i="1"/>
  <c r="G32" i="1"/>
  <c r="G27" i="1"/>
  <c r="H25" i="1"/>
  <c r="E19" i="1"/>
  <c r="G24" i="1"/>
  <c r="G35" i="1" s="1"/>
  <c r="D32" i="1"/>
  <c r="C54" i="1"/>
  <c r="C61" i="1" s="1"/>
  <c r="F35" i="1"/>
  <c r="E24" i="1"/>
  <c r="E35" i="1" s="1"/>
  <c r="F32" i="1"/>
  <c r="R32" i="1"/>
  <c r="D34" i="1"/>
  <c r="D42" i="1"/>
  <c r="G30" i="1" l="1"/>
  <c r="G28" i="1"/>
  <c r="F30" i="1"/>
  <c r="D28" i="1"/>
  <c r="B70" i="1"/>
  <c r="E20" i="1"/>
  <c r="H30" i="1"/>
  <c r="H28" i="1"/>
  <c r="H23" i="1"/>
  <c r="H31" i="1"/>
  <c r="I25" i="1"/>
  <c r="H42" i="1"/>
  <c r="H32" i="1"/>
  <c r="H27" i="1"/>
  <c r="R28" i="1"/>
  <c r="E28" i="1"/>
  <c r="AD15" i="1"/>
  <c r="E31" i="1"/>
  <c r="R31" i="1"/>
  <c r="F31" i="1"/>
  <c r="R30" i="1"/>
  <c r="G31" i="1"/>
  <c r="D30" i="1"/>
  <c r="E30" i="1"/>
  <c r="E29" i="1" l="1"/>
  <c r="E41" i="1" s="1"/>
  <c r="R29" i="1"/>
  <c r="R40" i="1" s="1"/>
  <c r="F29" i="1"/>
  <c r="G29" i="1"/>
  <c r="D29" i="1"/>
  <c r="H29" i="1"/>
  <c r="H41" i="1" s="1"/>
  <c r="I42" i="1"/>
  <c r="I32" i="1"/>
  <c r="I31" i="1"/>
  <c r="I29" i="1"/>
  <c r="I27" i="1"/>
  <c r="J25" i="1"/>
  <c r="I28" i="1"/>
  <c r="I23" i="1"/>
  <c r="I30" i="1"/>
  <c r="H24" i="1"/>
  <c r="H35" i="1" s="1"/>
  <c r="H34" i="1"/>
  <c r="H40" i="1" l="1"/>
  <c r="H47" i="1" s="1"/>
  <c r="H54" i="1" s="1"/>
  <c r="H61" i="1" s="1"/>
  <c r="R41" i="1"/>
  <c r="R45" i="1" s="1"/>
  <c r="R52" i="1" s="1"/>
  <c r="R59" i="1" s="1"/>
  <c r="E40" i="1"/>
  <c r="E45" i="1" s="1"/>
  <c r="E52" i="1" s="1"/>
  <c r="E59" i="1" s="1"/>
  <c r="I34" i="1"/>
  <c r="I24" i="1"/>
  <c r="I35" i="1" s="1"/>
  <c r="J30" i="1"/>
  <c r="J28" i="1"/>
  <c r="J23" i="1"/>
  <c r="J42" i="1"/>
  <c r="J32" i="1"/>
  <c r="J29" i="1"/>
  <c r="J27" i="1"/>
  <c r="J31" i="1"/>
  <c r="K25" i="1"/>
  <c r="E46" i="1"/>
  <c r="E53" i="1" s="1"/>
  <c r="E60" i="1" s="1"/>
  <c r="D40" i="1"/>
  <c r="D41" i="1"/>
  <c r="F41" i="1"/>
  <c r="F40" i="1"/>
  <c r="I40" i="1"/>
  <c r="I41" i="1"/>
  <c r="G40" i="1"/>
  <c r="G41" i="1"/>
  <c r="H44" i="1" l="1"/>
  <c r="H51" i="1" s="1"/>
  <c r="H58" i="1" s="1"/>
  <c r="E47" i="1"/>
  <c r="E54" i="1" s="1"/>
  <c r="E61" i="1" s="1"/>
  <c r="R46" i="1"/>
  <c r="R53" i="1" s="1"/>
  <c r="R60" i="1" s="1"/>
  <c r="E44" i="1"/>
  <c r="E51" i="1" s="1"/>
  <c r="E58" i="1" s="1"/>
  <c r="H45" i="1"/>
  <c r="H52" i="1" s="1"/>
  <c r="H59" i="1" s="1"/>
  <c r="H48" i="1"/>
  <c r="H55" i="1" s="1"/>
  <c r="H62" i="1" s="1"/>
  <c r="H46" i="1"/>
  <c r="H53" i="1" s="1"/>
  <c r="H60" i="1" s="1"/>
  <c r="R48" i="1"/>
  <c r="R55" i="1" s="1"/>
  <c r="R62" i="1" s="1"/>
  <c r="R44" i="1"/>
  <c r="R51" i="1" s="1"/>
  <c r="R58" i="1" s="1"/>
  <c r="I47" i="1"/>
  <c r="I54" i="1" s="1"/>
  <c r="I61" i="1" s="1"/>
  <c r="R47" i="1"/>
  <c r="R54" i="1" s="1"/>
  <c r="R61" i="1" s="1"/>
  <c r="E48" i="1"/>
  <c r="E55" i="1" s="1"/>
  <c r="E62" i="1" s="1"/>
  <c r="I46" i="1"/>
  <c r="I53" i="1" s="1"/>
  <c r="I60" i="1" s="1"/>
  <c r="I48" i="1"/>
  <c r="I55" i="1" s="1"/>
  <c r="I62" i="1" s="1"/>
  <c r="F44" i="1"/>
  <c r="F51" i="1" s="1"/>
  <c r="F47" i="1"/>
  <c r="F54" i="1" s="1"/>
  <c r="F61" i="1" s="1"/>
  <c r="F46" i="1"/>
  <c r="F53" i="1" s="1"/>
  <c r="F60" i="1" s="1"/>
  <c r="F48" i="1"/>
  <c r="F55" i="1" s="1"/>
  <c r="F62" i="1" s="1"/>
  <c r="F45" i="1"/>
  <c r="F52" i="1" s="1"/>
  <c r="F59" i="1" s="1"/>
  <c r="G48" i="1"/>
  <c r="G55" i="1" s="1"/>
  <c r="G62" i="1" s="1"/>
  <c r="G44" i="1"/>
  <c r="G51" i="1" s="1"/>
  <c r="G45" i="1"/>
  <c r="G52" i="1" s="1"/>
  <c r="G59" i="1" s="1"/>
  <c r="G46" i="1"/>
  <c r="G53" i="1" s="1"/>
  <c r="G60" i="1" s="1"/>
  <c r="G47" i="1"/>
  <c r="G54" i="1" s="1"/>
  <c r="G61" i="1" s="1"/>
  <c r="K42" i="1"/>
  <c r="K32" i="1"/>
  <c r="K31" i="1"/>
  <c r="K29" i="1"/>
  <c r="K27" i="1"/>
  <c r="L25" i="1"/>
  <c r="K30" i="1"/>
  <c r="K28" i="1"/>
  <c r="K23" i="1"/>
  <c r="J41" i="1"/>
  <c r="J40" i="1"/>
  <c r="J24" i="1"/>
  <c r="J35" i="1" s="1"/>
  <c r="J34" i="1"/>
  <c r="D45" i="1"/>
  <c r="D52" i="1" s="1"/>
  <c r="D59" i="1" s="1"/>
  <c r="D48" i="1"/>
  <c r="D55" i="1" s="1"/>
  <c r="D62" i="1" s="1"/>
  <c r="D47" i="1"/>
  <c r="D54" i="1" s="1"/>
  <c r="D61" i="1" s="1"/>
  <c r="D44" i="1"/>
  <c r="D51" i="1" s="1"/>
  <c r="D46" i="1"/>
  <c r="D53" i="1" s="1"/>
  <c r="D60" i="1" s="1"/>
  <c r="I45" i="1"/>
  <c r="I52" i="1" s="1"/>
  <c r="I59" i="1" s="1"/>
  <c r="I44" i="1"/>
  <c r="I51" i="1" s="1"/>
  <c r="J45" i="1" l="1"/>
  <c r="J52" i="1" s="1"/>
  <c r="J59" i="1" s="1"/>
  <c r="R64" i="1"/>
  <c r="R71" i="1" s="1"/>
  <c r="H64" i="1"/>
  <c r="H71" i="1" s="1"/>
  <c r="H65" i="1"/>
  <c r="H72" i="1" s="1"/>
  <c r="J48" i="1"/>
  <c r="J55" i="1" s="1"/>
  <c r="J62" i="1" s="1"/>
  <c r="R65" i="1"/>
  <c r="R72" i="1" s="1"/>
  <c r="J46" i="1"/>
  <c r="J53" i="1" s="1"/>
  <c r="J60" i="1" s="1"/>
  <c r="E65" i="1"/>
  <c r="E72" i="1" s="1"/>
  <c r="E64" i="1"/>
  <c r="E71" i="1" s="1"/>
  <c r="J47" i="1"/>
  <c r="J54" i="1" s="1"/>
  <c r="J61" i="1" s="1"/>
  <c r="J44" i="1"/>
  <c r="J51" i="1" s="1"/>
  <c r="D64" i="1"/>
  <c r="D71" i="1" s="1"/>
  <c r="D58" i="1"/>
  <c r="D65" i="1" s="1"/>
  <c r="D72" i="1" s="1"/>
  <c r="K34" i="1"/>
  <c r="K24" i="1"/>
  <c r="K35" i="1" s="1"/>
  <c r="K40" i="1"/>
  <c r="K41" i="1"/>
  <c r="G58" i="1"/>
  <c r="G65" i="1" s="1"/>
  <c r="G72" i="1" s="1"/>
  <c r="G64" i="1"/>
  <c r="G71" i="1" s="1"/>
  <c r="F64" i="1"/>
  <c r="F71" i="1" s="1"/>
  <c r="F58" i="1"/>
  <c r="F65" i="1" s="1"/>
  <c r="F72" i="1" s="1"/>
  <c r="I58" i="1"/>
  <c r="I65" i="1" s="1"/>
  <c r="I72" i="1" s="1"/>
  <c r="I64" i="1"/>
  <c r="I71" i="1" s="1"/>
  <c r="L30" i="1"/>
  <c r="L28" i="1"/>
  <c r="L23" i="1"/>
  <c r="L31" i="1"/>
  <c r="M25" i="1"/>
  <c r="L42" i="1"/>
  <c r="L32" i="1"/>
  <c r="L29" i="1"/>
  <c r="L27" i="1"/>
  <c r="K44" i="1" l="1"/>
  <c r="K51" i="1" s="1"/>
  <c r="K58" i="1" s="1"/>
  <c r="K48" i="1"/>
  <c r="K55" i="1" s="1"/>
  <c r="K62" i="1" s="1"/>
  <c r="K45" i="1"/>
  <c r="K52" i="1" s="1"/>
  <c r="K59" i="1" s="1"/>
  <c r="J64" i="1"/>
  <c r="J71" i="1" s="1"/>
  <c r="J58" i="1"/>
  <c r="J65" i="1" s="1"/>
  <c r="J72" i="1" s="1"/>
  <c r="K46" i="1"/>
  <c r="K53" i="1" s="1"/>
  <c r="K60" i="1" s="1"/>
  <c r="L41" i="1"/>
  <c r="L40" i="1"/>
  <c r="M42" i="1"/>
  <c r="M32" i="1"/>
  <c r="M31" i="1"/>
  <c r="M29" i="1"/>
  <c r="M27" i="1"/>
  <c r="N25" i="1"/>
  <c r="M28" i="1"/>
  <c r="M23" i="1"/>
  <c r="M30" i="1"/>
  <c r="L24" i="1"/>
  <c r="L35" i="1" s="1"/>
  <c r="L34" i="1"/>
  <c r="K47" i="1"/>
  <c r="K54" i="1" s="1"/>
  <c r="K61" i="1" s="1"/>
  <c r="L47" i="1" l="1"/>
  <c r="L54" i="1" s="1"/>
  <c r="L61" i="1" s="1"/>
  <c r="L48" i="1"/>
  <c r="L55" i="1" s="1"/>
  <c r="L62" i="1" s="1"/>
  <c r="L45" i="1"/>
  <c r="L52" i="1" s="1"/>
  <c r="L59" i="1" s="1"/>
  <c r="K64" i="1"/>
  <c r="K71" i="1" s="1"/>
  <c r="M40" i="1"/>
  <c r="M41" i="1"/>
  <c r="M34" i="1"/>
  <c r="M24" i="1"/>
  <c r="M35" i="1" s="1"/>
  <c r="N30" i="1"/>
  <c r="N28" i="1"/>
  <c r="N23" i="1"/>
  <c r="N42" i="1"/>
  <c r="N32" i="1"/>
  <c r="N29" i="1"/>
  <c r="N27" i="1"/>
  <c r="N31" i="1"/>
  <c r="O25" i="1"/>
  <c r="L46" i="1"/>
  <c r="L53" i="1" s="1"/>
  <c r="L60" i="1" s="1"/>
  <c r="L44" i="1"/>
  <c r="L51" i="1" s="1"/>
  <c r="K65" i="1"/>
  <c r="K72" i="1" s="1"/>
  <c r="M46" i="1" l="1"/>
  <c r="M53" i="1" s="1"/>
  <c r="M60" i="1" s="1"/>
  <c r="M47" i="1"/>
  <c r="M54" i="1" s="1"/>
  <c r="M61" i="1" s="1"/>
  <c r="M45" i="1"/>
  <c r="M52" i="1" s="1"/>
  <c r="M59" i="1" s="1"/>
  <c r="M48" i="1"/>
  <c r="M55" i="1" s="1"/>
  <c r="M62" i="1" s="1"/>
  <c r="M44" i="1"/>
  <c r="M51" i="1" s="1"/>
  <c r="M58" i="1" s="1"/>
  <c r="L64" i="1"/>
  <c r="L71" i="1" s="1"/>
  <c r="L58" i="1"/>
  <c r="L65" i="1" s="1"/>
  <c r="L72" i="1" s="1"/>
  <c r="O42" i="1"/>
  <c r="O32" i="1"/>
  <c r="O31" i="1"/>
  <c r="O29" i="1"/>
  <c r="O27" i="1"/>
  <c r="P25" i="1"/>
  <c r="O30" i="1"/>
  <c r="O28" i="1"/>
  <c r="O23" i="1"/>
  <c r="N41" i="1"/>
  <c r="N40" i="1"/>
  <c r="N24" i="1"/>
  <c r="N35" i="1" s="1"/>
  <c r="N34" i="1"/>
  <c r="M64" i="1" l="1"/>
  <c r="M71" i="1" s="1"/>
  <c r="M65" i="1"/>
  <c r="M72" i="1" s="1"/>
  <c r="N45" i="1"/>
  <c r="N52" i="1" s="1"/>
  <c r="N59" i="1" s="1"/>
  <c r="O34" i="1"/>
  <c r="O24" i="1"/>
  <c r="O35" i="1" s="1"/>
  <c r="O40" i="1"/>
  <c r="O41" i="1"/>
  <c r="P30" i="1"/>
  <c r="P28" i="1"/>
  <c r="P23" i="1"/>
  <c r="P31" i="1"/>
  <c r="Q25" i="1"/>
  <c r="P42" i="1"/>
  <c r="P32" i="1"/>
  <c r="P29" i="1"/>
  <c r="P27" i="1"/>
  <c r="N44" i="1"/>
  <c r="N51" i="1" s="1"/>
  <c r="N48" i="1"/>
  <c r="N55" i="1" s="1"/>
  <c r="N62" i="1" s="1"/>
  <c r="N47" i="1"/>
  <c r="N54" i="1" s="1"/>
  <c r="N61" i="1" s="1"/>
  <c r="N46" i="1"/>
  <c r="N53" i="1" s="1"/>
  <c r="N60" i="1" s="1"/>
  <c r="O48" i="1" l="1"/>
  <c r="O55" i="1" s="1"/>
  <c r="O62" i="1" s="1"/>
  <c r="O45" i="1"/>
  <c r="O52" i="1" s="1"/>
  <c r="O59" i="1" s="1"/>
  <c r="O46" i="1"/>
  <c r="O53" i="1" s="1"/>
  <c r="O60" i="1" s="1"/>
  <c r="O44" i="1"/>
  <c r="O51" i="1" s="1"/>
  <c r="O58" i="1" s="1"/>
  <c r="N64" i="1"/>
  <c r="N71" i="1" s="1"/>
  <c r="N58" i="1"/>
  <c r="N65" i="1" s="1"/>
  <c r="N72" i="1" s="1"/>
  <c r="P41" i="1"/>
  <c r="P40" i="1"/>
  <c r="Q42" i="1"/>
  <c r="Q32" i="1"/>
  <c r="Q31" i="1"/>
  <c r="Q29" i="1"/>
  <c r="Q27" i="1"/>
  <c r="Q28" i="1"/>
  <c r="Q23" i="1"/>
  <c r="Q30" i="1"/>
  <c r="P24" i="1"/>
  <c r="P35" i="1" s="1"/>
  <c r="P34" i="1"/>
  <c r="O47" i="1"/>
  <c r="O54" i="1" s="1"/>
  <c r="O61" i="1" s="1"/>
  <c r="P45" i="1" l="1"/>
  <c r="P52" i="1" s="1"/>
  <c r="P59" i="1" s="1"/>
  <c r="Q34" i="1"/>
  <c r="Q24" i="1"/>
  <c r="Q35" i="1" s="1"/>
  <c r="Q40" i="1"/>
  <c r="Q41" i="1"/>
  <c r="O64" i="1"/>
  <c r="O71" i="1" s="1"/>
  <c r="P46" i="1"/>
  <c r="P53" i="1" s="1"/>
  <c r="P60" i="1" s="1"/>
  <c r="P44" i="1"/>
  <c r="P51" i="1" s="1"/>
  <c r="P47" i="1"/>
  <c r="P54" i="1" s="1"/>
  <c r="P61" i="1" s="1"/>
  <c r="O65" i="1"/>
  <c r="O72" i="1" s="1"/>
  <c r="P48" i="1"/>
  <c r="P55" i="1" s="1"/>
  <c r="P62" i="1" s="1"/>
  <c r="Q46" i="1" l="1"/>
  <c r="Q53" i="1" s="1"/>
  <c r="Q60" i="1" s="1"/>
  <c r="Q44" i="1"/>
  <c r="Q51" i="1" s="1"/>
  <c r="Q58" i="1" s="1"/>
  <c r="Q45" i="1"/>
  <c r="Q52" i="1" s="1"/>
  <c r="Q59" i="1" s="1"/>
  <c r="Q48" i="1"/>
  <c r="Q55" i="1" s="1"/>
  <c r="Q62" i="1" s="1"/>
  <c r="P64" i="1"/>
  <c r="P71" i="1" s="1"/>
  <c r="P58" i="1"/>
  <c r="P65" i="1" s="1"/>
  <c r="P72" i="1" s="1"/>
  <c r="Q47" i="1"/>
  <c r="Q54" i="1" s="1"/>
  <c r="Q61" i="1" s="1"/>
  <c r="Q65" i="1" l="1"/>
  <c r="Q72" i="1" s="1"/>
  <c r="Q64" i="1"/>
  <c r="Q71" i="1" s="1"/>
</calcChain>
</file>

<file path=xl/sharedStrings.xml><?xml version="1.0" encoding="utf-8"?>
<sst xmlns="http://schemas.openxmlformats.org/spreadsheetml/2006/main" count="95" uniqueCount="73">
  <si>
    <t>Diagrama de interação</t>
  </si>
  <si>
    <r>
      <rPr>
        <sz val="11"/>
        <color theme="1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>f</t>
    </r>
  </si>
  <si>
    <r>
      <rPr>
        <sz val="11"/>
        <color theme="1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>c</t>
    </r>
  </si>
  <si>
    <t>Kmod</t>
  </si>
  <si>
    <r>
      <rPr>
        <sz val="11"/>
        <color theme="1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>s</t>
    </r>
  </si>
  <si>
    <t>kN,m</t>
  </si>
  <si>
    <t>1) Seção de concreto</t>
  </si>
  <si>
    <t>b</t>
  </si>
  <si>
    <t>h</t>
  </si>
  <si>
    <t>fck</t>
  </si>
  <si>
    <t>Kmod.fcd</t>
  </si>
  <si>
    <t>2) Seção de aço</t>
  </si>
  <si>
    <t>x/h</t>
  </si>
  <si>
    <t xml:space="preserve">aço </t>
  </si>
  <si>
    <t>Domínios</t>
  </si>
  <si>
    <t>ini</t>
  </si>
  <si>
    <t>fin</t>
  </si>
  <si>
    <t>camada</t>
  </si>
  <si>
    <t>y</t>
  </si>
  <si>
    <t>As</t>
  </si>
  <si>
    <t>fyk</t>
  </si>
  <si>
    <t>fyd</t>
  </si>
  <si>
    <r>
      <rPr>
        <b/>
        <sz val="11"/>
        <color theme="1"/>
        <rFont val="Symbol"/>
        <family val="1"/>
        <charset val="2"/>
      </rPr>
      <t>e</t>
    </r>
    <r>
      <rPr>
        <b/>
        <sz val="11"/>
        <color theme="1"/>
        <rFont val="Calibri"/>
        <family val="2"/>
        <scheme val="minor"/>
      </rPr>
      <t>yd</t>
    </r>
  </si>
  <si>
    <t>d/h</t>
  </si>
  <si>
    <t>4a</t>
  </si>
  <si>
    <t>3) Resposta da seção de concreto</t>
  </si>
  <si>
    <t>no</t>
  </si>
  <si>
    <t>mo</t>
  </si>
  <si>
    <t>y,polo/h</t>
  </si>
  <si>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polo</t>
    </r>
  </si>
  <si>
    <t>+ encurtamento</t>
  </si>
  <si>
    <t>Ndo</t>
  </si>
  <si>
    <t>Mdo</t>
  </si>
  <si>
    <t>4) Resposta da seção de aço</t>
  </si>
  <si>
    <t>y,polo</t>
  </si>
  <si>
    <r>
      <rPr>
        <b/>
        <sz val="11"/>
        <color theme="1"/>
        <rFont val="Symbol"/>
        <family val="1"/>
        <charset val="2"/>
      </rPr>
      <t>e,</t>
    </r>
    <r>
      <rPr>
        <b/>
        <sz val="11"/>
        <color theme="1"/>
        <rFont val="Calibri"/>
        <family val="2"/>
        <scheme val="minor"/>
      </rPr>
      <t>polo</t>
    </r>
  </si>
  <si>
    <t>xLn</t>
  </si>
  <si>
    <t>Defomações específicas do aço</t>
  </si>
  <si>
    <t>Forças no aço</t>
  </si>
  <si>
    <t>Momentos devido às força no aço</t>
  </si>
  <si>
    <t>Nds</t>
  </si>
  <si>
    <t>Mds</t>
  </si>
  <si>
    <t>5) Resposta da seção de concreto armado</t>
  </si>
  <si>
    <t>Nd</t>
  </si>
  <si>
    <t>Md</t>
  </si>
  <si>
    <t>Nk</t>
  </si>
  <si>
    <t>Mk</t>
  </si>
  <si>
    <t>6) Esforços Solicitantes aplicados</t>
  </si>
  <si>
    <t>e2</t>
  </si>
  <si>
    <t>m</t>
  </si>
  <si>
    <t>e1</t>
  </si>
  <si>
    <t>λ</t>
  </si>
  <si>
    <t>ν</t>
  </si>
  <si>
    <t>Respostas</t>
  </si>
  <si>
    <t>ϒf</t>
  </si>
  <si>
    <t>ϒn</t>
  </si>
  <si>
    <t>As min</t>
  </si>
  <si>
    <t>cm²</t>
  </si>
  <si>
    <t>6 phi 16</t>
  </si>
  <si>
    <t>Nova armadura</t>
  </si>
  <si>
    <t>6 phi 25</t>
  </si>
  <si>
    <t>inserindo no diagrama Nd x Md, conclusão: não suporta</t>
  </si>
  <si>
    <t>inserindo no diagrama Nd x Md, conclusão: suporta</t>
  </si>
  <si>
    <t xml:space="preserve">Estribos </t>
  </si>
  <si>
    <t>φt</t>
  </si>
  <si>
    <t>mm</t>
  </si>
  <si>
    <t>espaçam</t>
  </si>
  <si>
    <t>Não tem força cortante relevante</t>
  </si>
  <si>
    <t>distância entre barras longitudinais maior que 20 x φt =  126 mm</t>
  </si>
  <si>
    <t>ν+0,5</t>
  </si>
  <si>
    <t>adotar 1</t>
  </si>
  <si>
    <t>autorizei no Moodle a utilizar a fórmula simplificada da norma de e2</t>
  </si>
  <si>
    <t>portanto precisa de gancho na barra central e as outras devem ser posicionadas a 10 cm das barras de canto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</si>
</sst>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&quot;m&quot;"/>
    <numFmt numFmtId="165" formatCode="0.0&quot;MPa&quot;"/>
    <numFmt numFmtId="166" formatCode="0&quot;kN/m²&quot;"/>
    <numFmt numFmtId="167" formatCode="0.000"/>
    <numFmt numFmtId="168" formatCode="0.0&quot;cm²&quot;"/>
    <numFmt numFmtId="169" formatCode="0.00000"/>
    <numFmt numFmtId="170" formatCode="0.000%"/>
    <numFmt numFmtId="171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i/>
      <sz val="11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3" borderId="0" xfId="0" applyFont="1" applyFill="1"/>
    <xf numFmtId="0" fontId="7" fillId="3" borderId="0" xfId="0" applyFont="1" applyFill="1"/>
    <xf numFmtId="0" fontId="2" fillId="0" borderId="0" xfId="0" applyFont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8" fillId="2" borderId="1" xfId="0" applyNumberFormat="1" applyFont="1" applyFill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167" fontId="0" fillId="0" borderId="1" xfId="0" applyNumberFormat="1" applyBorder="1"/>
    <xf numFmtId="168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0" xfId="0" applyNumberFormat="1"/>
    <xf numFmtId="168" fontId="0" fillId="0" borderId="0" xfId="0" applyNumberFormat="1"/>
    <xf numFmtId="0" fontId="0" fillId="0" borderId="0" xfId="0" applyFill="1" applyBorder="1"/>
    <xf numFmtId="10" fontId="0" fillId="0" borderId="0" xfId="1" applyNumberFormat="1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9" fontId="8" fillId="4" borderId="1" xfId="0" applyNumberFormat="1" applyFont="1" applyFill="1" applyBorder="1"/>
    <xf numFmtId="169" fontId="8" fillId="0" borderId="1" xfId="0" applyNumberFormat="1" applyFont="1" applyBorder="1"/>
    <xf numFmtId="2" fontId="8" fillId="4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1" fontId="0" fillId="0" borderId="1" xfId="0" applyNumberFormat="1" applyBorder="1"/>
    <xf numFmtId="0" fontId="0" fillId="0" borderId="0" xfId="0" quotePrefix="1"/>
    <xf numFmtId="167" fontId="8" fillId="6" borderId="1" xfId="0" applyNumberFormat="1" applyFont="1" applyFill="1" applyBorder="1"/>
    <xf numFmtId="167" fontId="8" fillId="4" borderId="1" xfId="0" applyNumberFormat="1" applyFont="1" applyFill="1" applyBorder="1"/>
    <xf numFmtId="0" fontId="2" fillId="0" borderId="0" xfId="0" applyFont="1" applyBorder="1" applyAlignment="1">
      <alignment horizontal="center"/>
    </xf>
    <xf numFmtId="170" fontId="8" fillId="0" borderId="1" xfId="1" applyNumberFormat="1" applyFont="1" applyBorder="1"/>
    <xf numFmtId="164" fontId="2" fillId="0" borderId="0" xfId="0" applyNumberFormat="1" applyFont="1" applyBorder="1"/>
    <xf numFmtId="170" fontId="8" fillId="4" borderId="1" xfId="1" applyNumberFormat="1" applyFont="1" applyFill="1" applyBorder="1"/>
    <xf numFmtId="2" fontId="8" fillId="0" borderId="1" xfId="0" applyNumberFormat="1" applyFont="1" applyBorder="1"/>
    <xf numFmtId="167" fontId="8" fillId="0" borderId="1" xfId="0" applyNumberFormat="1" applyFont="1" applyBorder="1"/>
    <xf numFmtId="2" fontId="8" fillId="6" borderId="1" xfId="0" applyNumberFormat="1" applyFont="1" applyFill="1" applyBorder="1"/>
    <xf numFmtId="0" fontId="0" fillId="7" borderId="1" xfId="0" applyFill="1" applyBorder="1" applyProtection="1">
      <protection locked="0"/>
    </xf>
    <xf numFmtId="171" fontId="0" fillId="7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8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12" fillId="0" borderId="0" xfId="0" applyFont="1"/>
    <xf numFmtId="0" fontId="0" fillId="5" borderId="0" xfId="0" applyFill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'Det PeG - Dir y'!$B$70</c:f>
              <c:strCache>
                <c:ptCount val="1"/>
                <c:pt idx="0">
                  <c:v>Diagrama de iteração com As=140cm²</c:v>
                </c:pt>
              </c:strCache>
            </c:strRef>
          </c:tx>
          <c:marker>
            <c:symbol val="diamond"/>
            <c:size val="4"/>
            <c:spPr>
              <a:solidFill>
                <a:schemeClr val="tx1"/>
              </a:solidFill>
            </c:spPr>
          </c:marker>
          <c:xVal>
            <c:numRef>
              <c:f>'Det PeG - Dir y'!$D$71:$R$71</c:f>
              <c:numCache>
                <c:formatCode>0.00</c:formatCode>
                <c:ptCount val="15"/>
                <c:pt idx="0">
                  <c:v>-6086.95652173913</c:v>
                </c:pt>
                <c:pt idx="1">
                  <c:v>-5278.2608695652179</c:v>
                </c:pt>
                <c:pt idx="2">
                  <c:v>-3476.7124824684433</c:v>
                </c:pt>
                <c:pt idx="3">
                  <c:v>-1262.260869565217</c:v>
                </c:pt>
                <c:pt idx="4">
                  <c:v>569.27173913043521</c:v>
                </c:pt>
                <c:pt idx="5">
                  <c:v>1264.5000000000005</c:v>
                </c:pt>
                <c:pt idx="6">
                  <c:v>2040.0000000000002</c:v>
                </c:pt>
                <c:pt idx="7">
                  <c:v>3280.4456521739135</c:v>
                </c:pt>
                <c:pt idx="8">
                  <c:v>4782.195652173913</c:v>
                </c:pt>
                <c:pt idx="9">
                  <c:v>6010.5081521739139</c:v>
                </c:pt>
                <c:pt idx="10">
                  <c:v>7056.5289855072469</c:v>
                </c:pt>
                <c:pt idx="11">
                  <c:v>7950.3532608695641</c:v>
                </c:pt>
                <c:pt idx="12">
                  <c:v>8673.0740055504157</c:v>
                </c:pt>
                <c:pt idx="13">
                  <c:v>9314.2004830917886</c:v>
                </c:pt>
                <c:pt idx="14">
                  <c:v>10979.995799939999</c:v>
                </c:pt>
              </c:numCache>
            </c:numRef>
          </c:xVal>
          <c:yVal>
            <c:numRef>
              <c:f>'Det PeG - Dir y'!$D$72:$R$72</c:f>
              <c:numCache>
                <c:formatCode>0.00</c:formatCode>
                <c:ptCount val="15"/>
                <c:pt idx="0">
                  <c:v>-1.1368683772161603E-13</c:v>
                </c:pt>
                <c:pt idx="1">
                  <c:v>121.30434782608683</c:v>
                </c:pt>
                <c:pt idx="2">
                  <c:v>405.40860589060298</c:v>
                </c:pt>
                <c:pt idx="3">
                  <c:v>738.39234782608696</c:v>
                </c:pt>
                <c:pt idx="4">
                  <c:v>975.77897826086962</c:v>
                </c:pt>
                <c:pt idx="5">
                  <c:v>1027.529445652174</c:v>
                </c:pt>
                <c:pt idx="6">
                  <c:v>1045.7836956521739</c:v>
                </c:pt>
                <c:pt idx="7">
                  <c:v>964.39634782608709</c:v>
                </c:pt>
                <c:pt idx="8">
                  <c:v>821.13234782608708</c:v>
                </c:pt>
                <c:pt idx="9">
                  <c:v>699.81234782608692</c:v>
                </c:pt>
                <c:pt idx="10">
                  <c:v>588.76968115942032</c:v>
                </c:pt>
                <c:pt idx="11">
                  <c:v>479.77472826086967</c:v>
                </c:pt>
                <c:pt idx="12">
                  <c:v>379.22888251618883</c:v>
                </c:pt>
                <c:pt idx="13">
                  <c:v>277.3087004830918</c:v>
                </c:pt>
                <c:pt idx="14">
                  <c:v>2.8875412504030251E-3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3D-4E1D-AFA2-EC78BDD4BFD6}"/>
            </c:ext>
          </c:extLst>
        </c:ser>
        <c:ser>
          <c:idx val="1"/>
          <c:order val="1"/>
          <c:tx>
            <c:v>Diagrama com As=0</c:v>
          </c:tx>
          <c:marker>
            <c:symbol val="square"/>
            <c:size val="4"/>
            <c:spPr>
              <a:solidFill>
                <a:schemeClr val="tx1"/>
              </a:solidFill>
            </c:spPr>
          </c:marker>
          <c:xVal>
            <c:numRef>
              <c:f>'Det PeG - Dir y'!$D$34:$R$34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408</c:v>
                </c:pt>
                <c:pt idx="3">
                  <c:v>816</c:v>
                </c:pt>
                <c:pt idx="4">
                  <c:v>1224.0000000000005</c:v>
                </c:pt>
                <c:pt idx="5">
                  <c:v>1632</c:v>
                </c:pt>
                <c:pt idx="6">
                  <c:v>2040.0000000000002</c:v>
                </c:pt>
                <c:pt idx="7">
                  <c:v>2448.0000000000005</c:v>
                </c:pt>
                <c:pt idx="8">
                  <c:v>2856.0000000000005</c:v>
                </c:pt>
                <c:pt idx="9">
                  <c:v>3264</c:v>
                </c:pt>
                <c:pt idx="10">
                  <c:v>3672.0000000000005</c:v>
                </c:pt>
                <c:pt idx="11">
                  <c:v>4079.9999999999995</c:v>
                </c:pt>
                <c:pt idx="12">
                  <c:v>4488</c:v>
                </c:pt>
                <c:pt idx="13">
                  <c:v>4896.0000000000009</c:v>
                </c:pt>
                <c:pt idx="14">
                  <c:v>5100.0000000000009</c:v>
                </c:pt>
              </c:numCache>
            </c:numRef>
          </c:xVal>
          <c:yVal>
            <c:numRef>
              <c:f>'Det PeG - Dir y'!$D$35:$R$35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75.072000000000017</c:v>
                </c:pt>
                <c:pt idx="3">
                  <c:v>137.08800000000002</c:v>
                </c:pt>
                <c:pt idx="4">
                  <c:v>186.04800000000009</c:v>
                </c:pt>
                <c:pt idx="5">
                  <c:v>221.95200000000003</c:v>
                </c:pt>
                <c:pt idx="6">
                  <c:v>244.80000000000007</c:v>
                </c:pt>
                <c:pt idx="7">
                  <c:v>254.59200000000007</c:v>
                </c:pt>
                <c:pt idx="8">
                  <c:v>251.32800000000006</c:v>
                </c:pt>
                <c:pt idx="9">
                  <c:v>235.00800000000007</c:v>
                </c:pt>
                <c:pt idx="10">
                  <c:v>205.63200000000006</c:v>
                </c:pt>
                <c:pt idx="11">
                  <c:v>163.20000000000007</c:v>
                </c:pt>
                <c:pt idx="12">
                  <c:v>107.712</c:v>
                </c:pt>
                <c:pt idx="13">
                  <c:v>39.167999999999935</c:v>
                </c:pt>
                <c:pt idx="14">
                  <c:v>-2.2648549702353201E-13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3D-4E1D-AFA2-EC78BDD4BFD6}"/>
            </c:ext>
          </c:extLst>
        </c:ser>
        <c:ser>
          <c:idx val="2"/>
          <c:order val="2"/>
          <c:tx>
            <c:strRef>
              <c:f>'Det PeG - Dir y'!$B$100</c:f>
              <c:strCache>
                <c:ptCount val="1"/>
                <c:pt idx="0">
                  <c:v>1</c:v>
                </c:pt>
              </c:strCache>
            </c:strRef>
          </c:tx>
          <c:spPr>
            <a:ln w="28575">
              <a:noFill/>
            </a:ln>
          </c:spPr>
          <c:xVal>
            <c:numRef>
              <c:f>'Det PeG - Dir y'!$J$100</c:f>
              <c:numCache>
                <c:formatCode>0.000</c:formatCode>
                <c:ptCount val="1"/>
                <c:pt idx="0">
                  <c:v>2940</c:v>
                </c:pt>
              </c:numCache>
            </c:numRef>
          </c:xVal>
          <c:yVal>
            <c:numRef>
              <c:f>'Det PeG - Dir y'!$K$100</c:f>
              <c:numCache>
                <c:formatCode>0.000</c:formatCode>
                <c:ptCount val="1"/>
                <c:pt idx="0">
                  <c:v>970.19999999999993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B3D-4E1D-AFA2-EC78BDD4BFD6}"/>
            </c:ext>
          </c:extLst>
        </c:ser>
        <c:ser>
          <c:idx val="3"/>
          <c:order val="3"/>
          <c:tx>
            <c:strRef>
              <c:f>'Det PeG - Dir y'!$B$101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noFill/>
            </a:ln>
          </c:spPr>
          <c:marker>
            <c:symbol val="square"/>
            <c:size val="7"/>
          </c:marker>
          <c:xVal>
            <c:numRef>
              <c:f>'Det PeG - Dir y'!$J$101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'Det PeG - Dir y'!$K$101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3D-4E1D-AFA2-EC78BDD4BFD6}"/>
            </c:ext>
          </c:extLst>
        </c:ser>
        <c:ser>
          <c:idx val="4"/>
          <c:order val="4"/>
          <c:tx>
            <c:strRef>
              <c:f>'Det PeG - Dir y'!$B$102</c:f>
              <c:strCache>
                <c:ptCount val="1"/>
                <c:pt idx="0">
                  <c:v>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'Det PeG - Dir y'!$J$102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'Det PeG - Dir y'!$K$102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B3D-4E1D-AFA2-EC78BDD4BFD6}"/>
            </c:ext>
          </c:extLst>
        </c:ser>
        <c:ser>
          <c:idx val="5"/>
          <c:order val="5"/>
          <c:tx>
            <c:strRef>
              <c:f>'Det PeG - Dir y'!$B$103</c:f>
              <c:strCache>
                <c:ptCount val="1"/>
                <c:pt idx="0">
                  <c:v>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'Det PeG - Dir y'!$J$103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'Det PeG - Dir y'!$K$103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B3D-4E1D-AFA2-EC78BDD4BFD6}"/>
            </c:ext>
          </c:extLst>
        </c:ser>
        <c:ser>
          <c:idx val="6"/>
          <c:order val="6"/>
          <c:tx>
            <c:strRef>
              <c:f>'Det PeG - Dir y'!$B$104</c:f>
              <c:strCache>
                <c:ptCount val="1"/>
                <c:pt idx="0">
                  <c:v>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'Det PeG - Dir y'!$J$104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'Det PeG - Dir y'!$K$104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B3D-4E1D-AFA2-EC78BDD4B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878800"/>
        <c:axId val="222879584"/>
      </c:scatterChart>
      <c:valAx>
        <c:axId val="22287880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Nd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31750"/>
        </c:spPr>
        <c:crossAx val="222879584"/>
        <c:crosses val="autoZero"/>
        <c:crossBetween val="midCat"/>
      </c:valAx>
      <c:valAx>
        <c:axId val="22287958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Md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34925">
            <a:solidFill>
              <a:schemeClr val="bg1">
                <a:lumMod val="50000"/>
              </a:schemeClr>
            </a:solidFill>
          </a:ln>
        </c:spPr>
        <c:crossAx val="222878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010838039184499"/>
          <c:y val="6.3695362984116682E-2"/>
          <c:w val="0.24154214056576312"/>
          <c:h val="0.42405480841087156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8" footer="0.31496062000000058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171450</xdr:colOff>
      <xdr:row>7</xdr:row>
      <xdr:rowOff>142875</xdr:rowOff>
    </xdr:from>
    <xdr:to>
      <xdr:col>27</xdr:col>
      <xdr:colOff>342903</xdr:colOff>
      <xdr:row>21</xdr:row>
      <xdr:rowOff>55010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224510" y="1423035"/>
          <a:ext cx="5048253" cy="2472455"/>
          <a:chOff x="11972925" y="1476375"/>
          <a:chExt cx="5048253" cy="2579135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2153900" y="2295525"/>
            <a:ext cx="1457325" cy="1314450"/>
          </a:xfrm>
          <a:prstGeom prst="rect">
            <a:avLst/>
          </a:prstGeom>
          <a:solidFill>
            <a:schemeClr val="bg1">
              <a:lumMod val="65000"/>
              <a:alpha val="69000"/>
            </a:schemeClr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4" name="Forma liv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3611225" y="2295526"/>
            <a:ext cx="3076574" cy="1133474"/>
          </a:xfrm>
          <a:custGeom>
            <a:avLst/>
            <a:gdLst>
              <a:gd name="connsiteX0" fmla="*/ 3067050 w 3076575"/>
              <a:gd name="connsiteY0" fmla="*/ 1152525 h 1152525"/>
              <a:gd name="connsiteX1" fmla="*/ 3076575 w 3076575"/>
              <a:gd name="connsiteY1" fmla="*/ 0 h 1152525"/>
              <a:gd name="connsiteX2" fmla="*/ 0 w 3076575"/>
              <a:gd name="connsiteY2" fmla="*/ 0 h 1152525"/>
              <a:gd name="connsiteX3" fmla="*/ 3067050 w 3076575"/>
              <a:gd name="connsiteY3" fmla="*/ 1152525 h 1152525"/>
              <a:gd name="connsiteX0" fmla="*/ 3095625 w 3105150"/>
              <a:gd name="connsiteY0" fmla="*/ 1152525 h 1152525"/>
              <a:gd name="connsiteX1" fmla="*/ 3105150 w 3105150"/>
              <a:gd name="connsiteY1" fmla="*/ 0 h 1152525"/>
              <a:gd name="connsiteX2" fmla="*/ 0 w 3105150"/>
              <a:gd name="connsiteY2" fmla="*/ 38100 h 1152525"/>
              <a:gd name="connsiteX3" fmla="*/ 3095625 w 3105150"/>
              <a:gd name="connsiteY3" fmla="*/ 1152525 h 1152525"/>
              <a:gd name="connsiteX0" fmla="*/ 3095625 w 3095625"/>
              <a:gd name="connsiteY0" fmla="*/ 1123950 h 1123950"/>
              <a:gd name="connsiteX1" fmla="*/ 3095625 w 3095625"/>
              <a:gd name="connsiteY1" fmla="*/ 0 h 1123950"/>
              <a:gd name="connsiteX2" fmla="*/ 0 w 3095625"/>
              <a:gd name="connsiteY2" fmla="*/ 9525 h 1123950"/>
              <a:gd name="connsiteX3" fmla="*/ 3095625 w 3095625"/>
              <a:gd name="connsiteY3" fmla="*/ 1123950 h 1123950"/>
              <a:gd name="connsiteX0" fmla="*/ 3048000 w 3048000"/>
              <a:gd name="connsiteY0" fmla="*/ 1123950 h 1123950"/>
              <a:gd name="connsiteX1" fmla="*/ 3048000 w 3048000"/>
              <a:gd name="connsiteY1" fmla="*/ 0 h 1123950"/>
              <a:gd name="connsiteX2" fmla="*/ 0 w 3048000"/>
              <a:gd name="connsiteY2" fmla="*/ 9525 h 1123950"/>
              <a:gd name="connsiteX3" fmla="*/ 3048000 w 3048000"/>
              <a:gd name="connsiteY3" fmla="*/ 1123950 h 1123950"/>
              <a:gd name="connsiteX0" fmla="*/ 3076575 w 3076575"/>
              <a:gd name="connsiteY0" fmla="*/ 1123950 h 1123950"/>
              <a:gd name="connsiteX1" fmla="*/ 3076575 w 3076575"/>
              <a:gd name="connsiteY1" fmla="*/ 0 h 1123950"/>
              <a:gd name="connsiteX2" fmla="*/ 0 w 3076575"/>
              <a:gd name="connsiteY2" fmla="*/ 0 h 1123950"/>
              <a:gd name="connsiteX3" fmla="*/ 3076575 w 3076575"/>
              <a:gd name="connsiteY3" fmla="*/ 1123950 h 11239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076575" h="1123950">
                <a:moveTo>
                  <a:pt x="3076575" y="1123950"/>
                </a:moveTo>
                <a:lnTo>
                  <a:pt x="3076575" y="0"/>
                </a:lnTo>
                <a:lnTo>
                  <a:pt x="0" y="0"/>
                </a:lnTo>
                <a:lnTo>
                  <a:pt x="3076575" y="1123950"/>
                </a:lnTo>
                <a:close/>
              </a:path>
            </a:pathLst>
          </a:custGeom>
          <a:solidFill>
            <a:schemeClr val="accent6">
              <a:lumMod val="40000"/>
              <a:lumOff val="60000"/>
              <a:alpha val="50000"/>
            </a:schemeClr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>
              <a:solidFill>
                <a:schemeClr val="tx1"/>
              </a:solidFill>
            </a:endParaRPr>
          </a:p>
        </xdr:txBody>
      </xdr:sp>
      <xdr:cxnSp macro="">
        <xdr:nvCxnSpPr>
          <xdr:cNvPr id="5" name="Conector re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 rot="16200000" flipV="1">
            <a:off x="15597191" y="2605087"/>
            <a:ext cx="2190748" cy="9527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15754350" y="2524125"/>
            <a:ext cx="55701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DOM1</a:t>
            </a:r>
          </a:p>
        </xdr:txBody>
      </xdr:sp>
      <xdr:sp macro="" textlink="">
        <xdr:nvSpPr>
          <xdr:cNvPr id="7" name="Forma livr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2563474" y="2286000"/>
            <a:ext cx="4143375" cy="1152525"/>
          </a:xfrm>
          <a:custGeom>
            <a:avLst/>
            <a:gdLst>
              <a:gd name="connsiteX0" fmla="*/ 1019175 w 4114800"/>
              <a:gd name="connsiteY0" fmla="*/ 0 h 1152525"/>
              <a:gd name="connsiteX1" fmla="*/ 4114800 w 4114800"/>
              <a:gd name="connsiteY1" fmla="*/ 1152525 h 1152525"/>
              <a:gd name="connsiteX2" fmla="*/ 0 w 4114800"/>
              <a:gd name="connsiteY2" fmla="*/ 19050 h 1152525"/>
              <a:gd name="connsiteX3" fmla="*/ 1019175 w 4114800"/>
              <a:gd name="connsiteY3" fmla="*/ 0 h 1152525"/>
              <a:gd name="connsiteX0" fmla="*/ 1047750 w 4143375"/>
              <a:gd name="connsiteY0" fmla="*/ 0 h 1152525"/>
              <a:gd name="connsiteX1" fmla="*/ 4143375 w 4143375"/>
              <a:gd name="connsiteY1" fmla="*/ 1152525 h 1152525"/>
              <a:gd name="connsiteX2" fmla="*/ 0 w 4143375"/>
              <a:gd name="connsiteY2" fmla="*/ 9525 h 1152525"/>
              <a:gd name="connsiteX3" fmla="*/ 1047750 w 4143375"/>
              <a:gd name="connsiteY3" fmla="*/ 0 h 11525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143375" h="1152525">
                <a:moveTo>
                  <a:pt x="1047750" y="0"/>
                </a:moveTo>
                <a:lnTo>
                  <a:pt x="4143375" y="1152525"/>
                </a:lnTo>
                <a:lnTo>
                  <a:pt x="0" y="9525"/>
                </a:lnTo>
                <a:lnTo>
                  <a:pt x="1047750" y="0"/>
                </a:lnTo>
                <a:close/>
              </a:path>
            </a:pathLst>
          </a:custGeom>
          <a:solidFill>
            <a:schemeClr val="accent5">
              <a:lumMod val="40000"/>
              <a:lumOff val="60000"/>
              <a:alpha val="46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8" name="CaixaDe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13287375" y="2305050"/>
            <a:ext cx="55701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DOM2</a:t>
            </a:r>
          </a:p>
        </xdr:txBody>
      </xdr:sp>
      <xdr:cxnSp macro="">
        <xdr:nvCxnSpPr>
          <xdr:cNvPr id="9" name="Conector re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 rot="16200000" flipV="1">
            <a:off x="12353926" y="2133601"/>
            <a:ext cx="1476375" cy="1419224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Forma livr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2582525" y="2286000"/>
            <a:ext cx="4095750" cy="1152525"/>
          </a:xfrm>
          <a:custGeom>
            <a:avLst/>
            <a:gdLst>
              <a:gd name="connsiteX0" fmla="*/ 0 w 4095750"/>
              <a:gd name="connsiteY0" fmla="*/ 0 h 1152525"/>
              <a:gd name="connsiteX1" fmla="*/ 1800225 w 4095750"/>
              <a:gd name="connsiteY1" fmla="*/ 1152525 h 1152525"/>
              <a:gd name="connsiteX2" fmla="*/ 4095750 w 4095750"/>
              <a:gd name="connsiteY2" fmla="*/ 1152525 h 1152525"/>
              <a:gd name="connsiteX3" fmla="*/ 0 w 4095750"/>
              <a:gd name="connsiteY3" fmla="*/ 0 h 11525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095750" h="1152525">
                <a:moveTo>
                  <a:pt x="0" y="0"/>
                </a:moveTo>
                <a:lnTo>
                  <a:pt x="1800225" y="1152525"/>
                </a:lnTo>
                <a:lnTo>
                  <a:pt x="4095750" y="1152525"/>
                </a:lnTo>
                <a:lnTo>
                  <a:pt x="0" y="0"/>
                </a:lnTo>
                <a:close/>
              </a:path>
            </a:pathLst>
          </a:custGeom>
          <a:solidFill>
            <a:schemeClr val="accent4">
              <a:lumMod val="40000"/>
              <a:lumOff val="60000"/>
              <a:alpha val="5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cxnSp macro="">
        <xdr:nvCxnSpPr>
          <xdr:cNvPr id="11" name="Conector re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 rot="10800000">
            <a:off x="13201651" y="2133600"/>
            <a:ext cx="3819527" cy="142875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 rot="10800000">
            <a:off x="12296776" y="2200275"/>
            <a:ext cx="4695827" cy="131445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Conector re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 rot="10800000">
            <a:off x="12325350" y="2152650"/>
            <a:ext cx="2343150" cy="148590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CaixaDeTex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14316075" y="2990850"/>
            <a:ext cx="55701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DOM3</a:t>
            </a:r>
          </a:p>
        </xdr:txBody>
      </xdr:sp>
      <xdr:sp macro="" textlink="">
        <xdr:nvSpPr>
          <xdr:cNvPr id="15" name="Elips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16668750" y="3409950"/>
            <a:ext cx="47625" cy="476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16" name="Elipse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14325600" y="3400425"/>
            <a:ext cx="47625" cy="476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17" name="Elipse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13592175" y="3409950"/>
            <a:ext cx="47625" cy="476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18" name="Elips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3592175" y="3590925"/>
            <a:ext cx="47625" cy="476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19" name="Forma livre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12553950" y="2286000"/>
            <a:ext cx="1781175" cy="1152525"/>
          </a:xfrm>
          <a:custGeom>
            <a:avLst/>
            <a:gdLst>
              <a:gd name="connsiteX0" fmla="*/ 0 w 1781175"/>
              <a:gd name="connsiteY0" fmla="*/ 0 h 1152525"/>
              <a:gd name="connsiteX1" fmla="*/ 1066800 w 1781175"/>
              <a:gd name="connsiteY1" fmla="*/ 1143000 h 1152525"/>
              <a:gd name="connsiteX2" fmla="*/ 1781175 w 1781175"/>
              <a:gd name="connsiteY2" fmla="*/ 1152525 h 1152525"/>
              <a:gd name="connsiteX3" fmla="*/ 0 w 1781175"/>
              <a:gd name="connsiteY3" fmla="*/ 0 h 11525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81175" h="1152525">
                <a:moveTo>
                  <a:pt x="0" y="0"/>
                </a:moveTo>
                <a:lnTo>
                  <a:pt x="1066800" y="1143000"/>
                </a:lnTo>
                <a:lnTo>
                  <a:pt x="1781175" y="1152525"/>
                </a:lnTo>
                <a:lnTo>
                  <a:pt x="0" y="0"/>
                </a:lnTo>
                <a:close/>
              </a:path>
            </a:pathLst>
          </a:custGeom>
          <a:solidFill>
            <a:schemeClr val="accent3">
              <a:lumMod val="40000"/>
              <a:lumOff val="60000"/>
              <a:alpha val="50000"/>
            </a:schemeClr>
          </a:soli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20" name="CaixaDeText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13487400" y="3114675"/>
            <a:ext cx="55701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DOM4</a:t>
            </a:r>
          </a:p>
        </xdr:txBody>
      </xdr:sp>
      <xdr:cxnSp macro="">
        <xdr:nvCxnSpPr>
          <xdr:cNvPr id="21" name="Conector reto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rot="16200000" flipV="1">
            <a:off x="12258676" y="2295525"/>
            <a:ext cx="1695451" cy="1371601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Forma livre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12563475" y="2314575"/>
            <a:ext cx="1066800" cy="1304925"/>
          </a:xfrm>
          <a:custGeom>
            <a:avLst/>
            <a:gdLst>
              <a:gd name="connsiteX0" fmla="*/ 0 w 1066800"/>
              <a:gd name="connsiteY0" fmla="*/ 0 h 1304925"/>
              <a:gd name="connsiteX1" fmla="*/ 1066800 w 1066800"/>
              <a:gd name="connsiteY1" fmla="*/ 1304925 h 1304925"/>
              <a:gd name="connsiteX2" fmla="*/ 1057275 w 1066800"/>
              <a:gd name="connsiteY2" fmla="*/ 1114425 h 1304925"/>
              <a:gd name="connsiteX3" fmla="*/ 0 w 1066800"/>
              <a:gd name="connsiteY3" fmla="*/ 0 h 13049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66800" h="1304925">
                <a:moveTo>
                  <a:pt x="0" y="0"/>
                </a:moveTo>
                <a:lnTo>
                  <a:pt x="1066800" y="1304925"/>
                </a:lnTo>
                <a:lnTo>
                  <a:pt x="1057275" y="1114425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>
              <a:lumMod val="40000"/>
              <a:lumOff val="60000"/>
              <a:alpha val="5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23" name="CaixaDeTex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12687300" y="3790950"/>
            <a:ext cx="624595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DOM4a</a:t>
            </a:r>
          </a:p>
        </xdr:txBody>
      </xdr:sp>
      <xdr:cxnSp macro="">
        <xdr:nvCxnSpPr>
          <xdr:cNvPr id="24" name="Conector de seta reta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>
            <a:stCxn id="23" idx="3"/>
          </xdr:cNvCxnSpPr>
        </xdr:nvCxnSpPr>
        <xdr:spPr>
          <a:xfrm flipV="1">
            <a:off x="13311895" y="3371850"/>
            <a:ext cx="194555" cy="55138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Elipse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13001625" y="3590925"/>
            <a:ext cx="47625" cy="476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26" name="Forma livre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12563475" y="2286000"/>
            <a:ext cx="1038225" cy="1323975"/>
          </a:xfrm>
          <a:custGeom>
            <a:avLst/>
            <a:gdLst>
              <a:gd name="connsiteX0" fmla="*/ 0 w 1038225"/>
              <a:gd name="connsiteY0" fmla="*/ 0 h 1323975"/>
              <a:gd name="connsiteX1" fmla="*/ 438150 w 1038225"/>
              <a:gd name="connsiteY1" fmla="*/ 9525 h 1323975"/>
              <a:gd name="connsiteX2" fmla="*/ 457200 w 1038225"/>
              <a:gd name="connsiteY2" fmla="*/ 1323975 h 1323975"/>
              <a:gd name="connsiteX3" fmla="*/ 1038225 w 1038225"/>
              <a:gd name="connsiteY3" fmla="*/ 1323975 h 1323975"/>
              <a:gd name="connsiteX4" fmla="*/ 0 w 1038225"/>
              <a:gd name="connsiteY4" fmla="*/ 0 h 13239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38225" h="1323975">
                <a:moveTo>
                  <a:pt x="0" y="0"/>
                </a:moveTo>
                <a:lnTo>
                  <a:pt x="438150" y="9525"/>
                </a:lnTo>
                <a:lnTo>
                  <a:pt x="457200" y="1323975"/>
                </a:lnTo>
                <a:lnTo>
                  <a:pt x="1038225" y="1323975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65000"/>
              <a:lumOff val="35000"/>
              <a:alpha val="5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27" name="CaixaDeTexto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11972925" y="3752850"/>
            <a:ext cx="55701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DOM5</a:t>
            </a:r>
          </a:p>
        </xdr:txBody>
      </xdr:sp>
      <xdr:cxnSp macro="">
        <xdr:nvCxnSpPr>
          <xdr:cNvPr id="28" name="Conector de seta reta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CxnSpPr>
            <a:stCxn id="27" idx="3"/>
          </xdr:cNvCxnSpPr>
        </xdr:nvCxnSpPr>
        <xdr:spPr>
          <a:xfrm flipV="1">
            <a:off x="12529937" y="3276600"/>
            <a:ext cx="614563" cy="60853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CaixaDeTexto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/>
        </xdr:nvSpPr>
        <xdr:spPr>
          <a:xfrm>
            <a:off x="12677775" y="1476375"/>
            <a:ext cx="463717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0,2%</a:t>
            </a:r>
          </a:p>
        </xdr:txBody>
      </xdr:sp>
      <xdr:sp macro="" textlink="">
        <xdr:nvSpPr>
          <xdr:cNvPr id="30" name="CaixaDeTexto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12115800" y="1666875"/>
            <a:ext cx="53521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0,35%</a:t>
            </a:r>
          </a:p>
        </xdr:txBody>
      </xdr:sp>
      <xdr:sp macro="" textlink="">
        <xdr:nvSpPr>
          <xdr:cNvPr id="31" name="CaixaDeTexto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14163675" y="3638550"/>
            <a:ext cx="384592" cy="2720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>
                <a:latin typeface="Symbol" pitchFamily="18" charset="2"/>
              </a:rPr>
              <a:t>e</a:t>
            </a:r>
            <a:r>
              <a:rPr lang="pt-BR" sz="1100"/>
              <a:t>yd</a:t>
            </a:r>
          </a:p>
        </xdr:txBody>
      </xdr:sp>
      <xdr:sp macro="" textlink="">
        <xdr:nvSpPr>
          <xdr:cNvPr id="32" name="CaixaDeTexto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16106775" y="3619500"/>
            <a:ext cx="463717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1,0%</a:t>
            </a:r>
          </a:p>
        </xdr:txBody>
      </xdr:sp>
      <xdr:sp macro="" textlink="">
        <xdr:nvSpPr>
          <xdr:cNvPr id="33" name="CaixaDeTexto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13477875" y="1781175"/>
            <a:ext cx="35702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pt-BR" sz="1100"/>
              <a:t>0%</a:t>
            </a:r>
          </a:p>
        </xdr:txBody>
      </xdr:sp>
      <xdr:cxnSp macro="">
        <xdr:nvCxnSpPr>
          <xdr:cNvPr id="34" name="Conector reto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>
            <a:stCxn id="29" idx="2"/>
          </xdr:cNvCxnSpPr>
        </xdr:nvCxnSpPr>
        <xdr:spPr>
          <a:xfrm rot="16200000" flipH="1">
            <a:off x="12778347" y="1872221"/>
            <a:ext cx="352015" cy="8944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Conector reto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>
            <a:stCxn id="31" idx="1"/>
            <a:endCxn id="19" idx="2"/>
          </xdr:cNvCxnSpPr>
        </xdr:nvCxnSpPr>
        <xdr:spPr>
          <a:xfrm rot="10800000" flipH="1">
            <a:off x="14163675" y="3438525"/>
            <a:ext cx="171450" cy="3360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Conector reto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>
            <a:stCxn id="32" idx="3"/>
            <a:endCxn id="15" idx="7"/>
          </xdr:cNvCxnSpPr>
        </xdr:nvCxnSpPr>
        <xdr:spPr>
          <a:xfrm flipV="1">
            <a:off x="16570492" y="3416925"/>
            <a:ext cx="138908" cy="33485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Elipse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12992100" y="2838450"/>
            <a:ext cx="47625" cy="476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</xdr:grpSp>
    <xdr:clientData/>
  </xdr:twoCellAnchor>
  <xdr:twoCellAnchor>
    <xdr:from>
      <xdr:col>2</xdr:col>
      <xdr:colOff>581025</xdr:colOff>
      <xdr:row>73</xdr:row>
      <xdr:rowOff>139064</xdr:rowOff>
    </xdr:from>
    <xdr:to>
      <xdr:col>18</xdr:col>
      <xdr:colOff>19050</xdr:colOff>
      <xdr:row>93</xdr:row>
      <xdr:rowOff>120015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457200</xdr:colOff>
      <xdr:row>1</xdr:row>
      <xdr:rowOff>0</xdr:rowOff>
    </xdr:from>
    <xdr:to>
      <xdr:col>13</xdr:col>
      <xdr:colOff>464310</xdr:colOff>
      <xdr:row>9</xdr:row>
      <xdr:rowOff>28575</xdr:rowOff>
    </xdr:to>
    <xdr:grpSp>
      <xdr:nvGrpSpPr>
        <xdr:cNvPr id="39" name="Grup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pSpPr/>
      </xdr:nvGrpSpPr>
      <xdr:grpSpPr>
        <a:xfrm>
          <a:off x="7673340" y="182880"/>
          <a:ext cx="1950210" cy="1491615"/>
          <a:chOff x="6124575" y="819150"/>
          <a:chExt cx="1864485" cy="1552575"/>
        </a:xfrm>
      </xdr:grpSpPr>
      <xdr:sp macro="" textlink="">
        <xdr:nvSpPr>
          <xdr:cNvPr id="40" name="Retângulo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6181725" y="819150"/>
            <a:ext cx="1762125" cy="15525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grpSp>
        <xdr:nvGrpSpPr>
          <xdr:cNvPr id="41" name="Grupo 15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GrpSpPr/>
        </xdr:nvGrpSpPr>
        <xdr:grpSpPr>
          <a:xfrm>
            <a:off x="6124575" y="904875"/>
            <a:ext cx="1864485" cy="1190625"/>
            <a:chOff x="4448175" y="1457325"/>
            <a:chExt cx="1835910" cy="1190625"/>
          </a:xfrm>
        </xdr:grpSpPr>
        <xdr:sp macro="" textlink="">
          <xdr:nvSpPr>
            <xdr:cNvPr id="42" name="Retângulo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/>
          </xdr:nvSpPr>
          <xdr:spPr>
            <a:xfrm>
              <a:off x="4867275" y="1724025"/>
              <a:ext cx="600075" cy="923925"/>
            </a:xfrm>
            <a:prstGeom prst="rect">
              <a:avLst/>
            </a:prstGeom>
            <a:solidFill>
              <a:schemeClr val="bg1">
                <a:lumMod val="5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pt-BR" sz="1100"/>
            </a:p>
          </xdr:txBody>
        </xdr:sp>
        <xdr:cxnSp macro="">
          <xdr:nvCxnSpPr>
            <xdr:cNvPr id="43" name="Conector de seta reta 3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CxnSpPr/>
          </xdr:nvCxnSpPr>
          <xdr:spPr>
            <a:xfrm rot="16200000" flipH="1">
              <a:off x="4474369" y="1912144"/>
              <a:ext cx="476250" cy="4762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4" name="CaixaDeTexto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SpPr txBox="1"/>
          </xdr:nvSpPr>
          <xdr:spPr>
            <a:xfrm>
              <a:off x="4448175" y="1762125"/>
              <a:ext cx="24853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rtlCol="0" anchor="t">
              <a:spAutoFit/>
            </a:bodyPr>
            <a:lstStyle/>
            <a:p>
              <a:r>
                <a:rPr lang="pt-BR" sz="1100"/>
                <a:t>y</a:t>
              </a:r>
            </a:p>
          </xdr:txBody>
        </xdr:sp>
        <xdr:cxnSp macro="">
          <xdr:nvCxnSpPr>
            <xdr:cNvPr id="45" name="Conector reto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CxnSpPr/>
          </xdr:nvCxnSpPr>
          <xdr:spPr>
            <a:xfrm>
              <a:off x="4629150" y="1714500"/>
              <a:ext cx="323850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6" name="Elipse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SpPr/>
          </xdr:nvSpPr>
          <xdr:spPr>
            <a:xfrm>
              <a:off x="5114925" y="2105025"/>
              <a:ext cx="95250" cy="95250"/>
            </a:xfrm>
            <a:prstGeom prst="ellipse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pt-BR" sz="1100"/>
            </a:p>
          </xdr:txBody>
        </xdr:sp>
        <xdr:cxnSp macro="">
          <xdr:nvCxnSpPr>
            <xdr:cNvPr id="47" name="Conector reto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CxnSpPr/>
          </xdr:nvCxnSpPr>
          <xdr:spPr>
            <a:xfrm>
              <a:off x="4676775" y="2152650"/>
              <a:ext cx="561975" cy="0"/>
            </a:xfrm>
            <a:prstGeom prst="line">
              <a:avLst/>
            </a:prstGeom>
          </xdr:spPr>
          <xdr:style>
            <a:lnRef idx="1">
              <a:schemeClr val="accent2"/>
            </a:lnRef>
            <a:fillRef idx="0">
              <a:schemeClr val="accent2"/>
            </a:fillRef>
            <a:effectRef idx="0">
              <a:schemeClr val="accent2"/>
            </a:effectRef>
            <a:fontRef idx="minor">
              <a:schemeClr val="tx1"/>
            </a:fontRef>
          </xdr:style>
        </xdr:cxnSp>
        <xdr:sp macro="" textlink="">
          <xdr:nvSpPr>
            <xdr:cNvPr id="48" name="CaixaDeTexto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 txBox="1"/>
          </xdr:nvSpPr>
          <xdr:spPr>
            <a:xfrm>
              <a:off x="5010150" y="1457325"/>
              <a:ext cx="258789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rtlCol="0" anchor="t">
              <a:spAutoFit/>
            </a:bodyPr>
            <a:lstStyle/>
            <a:p>
              <a:r>
                <a:rPr lang="pt-BR" sz="1100"/>
                <a:t>b</a:t>
              </a:r>
            </a:p>
          </xdr:txBody>
        </xdr:sp>
        <xdr:sp macro="" textlink="">
          <xdr:nvSpPr>
            <xdr:cNvPr id="49" name="CaixaDeTexto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SpPr txBox="1"/>
          </xdr:nvSpPr>
          <xdr:spPr>
            <a:xfrm>
              <a:off x="5562600" y="2009775"/>
              <a:ext cx="258789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rtlCol="0" anchor="t">
              <a:spAutoFit/>
            </a:bodyPr>
            <a:lstStyle/>
            <a:p>
              <a:r>
                <a:rPr lang="pt-BR" sz="1100"/>
                <a:t>h</a:t>
              </a:r>
            </a:p>
          </xdr:txBody>
        </xdr:sp>
        <xdr:cxnSp macro="">
          <xdr:nvCxnSpPr>
            <xdr:cNvPr id="50" name="Conector de seta reta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CxnSpPr/>
          </xdr:nvCxnSpPr>
          <xdr:spPr>
            <a:xfrm rot="10800000" flipV="1">
              <a:off x="5210176" y="1638299"/>
              <a:ext cx="790575" cy="447675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51" name="CaixaDeTexto 50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SpPr txBox="1"/>
          </xdr:nvSpPr>
          <xdr:spPr>
            <a:xfrm>
              <a:off x="5962650" y="1504950"/>
              <a:ext cx="32143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none" rtlCol="0" anchor="t">
              <a:spAutoFit/>
            </a:bodyPr>
            <a:lstStyle/>
            <a:p>
              <a:r>
                <a:rPr lang="pt-BR" sz="1100"/>
                <a:t>As</a:t>
              </a: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396240</xdr:colOff>
          <xdr:row>11</xdr:row>
          <xdr:rowOff>76200</xdr:rowOff>
        </xdr:from>
        <xdr:to>
          <xdr:col>17</xdr:col>
          <xdr:colOff>7620</xdr:colOff>
          <xdr:row>14</xdr:row>
          <xdr:rowOff>129540</xdr:rowOff>
        </xdr:to>
        <xdr:sp macro="" textlink="">
          <xdr:nvSpPr>
            <xdr:cNvPr id="1025" name="Object 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388620</xdr:colOff>
          <xdr:row>15</xdr:row>
          <xdr:rowOff>60960</xdr:rowOff>
        </xdr:from>
        <xdr:to>
          <xdr:col>18</xdr:col>
          <xdr:colOff>99060</xdr:colOff>
          <xdr:row>19</xdr:row>
          <xdr:rowOff>22860</xdr:rowOff>
        </xdr:to>
        <xdr:sp macro="" textlink="">
          <xdr:nvSpPr>
            <xdr:cNvPr id="1026" name="Object 3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104"/>
  <sheetViews>
    <sheetView topLeftCell="A79" zoomScaleNormal="100" workbookViewId="0">
      <selection activeCell="E20" sqref="E20"/>
    </sheetView>
  </sheetViews>
  <sheetFormatPr defaultRowHeight="14.4" x14ac:dyDescent="0.3"/>
  <cols>
    <col min="2" max="2" width="9.33203125" bestFit="1" customWidth="1"/>
    <col min="3" max="3" width="11" bestFit="1" customWidth="1"/>
    <col min="4" max="4" width="9.33203125" customWidth="1"/>
    <col min="5" max="5" width="14.44140625" customWidth="1"/>
    <col min="6" max="6" width="11.33203125" bestFit="1" customWidth="1"/>
    <col min="7" max="7" width="11.88671875" customWidth="1"/>
    <col min="8" max="9" width="9.44140625" bestFit="1" customWidth="1"/>
    <col min="10" max="10" width="10.109375" bestFit="1" customWidth="1"/>
    <col min="11" max="17" width="9.44140625" bestFit="1" customWidth="1"/>
    <col min="18" max="18" width="10.109375" bestFit="1" customWidth="1"/>
  </cols>
  <sheetData>
    <row r="2" spans="1:31" x14ac:dyDescent="0.3">
      <c r="B2" s="48" t="s">
        <v>0</v>
      </c>
      <c r="C2" s="48"/>
      <c r="D2" s="48"/>
      <c r="F2" s="1" t="s">
        <v>1</v>
      </c>
      <c r="G2" s="1" t="s">
        <v>2</v>
      </c>
      <c r="H2" s="1" t="s">
        <v>3</v>
      </c>
      <c r="I2" s="1" t="s">
        <v>4</v>
      </c>
    </row>
    <row r="3" spans="1:31" x14ac:dyDescent="0.3">
      <c r="B3" s="48"/>
      <c r="C3" s="48"/>
      <c r="D3" s="48"/>
      <c r="F3" s="2">
        <v>1.4</v>
      </c>
      <c r="G3" s="2">
        <v>1.4</v>
      </c>
      <c r="H3" s="2">
        <v>0.85</v>
      </c>
      <c r="I3" s="2">
        <v>1.1499999999999999</v>
      </c>
    </row>
    <row r="4" spans="1:31" x14ac:dyDescent="0.3">
      <c r="C4" s="3" t="s">
        <v>5</v>
      </c>
    </row>
    <row r="6" spans="1:31" x14ac:dyDescent="0.3">
      <c r="A6" s="4"/>
      <c r="B6" s="5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8" spans="1:31" x14ac:dyDescent="0.3">
      <c r="C8" s="6" t="s">
        <v>7</v>
      </c>
      <c r="D8" s="6" t="s">
        <v>8</v>
      </c>
      <c r="E8" s="6" t="s">
        <v>9</v>
      </c>
      <c r="G8" s="6" t="s">
        <v>10</v>
      </c>
    </row>
    <row r="9" spans="1:31" x14ac:dyDescent="0.3">
      <c r="C9" s="44">
        <v>0.6</v>
      </c>
      <c r="D9" s="44">
        <v>0.4</v>
      </c>
      <c r="E9" s="8">
        <v>35</v>
      </c>
      <c r="G9" s="9">
        <f>H3*E9/G3*1000</f>
        <v>21250</v>
      </c>
    </row>
    <row r="10" spans="1:31" x14ac:dyDescent="0.3">
      <c r="AC10" s="10"/>
    </row>
    <row r="11" spans="1:31" x14ac:dyDescent="0.3">
      <c r="A11" s="4"/>
      <c r="B11" s="5" t="s">
        <v>11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AD11" s="49" t="s">
        <v>12</v>
      </c>
      <c r="AE11" s="49"/>
    </row>
    <row r="12" spans="1:31" x14ac:dyDescent="0.3">
      <c r="D12" s="50" t="s">
        <v>13</v>
      </c>
      <c r="E12" s="50"/>
      <c r="F12" s="50"/>
      <c r="G12" s="50"/>
      <c r="H12" s="50"/>
      <c r="AC12" t="s">
        <v>14</v>
      </c>
      <c r="AD12" s="1" t="s">
        <v>15</v>
      </c>
      <c r="AE12" s="1" t="s">
        <v>16</v>
      </c>
    </row>
    <row r="13" spans="1:31" x14ac:dyDescent="0.3">
      <c r="C13" s="6" t="s">
        <v>17</v>
      </c>
      <c r="D13" s="6" t="s">
        <v>18</v>
      </c>
      <c r="E13" s="6" t="s">
        <v>19</v>
      </c>
      <c r="F13" s="6" t="s">
        <v>20</v>
      </c>
      <c r="G13" s="6" t="s">
        <v>21</v>
      </c>
      <c r="H13" s="6" t="s">
        <v>22</v>
      </c>
      <c r="J13" s="6" t="s">
        <v>23</v>
      </c>
      <c r="AC13" s="11">
        <v>1</v>
      </c>
      <c r="AD13" s="12">
        <v>-99999</v>
      </c>
      <c r="AE13" s="13">
        <v>0</v>
      </c>
    </row>
    <row r="14" spans="1:31" x14ac:dyDescent="0.3">
      <c r="C14" s="11">
        <v>1</v>
      </c>
      <c r="D14" s="42">
        <v>0.05</v>
      </c>
      <c r="E14" s="43">
        <v>60</v>
      </c>
      <c r="F14" s="8">
        <v>500</v>
      </c>
      <c r="G14" s="15">
        <f>F14/$I$3/10</f>
        <v>43.478260869565219</v>
      </c>
      <c r="H14" s="12">
        <f>G14/21000</f>
        <v>2.070393374741201E-3</v>
      </c>
      <c r="J14" s="16">
        <f>D19/D9</f>
        <v>0.87499999999999989</v>
      </c>
      <c r="AC14" s="11">
        <v>2</v>
      </c>
      <c r="AD14" s="13">
        <v>0</v>
      </c>
      <c r="AE14" s="13">
        <f>3.5/13.5*$J$14</f>
        <v>0.2268518518518518</v>
      </c>
    </row>
    <row r="15" spans="1:31" x14ac:dyDescent="0.3">
      <c r="C15" s="11">
        <f>C14+1</f>
        <v>2</v>
      </c>
      <c r="D15" s="42">
        <v>0.15</v>
      </c>
      <c r="E15" s="43">
        <v>10</v>
      </c>
      <c r="F15" s="8">
        <v>500</v>
      </c>
      <c r="G15" s="15">
        <f t="shared" ref="G15:G18" si="0">F15/$I$3/10</f>
        <v>43.478260869565219</v>
      </c>
      <c r="H15" s="12">
        <f t="shared" ref="H15:H18" si="1">G15/21000</f>
        <v>2.070393374741201E-3</v>
      </c>
      <c r="AC15" s="11">
        <v>3</v>
      </c>
      <c r="AD15" s="13">
        <f>AE14</f>
        <v>0.2268518518518518</v>
      </c>
      <c r="AE15" s="13">
        <f>0.0035/(0.0035+H19)*$J$14</f>
        <v>0.54978163910053879</v>
      </c>
    </row>
    <row r="16" spans="1:31" x14ac:dyDescent="0.3">
      <c r="C16" s="11">
        <f t="shared" ref="C16:C17" si="2">C15+1</f>
        <v>3</v>
      </c>
      <c r="D16" s="42">
        <v>0.25</v>
      </c>
      <c r="E16" s="43">
        <v>10</v>
      </c>
      <c r="F16" s="8">
        <v>500</v>
      </c>
      <c r="G16" s="15">
        <f t="shared" si="0"/>
        <v>43.478260869565219</v>
      </c>
      <c r="H16" s="12">
        <f t="shared" si="1"/>
        <v>2.070393374741201E-3</v>
      </c>
      <c r="AC16" s="11">
        <v>4</v>
      </c>
      <c r="AD16" s="13">
        <f>AE15</f>
        <v>0.54978163910053879</v>
      </c>
      <c r="AE16" s="12">
        <f>1*$J$14</f>
        <v>0.87499999999999989</v>
      </c>
    </row>
    <row r="17" spans="1:31" x14ac:dyDescent="0.3">
      <c r="C17" s="11">
        <f t="shared" si="2"/>
        <v>4</v>
      </c>
      <c r="D17" s="42">
        <v>0.35</v>
      </c>
      <c r="E17" s="43">
        <v>60</v>
      </c>
      <c r="F17" s="8">
        <v>500</v>
      </c>
      <c r="G17" s="15">
        <f t="shared" si="0"/>
        <v>43.478260869565219</v>
      </c>
      <c r="H17" s="12">
        <f t="shared" si="1"/>
        <v>2.070393374741201E-3</v>
      </c>
      <c r="AC17" s="11" t="s">
        <v>24</v>
      </c>
      <c r="AD17" s="13">
        <f>AE16</f>
        <v>0.87499999999999989</v>
      </c>
      <c r="AE17" s="12">
        <v>1</v>
      </c>
    </row>
    <row r="18" spans="1:31" x14ac:dyDescent="0.3">
      <c r="C18" s="11">
        <f>C17+1</f>
        <v>5</v>
      </c>
      <c r="D18" s="7"/>
      <c r="E18" s="14"/>
      <c r="F18" s="8"/>
      <c r="G18" s="15">
        <f t="shared" si="0"/>
        <v>0</v>
      </c>
      <c r="H18" s="12">
        <f t="shared" si="1"/>
        <v>0</v>
      </c>
      <c r="AC18" s="11">
        <v>5</v>
      </c>
      <c r="AD18" s="12">
        <f>AE17</f>
        <v>1</v>
      </c>
      <c r="AE18" s="12">
        <v>99999</v>
      </c>
    </row>
    <row r="19" spans="1:31" x14ac:dyDescent="0.3">
      <c r="D19" s="17">
        <f>MAX(D14:D18)</f>
        <v>0.35</v>
      </c>
      <c r="E19" s="18">
        <f>SUM(E14:E18)</f>
        <v>140</v>
      </c>
      <c r="H19" s="19">
        <f>MAX(H14:H18)</f>
        <v>2.070393374741201E-3</v>
      </c>
    </row>
    <row r="20" spans="1:31" x14ac:dyDescent="0.3">
      <c r="E20" s="20">
        <f>E19/(C9*D9)/10000</f>
        <v>5.8333333333333334E-2</v>
      </c>
    </row>
    <row r="21" spans="1:31" x14ac:dyDescent="0.3">
      <c r="A21" s="4"/>
      <c r="B21" s="5" t="s">
        <v>25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31" x14ac:dyDescent="0.3">
      <c r="D22" s="21">
        <v>1</v>
      </c>
      <c r="E22" s="21">
        <f>D22+1</f>
        <v>2</v>
      </c>
      <c r="F22" s="21">
        <f t="shared" ref="F22:R22" si="3">E22+1</f>
        <v>3</v>
      </c>
      <c r="G22" s="21">
        <f t="shared" si="3"/>
        <v>4</v>
      </c>
      <c r="H22" s="21">
        <f t="shared" si="3"/>
        <v>5</v>
      </c>
      <c r="I22" s="21">
        <f t="shared" si="3"/>
        <v>6</v>
      </c>
      <c r="J22" s="21">
        <f t="shared" si="3"/>
        <v>7</v>
      </c>
      <c r="K22" s="21">
        <f t="shared" si="3"/>
        <v>8</v>
      </c>
      <c r="L22" s="21">
        <f t="shared" si="3"/>
        <v>9</v>
      </c>
      <c r="M22" s="21">
        <f t="shared" si="3"/>
        <v>10</v>
      </c>
      <c r="N22" s="21">
        <f t="shared" si="3"/>
        <v>11</v>
      </c>
      <c r="O22" s="21">
        <f t="shared" si="3"/>
        <v>12</v>
      </c>
      <c r="P22" s="21">
        <f t="shared" si="3"/>
        <v>13</v>
      </c>
      <c r="Q22" s="21">
        <f t="shared" si="3"/>
        <v>14</v>
      </c>
      <c r="R22" s="21">
        <f t="shared" si="3"/>
        <v>15</v>
      </c>
    </row>
    <row r="23" spans="1:31" x14ac:dyDescent="0.3">
      <c r="C23" s="22" t="s">
        <v>26</v>
      </c>
      <c r="D23" s="23">
        <v>0</v>
      </c>
      <c r="E23" s="23">
        <f>IF(E25&lt;1.25,0.68*E25,0.68*1.25)</f>
        <v>0</v>
      </c>
      <c r="F23" s="23">
        <f t="shared" ref="F23:R23" si="4">IF(F25&lt;1.25,0.68*F25,0.68*1.25)</f>
        <v>6.8000000000000005E-2</v>
      </c>
      <c r="G23" s="23">
        <f t="shared" si="4"/>
        <v>0.13600000000000001</v>
      </c>
      <c r="H23" s="23">
        <f t="shared" si="4"/>
        <v>0.20400000000000004</v>
      </c>
      <c r="I23" s="23">
        <f t="shared" si="4"/>
        <v>0.27200000000000002</v>
      </c>
      <c r="J23" s="23">
        <f t="shared" si="4"/>
        <v>0.34</v>
      </c>
      <c r="K23" s="23">
        <f t="shared" si="4"/>
        <v>0.40800000000000003</v>
      </c>
      <c r="L23" s="23">
        <f t="shared" si="4"/>
        <v>0.47599999999999998</v>
      </c>
      <c r="M23" s="23">
        <f t="shared" si="4"/>
        <v>0.54400000000000004</v>
      </c>
      <c r="N23" s="23">
        <f t="shared" si="4"/>
        <v>0.61199999999999999</v>
      </c>
      <c r="O23" s="23">
        <f t="shared" si="4"/>
        <v>0.67999999999999994</v>
      </c>
      <c r="P23" s="23">
        <f t="shared" si="4"/>
        <v>0.748</v>
      </c>
      <c r="Q23" s="23">
        <f t="shared" si="4"/>
        <v>0.81600000000000006</v>
      </c>
      <c r="R23" s="23">
        <f t="shared" si="4"/>
        <v>0.85000000000000009</v>
      </c>
    </row>
    <row r="24" spans="1:31" x14ac:dyDescent="0.3">
      <c r="C24" s="22" t="s">
        <v>27</v>
      </c>
      <c r="D24" s="24">
        <v>0</v>
      </c>
      <c r="E24" s="24">
        <f>E23*(0.5-1/1.7*E23)</f>
        <v>0</v>
      </c>
      <c r="F24" s="24">
        <f t="shared" ref="F24:R24" si="5">F23*(0.5-1/1.7*F23)</f>
        <v>3.1280000000000002E-2</v>
      </c>
      <c r="G24" s="24">
        <f t="shared" si="5"/>
        <v>5.7120000000000004E-2</v>
      </c>
      <c r="H24" s="24">
        <f t="shared" si="5"/>
        <v>7.7520000000000019E-2</v>
      </c>
      <c r="I24" s="24">
        <f t="shared" si="5"/>
        <v>9.2479999999999993E-2</v>
      </c>
      <c r="J24" s="24">
        <f t="shared" si="5"/>
        <v>0.10200000000000001</v>
      </c>
      <c r="K24" s="24">
        <f t="shared" si="5"/>
        <v>0.10608000000000001</v>
      </c>
      <c r="L24" s="24">
        <f t="shared" si="5"/>
        <v>0.10472000000000001</v>
      </c>
      <c r="M24" s="24">
        <f t="shared" si="5"/>
        <v>9.7920000000000007E-2</v>
      </c>
      <c r="N24" s="24">
        <f t="shared" si="5"/>
        <v>8.5680000000000006E-2</v>
      </c>
      <c r="O24" s="24">
        <f t="shared" si="5"/>
        <v>6.8000000000000019E-2</v>
      </c>
      <c r="P24" s="24">
        <f t="shared" si="5"/>
        <v>4.4879999999999996E-2</v>
      </c>
      <c r="Q24" s="24">
        <f t="shared" si="5"/>
        <v>1.631999999999997E-2</v>
      </c>
      <c r="R24" s="24">
        <f t="shared" si="5"/>
        <v>-9.4368957093138316E-17</v>
      </c>
    </row>
    <row r="25" spans="1:31" x14ac:dyDescent="0.3">
      <c r="C25" s="6" t="s">
        <v>12</v>
      </c>
      <c r="D25" s="25">
        <f>-99999</f>
        <v>-99999</v>
      </c>
      <c r="E25" s="23">
        <v>0</v>
      </c>
      <c r="F25" s="23">
        <f>E25+0.1</f>
        <v>0.1</v>
      </c>
      <c r="G25" s="23">
        <f t="shared" ref="G25:Q25" si="6">F25+0.1</f>
        <v>0.2</v>
      </c>
      <c r="H25" s="23">
        <f t="shared" si="6"/>
        <v>0.30000000000000004</v>
      </c>
      <c r="I25" s="23">
        <f t="shared" si="6"/>
        <v>0.4</v>
      </c>
      <c r="J25" s="23">
        <f t="shared" si="6"/>
        <v>0.5</v>
      </c>
      <c r="K25" s="23">
        <f t="shared" si="6"/>
        <v>0.6</v>
      </c>
      <c r="L25" s="23">
        <f t="shared" si="6"/>
        <v>0.7</v>
      </c>
      <c r="M25" s="23">
        <f t="shared" si="6"/>
        <v>0.79999999999999993</v>
      </c>
      <c r="N25" s="23">
        <f t="shared" si="6"/>
        <v>0.89999999999999991</v>
      </c>
      <c r="O25" s="23">
        <f t="shared" si="6"/>
        <v>0.99999999999999989</v>
      </c>
      <c r="P25" s="23">
        <f t="shared" si="6"/>
        <v>1.0999999999999999</v>
      </c>
      <c r="Q25" s="23">
        <f t="shared" si="6"/>
        <v>1.2</v>
      </c>
      <c r="R25" s="25">
        <v>99999</v>
      </c>
    </row>
    <row r="26" spans="1:31" x14ac:dyDescent="0.3">
      <c r="T26" t="s">
        <v>28</v>
      </c>
      <c r="U26" s="1" t="s">
        <v>29</v>
      </c>
    </row>
    <row r="27" spans="1:31" x14ac:dyDescent="0.3">
      <c r="B27" s="51" t="s">
        <v>14</v>
      </c>
      <c r="C27" s="26">
        <v>1</v>
      </c>
      <c r="D27" s="27">
        <v>1</v>
      </c>
      <c r="E27" s="27">
        <f t="shared" ref="E27:R28" si="7">IF(AND(E$25&gt;$AD13,E$25&lt;=$AE13),1,"")</f>
        <v>1</v>
      </c>
      <c r="F27" s="27" t="str">
        <f t="shared" si="7"/>
        <v/>
      </c>
      <c r="G27" s="27" t="str">
        <f t="shared" si="7"/>
        <v/>
      </c>
      <c r="H27" s="27" t="str">
        <f t="shared" si="7"/>
        <v/>
      </c>
      <c r="I27" s="27" t="str">
        <f t="shared" si="7"/>
        <v/>
      </c>
      <c r="J27" s="27" t="str">
        <f t="shared" si="7"/>
        <v/>
      </c>
      <c r="K27" s="27" t="str">
        <f t="shared" si="7"/>
        <v/>
      </c>
      <c r="L27" s="27" t="str">
        <f t="shared" si="7"/>
        <v/>
      </c>
      <c r="M27" s="27" t="str">
        <f t="shared" si="7"/>
        <v/>
      </c>
      <c r="N27" s="27" t="str">
        <f t="shared" si="7"/>
        <v/>
      </c>
      <c r="O27" s="27" t="str">
        <f t="shared" si="7"/>
        <v/>
      </c>
      <c r="P27" s="27" t="str">
        <f t="shared" si="7"/>
        <v/>
      </c>
      <c r="Q27" s="27" t="str">
        <f t="shared" si="7"/>
        <v/>
      </c>
      <c r="R27" s="27" t="str">
        <f t="shared" si="7"/>
        <v/>
      </c>
      <c r="S27" s="26">
        <v>1</v>
      </c>
      <c r="T27" s="13">
        <f>T28</f>
        <v>0.87499999999999989</v>
      </c>
      <c r="U27" s="28">
        <f>-0.01</f>
        <v>-0.01</v>
      </c>
    </row>
    <row r="28" spans="1:31" x14ac:dyDescent="0.3">
      <c r="B28" s="51"/>
      <c r="C28" s="26">
        <v>2</v>
      </c>
      <c r="D28" s="27" t="str">
        <f>IF(AND(D$25&gt;$AD14,D$25&lt;=$AE14),1,"")</f>
        <v/>
      </c>
      <c r="E28" s="27" t="str">
        <f t="shared" si="7"/>
        <v/>
      </c>
      <c r="F28" s="27">
        <f t="shared" si="7"/>
        <v>1</v>
      </c>
      <c r="G28" s="27">
        <f t="shared" si="7"/>
        <v>1</v>
      </c>
      <c r="H28" s="27" t="str">
        <f t="shared" si="7"/>
        <v/>
      </c>
      <c r="I28" s="27" t="str">
        <f t="shared" si="7"/>
        <v/>
      </c>
      <c r="J28" s="27" t="str">
        <f t="shared" si="7"/>
        <v/>
      </c>
      <c r="K28" s="27" t="str">
        <f t="shared" si="7"/>
        <v/>
      </c>
      <c r="L28" s="27" t="str">
        <f t="shared" si="7"/>
        <v/>
      </c>
      <c r="M28" s="27" t="str">
        <f t="shared" si="7"/>
        <v/>
      </c>
      <c r="N28" s="27" t="str">
        <f t="shared" si="7"/>
        <v/>
      </c>
      <c r="O28" s="27" t="str">
        <f t="shared" si="7"/>
        <v/>
      </c>
      <c r="P28" s="27" t="str">
        <f t="shared" si="7"/>
        <v/>
      </c>
      <c r="Q28" s="27" t="str">
        <f t="shared" si="7"/>
        <v/>
      </c>
      <c r="R28" s="27" t="str">
        <f t="shared" si="7"/>
        <v/>
      </c>
      <c r="S28" s="26">
        <v>2</v>
      </c>
      <c r="T28" s="13">
        <f>J14</f>
        <v>0.87499999999999989</v>
      </c>
      <c r="U28" s="28">
        <f>-0.01</f>
        <v>-0.01</v>
      </c>
    </row>
    <row r="29" spans="1:31" x14ac:dyDescent="0.3">
      <c r="B29" s="51"/>
      <c r="C29" s="26">
        <v>3</v>
      </c>
      <c r="D29" s="27" t="str">
        <f t="shared" ref="D29:R32" si="8">IF(AND(D$25&gt;$AD15,D$25&lt;=$AE15),1,"")</f>
        <v/>
      </c>
      <c r="E29" s="27" t="str">
        <f t="shared" si="8"/>
        <v/>
      </c>
      <c r="F29" s="27" t="str">
        <f t="shared" si="8"/>
        <v/>
      </c>
      <c r="G29" s="27" t="str">
        <f t="shared" si="8"/>
        <v/>
      </c>
      <c r="H29" s="27">
        <f t="shared" si="8"/>
        <v>1</v>
      </c>
      <c r="I29" s="27">
        <f t="shared" si="8"/>
        <v>1</v>
      </c>
      <c r="J29" s="27">
        <f t="shared" si="8"/>
        <v>1</v>
      </c>
      <c r="K29" s="27" t="str">
        <f t="shared" si="8"/>
        <v/>
      </c>
      <c r="L29" s="27" t="str">
        <f t="shared" si="8"/>
        <v/>
      </c>
      <c r="M29" s="27" t="str">
        <f t="shared" si="8"/>
        <v/>
      </c>
      <c r="N29" s="27" t="str">
        <f t="shared" si="8"/>
        <v/>
      </c>
      <c r="O29" s="27" t="str">
        <f t="shared" si="8"/>
        <v/>
      </c>
      <c r="P29" s="27" t="str">
        <f t="shared" si="8"/>
        <v/>
      </c>
      <c r="Q29" s="27" t="str">
        <f t="shared" si="8"/>
        <v/>
      </c>
      <c r="R29" s="27" t="str">
        <f t="shared" si="8"/>
        <v/>
      </c>
      <c r="S29" s="26">
        <v>3</v>
      </c>
      <c r="T29" s="13">
        <v>0</v>
      </c>
      <c r="U29" s="29">
        <v>3.5000000000000001E-3</v>
      </c>
    </row>
    <row r="30" spans="1:31" x14ac:dyDescent="0.3">
      <c r="B30" s="51"/>
      <c r="C30" s="26">
        <v>4</v>
      </c>
      <c r="D30" s="27" t="str">
        <f t="shared" si="8"/>
        <v/>
      </c>
      <c r="E30" s="27" t="str">
        <f t="shared" si="8"/>
        <v/>
      </c>
      <c r="F30" s="27" t="str">
        <f t="shared" si="8"/>
        <v/>
      </c>
      <c r="G30" s="27" t="str">
        <f t="shared" si="8"/>
        <v/>
      </c>
      <c r="H30" s="27" t="str">
        <f t="shared" si="8"/>
        <v/>
      </c>
      <c r="I30" s="27" t="str">
        <f t="shared" si="8"/>
        <v/>
      </c>
      <c r="J30" s="27" t="str">
        <f t="shared" si="8"/>
        <v/>
      </c>
      <c r="K30" s="27">
        <f t="shared" si="8"/>
        <v>1</v>
      </c>
      <c r="L30" s="27">
        <f t="shared" si="8"/>
        <v>1</v>
      </c>
      <c r="M30" s="27">
        <f t="shared" si="8"/>
        <v>1</v>
      </c>
      <c r="N30" s="27" t="str">
        <f t="shared" si="8"/>
        <v/>
      </c>
      <c r="O30" s="27" t="str">
        <f t="shared" si="8"/>
        <v/>
      </c>
      <c r="P30" s="27" t="str">
        <f t="shared" si="8"/>
        <v/>
      </c>
      <c r="Q30" s="27" t="str">
        <f t="shared" si="8"/>
        <v/>
      </c>
      <c r="R30" s="27" t="str">
        <f t="shared" si="8"/>
        <v/>
      </c>
      <c r="S30" s="26">
        <v>4</v>
      </c>
      <c r="T30" s="13">
        <v>0</v>
      </c>
      <c r="U30" s="29">
        <v>3.5000000000000001E-3</v>
      </c>
    </row>
    <row r="31" spans="1:31" x14ac:dyDescent="0.3">
      <c r="B31" s="51"/>
      <c r="C31" s="26" t="s">
        <v>24</v>
      </c>
      <c r="D31" s="27" t="str">
        <f t="shared" si="8"/>
        <v/>
      </c>
      <c r="E31" s="27" t="str">
        <f t="shared" si="8"/>
        <v/>
      </c>
      <c r="F31" s="27" t="str">
        <f t="shared" si="8"/>
        <v/>
      </c>
      <c r="G31" s="27" t="str">
        <f t="shared" si="8"/>
        <v/>
      </c>
      <c r="H31" s="27" t="str">
        <f t="shared" si="8"/>
        <v/>
      </c>
      <c r="I31" s="27" t="str">
        <f t="shared" si="8"/>
        <v/>
      </c>
      <c r="J31" s="27" t="str">
        <f t="shared" si="8"/>
        <v/>
      </c>
      <c r="K31" s="27" t="str">
        <f t="shared" si="8"/>
        <v/>
      </c>
      <c r="L31" s="27" t="str">
        <f t="shared" si="8"/>
        <v/>
      </c>
      <c r="M31" s="27" t="str">
        <f t="shared" si="8"/>
        <v/>
      </c>
      <c r="N31" s="27">
        <f t="shared" si="8"/>
        <v>1</v>
      </c>
      <c r="O31" s="27">
        <f t="shared" si="8"/>
        <v>1</v>
      </c>
      <c r="P31" s="27" t="str">
        <f t="shared" si="8"/>
        <v/>
      </c>
      <c r="Q31" s="27" t="str">
        <f t="shared" si="8"/>
        <v/>
      </c>
      <c r="R31" s="27" t="str">
        <f t="shared" si="8"/>
        <v/>
      </c>
      <c r="S31" s="26" t="s">
        <v>24</v>
      </c>
      <c r="T31" s="13">
        <v>0</v>
      </c>
      <c r="U31" s="29">
        <f>U30</f>
        <v>3.5000000000000001E-3</v>
      </c>
    </row>
    <row r="32" spans="1:31" x14ac:dyDescent="0.3">
      <c r="B32" s="51"/>
      <c r="C32" s="26">
        <v>5</v>
      </c>
      <c r="D32" s="27" t="str">
        <f t="shared" si="8"/>
        <v/>
      </c>
      <c r="E32" s="27" t="str">
        <f t="shared" si="8"/>
        <v/>
      </c>
      <c r="F32" s="27" t="str">
        <f t="shared" si="8"/>
        <v/>
      </c>
      <c r="G32" s="27" t="str">
        <f t="shared" si="8"/>
        <v/>
      </c>
      <c r="H32" s="27" t="str">
        <f t="shared" si="8"/>
        <v/>
      </c>
      <c r="I32" s="27" t="str">
        <f t="shared" si="8"/>
        <v/>
      </c>
      <c r="J32" s="27" t="str">
        <f t="shared" si="8"/>
        <v/>
      </c>
      <c r="K32" s="27" t="str">
        <f t="shared" si="8"/>
        <v/>
      </c>
      <c r="L32" s="27" t="str">
        <f t="shared" si="8"/>
        <v/>
      </c>
      <c r="M32" s="27" t="str">
        <f t="shared" si="8"/>
        <v/>
      </c>
      <c r="N32" s="27" t="str">
        <f t="shared" si="8"/>
        <v/>
      </c>
      <c r="O32" s="27" t="str">
        <f t="shared" si="8"/>
        <v/>
      </c>
      <c r="P32" s="27">
        <f t="shared" si="8"/>
        <v>1</v>
      </c>
      <c r="Q32" s="27">
        <f t="shared" si="8"/>
        <v>1</v>
      </c>
      <c r="R32" s="27">
        <f t="shared" si="8"/>
        <v>1</v>
      </c>
      <c r="S32" s="26">
        <v>5</v>
      </c>
      <c r="T32" s="28">
        <f>1.5/3.5</f>
        <v>0.42857142857142855</v>
      </c>
      <c r="U32" s="29">
        <v>2E-3</v>
      </c>
    </row>
    <row r="33" spans="1:21" x14ac:dyDescent="0.3">
      <c r="U33" s="30" t="s">
        <v>30</v>
      </c>
    </row>
    <row r="34" spans="1:21" x14ac:dyDescent="0.3">
      <c r="C34" s="6" t="s">
        <v>31</v>
      </c>
      <c r="D34" s="31">
        <f>D23*$D$9*$C$9*$G$9/0.85</f>
        <v>0</v>
      </c>
      <c r="E34" s="31">
        <f t="shared" ref="E34:R34" si="9">E23*$D$9*$C$9*$G$9/0.85</f>
        <v>0</v>
      </c>
      <c r="F34" s="31">
        <f t="shared" si="9"/>
        <v>408</v>
      </c>
      <c r="G34" s="31">
        <f t="shared" si="9"/>
        <v>816</v>
      </c>
      <c r="H34" s="31">
        <f t="shared" si="9"/>
        <v>1224.0000000000005</v>
      </c>
      <c r="I34" s="31">
        <f t="shared" si="9"/>
        <v>1632</v>
      </c>
      <c r="J34" s="31">
        <f t="shared" si="9"/>
        <v>2040.0000000000002</v>
      </c>
      <c r="K34" s="31">
        <f t="shared" si="9"/>
        <v>2448.0000000000005</v>
      </c>
      <c r="L34" s="31">
        <f t="shared" si="9"/>
        <v>2856.0000000000005</v>
      </c>
      <c r="M34" s="31">
        <f t="shared" si="9"/>
        <v>3264</v>
      </c>
      <c r="N34" s="31">
        <f t="shared" si="9"/>
        <v>3672.0000000000005</v>
      </c>
      <c r="O34" s="31">
        <f t="shared" si="9"/>
        <v>4079.9999999999995</v>
      </c>
      <c r="P34" s="31">
        <f t="shared" si="9"/>
        <v>4488</v>
      </c>
      <c r="Q34" s="31">
        <f t="shared" si="9"/>
        <v>4896.0000000000009</v>
      </c>
      <c r="R34" s="31">
        <f t="shared" si="9"/>
        <v>5100.0000000000009</v>
      </c>
    </row>
    <row r="35" spans="1:21" x14ac:dyDescent="0.3">
      <c r="C35" s="6" t="s">
        <v>32</v>
      </c>
      <c r="D35" s="32">
        <f>D24*$C$9*$D$9^2*$G$9/0.85</f>
        <v>0</v>
      </c>
      <c r="E35" s="32">
        <f t="shared" ref="E35:R35" si="10">E24*$C$9*$D$9^2*$G$9/0.85</f>
        <v>0</v>
      </c>
      <c r="F35" s="32">
        <f t="shared" si="10"/>
        <v>75.072000000000017</v>
      </c>
      <c r="G35" s="32">
        <f t="shared" si="10"/>
        <v>137.08800000000002</v>
      </c>
      <c r="H35" s="32">
        <f t="shared" si="10"/>
        <v>186.04800000000009</v>
      </c>
      <c r="I35" s="32">
        <f t="shared" si="10"/>
        <v>221.95200000000003</v>
      </c>
      <c r="J35" s="32">
        <f t="shared" si="10"/>
        <v>244.80000000000007</v>
      </c>
      <c r="K35" s="32">
        <f t="shared" si="10"/>
        <v>254.59200000000007</v>
      </c>
      <c r="L35" s="32">
        <f t="shared" si="10"/>
        <v>251.32800000000006</v>
      </c>
      <c r="M35" s="32">
        <f t="shared" si="10"/>
        <v>235.00800000000007</v>
      </c>
      <c r="N35" s="32">
        <f t="shared" si="10"/>
        <v>205.63200000000006</v>
      </c>
      <c r="O35" s="32">
        <f t="shared" si="10"/>
        <v>163.20000000000007</v>
      </c>
      <c r="P35" s="32">
        <f t="shared" si="10"/>
        <v>107.712</v>
      </c>
      <c r="Q35" s="32">
        <f t="shared" si="10"/>
        <v>39.167999999999935</v>
      </c>
      <c r="R35" s="32">
        <f t="shared" si="10"/>
        <v>-2.2648549702353201E-13</v>
      </c>
    </row>
    <row r="38" spans="1:21" x14ac:dyDescent="0.3">
      <c r="A38" s="4"/>
      <c r="B38" s="5" t="s">
        <v>33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40" spans="1:21" x14ac:dyDescent="0.3">
      <c r="C40" s="33" t="s">
        <v>34</v>
      </c>
      <c r="D40" s="23">
        <f>SUMPRODUCT(D27:D32,$T$27:$T$32)*$D$9</f>
        <v>0.35</v>
      </c>
      <c r="E40" s="23">
        <f t="shared" ref="E40:R40" si="11">SUMPRODUCT(E27:E32,$T$27:$T$32)*$D$9</f>
        <v>0.35</v>
      </c>
      <c r="F40" s="23">
        <f t="shared" si="11"/>
        <v>0.35</v>
      </c>
      <c r="G40" s="23">
        <f t="shared" si="11"/>
        <v>0.35</v>
      </c>
      <c r="H40" s="23">
        <f t="shared" si="11"/>
        <v>0</v>
      </c>
      <c r="I40" s="23">
        <f t="shared" si="11"/>
        <v>0</v>
      </c>
      <c r="J40" s="23">
        <f t="shared" si="11"/>
        <v>0</v>
      </c>
      <c r="K40" s="23">
        <f t="shared" si="11"/>
        <v>0</v>
      </c>
      <c r="L40" s="23">
        <f t="shared" si="11"/>
        <v>0</v>
      </c>
      <c r="M40" s="23">
        <f t="shared" si="11"/>
        <v>0</v>
      </c>
      <c r="N40" s="23">
        <f t="shared" si="11"/>
        <v>0</v>
      </c>
      <c r="O40" s="23">
        <f t="shared" si="11"/>
        <v>0</v>
      </c>
      <c r="P40" s="23">
        <f t="shared" si="11"/>
        <v>0.17142857142857143</v>
      </c>
      <c r="Q40" s="23">
        <f t="shared" si="11"/>
        <v>0.17142857142857143</v>
      </c>
      <c r="R40" s="23">
        <f t="shared" si="11"/>
        <v>0.17142857142857143</v>
      </c>
    </row>
    <row r="41" spans="1:21" x14ac:dyDescent="0.3">
      <c r="C41" s="33" t="s">
        <v>35</v>
      </c>
      <c r="D41" s="34">
        <f>SUMPRODUCT(D27:D32,$U$27:$U$32)</f>
        <v>-0.01</v>
      </c>
      <c r="E41" s="34">
        <f t="shared" ref="E41:R41" si="12">SUMPRODUCT(E27:E32,$U$27:$U$32)</f>
        <v>-0.01</v>
      </c>
      <c r="F41" s="34">
        <f t="shared" si="12"/>
        <v>-0.01</v>
      </c>
      <c r="G41" s="34">
        <f t="shared" si="12"/>
        <v>-0.01</v>
      </c>
      <c r="H41" s="34">
        <f t="shared" si="12"/>
        <v>3.5000000000000001E-3</v>
      </c>
      <c r="I41" s="34">
        <f t="shared" si="12"/>
        <v>3.5000000000000001E-3</v>
      </c>
      <c r="J41" s="34">
        <f t="shared" si="12"/>
        <v>3.5000000000000001E-3</v>
      </c>
      <c r="K41" s="34">
        <f t="shared" si="12"/>
        <v>3.5000000000000001E-3</v>
      </c>
      <c r="L41" s="34">
        <f t="shared" si="12"/>
        <v>3.5000000000000001E-3</v>
      </c>
      <c r="M41" s="34">
        <f t="shared" si="12"/>
        <v>3.5000000000000001E-3</v>
      </c>
      <c r="N41" s="34">
        <f t="shared" si="12"/>
        <v>3.5000000000000001E-3</v>
      </c>
      <c r="O41" s="34">
        <f t="shared" si="12"/>
        <v>3.5000000000000001E-3</v>
      </c>
      <c r="P41" s="34">
        <f t="shared" si="12"/>
        <v>2E-3</v>
      </c>
      <c r="Q41" s="34">
        <f t="shared" si="12"/>
        <v>2E-3</v>
      </c>
      <c r="R41" s="34">
        <f t="shared" si="12"/>
        <v>2E-3</v>
      </c>
    </row>
    <row r="42" spans="1:21" x14ac:dyDescent="0.3">
      <c r="C42" s="33" t="s">
        <v>36</v>
      </c>
      <c r="D42" s="23">
        <f>D25*$D$9</f>
        <v>-39999.600000000006</v>
      </c>
      <c r="E42" s="23">
        <f t="shared" ref="E42:R42" si="13">E25*$D$9</f>
        <v>0</v>
      </c>
      <c r="F42" s="23">
        <f t="shared" si="13"/>
        <v>4.0000000000000008E-2</v>
      </c>
      <c r="G42" s="23">
        <f t="shared" si="13"/>
        <v>8.0000000000000016E-2</v>
      </c>
      <c r="H42" s="23">
        <f t="shared" si="13"/>
        <v>0.12000000000000002</v>
      </c>
      <c r="I42" s="23">
        <f t="shared" si="13"/>
        <v>0.16000000000000003</v>
      </c>
      <c r="J42" s="23">
        <f t="shared" si="13"/>
        <v>0.2</v>
      </c>
      <c r="K42" s="23">
        <f t="shared" si="13"/>
        <v>0.24</v>
      </c>
      <c r="L42" s="23">
        <f t="shared" si="13"/>
        <v>0.27999999999999997</v>
      </c>
      <c r="M42" s="23">
        <f t="shared" si="13"/>
        <v>0.32</v>
      </c>
      <c r="N42" s="23">
        <f t="shared" si="13"/>
        <v>0.36</v>
      </c>
      <c r="O42" s="23">
        <f t="shared" si="13"/>
        <v>0.39999999999999997</v>
      </c>
      <c r="P42" s="23">
        <f t="shared" si="13"/>
        <v>0.43999999999999995</v>
      </c>
      <c r="Q42" s="23">
        <f t="shared" si="13"/>
        <v>0.48</v>
      </c>
      <c r="R42" s="25">
        <f t="shared" si="13"/>
        <v>39999.600000000006</v>
      </c>
    </row>
    <row r="43" spans="1:21" x14ac:dyDescent="0.3">
      <c r="B43" s="6" t="s">
        <v>17</v>
      </c>
      <c r="C43" s="6" t="s">
        <v>18</v>
      </c>
      <c r="D43" s="52" t="s">
        <v>37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21" x14ac:dyDescent="0.3">
      <c r="B44" s="33">
        <v>1</v>
      </c>
      <c r="C44" s="35">
        <f>D14</f>
        <v>0.05</v>
      </c>
      <c r="D44" s="36">
        <f t="shared" ref="D44:R48" si="14">(D$42-$C44)/(D$42-D$40)*D$41</f>
        <v>-9.9999249999062519E-3</v>
      </c>
      <c r="E44" s="36">
        <f t="shared" si="14"/>
        <v>-1.4285714285714288E-3</v>
      </c>
      <c r="F44" s="36">
        <f t="shared" si="14"/>
        <v>-3.2258064516129027E-4</v>
      </c>
      <c r="G44" s="36">
        <f t="shared" si="14"/>
        <v>1.1111111111111118E-3</v>
      </c>
      <c r="H44" s="36">
        <f t="shared" si="14"/>
        <v>2.0416666666666669E-3</v>
      </c>
      <c r="I44" s="36">
        <f t="shared" si="14"/>
        <v>2.40625E-3</v>
      </c>
      <c r="J44" s="36">
        <f t="shared" si="14"/>
        <v>2.6250000000000006E-3</v>
      </c>
      <c r="K44" s="36">
        <f t="shared" si="14"/>
        <v>2.7708333333333335E-3</v>
      </c>
      <c r="L44" s="36">
        <f t="shared" si="14"/>
        <v>2.875E-3</v>
      </c>
      <c r="M44" s="36">
        <f t="shared" si="14"/>
        <v>2.953125E-3</v>
      </c>
      <c r="N44" s="36">
        <f t="shared" si="14"/>
        <v>3.0138888888888893E-3</v>
      </c>
      <c r="O44" s="36">
        <f t="shared" si="14"/>
        <v>3.0625000000000001E-3</v>
      </c>
      <c r="P44" s="36">
        <f t="shared" si="14"/>
        <v>2.9042553191489366E-3</v>
      </c>
      <c r="Q44" s="36">
        <f t="shared" si="14"/>
        <v>2.7870370370370371E-3</v>
      </c>
      <c r="R44" s="36">
        <f t="shared" si="14"/>
        <v>2.0000060715153071E-3</v>
      </c>
    </row>
    <row r="45" spans="1:21" x14ac:dyDescent="0.3">
      <c r="B45" s="33">
        <f>B44+1</f>
        <v>2</v>
      </c>
      <c r="C45" s="35">
        <f>D15</f>
        <v>0.15</v>
      </c>
      <c r="D45" s="34">
        <f t="shared" si="14"/>
        <v>-9.9999499999375002E-3</v>
      </c>
      <c r="E45" s="34">
        <f t="shared" si="14"/>
        <v>-4.2857142857142859E-3</v>
      </c>
      <c r="F45" s="34">
        <f t="shared" si="14"/>
        <v>-3.5483870967741938E-3</v>
      </c>
      <c r="G45" s="34">
        <f t="shared" si="14"/>
        <v>-2.5925925925925925E-3</v>
      </c>
      <c r="H45" s="34">
        <f t="shared" si="14"/>
        <v>-8.7499999999999904E-4</v>
      </c>
      <c r="I45" s="34">
        <f t="shared" si="14"/>
        <v>2.1875000000000079E-4</v>
      </c>
      <c r="J45" s="34">
        <f t="shared" si="14"/>
        <v>8.7500000000000024E-4</v>
      </c>
      <c r="K45" s="34">
        <f t="shared" si="14"/>
        <v>1.3125000000000001E-3</v>
      </c>
      <c r="L45" s="34">
        <f t="shared" si="14"/>
        <v>1.6249999999999999E-3</v>
      </c>
      <c r="M45" s="34">
        <f t="shared" si="14"/>
        <v>1.8593750000000001E-3</v>
      </c>
      <c r="N45" s="34">
        <f t="shared" si="14"/>
        <v>2.0416666666666669E-3</v>
      </c>
      <c r="O45" s="34">
        <f t="shared" si="14"/>
        <v>2.1875000000000002E-3</v>
      </c>
      <c r="P45" s="34">
        <f t="shared" si="14"/>
        <v>2.1595744680851063E-3</v>
      </c>
      <c r="Q45" s="34">
        <f t="shared" si="14"/>
        <v>2.138888888888889E-3</v>
      </c>
      <c r="R45" s="34">
        <f t="shared" si="14"/>
        <v>2.0000010714438777E-3</v>
      </c>
    </row>
    <row r="46" spans="1:21" x14ac:dyDescent="0.3">
      <c r="B46" s="33">
        <f t="shared" ref="B46:B47" si="15">B45+1</f>
        <v>3</v>
      </c>
      <c r="C46" s="35">
        <f>D16</f>
        <v>0.25</v>
      </c>
      <c r="D46" s="36">
        <f t="shared" si="14"/>
        <v>-9.9999749999687502E-3</v>
      </c>
      <c r="E46" s="36">
        <f t="shared" si="14"/>
        <v>-7.1428571428571435E-3</v>
      </c>
      <c r="F46" s="36">
        <f t="shared" si="14"/>
        <v>-6.7741935483870974E-3</v>
      </c>
      <c r="G46" s="36">
        <f t="shared" si="14"/>
        <v>-6.2962962962962964E-3</v>
      </c>
      <c r="H46" s="36">
        <f t="shared" si="14"/>
        <v>-3.7916666666666658E-3</v>
      </c>
      <c r="I46" s="36">
        <f t="shared" si="14"/>
        <v>-1.9687499999999987E-3</v>
      </c>
      <c r="J46" s="36">
        <f t="shared" si="14"/>
        <v>-8.749999999999998E-4</v>
      </c>
      <c r="K46" s="36">
        <f t="shared" si="14"/>
        <v>-1.4583333333333348E-4</v>
      </c>
      <c r="L46" s="36">
        <f t="shared" si="14"/>
        <v>3.7499999999999968E-4</v>
      </c>
      <c r="M46" s="36">
        <f t="shared" si="14"/>
        <v>7.6562500000000014E-4</v>
      </c>
      <c r="N46" s="36">
        <f t="shared" si="14"/>
        <v>1.0694444444444443E-3</v>
      </c>
      <c r="O46" s="36">
        <f t="shared" si="14"/>
        <v>1.3124999999999999E-3</v>
      </c>
      <c r="P46" s="36">
        <f t="shared" si="14"/>
        <v>1.4148936170212765E-3</v>
      </c>
      <c r="Q46" s="36">
        <f t="shared" si="14"/>
        <v>1.4907407407407408E-3</v>
      </c>
      <c r="R46" s="36">
        <f t="shared" si="14"/>
        <v>1.9999960713724483E-3</v>
      </c>
    </row>
    <row r="47" spans="1:21" x14ac:dyDescent="0.3">
      <c r="B47" s="33">
        <f t="shared" si="15"/>
        <v>4</v>
      </c>
      <c r="C47" s="35">
        <f>D17</f>
        <v>0.35</v>
      </c>
      <c r="D47" s="34">
        <f t="shared" si="14"/>
        <v>-0.01</v>
      </c>
      <c r="E47" s="34">
        <f t="shared" si="14"/>
        <v>-0.01</v>
      </c>
      <c r="F47" s="34">
        <f t="shared" si="14"/>
        <v>-0.01</v>
      </c>
      <c r="G47" s="34">
        <f t="shared" si="14"/>
        <v>-0.01</v>
      </c>
      <c r="H47" s="34">
        <f t="shared" si="14"/>
        <v>-6.7083333333333309E-3</v>
      </c>
      <c r="I47" s="34">
        <f t="shared" si="14"/>
        <v>-4.1562499999999976E-3</v>
      </c>
      <c r="J47" s="34">
        <f t="shared" si="14"/>
        <v>-2.6249999999999993E-3</v>
      </c>
      <c r="K47" s="34">
        <f t="shared" si="14"/>
        <v>-1.6041666666666667E-3</v>
      </c>
      <c r="L47" s="34">
        <f t="shared" si="14"/>
        <v>-8.7500000000000024E-4</v>
      </c>
      <c r="M47" s="34">
        <f t="shared" si="14"/>
        <v>-3.2812499999999964E-4</v>
      </c>
      <c r="N47" s="34">
        <f t="shared" si="14"/>
        <v>9.7222222222222312E-5</v>
      </c>
      <c r="O47" s="34">
        <f t="shared" si="14"/>
        <v>4.3749999999999995E-4</v>
      </c>
      <c r="P47" s="34">
        <f t="shared" si="14"/>
        <v>6.7021276595744677E-4</v>
      </c>
      <c r="Q47" s="34">
        <f t="shared" si="14"/>
        <v>8.425925925925927E-4</v>
      </c>
      <c r="R47" s="34">
        <f t="shared" si="14"/>
        <v>1.9999910713010185E-3</v>
      </c>
    </row>
    <row r="48" spans="1:21" x14ac:dyDescent="0.3">
      <c r="B48" s="33">
        <f>B47+1</f>
        <v>5</v>
      </c>
      <c r="C48" s="35">
        <f>D18</f>
        <v>0</v>
      </c>
      <c r="D48" s="36">
        <f t="shared" si="14"/>
        <v>-9.9999124998906251E-3</v>
      </c>
      <c r="E48" s="36">
        <f t="shared" si="14"/>
        <v>0</v>
      </c>
      <c r="F48" s="36">
        <f t="shared" si="14"/>
        <v>1.2903225806451619E-3</v>
      </c>
      <c r="G48" s="36">
        <f t="shared" si="14"/>
        <v>2.9629629629629641E-3</v>
      </c>
      <c r="H48" s="36">
        <f t="shared" si="14"/>
        <v>3.5000000000000001E-3</v>
      </c>
      <c r="I48" s="36">
        <f t="shared" si="14"/>
        <v>3.5000000000000001E-3</v>
      </c>
      <c r="J48" s="36">
        <f t="shared" si="14"/>
        <v>3.5000000000000001E-3</v>
      </c>
      <c r="K48" s="36">
        <f t="shared" si="14"/>
        <v>3.5000000000000001E-3</v>
      </c>
      <c r="L48" s="36">
        <f t="shared" si="14"/>
        <v>3.5000000000000001E-3</v>
      </c>
      <c r="M48" s="36">
        <f t="shared" si="14"/>
        <v>3.5000000000000001E-3</v>
      </c>
      <c r="N48" s="36">
        <f t="shared" si="14"/>
        <v>3.5000000000000001E-3</v>
      </c>
      <c r="O48" s="36">
        <f t="shared" si="14"/>
        <v>3.5000000000000001E-3</v>
      </c>
      <c r="P48" s="36">
        <f t="shared" si="14"/>
        <v>3.276595744680851E-3</v>
      </c>
      <c r="Q48" s="36">
        <f t="shared" si="14"/>
        <v>3.1111111111111114E-3</v>
      </c>
      <c r="R48" s="36">
        <f t="shared" si="14"/>
        <v>2.000008571551022E-3</v>
      </c>
    </row>
    <row r="50" spans="2:18" x14ac:dyDescent="0.3">
      <c r="B50" s="6" t="s">
        <v>17</v>
      </c>
      <c r="C50" s="6" t="s">
        <v>18</v>
      </c>
      <c r="D50" s="47" t="s">
        <v>38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2:18" x14ac:dyDescent="0.3">
      <c r="B51" s="33">
        <v>1</v>
      </c>
      <c r="C51" s="35">
        <f>C44</f>
        <v>0.05</v>
      </c>
      <c r="D51" s="25">
        <f>IF(ABS(D44)&gt;=$H14,1,ABS(D44)/$H14)*$G14*$E14*SIGN(D44)</f>
        <v>-2608.695652173913</v>
      </c>
      <c r="E51" s="25">
        <f t="shared" ref="D51:R55" si="16">IF(ABS(E44)&gt;=$H14,1,ABS(E44)/$H14)*$G14*$E14*SIGN(E44)</f>
        <v>-1800.0000000000002</v>
      </c>
      <c r="F51" s="25">
        <f t="shared" si="16"/>
        <v>-406.45161290322574</v>
      </c>
      <c r="G51" s="25">
        <f t="shared" si="16"/>
        <v>1400.0000000000007</v>
      </c>
      <c r="H51" s="25">
        <f t="shared" si="16"/>
        <v>2572.5</v>
      </c>
      <c r="I51" s="25">
        <f t="shared" si="16"/>
        <v>2608.695652173913</v>
      </c>
      <c r="J51" s="25">
        <f t="shared" si="16"/>
        <v>2608.695652173913</v>
      </c>
      <c r="K51" s="25">
        <f t="shared" si="16"/>
        <v>2608.695652173913</v>
      </c>
      <c r="L51" s="25">
        <f t="shared" si="16"/>
        <v>2608.695652173913</v>
      </c>
      <c r="M51" s="25">
        <f t="shared" si="16"/>
        <v>2608.695652173913</v>
      </c>
      <c r="N51" s="25">
        <f t="shared" si="16"/>
        <v>2608.695652173913</v>
      </c>
      <c r="O51" s="25">
        <f t="shared" si="16"/>
        <v>2608.695652173913</v>
      </c>
      <c r="P51" s="25">
        <f t="shared" si="16"/>
        <v>2608.695652173913</v>
      </c>
      <c r="Q51" s="25">
        <f>IF(ABS(Q44)&gt;=$H14,1,ABS(Q44)/$H14)*$G14*$E14*SIGN(Q44)</f>
        <v>2608.695652173913</v>
      </c>
      <c r="R51" s="25">
        <f t="shared" si="16"/>
        <v>2520.0076501092867</v>
      </c>
    </row>
    <row r="52" spans="2:18" x14ac:dyDescent="0.3">
      <c r="B52" s="33">
        <f>B51+1</f>
        <v>2</v>
      </c>
      <c r="C52" s="35">
        <f t="shared" ref="C52:C55" si="17">C45</f>
        <v>0.15</v>
      </c>
      <c r="D52" s="37">
        <f t="shared" si="16"/>
        <v>-434.78260869565219</v>
      </c>
      <c r="E52" s="37">
        <f t="shared" si="16"/>
        <v>-434.78260869565219</v>
      </c>
      <c r="F52" s="37">
        <f t="shared" si="16"/>
        <v>-434.78260869565219</v>
      </c>
      <c r="G52" s="37">
        <f t="shared" si="16"/>
        <v>-434.78260869565219</v>
      </c>
      <c r="H52" s="37">
        <f t="shared" si="16"/>
        <v>-183.74999999999977</v>
      </c>
      <c r="I52" s="37">
        <f t="shared" si="16"/>
        <v>45.937500000000156</v>
      </c>
      <c r="J52" s="37">
        <f t="shared" si="16"/>
        <v>183.75000000000003</v>
      </c>
      <c r="K52" s="37">
        <f t="shared" si="16"/>
        <v>275.62500000000006</v>
      </c>
      <c r="L52" s="37">
        <f t="shared" si="16"/>
        <v>341.24999999999994</v>
      </c>
      <c r="M52" s="37">
        <f t="shared" si="16"/>
        <v>390.46875</v>
      </c>
      <c r="N52" s="37">
        <f t="shared" si="16"/>
        <v>428.75</v>
      </c>
      <c r="O52" s="37">
        <f t="shared" si="16"/>
        <v>434.78260869565219</v>
      </c>
      <c r="P52" s="37">
        <f t="shared" si="16"/>
        <v>434.78260869565219</v>
      </c>
      <c r="Q52" s="37">
        <f t="shared" si="16"/>
        <v>434.78260869565219</v>
      </c>
      <c r="R52" s="37">
        <f t="shared" si="16"/>
        <v>420.00022500321427</v>
      </c>
    </row>
    <row r="53" spans="2:18" x14ac:dyDescent="0.3">
      <c r="B53" s="33">
        <f t="shared" ref="B53:B54" si="18">B52+1</f>
        <v>3</v>
      </c>
      <c r="C53" s="35">
        <f t="shared" si="17"/>
        <v>0.25</v>
      </c>
      <c r="D53" s="23">
        <f t="shared" si="16"/>
        <v>-434.78260869565219</v>
      </c>
      <c r="E53" s="23">
        <f t="shared" si="16"/>
        <v>-434.78260869565219</v>
      </c>
      <c r="F53" s="23">
        <f t="shared" si="16"/>
        <v>-434.78260869565219</v>
      </c>
      <c r="G53" s="23">
        <f t="shared" si="16"/>
        <v>-434.78260869565219</v>
      </c>
      <c r="H53" s="23">
        <f t="shared" si="16"/>
        <v>-434.78260869565219</v>
      </c>
      <c r="I53" s="23">
        <f t="shared" si="16"/>
        <v>-413.43749999999972</v>
      </c>
      <c r="J53" s="23">
        <f t="shared" si="16"/>
        <v>-183.74999999999994</v>
      </c>
      <c r="K53" s="23">
        <f t="shared" si="16"/>
        <v>-30.625000000000032</v>
      </c>
      <c r="L53" s="23">
        <f t="shared" si="16"/>
        <v>78.749999999999943</v>
      </c>
      <c r="M53" s="23">
        <f t="shared" si="16"/>
        <v>160.78125</v>
      </c>
      <c r="N53" s="23">
        <f t="shared" si="16"/>
        <v>224.58333333333329</v>
      </c>
      <c r="O53" s="23">
        <f t="shared" si="16"/>
        <v>275.62499999999994</v>
      </c>
      <c r="P53" s="23">
        <f t="shared" si="16"/>
        <v>297.12765957446805</v>
      </c>
      <c r="Q53" s="23">
        <f t="shared" si="16"/>
        <v>313.05555555555554</v>
      </c>
      <c r="R53" s="23">
        <f t="shared" si="16"/>
        <v>419.99917498821412</v>
      </c>
    </row>
    <row r="54" spans="2:18" x14ac:dyDescent="0.3">
      <c r="B54" s="33">
        <f t="shared" si="18"/>
        <v>4</v>
      </c>
      <c r="C54" s="35">
        <f t="shared" si="17"/>
        <v>0.35</v>
      </c>
      <c r="D54" s="24">
        <f t="shared" si="16"/>
        <v>-2608.695652173913</v>
      </c>
      <c r="E54" s="24">
        <f t="shared" si="16"/>
        <v>-2608.695652173913</v>
      </c>
      <c r="F54" s="24">
        <f t="shared" si="16"/>
        <v>-2608.695652173913</v>
      </c>
      <c r="G54" s="24">
        <f t="shared" si="16"/>
        <v>-2608.695652173913</v>
      </c>
      <c r="H54" s="24">
        <f t="shared" si="16"/>
        <v>-2608.695652173913</v>
      </c>
      <c r="I54" s="24">
        <f t="shared" si="16"/>
        <v>-2608.695652173913</v>
      </c>
      <c r="J54" s="24">
        <f t="shared" si="16"/>
        <v>-2608.695652173913</v>
      </c>
      <c r="K54" s="24">
        <f t="shared" si="16"/>
        <v>-2021.25</v>
      </c>
      <c r="L54" s="24">
        <f t="shared" si="16"/>
        <v>-1102.5000000000002</v>
      </c>
      <c r="M54" s="24">
        <f t="shared" si="16"/>
        <v>-413.43749999999955</v>
      </c>
      <c r="N54" s="24">
        <f t="shared" si="16"/>
        <v>122.5000000000001</v>
      </c>
      <c r="O54" s="24">
        <f t="shared" si="16"/>
        <v>551.24999999999989</v>
      </c>
      <c r="P54" s="24">
        <f t="shared" si="16"/>
        <v>844.46808510638277</v>
      </c>
      <c r="Q54" s="24">
        <f t="shared" si="16"/>
        <v>1061.6666666666667</v>
      </c>
      <c r="R54" s="24">
        <f t="shared" si="16"/>
        <v>2519.9887498392832</v>
      </c>
    </row>
    <row r="55" spans="2:18" x14ac:dyDescent="0.3">
      <c r="B55" s="33">
        <f>B54+1</f>
        <v>5</v>
      </c>
      <c r="C55" s="35">
        <f t="shared" si="17"/>
        <v>0</v>
      </c>
      <c r="D55" s="23">
        <f t="shared" si="16"/>
        <v>0</v>
      </c>
      <c r="E55" s="23">
        <f t="shared" si="16"/>
        <v>0</v>
      </c>
      <c r="F55" s="23">
        <f t="shared" si="16"/>
        <v>0</v>
      </c>
      <c r="G55" s="23">
        <f t="shared" si="16"/>
        <v>0</v>
      </c>
      <c r="H55" s="23">
        <f t="shared" si="16"/>
        <v>0</v>
      </c>
      <c r="I55" s="23">
        <f t="shared" si="16"/>
        <v>0</v>
      </c>
      <c r="J55" s="23">
        <f t="shared" si="16"/>
        <v>0</v>
      </c>
      <c r="K55" s="23">
        <f t="shared" si="16"/>
        <v>0</v>
      </c>
      <c r="L55" s="23">
        <f t="shared" si="16"/>
        <v>0</v>
      </c>
      <c r="M55" s="23">
        <f t="shared" si="16"/>
        <v>0</v>
      </c>
      <c r="N55" s="23">
        <f t="shared" si="16"/>
        <v>0</v>
      </c>
      <c r="O55" s="23">
        <f t="shared" si="16"/>
        <v>0</v>
      </c>
      <c r="P55" s="23">
        <f t="shared" si="16"/>
        <v>0</v>
      </c>
      <c r="Q55" s="23">
        <f t="shared" si="16"/>
        <v>0</v>
      </c>
      <c r="R55" s="23">
        <f t="shared" si="16"/>
        <v>0</v>
      </c>
    </row>
    <row r="57" spans="2:18" x14ac:dyDescent="0.3">
      <c r="B57" s="6" t="s">
        <v>17</v>
      </c>
      <c r="C57" s="6" t="s">
        <v>18</v>
      </c>
      <c r="D57" s="47" t="s">
        <v>39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2:18" x14ac:dyDescent="0.3">
      <c r="B58" s="33">
        <v>1</v>
      </c>
      <c r="C58" s="35">
        <f>C51</f>
        <v>0.05</v>
      </c>
      <c r="D58" s="32">
        <f>-D51*($C58-$D$9/2)</f>
        <v>-391.304347826087</v>
      </c>
      <c r="E58" s="32">
        <f t="shared" ref="E58:R58" si="19">-E51*($C58-$D$9/2)</f>
        <v>-270.00000000000006</v>
      </c>
      <c r="F58" s="32">
        <f t="shared" si="19"/>
        <v>-60.967741935483872</v>
      </c>
      <c r="G58" s="32">
        <f t="shared" si="19"/>
        <v>210.00000000000014</v>
      </c>
      <c r="H58" s="32">
        <f t="shared" si="19"/>
        <v>385.87500000000006</v>
      </c>
      <c r="I58" s="32">
        <f t="shared" si="19"/>
        <v>391.304347826087</v>
      </c>
      <c r="J58" s="32">
        <f t="shared" si="19"/>
        <v>391.304347826087</v>
      </c>
      <c r="K58" s="32">
        <f t="shared" si="19"/>
        <v>391.304347826087</v>
      </c>
      <c r="L58" s="32">
        <f t="shared" si="19"/>
        <v>391.304347826087</v>
      </c>
      <c r="M58" s="32">
        <f t="shared" si="19"/>
        <v>391.304347826087</v>
      </c>
      <c r="N58" s="32">
        <f t="shared" si="19"/>
        <v>391.304347826087</v>
      </c>
      <c r="O58" s="32">
        <f t="shared" si="19"/>
        <v>391.304347826087</v>
      </c>
      <c r="P58" s="32">
        <f t="shared" si="19"/>
        <v>391.304347826087</v>
      </c>
      <c r="Q58" s="32">
        <f t="shared" si="19"/>
        <v>391.304347826087</v>
      </c>
      <c r="R58" s="32">
        <f t="shared" si="19"/>
        <v>378.00114751639308</v>
      </c>
    </row>
    <row r="59" spans="2:18" x14ac:dyDescent="0.3">
      <c r="B59" s="33">
        <f>B58+1</f>
        <v>2</v>
      </c>
      <c r="C59" s="35">
        <f t="shared" ref="C59:C62" si="20">C52</f>
        <v>0.15</v>
      </c>
      <c r="D59" s="38">
        <f t="shared" ref="D59:R62" si="21">-D52*($C59-$D$9/2)</f>
        <v>-21.739130434782616</v>
      </c>
      <c r="E59" s="38">
        <f t="shared" si="21"/>
        <v>-21.739130434782616</v>
      </c>
      <c r="F59" s="38">
        <f t="shared" si="21"/>
        <v>-21.739130434782616</v>
      </c>
      <c r="G59" s="38">
        <f t="shared" si="21"/>
        <v>-21.739130434782616</v>
      </c>
      <c r="H59" s="38">
        <f t="shared" si="21"/>
        <v>-9.1874999999999911</v>
      </c>
      <c r="I59" s="38">
        <f t="shared" si="21"/>
        <v>2.2968750000000084</v>
      </c>
      <c r="J59" s="38">
        <f t="shared" si="21"/>
        <v>9.1875000000000053</v>
      </c>
      <c r="K59" s="38">
        <f t="shared" si="21"/>
        <v>13.781250000000007</v>
      </c>
      <c r="L59" s="38">
        <f t="shared" si="21"/>
        <v>17.062500000000004</v>
      </c>
      <c r="M59" s="38">
        <f t="shared" si="21"/>
        <v>19.523437500000007</v>
      </c>
      <c r="N59" s="38">
        <f t="shared" si="21"/>
        <v>21.437500000000007</v>
      </c>
      <c r="O59" s="38">
        <f t="shared" si="21"/>
        <v>21.739130434782616</v>
      </c>
      <c r="P59" s="38">
        <f t="shared" si="21"/>
        <v>21.739130434782616</v>
      </c>
      <c r="Q59" s="38">
        <f t="shared" si="21"/>
        <v>21.739130434782616</v>
      </c>
      <c r="R59" s="38">
        <f t="shared" si="21"/>
        <v>21.000011250160721</v>
      </c>
    </row>
    <row r="60" spans="2:18" x14ac:dyDescent="0.3">
      <c r="B60" s="33">
        <f t="shared" ref="B60:B61" si="22">B59+1</f>
        <v>3</v>
      </c>
      <c r="C60" s="35">
        <f t="shared" si="20"/>
        <v>0.25</v>
      </c>
      <c r="D60" s="23">
        <f t="shared" si="21"/>
        <v>21.739130434782606</v>
      </c>
      <c r="E60" s="23">
        <f t="shared" si="21"/>
        <v>21.739130434782606</v>
      </c>
      <c r="F60" s="23">
        <f t="shared" si="21"/>
        <v>21.739130434782606</v>
      </c>
      <c r="G60" s="23">
        <f t="shared" si="21"/>
        <v>21.739130434782606</v>
      </c>
      <c r="H60" s="23">
        <f t="shared" si="21"/>
        <v>21.739130434782606</v>
      </c>
      <c r="I60" s="23">
        <f t="shared" si="21"/>
        <v>20.671874999999982</v>
      </c>
      <c r="J60" s="23">
        <f t="shared" si="21"/>
        <v>9.1874999999999947</v>
      </c>
      <c r="K60" s="23">
        <f t="shared" si="21"/>
        <v>1.5312500000000013</v>
      </c>
      <c r="L60" s="23">
        <f t="shared" si="21"/>
        <v>-3.9374999999999964</v>
      </c>
      <c r="M60" s="23">
        <f t="shared" si="21"/>
        <v>-8.0390624999999982</v>
      </c>
      <c r="N60" s="23">
        <f t="shared" si="21"/>
        <v>-11.229166666666663</v>
      </c>
      <c r="O60" s="23">
        <f t="shared" si="21"/>
        <v>-13.781249999999995</v>
      </c>
      <c r="P60" s="23">
        <f t="shared" si="21"/>
        <v>-14.856382978723399</v>
      </c>
      <c r="Q60" s="23">
        <f t="shared" si="21"/>
        <v>-15.652777777777773</v>
      </c>
      <c r="R60" s="23">
        <f t="shared" si="21"/>
        <v>-20.999958749410702</v>
      </c>
    </row>
    <row r="61" spans="2:18" x14ac:dyDescent="0.3">
      <c r="B61" s="33">
        <f t="shared" si="22"/>
        <v>4</v>
      </c>
      <c r="C61" s="35">
        <f t="shared" si="20"/>
        <v>0.35</v>
      </c>
      <c r="D61" s="24">
        <f t="shared" si="21"/>
        <v>391.30434782608688</v>
      </c>
      <c r="E61" s="24">
        <f t="shared" si="21"/>
        <v>391.30434782608688</v>
      </c>
      <c r="F61" s="24">
        <f t="shared" si="21"/>
        <v>391.30434782608688</v>
      </c>
      <c r="G61" s="24">
        <f t="shared" si="21"/>
        <v>391.30434782608688</v>
      </c>
      <c r="H61" s="24">
        <f t="shared" si="21"/>
        <v>391.30434782608688</v>
      </c>
      <c r="I61" s="24">
        <f t="shared" si="21"/>
        <v>391.30434782608688</v>
      </c>
      <c r="J61" s="24">
        <f t="shared" si="21"/>
        <v>391.30434782608688</v>
      </c>
      <c r="K61" s="24">
        <f t="shared" si="21"/>
        <v>303.18749999999994</v>
      </c>
      <c r="L61" s="24">
        <f t="shared" si="21"/>
        <v>165.375</v>
      </c>
      <c r="M61" s="24">
        <f t="shared" si="21"/>
        <v>62.015624999999915</v>
      </c>
      <c r="N61" s="24">
        <f t="shared" si="21"/>
        <v>-18.375000000000011</v>
      </c>
      <c r="O61" s="24">
        <f t="shared" si="21"/>
        <v>-82.687499999999972</v>
      </c>
      <c r="P61" s="24">
        <f t="shared" si="21"/>
        <v>-126.67021276595739</v>
      </c>
      <c r="Q61" s="24">
        <f t="shared" si="21"/>
        <v>-159.24999999999997</v>
      </c>
      <c r="R61" s="24">
        <f t="shared" si="21"/>
        <v>-377.99831247589242</v>
      </c>
    </row>
    <row r="62" spans="2:18" x14ac:dyDescent="0.3">
      <c r="B62" s="33">
        <f>B61+1</f>
        <v>5</v>
      </c>
      <c r="C62" s="35">
        <f t="shared" si="20"/>
        <v>0</v>
      </c>
      <c r="D62" s="23">
        <f t="shared" si="21"/>
        <v>0</v>
      </c>
      <c r="E62" s="23">
        <f t="shared" si="21"/>
        <v>0</v>
      </c>
      <c r="F62" s="23">
        <f t="shared" si="21"/>
        <v>0</v>
      </c>
      <c r="G62" s="23">
        <f t="shared" si="21"/>
        <v>0</v>
      </c>
      <c r="H62" s="23">
        <f t="shared" si="21"/>
        <v>0</v>
      </c>
      <c r="I62" s="23">
        <f t="shared" si="21"/>
        <v>0</v>
      </c>
      <c r="J62" s="23">
        <f t="shared" si="21"/>
        <v>0</v>
      </c>
      <c r="K62" s="23">
        <f t="shared" si="21"/>
        <v>0</v>
      </c>
      <c r="L62" s="23">
        <f t="shared" si="21"/>
        <v>0</v>
      </c>
      <c r="M62" s="23">
        <f t="shared" si="21"/>
        <v>0</v>
      </c>
      <c r="N62" s="23">
        <f t="shared" si="21"/>
        <v>0</v>
      </c>
      <c r="O62" s="23">
        <f t="shared" si="21"/>
        <v>0</v>
      </c>
      <c r="P62" s="23">
        <f t="shared" si="21"/>
        <v>0</v>
      </c>
      <c r="Q62" s="23">
        <f t="shared" si="21"/>
        <v>0</v>
      </c>
      <c r="R62" s="23">
        <f t="shared" si="21"/>
        <v>0</v>
      </c>
    </row>
    <row r="64" spans="2:18" x14ac:dyDescent="0.3">
      <c r="C64" s="6" t="s">
        <v>40</v>
      </c>
      <c r="D64" s="31">
        <f>SUM(D51:D55)</f>
        <v>-6086.95652173913</v>
      </c>
      <c r="E64" s="31">
        <f t="shared" ref="E64:R64" si="23">SUM(E51:E55)</f>
        <v>-5278.2608695652179</v>
      </c>
      <c r="F64" s="31">
        <f t="shared" si="23"/>
        <v>-3884.7124824684433</v>
      </c>
      <c r="G64" s="31">
        <f t="shared" si="23"/>
        <v>-2078.260869565217</v>
      </c>
      <c r="H64" s="31">
        <f t="shared" si="23"/>
        <v>-654.72826086956525</v>
      </c>
      <c r="I64" s="31">
        <f t="shared" si="23"/>
        <v>-367.49999999999955</v>
      </c>
      <c r="J64" s="31">
        <f t="shared" si="23"/>
        <v>0</v>
      </c>
      <c r="K64" s="31">
        <f t="shared" si="23"/>
        <v>832.445652173913</v>
      </c>
      <c r="L64" s="31">
        <f t="shared" si="23"/>
        <v>1926.1956521739128</v>
      </c>
      <c r="M64" s="31">
        <f t="shared" si="23"/>
        <v>2746.5081521739135</v>
      </c>
      <c r="N64" s="31">
        <f t="shared" si="23"/>
        <v>3384.5289855072465</v>
      </c>
      <c r="O64" s="31">
        <f t="shared" si="23"/>
        <v>3870.353260869565</v>
      </c>
      <c r="P64" s="31">
        <f t="shared" si="23"/>
        <v>4185.0740055504157</v>
      </c>
      <c r="Q64" s="31">
        <f t="shared" si="23"/>
        <v>4418.2004830917876</v>
      </c>
      <c r="R64" s="31">
        <f t="shared" si="23"/>
        <v>5879.9957999399985</v>
      </c>
    </row>
    <row r="65" spans="1:19" x14ac:dyDescent="0.3">
      <c r="C65" s="6" t="s">
        <v>41</v>
      </c>
      <c r="D65" s="32">
        <f>SUM(D58:D62)</f>
        <v>-1.1368683772161603E-13</v>
      </c>
      <c r="E65" s="32">
        <f t="shared" ref="E65:R65" si="24">SUM(E58:E62)</f>
        <v>121.30434782608683</v>
      </c>
      <c r="F65" s="32">
        <f t="shared" si="24"/>
        <v>330.33660589060298</v>
      </c>
      <c r="G65" s="32">
        <f t="shared" si="24"/>
        <v>601.304347826087</v>
      </c>
      <c r="H65" s="32">
        <f t="shared" si="24"/>
        <v>789.73097826086951</v>
      </c>
      <c r="I65" s="32">
        <f t="shared" si="24"/>
        <v>805.57744565217388</v>
      </c>
      <c r="J65" s="32">
        <f t="shared" si="24"/>
        <v>800.98369565217388</v>
      </c>
      <c r="K65" s="32">
        <f t="shared" si="24"/>
        <v>709.804347826087</v>
      </c>
      <c r="L65" s="32">
        <f t="shared" si="24"/>
        <v>569.804347826087</v>
      </c>
      <c r="M65" s="32">
        <f t="shared" si="24"/>
        <v>464.80434782608688</v>
      </c>
      <c r="N65" s="32">
        <f t="shared" si="24"/>
        <v>383.13768115942031</v>
      </c>
      <c r="O65" s="32">
        <f t="shared" si="24"/>
        <v>316.57472826086962</v>
      </c>
      <c r="P65" s="32">
        <f t="shared" si="24"/>
        <v>271.51688251618884</v>
      </c>
      <c r="Q65" s="32">
        <f t="shared" si="24"/>
        <v>238.14070048309188</v>
      </c>
      <c r="R65" s="32">
        <f t="shared" si="24"/>
        <v>2.8875412506295106E-3</v>
      </c>
    </row>
    <row r="68" spans="1:19" x14ac:dyDescent="0.3">
      <c r="A68" s="4"/>
      <c r="B68" s="5" t="s">
        <v>42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70" spans="1:19" x14ac:dyDescent="0.3">
      <c r="B70" t="str">
        <f>"Diagrama de iteração com As="&amp;E19&amp;"cm²"</f>
        <v>Diagrama de iteração com As=140cm²</v>
      </c>
    </row>
    <row r="71" spans="1:19" x14ac:dyDescent="0.3">
      <c r="C71" s="6" t="s">
        <v>43</v>
      </c>
      <c r="D71" s="39">
        <f>D34+D64</f>
        <v>-6086.95652173913</v>
      </c>
      <c r="E71" s="39">
        <f t="shared" ref="E71:R72" si="25">E34+E64</f>
        <v>-5278.2608695652179</v>
      </c>
      <c r="F71" s="39">
        <f t="shared" si="25"/>
        <v>-3476.7124824684433</v>
      </c>
      <c r="G71" s="39">
        <f t="shared" si="25"/>
        <v>-1262.260869565217</v>
      </c>
      <c r="H71" s="39">
        <f t="shared" si="25"/>
        <v>569.27173913043521</v>
      </c>
      <c r="I71" s="39">
        <f t="shared" si="25"/>
        <v>1264.5000000000005</v>
      </c>
      <c r="J71" s="39">
        <f t="shared" si="25"/>
        <v>2040.0000000000002</v>
      </c>
      <c r="K71" s="39">
        <f t="shared" si="25"/>
        <v>3280.4456521739135</v>
      </c>
      <c r="L71" s="39">
        <f t="shared" si="25"/>
        <v>4782.195652173913</v>
      </c>
      <c r="M71" s="39">
        <f t="shared" si="25"/>
        <v>6010.5081521739139</v>
      </c>
      <c r="N71" s="39">
        <f t="shared" si="25"/>
        <v>7056.5289855072469</v>
      </c>
      <c r="O71" s="39">
        <f t="shared" si="25"/>
        <v>7950.3532608695641</v>
      </c>
      <c r="P71" s="39">
        <f t="shared" si="25"/>
        <v>8673.0740055504157</v>
      </c>
      <c r="Q71" s="39">
        <f t="shared" si="25"/>
        <v>9314.2004830917886</v>
      </c>
      <c r="R71" s="39">
        <f t="shared" si="25"/>
        <v>10979.995799939999</v>
      </c>
    </row>
    <row r="72" spans="1:19" x14ac:dyDescent="0.3">
      <c r="C72" s="6" t="s">
        <v>44</v>
      </c>
      <c r="D72" s="25">
        <f>D35+D65</f>
        <v>-1.1368683772161603E-13</v>
      </c>
      <c r="E72" s="25">
        <f t="shared" si="25"/>
        <v>121.30434782608683</v>
      </c>
      <c r="F72" s="25">
        <f t="shared" si="25"/>
        <v>405.40860589060298</v>
      </c>
      <c r="G72" s="25">
        <f t="shared" si="25"/>
        <v>738.39234782608696</v>
      </c>
      <c r="H72" s="25">
        <f t="shared" si="25"/>
        <v>975.77897826086962</v>
      </c>
      <c r="I72" s="25">
        <f t="shared" si="25"/>
        <v>1027.529445652174</v>
      </c>
      <c r="J72" s="25">
        <f t="shared" si="25"/>
        <v>1045.7836956521739</v>
      </c>
      <c r="K72" s="25">
        <f t="shared" si="25"/>
        <v>964.39634782608709</v>
      </c>
      <c r="L72" s="25">
        <f t="shared" si="25"/>
        <v>821.13234782608708</v>
      </c>
      <c r="M72" s="25">
        <f t="shared" si="25"/>
        <v>699.81234782608692</v>
      </c>
      <c r="N72" s="25">
        <f t="shared" si="25"/>
        <v>588.76968115942032</v>
      </c>
      <c r="O72" s="25">
        <f t="shared" si="25"/>
        <v>479.77472826086967</v>
      </c>
      <c r="P72" s="25">
        <f t="shared" si="25"/>
        <v>379.22888251618883</v>
      </c>
      <c r="Q72" s="25">
        <f t="shared" si="25"/>
        <v>277.3087004830918</v>
      </c>
      <c r="R72" s="25">
        <f t="shared" si="25"/>
        <v>2.8875412504030251E-3</v>
      </c>
    </row>
    <row r="97" spans="1:19" x14ac:dyDescent="0.3">
      <c r="A97" s="4"/>
      <c r="B97" s="5" t="s">
        <v>47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9" spans="1:19" x14ac:dyDescent="0.3">
      <c r="C99" s="1" t="s">
        <v>45</v>
      </c>
      <c r="D99" s="1" t="s">
        <v>46</v>
      </c>
      <c r="J99" s="1" t="s">
        <v>43</v>
      </c>
      <c r="K99" s="1" t="s">
        <v>44</v>
      </c>
    </row>
    <row r="100" spans="1:19" x14ac:dyDescent="0.3">
      <c r="B100">
        <v>1</v>
      </c>
      <c r="C100" s="40">
        <v>2100</v>
      </c>
      <c r="D100" s="41">
        <f>C100*('Calculos '!B7+'Calculos '!B9)</f>
        <v>693</v>
      </c>
      <c r="J100" s="13">
        <f>C100*$F$3</f>
        <v>2940</v>
      </c>
      <c r="K100" s="13">
        <f>D100*1.4</f>
        <v>970.19999999999993</v>
      </c>
    </row>
    <row r="101" spans="1:19" x14ac:dyDescent="0.3">
      <c r="B101">
        <v>2</v>
      </c>
      <c r="C101" s="40"/>
      <c r="D101" s="41"/>
      <c r="J101" s="13">
        <f t="shared" ref="J101:J104" si="26">C101*$F$3</f>
        <v>0</v>
      </c>
      <c r="K101" s="13">
        <f t="shared" ref="K101:K104" si="27">D101*1.4</f>
        <v>0</v>
      </c>
    </row>
    <row r="102" spans="1:19" x14ac:dyDescent="0.3">
      <c r="B102">
        <v>3</v>
      </c>
      <c r="C102" s="40"/>
      <c r="D102" s="41"/>
      <c r="J102" s="13">
        <f t="shared" si="26"/>
        <v>0</v>
      </c>
      <c r="K102" s="13">
        <f t="shared" si="27"/>
        <v>0</v>
      </c>
    </row>
    <row r="103" spans="1:19" x14ac:dyDescent="0.3">
      <c r="B103">
        <v>4</v>
      </c>
      <c r="C103" s="40"/>
      <c r="D103" s="41"/>
      <c r="J103" s="13">
        <f t="shared" si="26"/>
        <v>0</v>
      </c>
      <c r="K103" s="13">
        <f t="shared" si="27"/>
        <v>0</v>
      </c>
    </row>
    <row r="104" spans="1:19" x14ac:dyDescent="0.3">
      <c r="B104">
        <v>5</v>
      </c>
      <c r="C104" s="40"/>
      <c r="D104" s="41"/>
      <c r="J104" s="13">
        <f t="shared" si="26"/>
        <v>0</v>
      </c>
      <c r="K104" s="13">
        <f t="shared" si="27"/>
        <v>0</v>
      </c>
    </row>
  </sheetData>
  <sheetProtection algorithmName="SHA-512" hashValue="gyNfzL+305M3nBpSBTzQjLADa3DfakfeADrvVuzlxufuEk7Y+y8ALk5etbqDH/aPobIkDzhDJAsCrAjlyJfqfg==" saltValue="H4o/Zca6k0mUFA4386tY+Q==" spinCount="100000" sheet="1" objects="1" scenarios="1"/>
  <mergeCells count="7">
    <mergeCell ref="D57:R57"/>
    <mergeCell ref="B2:D3"/>
    <mergeCell ref="AD11:AE11"/>
    <mergeCell ref="D12:H12"/>
    <mergeCell ref="B27:B32"/>
    <mergeCell ref="D43:R43"/>
    <mergeCell ref="D50:R50"/>
  </mergeCells>
  <conditionalFormatting sqref="D27:R32">
    <cfRule type="cellIs" dxfId="0" priority="1" operator="equal">
      <formula>1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12</xdr:col>
                <xdr:colOff>396240</xdr:colOff>
                <xdr:row>11</xdr:row>
                <xdr:rowOff>76200</xdr:rowOff>
              </from>
              <to>
                <xdr:col>17</xdr:col>
                <xdr:colOff>7620</xdr:colOff>
                <xdr:row>14</xdr:row>
                <xdr:rowOff>129540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12</xdr:col>
                <xdr:colOff>388620</xdr:colOff>
                <xdr:row>15</xdr:row>
                <xdr:rowOff>60960</xdr:rowOff>
              </from>
              <to>
                <xdr:col>18</xdr:col>
                <xdr:colOff>99060</xdr:colOff>
                <xdr:row>19</xdr:row>
                <xdr:rowOff>22860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7C8A7-8F72-434F-AAFA-1BCB00030CBF}">
  <dimension ref="A1:F23"/>
  <sheetViews>
    <sheetView tabSelected="1" workbookViewId="0">
      <selection activeCell="F7" sqref="F7"/>
    </sheetView>
  </sheetViews>
  <sheetFormatPr defaultRowHeight="14.4" x14ac:dyDescent="0.3"/>
  <sheetData>
    <row r="1" spans="1:6" x14ac:dyDescent="0.3">
      <c r="A1" t="s">
        <v>53</v>
      </c>
    </row>
    <row r="2" spans="1:6" x14ac:dyDescent="0.3">
      <c r="A2" s="45" t="s">
        <v>54</v>
      </c>
      <c r="B2">
        <v>1.4</v>
      </c>
    </row>
    <row r="3" spans="1:6" x14ac:dyDescent="0.3">
      <c r="A3" s="45" t="s">
        <v>55</v>
      </c>
      <c r="B3">
        <v>1</v>
      </c>
    </row>
    <row r="4" spans="1:6" x14ac:dyDescent="0.3">
      <c r="A4" s="45" t="s">
        <v>43</v>
      </c>
      <c r="B4">
        <f>2100*B2*B3</f>
        <v>2940</v>
      </c>
    </row>
    <row r="5" spans="1:6" x14ac:dyDescent="0.3">
      <c r="A5" s="45" t="s">
        <v>51</v>
      </c>
      <c r="B5" s="46">
        <f>3.46*12/0.4</f>
        <v>103.79999999999998</v>
      </c>
      <c r="C5" t="s">
        <v>71</v>
      </c>
    </row>
    <row r="6" spans="1:6" x14ac:dyDescent="0.3">
      <c r="A6" s="45" t="s">
        <v>52</v>
      </c>
      <c r="B6">
        <f>'Det PeG - Dir y'!J100/'Det PeG - Dir y'!C9/'Det PeG - Dir y'!D9/'Det PeG - Dir y'!E9/1000*1.4</f>
        <v>0.48999999999999994</v>
      </c>
    </row>
    <row r="7" spans="1:6" x14ac:dyDescent="0.3">
      <c r="A7" t="s">
        <v>50</v>
      </c>
      <c r="B7">
        <v>0.15</v>
      </c>
      <c r="C7" t="s">
        <v>49</v>
      </c>
    </row>
    <row r="8" spans="1:6" x14ac:dyDescent="0.3">
      <c r="A8" s="45" t="s">
        <v>69</v>
      </c>
      <c r="B8">
        <f>B6+0.5</f>
        <v>0.99</v>
      </c>
      <c r="C8" t="s">
        <v>70</v>
      </c>
    </row>
    <row r="9" spans="1:6" x14ac:dyDescent="0.3">
      <c r="A9" t="s">
        <v>48</v>
      </c>
      <c r="B9">
        <f>12^2/10*0.005/((1)*'Det PeG - Dir y'!D9)</f>
        <v>0.18000000000000002</v>
      </c>
      <c r="C9" t="s">
        <v>49</v>
      </c>
    </row>
    <row r="10" spans="1:6" x14ac:dyDescent="0.3">
      <c r="A10" t="s">
        <v>56</v>
      </c>
      <c r="B10">
        <f>0.15*'Det PeG - Dir y'!J100/435000*10000</f>
        <v>10.137931034482758</v>
      </c>
      <c r="C10" t="s">
        <v>57</v>
      </c>
    </row>
    <row r="11" spans="1:6" x14ac:dyDescent="0.3">
      <c r="B11">
        <f>0.004*'Det PeG - Dir y'!C9*'Det PeG - Dir y'!D9*10000</f>
        <v>9.6</v>
      </c>
      <c r="C11" t="s">
        <v>57</v>
      </c>
      <c r="D11" t="s">
        <v>58</v>
      </c>
      <c r="E11">
        <v>12</v>
      </c>
      <c r="F11" t="s">
        <v>57</v>
      </c>
    </row>
    <row r="12" spans="1:6" x14ac:dyDescent="0.3">
      <c r="A12" t="s">
        <v>61</v>
      </c>
    </row>
    <row r="13" spans="1:6" x14ac:dyDescent="0.3">
      <c r="A13" t="s">
        <v>59</v>
      </c>
      <c r="D13" t="s">
        <v>60</v>
      </c>
      <c r="E13">
        <v>30</v>
      </c>
      <c r="F13" t="s">
        <v>57</v>
      </c>
    </row>
    <row r="14" spans="1:6" x14ac:dyDescent="0.3">
      <c r="A14" t="s">
        <v>62</v>
      </c>
    </row>
    <row r="15" spans="1:6" x14ac:dyDescent="0.3">
      <c r="A15" t="s">
        <v>63</v>
      </c>
    </row>
    <row r="16" spans="1:6" x14ac:dyDescent="0.3">
      <c r="A16" s="45" t="s">
        <v>64</v>
      </c>
      <c r="B16">
        <v>5</v>
      </c>
      <c r="C16" t="s">
        <v>65</v>
      </c>
    </row>
    <row r="17" spans="1:5" x14ac:dyDescent="0.3">
      <c r="B17" s="12">
        <f>25/4</f>
        <v>6.25</v>
      </c>
      <c r="C17" t="s">
        <v>65</v>
      </c>
      <c r="D17">
        <v>6.3</v>
      </c>
      <c r="E17" t="s">
        <v>65</v>
      </c>
    </row>
    <row r="18" spans="1:5" x14ac:dyDescent="0.3">
      <c r="A18" t="s">
        <v>66</v>
      </c>
      <c r="B18" s="12">
        <v>200</v>
      </c>
      <c r="C18" t="s">
        <v>65</v>
      </c>
    </row>
    <row r="19" spans="1:5" x14ac:dyDescent="0.3">
      <c r="B19">
        <f>12*25</f>
        <v>300</v>
      </c>
      <c r="C19" t="s">
        <v>65</v>
      </c>
    </row>
    <row r="20" spans="1:5" x14ac:dyDescent="0.3">
      <c r="B20">
        <f>'Det PeG - Dir y'!D9</f>
        <v>0.4</v>
      </c>
      <c r="C20" t="s">
        <v>49</v>
      </c>
    </row>
    <row r="21" spans="1:5" x14ac:dyDescent="0.3">
      <c r="A21" t="s">
        <v>67</v>
      </c>
    </row>
    <row r="22" spans="1:5" x14ac:dyDescent="0.3">
      <c r="A22" t="s">
        <v>68</v>
      </c>
    </row>
    <row r="23" spans="1:5" x14ac:dyDescent="0.3">
      <c r="A23" t="s">
        <v>72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Det PeG - Dir y</vt:lpstr>
      <vt:lpstr>Calculos 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Graziano</dc:creator>
  <cp:lastModifiedBy>Martin Paul Schwark</cp:lastModifiedBy>
  <dcterms:created xsi:type="dcterms:W3CDTF">2010-10-20T20:00:29Z</dcterms:created>
  <dcterms:modified xsi:type="dcterms:W3CDTF">2019-10-27T22:02:24Z</dcterms:modified>
</cp:coreProperties>
</file>