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Paul Schwark\Google Drive\Martin sincronizado\Poli\PEF 2604\2018\Bibliografia\"/>
    </mc:Choice>
  </mc:AlternateContent>
  <xr:revisionPtr revIDLastSave="0" documentId="13_ncr:1_{34B71A3C-77D1-4011-AD12-8F732473531B}" xr6:coauthVersionLast="40" xr6:coauthVersionMax="40" xr10:uidLastSave="{00000000-0000-0000-0000-000000000000}"/>
  <bookViews>
    <workbookView xWindow="240" yWindow="228" windowWidth="9048" windowHeight="774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B65" i="1" l="1"/>
  <c r="B12" i="1" l="1"/>
  <c r="B73" i="1" l="1"/>
  <c r="B66" i="1" l="1"/>
  <c r="B67" i="1" s="1"/>
  <c r="B58" i="1"/>
  <c r="B64" i="1" s="1"/>
  <c r="B60" i="1"/>
  <c r="B75" i="1" s="1"/>
  <c r="B61" i="1"/>
  <c r="D75" i="1" l="1"/>
  <c r="B80" i="1"/>
  <c r="B81" i="1" l="1"/>
  <c r="B83" i="1" s="1"/>
  <c r="J32" i="1"/>
  <c r="B17" i="1" l="1"/>
  <c r="G37" i="1"/>
  <c r="H37" i="1"/>
  <c r="I37" i="1"/>
  <c r="J37" i="1"/>
  <c r="K37" i="1"/>
  <c r="L37" i="1"/>
  <c r="M37" i="1"/>
  <c r="N37" i="1"/>
  <c r="O37" i="1"/>
  <c r="P37" i="1"/>
  <c r="G38" i="1"/>
  <c r="H38" i="1"/>
  <c r="I38" i="1"/>
  <c r="J38" i="1"/>
  <c r="K38" i="1"/>
  <c r="L38" i="1"/>
  <c r="M38" i="1"/>
  <c r="N38" i="1"/>
  <c r="O38" i="1"/>
  <c r="P38" i="1"/>
  <c r="G39" i="1"/>
  <c r="H39" i="1"/>
  <c r="I39" i="1"/>
  <c r="J39" i="1"/>
  <c r="K39" i="1"/>
  <c r="L39" i="1"/>
  <c r="M39" i="1"/>
  <c r="N39" i="1"/>
  <c r="O39" i="1"/>
  <c r="P39" i="1"/>
  <c r="G40" i="1"/>
  <c r="H40" i="1"/>
  <c r="I40" i="1"/>
  <c r="J40" i="1"/>
  <c r="K40" i="1"/>
  <c r="L40" i="1"/>
  <c r="M40" i="1"/>
  <c r="N40" i="1"/>
  <c r="O40" i="1"/>
  <c r="P40" i="1"/>
  <c r="G41" i="1"/>
  <c r="H41" i="1"/>
  <c r="I41" i="1"/>
  <c r="J41" i="1"/>
  <c r="K41" i="1"/>
  <c r="L41" i="1"/>
  <c r="M41" i="1"/>
  <c r="N41" i="1"/>
  <c r="O41" i="1"/>
  <c r="P41" i="1"/>
  <c r="G42" i="1"/>
  <c r="H42" i="1"/>
  <c r="I42" i="1"/>
  <c r="J42" i="1"/>
  <c r="K42" i="1"/>
  <c r="L42" i="1"/>
  <c r="M42" i="1"/>
  <c r="N42" i="1"/>
  <c r="O42" i="1"/>
  <c r="P42" i="1"/>
  <c r="G43" i="1"/>
  <c r="H43" i="1"/>
  <c r="I43" i="1"/>
  <c r="J43" i="1"/>
  <c r="K43" i="1"/>
  <c r="L43" i="1"/>
  <c r="M43" i="1"/>
  <c r="N43" i="1"/>
  <c r="O43" i="1"/>
  <c r="P43" i="1"/>
  <c r="G44" i="1"/>
  <c r="H44" i="1"/>
  <c r="I44" i="1"/>
  <c r="J44" i="1"/>
  <c r="K44" i="1"/>
  <c r="L44" i="1"/>
  <c r="M44" i="1"/>
  <c r="N44" i="1"/>
  <c r="O44" i="1"/>
  <c r="P44" i="1"/>
  <c r="G45" i="1"/>
  <c r="H45" i="1"/>
  <c r="I45" i="1"/>
  <c r="J45" i="1"/>
  <c r="K45" i="1"/>
  <c r="L45" i="1"/>
  <c r="M45" i="1"/>
  <c r="N45" i="1"/>
  <c r="O45" i="1"/>
  <c r="P45" i="1"/>
  <c r="H36" i="1"/>
  <c r="I36" i="1"/>
  <c r="J36" i="1"/>
  <c r="K36" i="1"/>
  <c r="L36" i="1"/>
  <c r="M36" i="1"/>
  <c r="N36" i="1"/>
  <c r="O36" i="1"/>
  <c r="P36" i="1"/>
  <c r="G36" i="1"/>
  <c r="B13" i="1"/>
  <c r="B36" i="1" s="1"/>
  <c r="B8" i="1"/>
  <c r="B9" i="1" s="1"/>
  <c r="B5" i="1"/>
  <c r="B30" i="1" l="1"/>
  <c r="B22" i="1"/>
  <c r="B6" i="1"/>
  <c r="B28" i="1"/>
  <c r="B32" i="1" s="1"/>
  <c r="B19" i="1"/>
  <c r="B68" i="1"/>
  <c r="B62" i="1"/>
  <c r="D62" i="1" s="1"/>
  <c r="B74" i="1"/>
  <c r="B29" i="1" l="1"/>
  <c r="B31" i="1" s="1"/>
  <c r="B69" i="1"/>
  <c r="D74" i="1" s="1"/>
  <c r="B20" i="1"/>
  <c r="B21" i="1"/>
  <c r="B23" i="1" s="1"/>
  <c r="B24" i="1" s="1"/>
  <c r="B25" i="1" s="1"/>
  <c r="B26" i="1" s="1"/>
  <c r="B70" i="1" l="1"/>
  <c r="B34" i="1"/>
  <c r="B33" i="1"/>
  <c r="B35" i="1" s="1"/>
  <c r="B37" i="1" s="1"/>
  <c r="B38" i="1" s="1"/>
  <c r="B40" i="1" l="1"/>
  <c r="B39" i="1"/>
  <c r="B41" i="1" l="1"/>
</calcChain>
</file>

<file path=xl/sharedStrings.xml><?xml version="1.0" encoding="utf-8"?>
<sst xmlns="http://schemas.openxmlformats.org/spreadsheetml/2006/main" count="160" uniqueCount="124">
  <si>
    <t>h</t>
  </si>
  <si>
    <t>fck</t>
  </si>
  <si>
    <t>MPa</t>
  </si>
  <si>
    <t>Mk</t>
  </si>
  <si>
    <t>Md</t>
  </si>
  <si>
    <t>fcd</t>
  </si>
  <si>
    <t>fyd</t>
  </si>
  <si>
    <t>d'</t>
  </si>
  <si>
    <t xml:space="preserve">d </t>
  </si>
  <si>
    <t xml:space="preserve">m </t>
  </si>
  <si>
    <t>m</t>
  </si>
  <si>
    <t>kNm</t>
  </si>
  <si>
    <t>x LN max</t>
  </si>
  <si>
    <t>0,8 x LN max</t>
  </si>
  <si>
    <t>0,85 fcd</t>
  </si>
  <si>
    <t>Rcc max</t>
  </si>
  <si>
    <t>kN</t>
  </si>
  <si>
    <t>cm²</t>
  </si>
  <si>
    <t>Md max sem Asc</t>
  </si>
  <si>
    <t>eh&gt;20mm?</t>
  </si>
  <si>
    <t>eh&gt;diam barra?</t>
  </si>
  <si>
    <t>ev&gt;20mm?</t>
  </si>
  <si>
    <t>ev&gt;diam barra?</t>
  </si>
  <si>
    <t>ev&gt;0,5 Dmax agregado?</t>
  </si>
  <si>
    <t>d' considerado inicialmente está correto?</t>
  </si>
  <si>
    <t>Alcançou armadura mínima?</t>
  </si>
  <si>
    <t>ρ min</t>
  </si>
  <si>
    <t>ρ</t>
  </si>
  <si>
    <t>%</t>
  </si>
  <si>
    <t>Arm. mínima:</t>
  </si>
  <si>
    <t>Aço:</t>
  </si>
  <si>
    <t>Ø</t>
  </si>
  <si>
    <t>eh&gt;1,2 Dmax agregado? (brita 1: 19mm, brita 2: 25mm)</t>
  </si>
  <si>
    <t>Dimensionamento de vigas retangulares de concreto armado</t>
  </si>
  <si>
    <t xml:space="preserve">Arm máxima: </t>
  </si>
  <si>
    <t xml:space="preserve">h&gt;60 cm? Armadura de pele min </t>
  </si>
  <si>
    <t>bw h</t>
  </si>
  <si>
    <t>por face</t>
  </si>
  <si>
    <t>Ultrapassou armadura máxima?</t>
  </si>
  <si>
    <t>bw</t>
  </si>
  <si>
    <t>As max</t>
  </si>
  <si>
    <t>ρ max</t>
  </si>
  <si>
    <t>Flecha</t>
  </si>
  <si>
    <t>Eci inicial</t>
  </si>
  <si>
    <t>Ecs secante</t>
  </si>
  <si>
    <t>G</t>
  </si>
  <si>
    <t>°C^(-1)</t>
  </si>
  <si>
    <t>μ coef Poisson</t>
  </si>
  <si>
    <t>Gpa</t>
  </si>
  <si>
    <t>Es</t>
  </si>
  <si>
    <t>GPa</t>
  </si>
  <si>
    <t>para verificações ELS</t>
  </si>
  <si>
    <t>Por que 0,85?</t>
  </si>
  <si>
    <t>R:</t>
  </si>
  <si>
    <t>resistencia cresce 20% em um ano</t>
  </si>
  <si>
    <t>redução de 25% em ensaios de longa duração</t>
  </si>
  <si>
    <t>corpos de prova 15 x 30 têm aumento aparente 5%</t>
  </si>
  <si>
    <t>1,2*,75*,95=,85</t>
  </si>
  <si>
    <t>αc = αs</t>
  </si>
  <si>
    <t>Estádio I: concreto não fissurado na zona de tração</t>
  </si>
  <si>
    <t>Estádio II: concreto bastante fissurado na zona de tração</t>
  </si>
  <si>
    <t>Vrd2 biela</t>
  </si>
  <si>
    <t>Vk solicitante</t>
  </si>
  <si>
    <t>Vd solicitante</t>
  </si>
  <si>
    <t>bw alma</t>
  </si>
  <si>
    <t>α v2</t>
  </si>
  <si>
    <t>Vc resistida pelo concreto</t>
  </si>
  <si>
    <t>Verificação biela:</t>
  </si>
  <si>
    <t>Dimensionamento estribos:</t>
  </si>
  <si>
    <t>Vrd3 necessária</t>
  </si>
  <si>
    <t>fctd</t>
  </si>
  <si>
    <t>fctm</t>
  </si>
  <si>
    <t>fctk inf</t>
  </si>
  <si>
    <t>Vsw resultante</t>
  </si>
  <si>
    <t>Vsw necessário</t>
  </si>
  <si>
    <t>cm²/m</t>
  </si>
  <si>
    <t>cada</t>
  </si>
  <si>
    <t>cm</t>
  </si>
  <si>
    <t>mm</t>
  </si>
  <si>
    <t>estabelecer</t>
  </si>
  <si>
    <t>Detalhamento:</t>
  </si>
  <si>
    <t>s l</t>
  </si>
  <si>
    <t>s t</t>
  </si>
  <si>
    <t>Asw/s minimo</t>
  </si>
  <si>
    <t>Asw/s teorico</t>
  </si>
  <si>
    <t>Asw/s estabelecido</t>
  </si>
  <si>
    <t>z = d - 0,4 x LN</t>
  </si>
  <si>
    <t>Estádio III: aço e concreto não mais em regime elástico</t>
  </si>
  <si>
    <t>≥</t>
  </si>
  <si>
    <t>s l ≤ 80 cm (0,6d ou 35 cm se V alto)</t>
  </si>
  <si>
    <t>0,5h ou 30 cm ≥ s l ≥ 10 cm</t>
  </si>
  <si>
    <r>
      <t>fctd = f</t>
    </r>
    <r>
      <rPr>
        <vertAlign val="subscript"/>
        <sz val="11"/>
        <color theme="1"/>
        <rFont val="Calibri"/>
        <family val="2"/>
        <scheme val="minor"/>
      </rPr>
      <t>ctk, inf</t>
    </r>
    <r>
      <rPr>
        <sz val="11"/>
        <color theme="1"/>
        <rFont val="Calibri"/>
        <family val="2"/>
        <scheme val="minor"/>
      </rPr>
      <t>/1,4</t>
    </r>
  </si>
  <si>
    <t>x LN calculado</t>
  </si>
  <si>
    <t>xLN/d</t>
  </si>
  <si>
    <t>Ast sem Asc</t>
  </si>
  <si>
    <t>Delta Md para arm dupla</t>
  </si>
  <si>
    <t>Delta Rst</t>
  </si>
  <si>
    <t>Arm dupla</t>
  </si>
  <si>
    <t>Ast total</t>
  </si>
  <si>
    <t>braço z arm dupla</t>
  </si>
  <si>
    <t xml:space="preserve">Asc </t>
  </si>
  <si>
    <t>Dados dos materiais</t>
  </si>
  <si>
    <t>Concreto fck</t>
  </si>
  <si>
    <t>Aço fyk</t>
  </si>
  <si>
    <t>Dimensões da viga</t>
  </si>
  <si>
    <t>Esforço solicitante</t>
  </si>
  <si>
    <t xml:space="preserve">Resultados </t>
  </si>
  <si>
    <t>Flexão</t>
  </si>
  <si>
    <t>Cortante</t>
  </si>
  <si>
    <t>verificar =&lt; 0,50 para fck até 35MPa ou =&lt;0,45 para fck até 50MPa. Caso contrário, redimensionar b e h ou ir para dimensionamento com armadura dupla</t>
  </si>
  <si>
    <t>Armadura dupla (apenas se x/d for maior que x/d max)</t>
  </si>
  <si>
    <t>0,8 x LN</t>
  </si>
  <si>
    <t>Rcc = Rst</t>
  </si>
  <si>
    <t>Ast</t>
  </si>
  <si>
    <t>kPa</t>
  </si>
  <si>
    <t>m²</t>
  </si>
  <si>
    <t>bw&gt;20%h? (viga invertida)</t>
  </si>
  <si>
    <t>bw&gt;40%h? (viga isolada)</t>
  </si>
  <si>
    <r>
      <t>bw&gt;l</t>
    </r>
    <r>
      <rPr>
        <sz val="8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/50? (l</t>
    </r>
    <r>
      <rPr>
        <sz val="8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entre contenções laterais)</t>
    </r>
  </si>
  <si>
    <t>Observação:</t>
  </si>
  <si>
    <t>Estádios:</t>
  </si>
  <si>
    <t>verificar segundo critérios ao lado:</t>
  </si>
  <si>
    <t>Verificações adicionais</t>
  </si>
  <si>
    <t>kg/m³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</si>
</sst>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3" borderId="0" xfId="0" applyFill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Font="1"/>
    <xf numFmtId="165" fontId="1" fillId="0" borderId="0" xfId="0" applyNumberFormat="1" applyFont="1"/>
    <xf numFmtId="10" fontId="0" fillId="0" borderId="0" xfId="0" applyNumberFormat="1" applyFont="1"/>
    <xf numFmtId="0" fontId="1" fillId="0" borderId="0" xfId="0" applyNumberFormat="1" applyFont="1"/>
    <xf numFmtId="0" fontId="0" fillId="0" borderId="0" xfId="0" applyFill="1"/>
    <xf numFmtId="11" fontId="0" fillId="0" borderId="0" xfId="0" applyNumberFormat="1"/>
    <xf numFmtId="0" fontId="6" fillId="0" borderId="0" xfId="0" applyFont="1"/>
    <xf numFmtId="0" fontId="0" fillId="0" borderId="10" xfId="0" applyBorder="1"/>
    <xf numFmtId="0" fontId="0" fillId="0" borderId="11" xfId="0" applyBorder="1"/>
    <xf numFmtId="0" fontId="1" fillId="0" borderId="0" xfId="0" applyFont="1" applyBorder="1"/>
    <xf numFmtId="0" fontId="1" fillId="0" borderId="0" xfId="0" applyFont="1" applyFill="1"/>
    <xf numFmtId="0" fontId="0" fillId="5" borderId="0" xfId="0" applyFill="1"/>
    <xf numFmtId="0" fontId="0" fillId="0" borderId="0" xfId="0" quotePrefix="1"/>
    <xf numFmtId="10" fontId="0" fillId="5" borderId="0" xfId="1" applyNumberFormat="1" applyFont="1" applyFill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55</xdr:row>
      <xdr:rowOff>133924</xdr:rowOff>
    </xdr:from>
    <xdr:to>
      <xdr:col>16</xdr:col>
      <xdr:colOff>66675</xdr:colOff>
      <xdr:row>59</xdr:row>
      <xdr:rowOff>123825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8020624"/>
          <a:ext cx="3114675" cy="799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272415</xdr:colOff>
      <xdr:row>1</xdr:row>
      <xdr:rowOff>144780</xdr:rowOff>
    </xdr:from>
    <xdr:to>
      <xdr:col>15</xdr:col>
      <xdr:colOff>72557</xdr:colOff>
      <xdr:row>16</xdr:row>
      <xdr:rowOff>106680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535" y="441960"/>
          <a:ext cx="6018062" cy="275082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104775</xdr:rowOff>
    </xdr:from>
    <xdr:to>
      <xdr:col>5</xdr:col>
      <xdr:colOff>114299</xdr:colOff>
      <xdr:row>117</xdr:row>
      <xdr:rowOff>161925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21225"/>
          <a:ext cx="3943349" cy="3867150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8</xdr:col>
      <xdr:colOff>47626</xdr:colOff>
      <xdr:row>62</xdr:row>
      <xdr:rowOff>161925</xdr:rowOff>
    </xdr:from>
    <xdr:to>
      <xdr:col>16</xdr:col>
      <xdr:colOff>76200</xdr:colOff>
      <xdr:row>79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1" y="9382125"/>
          <a:ext cx="4171949" cy="3362325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238125</xdr:colOff>
      <xdr:row>87</xdr:row>
      <xdr:rowOff>133350</xdr:rowOff>
    </xdr:from>
    <xdr:to>
      <xdr:col>6</xdr:col>
      <xdr:colOff>314325</xdr:colOff>
      <xdr:row>92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601950"/>
          <a:ext cx="4410075" cy="962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28575</xdr:colOff>
      <xdr:row>85</xdr:row>
      <xdr:rowOff>95250</xdr:rowOff>
    </xdr:from>
    <xdr:to>
      <xdr:col>16</xdr:col>
      <xdr:colOff>161925</xdr:colOff>
      <xdr:row>91</xdr:row>
      <xdr:rowOff>104775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5563850"/>
          <a:ext cx="4276725" cy="11525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142878</xdr:colOff>
      <xdr:row>93</xdr:row>
      <xdr:rowOff>38100</xdr:rowOff>
    </xdr:from>
    <xdr:to>
      <xdr:col>17</xdr:col>
      <xdr:colOff>95250</xdr:colOff>
      <xdr:row>116</xdr:row>
      <xdr:rowOff>133350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8" y="16973550"/>
          <a:ext cx="6219822" cy="4476750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66675</xdr:colOff>
      <xdr:row>63</xdr:row>
      <xdr:rowOff>38100</xdr:rowOff>
    </xdr:from>
    <xdr:to>
      <xdr:col>7</xdr:col>
      <xdr:colOff>314325</xdr:colOff>
      <xdr:row>66</xdr:row>
      <xdr:rowOff>47625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9448800"/>
          <a:ext cx="1762125" cy="581025"/>
        </a:xfrm>
        <a:prstGeom prst="rect">
          <a:avLst/>
        </a:prstGeom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55</xdr:row>
      <xdr:rowOff>19050</xdr:rowOff>
    </xdr:from>
    <xdr:to>
      <xdr:col>10</xdr:col>
      <xdr:colOff>171450</xdr:colOff>
      <xdr:row>59</xdr:row>
      <xdr:rowOff>180975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905750"/>
          <a:ext cx="3152775" cy="971550"/>
        </a:xfrm>
        <a:prstGeom prst="rect">
          <a:avLst/>
        </a:prstGeom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61</xdr:row>
      <xdr:rowOff>38100</xdr:rowOff>
    </xdr:from>
    <xdr:to>
      <xdr:col>6</xdr:col>
      <xdr:colOff>304800</xdr:colOff>
      <xdr:row>62</xdr:row>
      <xdr:rowOff>142875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9067800"/>
          <a:ext cx="1238250" cy="295275"/>
        </a:xfrm>
        <a:prstGeom prst="rect">
          <a:avLst/>
        </a:prstGeom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72</xdr:row>
      <xdr:rowOff>123825</xdr:rowOff>
    </xdr:from>
    <xdr:to>
      <xdr:col>7</xdr:col>
      <xdr:colOff>409575</xdr:colOff>
      <xdr:row>76</xdr:row>
      <xdr:rowOff>6856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1249025"/>
          <a:ext cx="1381125" cy="645031"/>
        </a:xfrm>
        <a:prstGeom prst="rect">
          <a:avLst/>
        </a:prstGeom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371475</xdr:colOff>
      <xdr:row>66</xdr:row>
      <xdr:rowOff>104775</xdr:rowOff>
    </xdr:from>
    <xdr:to>
      <xdr:col>7</xdr:col>
      <xdr:colOff>142875</xdr:colOff>
      <xdr:row>70</xdr:row>
      <xdr:rowOff>133350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0086975"/>
          <a:ext cx="1285875" cy="790575"/>
        </a:xfrm>
        <a:prstGeom prst="rect">
          <a:avLst/>
        </a:prstGeom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5"/>
  <sheetViews>
    <sheetView tabSelected="1" topLeftCell="A7" workbookViewId="0">
      <selection activeCell="D24" sqref="D24:E24"/>
    </sheetView>
  </sheetViews>
  <sheetFormatPr defaultRowHeight="14.4" x14ac:dyDescent="0.3"/>
  <cols>
    <col min="1" max="1" width="24" customWidth="1"/>
    <col min="4" max="15" width="7.5546875" customWidth="1"/>
  </cols>
  <sheetData>
    <row r="1" spans="1:3" s="3" customFormat="1" ht="23.4" x14ac:dyDescent="0.45">
      <c r="A1" s="3" t="s">
        <v>33</v>
      </c>
    </row>
    <row r="2" spans="1:3" s="2" customFormat="1" ht="18" x14ac:dyDescent="0.35">
      <c r="A2" s="2" t="s">
        <v>107</v>
      </c>
    </row>
    <row r="3" spans="1:3" s="1" customFormat="1" x14ac:dyDescent="0.3">
      <c r="A3" s="1" t="s">
        <v>101</v>
      </c>
    </row>
    <row r="4" spans="1:3" x14ac:dyDescent="0.3">
      <c r="A4" t="s">
        <v>102</v>
      </c>
      <c r="B4" s="13">
        <v>20</v>
      </c>
      <c r="C4" t="s">
        <v>2</v>
      </c>
    </row>
    <row r="5" spans="1:3" x14ac:dyDescent="0.3">
      <c r="A5" t="s">
        <v>5</v>
      </c>
      <c r="B5" s="4">
        <f>B4/1.4</f>
        <v>14.285714285714286</v>
      </c>
      <c r="C5" t="s">
        <v>2</v>
      </c>
    </row>
    <row r="6" spans="1:3" x14ac:dyDescent="0.3">
      <c r="B6" s="4">
        <f>B5*1000</f>
        <v>14285.714285714286</v>
      </c>
      <c r="C6" t="s">
        <v>114</v>
      </c>
    </row>
    <row r="7" spans="1:3" x14ac:dyDescent="0.3">
      <c r="A7" t="s">
        <v>103</v>
      </c>
      <c r="B7" s="13">
        <v>500</v>
      </c>
      <c r="C7" t="s">
        <v>2</v>
      </c>
    </row>
    <row r="8" spans="1:3" x14ac:dyDescent="0.3">
      <c r="A8" t="s">
        <v>6</v>
      </c>
      <c r="B8" s="4">
        <f>B7/1.15</f>
        <v>434.78260869565219</v>
      </c>
      <c r="C8" t="s">
        <v>2</v>
      </c>
    </row>
    <row r="9" spans="1:3" x14ac:dyDescent="0.3">
      <c r="B9" s="4">
        <f>B8*1000</f>
        <v>434782.60869565216</v>
      </c>
      <c r="C9" t="s">
        <v>114</v>
      </c>
    </row>
    <row r="10" spans="1:3" s="1" customFormat="1" x14ac:dyDescent="0.3">
      <c r="A10" s="1" t="s">
        <v>104</v>
      </c>
      <c r="B10" s="31"/>
    </row>
    <row r="11" spans="1:3" x14ac:dyDescent="0.3">
      <c r="A11" t="s">
        <v>0</v>
      </c>
      <c r="B11" s="13">
        <v>0.6</v>
      </c>
      <c r="C11" t="s">
        <v>9</v>
      </c>
    </row>
    <row r="12" spans="1:3" x14ac:dyDescent="0.3">
      <c r="A12" t="s">
        <v>7</v>
      </c>
      <c r="B12" s="13">
        <f>B11/10</f>
        <v>0.06</v>
      </c>
      <c r="C12" t="s">
        <v>10</v>
      </c>
    </row>
    <row r="13" spans="1:3" x14ac:dyDescent="0.3">
      <c r="A13" t="s">
        <v>8</v>
      </c>
      <c r="B13" s="4">
        <f>B11-B12</f>
        <v>0.54</v>
      </c>
      <c r="C13" t="s">
        <v>10</v>
      </c>
    </row>
    <row r="14" spans="1:3" x14ac:dyDescent="0.3">
      <c r="A14" t="s">
        <v>39</v>
      </c>
      <c r="B14" s="13">
        <v>0.2</v>
      </c>
      <c r="C14" t="s">
        <v>10</v>
      </c>
    </row>
    <row r="15" spans="1:3" s="1" customFormat="1" x14ac:dyDescent="0.3">
      <c r="A15" s="1" t="s">
        <v>105</v>
      </c>
    </row>
    <row r="16" spans="1:3" x14ac:dyDescent="0.3">
      <c r="A16" t="s">
        <v>3</v>
      </c>
      <c r="B16" s="13">
        <v>100</v>
      </c>
      <c r="C16" t="s">
        <v>11</v>
      </c>
    </row>
    <row r="17" spans="1:14" x14ac:dyDescent="0.3">
      <c r="A17" t="s">
        <v>4</v>
      </c>
      <c r="B17" s="26">
        <f>B16*1.4</f>
        <v>140</v>
      </c>
      <c r="C17" t="s">
        <v>11</v>
      </c>
    </row>
    <row r="18" spans="1:14" s="1" customFormat="1" x14ac:dyDescent="0.3">
      <c r="A18" s="1" t="s">
        <v>106</v>
      </c>
      <c r="B18" s="32"/>
    </row>
    <row r="19" spans="1:14" x14ac:dyDescent="0.3">
      <c r="A19" t="s">
        <v>92</v>
      </c>
      <c r="B19" s="26">
        <f>1.25*B13*(1-(1-B17/(0.425*B14*B13^2*B5*1000))^0.5)</f>
        <v>0.15014007470900334</v>
      </c>
      <c r="C19" t="s">
        <v>10</v>
      </c>
    </row>
    <row r="20" spans="1:14" x14ac:dyDescent="0.3">
      <c r="A20" t="s">
        <v>93</v>
      </c>
      <c r="B20" s="33">
        <f>B19/B13</f>
        <v>0.2780371753870432</v>
      </c>
      <c r="C20" t="s">
        <v>109</v>
      </c>
    </row>
    <row r="21" spans="1:14" ht="15" thickBot="1" x14ac:dyDescent="0.35">
      <c r="A21" s="34" t="s">
        <v>111</v>
      </c>
      <c r="B21">
        <f>0.8*B19</f>
        <v>0.12011205976720268</v>
      </c>
      <c r="C21" t="s">
        <v>10</v>
      </c>
    </row>
    <row r="22" spans="1:14" x14ac:dyDescent="0.3">
      <c r="A22" s="34" t="s">
        <v>14</v>
      </c>
      <c r="B22">
        <f>0.85*B5</f>
        <v>12.142857142857142</v>
      </c>
      <c r="G22" s="1" t="s">
        <v>29</v>
      </c>
      <c r="I22" s="15" t="s">
        <v>1</v>
      </c>
      <c r="J22" s="16" t="s">
        <v>26</v>
      </c>
    </row>
    <row r="23" spans="1:14" x14ac:dyDescent="0.3">
      <c r="A23" s="34" t="s">
        <v>112</v>
      </c>
      <c r="B23">
        <f>B22*1000*B21*B14</f>
        <v>291.70071657749224</v>
      </c>
      <c r="C23" t="s">
        <v>16</v>
      </c>
      <c r="I23" s="17">
        <v>20</v>
      </c>
      <c r="J23" s="18">
        <v>1.5E-3</v>
      </c>
      <c r="M23" s="1" t="s">
        <v>119</v>
      </c>
      <c r="N23" s="22"/>
    </row>
    <row r="24" spans="1:14" x14ac:dyDescent="0.3">
      <c r="A24" s="34" t="s">
        <v>113</v>
      </c>
      <c r="B24">
        <f>B23/B9</f>
        <v>6.7091164812823213E-4</v>
      </c>
      <c r="C24" t="s">
        <v>115</v>
      </c>
      <c r="D24">
        <f>B24*7800/B14/B11</f>
        <v>43.609257128335088</v>
      </c>
      <c r="E24" t="s">
        <v>123</v>
      </c>
      <c r="I24" s="17">
        <v>25</v>
      </c>
      <c r="J24" s="18">
        <v>1.5E-3</v>
      </c>
      <c r="M24" t="s">
        <v>52</v>
      </c>
    </row>
    <row r="25" spans="1:14" x14ac:dyDescent="0.3">
      <c r="A25" s="34"/>
      <c r="B25">
        <f>B24*10000</f>
        <v>6.7091164812823214</v>
      </c>
      <c r="C25" t="s">
        <v>17</v>
      </c>
      <c r="I25" s="17">
        <v>30</v>
      </c>
      <c r="J25" s="18">
        <v>1.73E-3</v>
      </c>
      <c r="M25" t="s">
        <v>53</v>
      </c>
      <c r="N25" t="s">
        <v>54</v>
      </c>
    </row>
    <row r="26" spans="1:14" x14ac:dyDescent="0.3">
      <c r="A26" t="s">
        <v>27</v>
      </c>
      <c r="B26" s="35">
        <f>B25/B14/100/B11/100</f>
        <v>5.5909304010686011E-3</v>
      </c>
      <c r="C26" t="s">
        <v>121</v>
      </c>
      <c r="I26" s="17">
        <v>35</v>
      </c>
      <c r="J26" s="18">
        <v>2.0100000000000001E-3</v>
      </c>
      <c r="N26" t="s">
        <v>55</v>
      </c>
    </row>
    <row r="27" spans="1:14" s="1" customFormat="1" x14ac:dyDescent="0.3">
      <c r="A27" s="1" t="s">
        <v>110</v>
      </c>
      <c r="G27"/>
      <c r="H27"/>
      <c r="I27" s="17">
        <v>40</v>
      </c>
      <c r="J27" s="18">
        <v>2.3E-3</v>
      </c>
      <c r="K27"/>
      <c r="M27"/>
      <c r="N27" t="s">
        <v>56</v>
      </c>
    </row>
    <row r="28" spans="1:14" x14ac:dyDescent="0.3">
      <c r="A28" t="s">
        <v>12</v>
      </c>
      <c r="B28">
        <f>IF(B4&lt;35,0.45*B13,0.4*B13)</f>
        <v>0.24300000000000002</v>
      </c>
      <c r="C28" t="s">
        <v>10</v>
      </c>
      <c r="I28" s="17">
        <v>45</v>
      </c>
      <c r="J28" s="18">
        <v>2.5899999999999999E-3</v>
      </c>
      <c r="N28" t="s">
        <v>57</v>
      </c>
    </row>
    <row r="29" spans="1:14" ht="15" thickBot="1" x14ac:dyDescent="0.35">
      <c r="A29" t="s">
        <v>13</v>
      </c>
      <c r="B29">
        <f>B28*0.8</f>
        <v>0.19440000000000002</v>
      </c>
      <c r="C29" t="s">
        <v>10</v>
      </c>
      <c r="I29" s="19">
        <v>50</v>
      </c>
      <c r="J29" s="20">
        <v>2.8800000000000002E-3</v>
      </c>
    </row>
    <row r="30" spans="1:14" x14ac:dyDescent="0.3">
      <c r="A30" t="s">
        <v>14</v>
      </c>
      <c r="B30">
        <f>B5*0.85</f>
        <v>12.142857142857142</v>
      </c>
      <c r="C30" t="s">
        <v>2</v>
      </c>
      <c r="G30" s="1"/>
      <c r="H30" s="1"/>
      <c r="I30" s="1"/>
      <c r="J30" s="1"/>
      <c r="K30" s="1"/>
      <c r="M30" s="1" t="s">
        <v>120</v>
      </c>
    </row>
    <row r="31" spans="1:14" x14ac:dyDescent="0.3">
      <c r="A31" t="s">
        <v>15</v>
      </c>
      <c r="B31">
        <f>B29*B14*B30*1000</f>
        <v>472.11428571428576</v>
      </c>
      <c r="C31" t="s">
        <v>16</v>
      </c>
      <c r="G31" s="1" t="s">
        <v>34</v>
      </c>
      <c r="H31" s="1"/>
      <c r="I31" s="1" t="s">
        <v>41</v>
      </c>
      <c r="J31" s="23">
        <v>0.04</v>
      </c>
      <c r="K31" s="1"/>
      <c r="M31" t="s">
        <v>59</v>
      </c>
    </row>
    <row r="32" spans="1:14" x14ac:dyDescent="0.3">
      <c r="A32" t="s">
        <v>86</v>
      </c>
      <c r="B32">
        <f>B13-0.4*B28</f>
        <v>0.44280000000000003</v>
      </c>
      <c r="C32" t="s">
        <v>10</v>
      </c>
      <c r="H32" s="1"/>
      <c r="I32" s="1" t="s">
        <v>40</v>
      </c>
      <c r="J32" s="25">
        <f>J31*B11*100*B14*100</f>
        <v>48</v>
      </c>
      <c r="K32" s="1" t="s">
        <v>17</v>
      </c>
      <c r="M32" t="s">
        <v>60</v>
      </c>
    </row>
    <row r="33" spans="1:16" x14ac:dyDescent="0.3">
      <c r="A33" t="s">
        <v>18</v>
      </c>
      <c r="B33" s="26">
        <f>B31*B32</f>
        <v>209.05220571428575</v>
      </c>
      <c r="C33" t="s">
        <v>11</v>
      </c>
      <c r="M33" s="22" t="s">
        <v>87</v>
      </c>
      <c r="N33" s="22"/>
    </row>
    <row r="34" spans="1:16" ht="15" thickBot="1" x14ac:dyDescent="0.35">
      <c r="A34" t="s">
        <v>94</v>
      </c>
      <c r="B34" s="26">
        <f>B31/B8/1000*10000</f>
        <v>10.858628571428573</v>
      </c>
      <c r="C34" t="s">
        <v>17</v>
      </c>
    </row>
    <row r="35" spans="1:16" x14ac:dyDescent="0.3">
      <c r="A35" t="s">
        <v>95</v>
      </c>
      <c r="B35" s="26">
        <f>B17-B33</f>
        <v>-69.052205714285748</v>
      </c>
      <c r="C35" t="s">
        <v>11</v>
      </c>
      <c r="E35" s="1" t="s">
        <v>30</v>
      </c>
      <c r="F35" s="21" t="s">
        <v>31</v>
      </c>
      <c r="G35" s="5">
        <v>1</v>
      </c>
      <c r="H35" s="5">
        <v>2</v>
      </c>
      <c r="I35" s="5">
        <v>3</v>
      </c>
      <c r="J35" s="5">
        <v>4</v>
      </c>
      <c r="K35" s="5">
        <v>5</v>
      </c>
      <c r="L35" s="5">
        <v>6</v>
      </c>
      <c r="M35" s="5">
        <v>7</v>
      </c>
      <c r="N35" s="5">
        <v>8</v>
      </c>
      <c r="O35" s="5">
        <v>9</v>
      </c>
      <c r="P35" s="6">
        <v>10</v>
      </c>
    </row>
    <row r="36" spans="1:16" x14ac:dyDescent="0.3">
      <c r="A36" t="s">
        <v>99</v>
      </c>
      <c r="B36" s="26">
        <f>B13-B12</f>
        <v>0.48000000000000004</v>
      </c>
      <c r="C36" t="s">
        <v>10</v>
      </c>
      <c r="F36" s="7">
        <v>4</v>
      </c>
      <c r="G36" s="8">
        <f t="shared" ref="G36:P45" si="0">G$35*3.141592654*($F36/10)^2/4</f>
        <v>0.12566370616000003</v>
      </c>
      <c r="H36" s="8">
        <f t="shared" si="0"/>
        <v>0.25132741232000005</v>
      </c>
      <c r="I36" s="8">
        <f t="shared" si="0"/>
        <v>0.37699111848000011</v>
      </c>
      <c r="J36" s="8">
        <f t="shared" si="0"/>
        <v>0.50265482464000011</v>
      </c>
      <c r="K36" s="8">
        <f t="shared" si="0"/>
        <v>0.62831853080000011</v>
      </c>
      <c r="L36" s="8">
        <f t="shared" si="0"/>
        <v>0.75398223696000022</v>
      </c>
      <c r="M36" s="8">
        <f t="shared" si="0"/>
        <v>0.87964594312000022</v>
      </c>
      <c r="N36" s="8">
        <f t="shared" si="0"/>
        <v>1.0053096492800002</v>
      </c>
      <c r="O36" s="8">
        <f t="shared" si="0"/>
        <v>1.1309733554400003</v>
      </c>
      <c r="P36" s="9">
        <f t="shared" si="0"/>
        <v>1.2566370616000002</v>
      </c>
    </row>
    <row r="37" spans="1:16" x14ac:dyDescent="0.3">
      <c r="A37" t="s">
        <v>96</v>
      </c>
      <c r="B37" s="26">
        <f>B35/B36</f>
        <v>-143.85876190476196</v>
      </c>
      <c r="C37" t="s">
        <v>16</v>
      </c>
      <c r="F37" s="7">
        <v>5</v>
      </c>
      <c r="G37" s="8">
        <f t="shared" si="0"/>
        <v>0.19634954087500001</v>
      </c>
      <c r="H37" s="8">
        <f t="shared" si="0"/>
        <v>0.39269908175000001</v>
      </c>
      <c r="I37" s="8">
        <f t="shared" si="0"/>
        <v>0.58904862262500002</v>
      </c>
      <c r="J37" s="8">
        <f t="shared" si="0"/>
        <v>0.78539816350000002</v>
      </c>
      <c r="K37" s="8">
        <f t="shared" si="0"/>
        <v>0.98174770437500003</v>
      </c>
      <c r="L37" s="8">
        <f t="shared" si="0"/>
        <v>1.17809724525</v>
      </c>
      <c r="M37" s="8">
        <f t="shared" si="0"/>
        <v>1.374446786125</v>
      </c>
      <c r="N37" s="8">
        <f t="shared" si="0"/>
        <v>1.570796327</v>
      </c>
      <c r="O37" s="8">
        <f t="shared" si="0"/>
        <v>1.7671458678750001</v>
      </c>
      <c r="P37" s="9">
        <f t="shared" si="0"/>
        <v>1.9634954087500001</v>
      </c>
    </row>
    <row r="38" spans="1:16" x14ac:dyDescent="0.3">
      <c r="A38" t="s">
        <v>97</v>
      </c>
      <c r="B38" s="26">
        <f>B37/B8/1000*10000</f>
        <v>-3.3087515238095246</v>
      </c>
      <c r="C38" t="s">
        <v>17</v>
      </c>
      <c r="F38" s="7">
        <v>6.3</v>
      </c>
      <c r="G38" s="8">
        <f t="shared" si="0"/>
        <v>0.31172453109315001</v>
      </c>
      <c r="H38" s="8">
        <f t="shared" si="0"/>
        <v>0.62344906218630003</v>
      </c>
      <c r="I38" s="8">
        <f t="shared" si="0"/>
        <v>0.93517359327945015</v>
      </c>
      <c r="J38" s="8">
        <f t="shared" si="0"/>
        <v>1.2468981243726001</v>
      </c>
      <c r="K38" s="8">
        <f t="shared" si="0"/>
        <v>1.5586226554657501</v>
      </c>
      <c r="L38" s="8">
        <f t="shared" si="0"/>
        <v>1.8703471865589003</v>
      </c>
      <c r="M38" s="8">
        <f t="shared" si="0"/>
        <v>2.1820717176520503</v>
      </c>
      <c r="N38" s="8">
        <f t="shared" si="0"/>
        <v>2.4937962487452001</v>
      </c>
      <c r="O38" s="8">
        <f t="shared" si="0"/>
        <v>2.8055207798383504</v>
      </c>
      <c r="P38" s="9">
        <f t="shared" si="0"/>
        <v>3.1172453109315001</v>
      </c>
    </row>
    <row r="39" spans="1:16" x14ac:dyDescent="0.3">
      <c r="A39" t="s">
        <v>98</v>
      </c>
      <c r="B39" s="26">
        <f>B34+B38</f>
        <v>7.5498770476190487</v>
      </c>
      <c r="C39" t="s">
        <v>17</v>
      </c>
      <c r="F39" s="7">
        <v>8</v>
      </c>
      <c r="G39" s="8">
        <f t="shared" si="0"/>
        <v>0.50265482464000011</v>
      </c>
      <c r="H39" s="8">
        <f t="shared" si="0"/>
        <v>1.0053096492800002</v>
      </c>
      <c r="I39" s="8">
        <f t="shared" si="0"/>
        <v>1.5079644739200004</v>
      </c>
      <c r="J39" s="8">
        <f t="shared" si="0"/>
        <v>2.0106192985600004</v>
      </c>
      <c r="K39" s="8">
        <f t="shared" si="0"/>
        <v>2.5132741232000004</v>
      </c>
      <c r="L39" s="8">
        <f t="shared" si="0"/>
        <v>3.0159289478400009</v>
      </c>
      <c r="M39" s="8">
        <f t="shared" si="0"/>
        <v>3.5185837724800009</v>
      </c>
      <c r="N39" s="8">
        <f t="shared" si="0"/>
        <v>4.0212385971200009</v>
      </c>
      <c r="O39" s="8">
        <f t="shared" si="0"/>
        <v>4.5238934217600013</v>
      </c>
      <c r="P39" s="9">
        <f t="shared" si="0"/>
        <v>5.0265482464000009</v>
      </c>
    </row>
    <row r="40" spans="1:16" x14ac:dyDescent="0.3">
      <c r="A40" t="s">
        <v>100</v>
      </c>
      <c r="B40">
        <f>B38</f>
        <v>-3.3087515238095246</v>
      </c>
      <c r="C40" t="s">
        <v>17</v>
      </c>
      <c r="F40" s="7">
        <v>10</v>
      </c>
      <c r="G40" s="8">
        <f t="shared" si="0"/>
        <v>0.78539816350000002</v>
      </c>
      <c r="H40" s="8">
        <f t="shared" si="0"/>
        <v>1.570796327</v>
      </c>
      <c r="I40" s="8">
        <f t="shared" si="0"/>
        <v>2.3561944905000001</v>
      </c>
      <c r="J40" s="8">
        <f t="shared" si="0"/>
        <v>3.1415926540000001</v>
      </c>
      <c r="K40" s="8">
        <f t="shared" si="0"/>
        <v>3.9269908175000001</v>
      </c>
      <c r="L40" s="8">
        <f t="shared" si="0"/>
        <v>4.7123889810000001</v>
      </c>
      <c r="M40" s="8">
        <f t="shared" si="0"/>
        <v>5.4977871445000002</v>
      </c>
      <c r="N40" s="8">
        <f t="shared" si="0"/>
        <v>6.2831853080000002</v>
      </c>
      <c r="O40" s="8">
        <f t="shared" si="0"/>
        <v>7.0685834715000002</v>
      </c>
      <c r="P40" s="9">
        <f t="shared" si="0"/>
        <v>7.8539816350000002</v>
      </c>
    </row>
    <row r="41" spans="1:16" x14ac:dyDescent="0.3">
      <c r="A41" t="s">
        <v>27</v>
      </c>
      <c r="B41" s="33">
        <f>IF(B40&gt;0,(B39+B40)/(B14*B11)/100,B39/(B14*B11)/100)</f>
        <v>0.62915642063492072</v>
      </c>
      <c r="C41" t="s">
        <v>28</v>
      </c>
      <c r="F41" s="7">
        <v>12.5</v>
      </c>
      <c r="G41" s="8">
        <f t="shared" si="0"/>
        <v>1.2271846304687499</v>
      </c>
      <c r="H41" s="8">
        <f t="shared" si="0"/>
        <v>2.4543692609374999</v>
      </c>
      <c r="I41" s="8">
        <f t="shared" si="0"/>
        <v>3.6815538914062502</v>
      </c>
      <c r="J41" s="8">
        <f t="shared" si="0"/>
        <v>4.9087385218749997</v>
      </c>
      <c r="K41" s="8">
        <f t="shared" si="0"/>
        <v>6.1359231523437501</v>
      </c>
      <c r="L41" s="8">
        <f t="shared" si="0"/>
        <v>7.3631077828125004</v>
      </c>
      <c r="M41" s="8">
        <f t="shared" si="0"/>
        <v>8.5902924132812508</v>
      </c>
      <c r="N41" s="8">
        <f t="shared" si="0"/>
        <v>9.8174770437499994</v>
      </c>
      <c r="O41" s="8">
        <f t="shared" si="0"/>
        <v>11.04466167421875</v>
      </c>
      <c r="P41" s="9">
        <f t="shared" si="0"/>
        <v>12.2718463046875</v>
      </c>
    </row>
    <row r="42" spans="1:16" x14ac:dyDescent="0.3">
      <c r="A42" s="1" t="s">
        <v>122</v>
      </c>
      <c r="F42" s="7">
        <v>16</v>
      </c>
      <c r="G42" s="8">
        <f t="shared" si="0"/>
        <v>2.0106192985600004</v>
      </c>
      <c r="H42" s="8">
        <f t="shared" si="0"/>
        <v>4.0212385971200009</v>
      </c>
      <c r="I42" s="8">
        <f t="shared" si="0"/>
        <v>6.0318578956800017</v>
      </c>
      <c r="J42" s="8">
        <f t="shared" si="0"/>
        <v>8.0424771942400017</v>
      </c>
      <c r="K42" s="8">
        <f t="shared" si="0"/>
        <v>10.053096492800002</v>
      </c>
      <c r="L42" s="8">
        <f t="shared" si="0"/>
        <v>12.063715791360003</v>
      </c>
      <c r="M42" s="8">
        <f t="shared" si="0"/>
        <v>14.074335089920003</v>
      </c>
      <c r="N42" s="8">
        <f t="shared" si="0"/>
        <v>16.084954388480003</v>
      </c>
      <c r="O42" s="8">
        <f t="shared" si="0"/>
        <v>18.095573687040005</v>
      </c>
      <c r="P42" s="9">
        <f t="shared" si="0"/>
        <v>20.106192985600003</v>
      </c>
    </row>
    <row r="43" spans="1:16" x14ac:dyDescent="0.3">
      <c r="A43" t="s">
        <v>118</v>
      </c>
      <c r="F43" s="7">
        <v>20</v>
      </c>
      <c r="G43" s="8">
        <f t="shared" si="0"/>
        <v>3.1415926540000001</v>
      </c>
      <c r="H43" s="8">
        <f t="shared" si="0"/>
        <v>6.2831853080000002</v>
      </c>
      <c r="I43" s="8">
        <f t="shared" si="0"/>
        <v>9.4247779620000003</v>
      </c>
      <c r="J43" s="8">
        <f t="shared" si="0"/>
        <v>12.566370616</v>
      </c>
      <c r="K43" s="8">
        <f t="shared" si="0"/>
        <v>15.70796327</v>
      </c>
      <c r="L43" s="8">
        <f t="shared" si="0"/>
        <v>18.849555924000001</v>
      </c>
      <c r="M43" s="8">
        <f t="shared" si="0"/>
        <v>21.991148578000001</v>
      </c>
      <c r="N43" s="8">
        <f t="shared" si="0"/>
        <v>25.132741232000001</v>
      </c>
      <c r="O43" s="8">
        <f t="shared" si="0"/>
        <v>28.274333886000001</v>
      </c>
      <c r="P43" s="9">
        <f t="shared" si="0"/>
        <v>31.415926540000001</v>
      </c>
    </row>
    <row r="44" spans="1:16" x14ac:dyDescent="0.3">
      <c r="A44" t="s">
        <v>117</v>
      </c>
      <c r="F44" s="7">
        <v>25</v>
      </c>
      <c r="G44" s="8">
        <f t="shared" si="0"/>
        <v>4.9087385218749997</v>
      </c>
      <c r="H44" s="8">
        <f t="shared" si="0"/>
        <v>9.8174770437499994</v>
      </c>
      <c r="I44" s="8">
        <f t="shared" si="0"/>
        <v>14.726215565625001</v>
      </c>
      <c r="J44" s="8">
        <f t="shared" si="0"/>
        <v>19.634954087499999</v>
      </c>
      <c r="K44" s="8">
        <f t="shared" si="0"/>
        <v>24.543692609375</v>
      </c>
      <c r="L44" s="8">
        <f t="shared" si="0"/>
        <v>29.452431131250002</v>
      </c>
      <c r="M44" s="8">
        <f t="shared" si="0"/>
        <v>34.361169653125003</v>
      </c>
      <c r="N44" s="8">
        <f t="shared" si="0"/>
        <v>39.269908174999998</v>
      </c>
      <c r="O44" s="8">
        <f t="shared" si="0"/>
        <v>44.178646696874999</v>
      </c>
      <c r="P44" s="9">
        <f t="shared" si="0"/>
        <v>49.087385218750001</v>
      </c>
    </row>
    <row r="45" spans="1:16" ht="15" thickBot="1" x14ac:dyDescent="0.35">
      <c r="A45" t="s">
        <v>116</v>
      </c>
      <c r="F45" s="10">
        <v>32</v>
      </c>
      <c r="G45" s="11">
        <f t="shared" si="0"/>
        <v>8.0424771942400017</v>
      </c>
      <c r="H45" s="11">
        <f t="shared" si="0"/>
        <v>16.084954388480003</v>
      </c>
      <c r="I45" s="11">
        <f t="shared" si="0"/>
        <v>24.127431582720007</v>
      </c>
      <c r="J45" s="11">
        <f t="shared" si="0"/>
        <v>32.169908776960007</v>
      </c>
      <c r="K45" s="11">
        <f t="shared" si="0"/>
        <v>40.212385971200007</v>
      </c>
      <c r="L45" s="11">
        <f t="shared" si="0"/>
        <v>48.254863165440014</v>
      </c>
      <c r="M45" s="11">
        <f t="shared" si="0"/>
        <v>56.297340359680014</v>
      </c>
      <c r="N45" s="11">
        <f t="shared" si="0"/>
        <v>64.339817553920014</v>
      </c>
      <c r="O45" s="11">
        <f t="shared" si="0"/>
        <v>72.382294748160021</v>
      </c>
      <c r="P45" s="12">
        <f t="shared" si="0"/>
        <v>80.424771942400014</v>
      </c>
    </row>
    <row r="46" spans="1:16" x14ac:dyDescent="0.3">
      <c r="A46" t="s">
        <v>19</v>
      </c>
    </row>
    <row r="47" spans="1:16" x14ac:dyDescent="0.3">
      <c r="A47" t="s">
        <v>20</v>
      </c>
    </row>
    <row r="48" spans="1:16" x14ac:dyDescent="0.3">
      <c r="A48" t="s">
        <v>32</v>
      </c>
    </row>
    <row r="49" spans="1:19" x14ac:dyDescent="0.3">
      <c r="A49" t="s">
        <v>21</v>
      </c>
    </row>
    <row r="50" spans="1:19" x14ac:dyDescent="0.3">
      <c r="A50" t="s">
        <v>22</v>
      </c>
    </row>
    <row r="51" spans="1:19" s="1" customFormat="1" ht="15.75" customHeight="1" x14ac:dyDescent="0.3">
      <c r="A51" t="s">
        <v>23</v>
      </c>
      <c r="B51"/>
      <c r="C51"/>
    </row>
    <row r="52" spans="1:19" s="1" customFormat="1" ht="15.75" customHeight="1" x14ac:dyDescent="0.3">
      <c r="A52" t="s">
        <v>24</v>
      </c>
      <c r="B52"/>
      <c r="C52"/>
    </row>
    <row r="53" spans="1:19" s="1" customFormat="1" ht="15.75" customHeight="1" x14ac:dyDescent="0.3">
      <c r="A53" s="22" t="s">
        <v>25</v>
      </c>
      <c r="B53" s="22"/>
      <c r="C53" s="22"/>
    </row>
    <row r="54" spans="1:19" x14ac:dyDescent="0.3">
      <c r="A54" s="22" t="s">
        <v>38</v>
      </c>
      <c r="B54" s="22"/>
      <c r="C54" s="22"/>
      <c r="D54" s="1"/>
      <c r="E54" s="1"/>
      <c r="G54" s="23"/>
      <c r="H54" s="1"/>
    </row>
    <row r="55" spans="1:19" x14ac:dyDescent="0.3">
      <c r="A55" s="22" t="s">
        <v>35</v>
      </c>
      <c r="B55" s="22"/>
      <c r="C55" s="24">
        <v>1E-3</v>
      </c>
      <c r="D55" s="22" t="s">
        <v>36</v>
      </c>
      <c r="E55" s="22" t="s">
        <v>37</v>
      </c>
    </row>
    <row r="56" spans="1:19" ht="18" x14ac:dyDescent="0.35">
      <c r="A56" s="2" t="s">
        <v>108</v>
      </c>
      <c r="B56" s="2"/>
      <c r="C56" s="2"/>
    </row>
    <row r="57" spans="1:19" s="1" customFormat="1" x14ac:dyDescent="0.3">
      <c r="A57" s="22" t="s">
        <v>62</v>
      </c>
      <c r="B57" s="13">
        <v>86</v>
      </c>
      <c r="C57"/>
      <c r="D57"/>
    </row>
    <row r="58" spans="1:19" x14ac:dyDescent="0.3">
      <c r="A58" s="22" t="s">
        <v>63</v>
      </c>
      <c r="B58">
        <f>B57*1.4</f>
        <v>120.39999999999999</v>
      </c>
    </row>
    <row r="59" spans="1:19" x14ac:dyDescent="0.3">
      <c r="A59" s="1" t="s">
        <v>67</v>
      </c>
      <c r="B59" s="1"/>
      <c r="C59" s="1"/>
      <c r="D59" s="1"/>
    </row>
    <row r="60" spans="1:19" x14ac:dyDescent="0.3">
      <c r="A60" s="22" t="s">
        <v>64</v>
      </c>
      <c r="B60">
        <f>B14</f>
        <v>0.2</v>
      </c>
      <c r="C60" t="s">
        <v>10</v>
      </c>
    </row>
    <row r="61" spans="1:19" s="1" customFormat="1" x14ac:dyDescent="0.3">
      <c r="A61" s="22" t="s">
        <v>65</v>
      </c>
      <c r="B61">
        <f>1-B4/250</f>
        <v>0.92</v>
      </c>
      <c r="C61"/>
      <c r="D61"/>
    </row>
    <row r="62" spans="1:19" x14ac:dyDescent="0.3">
      <c r="A62" s="22" t="s">
        <v>61</v>
      </c>
      <c r="B62">
        <f>0.27*B61*B5*B60*B13*1000</f>
        <v>383.24571428571448</v>
      </c>
      <c r="C62" t="s">
        <v>16</v>
      </c>
      <c r="D62" t="str">
        <f>IF(B62&gt;B58,"ok","não ok")</f>
        <v>ok</v>
      </c>
      <c r="S62" s="14" t="s">
        <v>88</v>
      </c>
    </row>
    <row r="63" spans="1:19" x14ac:dyDescent="0.3">
      <c r="A63" s="1" t="s">
        <v>68</v>
      </c>
      <c r="B63" s="1"/>
      <c r="C63" s="1"/>
      <c r="D63" s="1"/>
    </row>
    <row r="64" spans="1:19" x14ac:dyDescent="0.3">
      <c r="A64" s="22" t="s">
        <v>69</v>
      </c>
      <c r="B64">
        <f>B58</f>
        <v>120.39999999999999</v>
      </c>
    </row>
    <row r="65" spans="1:7" x14ac:dyDescent="0.3">
      <c r="A65" s="22" t="s">
        <v>71</v>
      </c>
      <c r="B65">
        <f>0.3*B4^(2/3)</f>
        <v>2.2104188991842313</v>
      </c>
    </row>
    <row r="66" spans="1:7" x14ac:dyDescent="0.3">
      <c r="A66" s="22" t="s">
        <v>72</v>
      </c>
      <c r="B66">
        <f>B65*0.7</f>
        <v>1.5472932294289619</v>
      </c>
    </row>
    <row r="67" spans="1:7" x14ac:dyDescent="0.3">
      <c r="A67" s="22" t="s">
        <v>70</v>
      </c>
      <c r="B67">
        <f>B66/1.4</f>
        <v>1.1052094495921156</v>
      </c>
    </row>
    <row r="68" spans="1:7" x14ac:dyDescent="0.3">
      <c r="A68" s="22" t="s">
        <v>66</v>
      </c>
      <c r="B68">
        <f>0.6*B67*B60*B13*1000</f>
        <v>71.6175723335691</v>
      </c>
      <c r="C68" t="s">
        <v>16</v>
      </c>
    </row>
    <row r="69" spans="1:7" x14ac:dyDescent="0.3">
      <c r="A69" s="22" t="s">
        <v>74</v>
      </c>
      <c r="B69">
        <f>B64-B68</f>
        <v>48.782427666430891</v>
      </c>
      <c r="C69" t="s">
        <v>16</v>
      </c>
    </row>
    <row r="70" spans="1:7" x14ac:dyDescent="0.3">
      <c r="A70" s="22" t="s">
        <v>84</v>
      </c>
      <c r="B70">
        <f>B69*1000/B8/1000000/0.9/B13*10000</f>
        <v>2.3086334080821205</v>
      </c>
      <c r="C70" t="s">
        <v>75</v>
      </c>
    </row>
    <row r="71" spans="1:7" x14ac:dyDescent="0.3">
      <c r="A71" s="22" t="s">
        <v>31</v>
      </c>
      <c r="B71" s="13">
        <v>6</v>
      </c>
      <c r="C71" t="s">
        <v>78</v>
      </c>
      <c r="D71" t="s">
        <v>79</v>
      </c>
    </row>
    <row r="72" spans="1:7" ht="15.6" x14ac:dyDescent="0.35">
      <c r="A72" s="22" t="s">
        <v>76</v>
      </c>
      <c r="B72" s="13">
        <v>20</v>
      </c>
      <c r="C72" t="s">
        <v>77</v>
      </c>
      <c r="D72" t="s">
        <v>79</v>
      </c>
      <c r="F72" s="29" t="s">
        <v>91</v>
      </c>
      <c r="G72" s="30"/>
    </row>
    <row r="73" spans="1:7" x14ac:dyDescent="0.3">
      <c r="A73" s="22" t="s">
        <v>85</v>
      </c>
      <c r="B73">
        <f>2*3.1416*(B71/1000)^2/4/B72*100*10000</f>
        <v>2.8274400000000002</v>
      </c>
      <c r="C73" t="s">
        <v>75</v>
      </c>
    </row>
    <row r="74" spans="1:7" s="1" customFormat="1" x14ac:dyDescent="0.3">
      <c r="A74" s="22" t="s">
        <v>73</v>
      </c>
      <c r="B74">
        <f>0.9*B13*B73/10000*B8*1000</f>
        <v>59.745036521739138</v>
      </c>
      <c r="C74" t="s">
        <v>16</v>
      </c>
      <c r="D74" t="str">
        <f>IF(B74&gt;B69,"ok","não ok")</f>
        <v>ok</v>
      </c>
    </row>
    <row r="75" spans="1:7" x14ac:dyDescent="0.3">
      <c r="A75" s="22" t="s">
        <v>83</v>
      </c>
      <c r="B75">
        <f>0.14*B60*100</f>
        <v>2.8000000000000003</v>
      </c>
      <c r="C75" t="s">
        <v>75</v>
      </c>
      <c r="D75" t="str">
        <f>IF(B73&gt;B75,"ok","não ok")</f>
        <v>ok</v>
      </c>
    </row>
    <row r="76" spans="1:7" x14ac:dyDescent="0.3">
      <c r="A76" s="1" t="s">
        <v>80</v>
      </c>
      <c r="B76" s="1"/>
      <c r="C76" s="1"/>
      <c r="D76" s="1"/>
    </row>
    <row r="77" spans="1:7" ht="18" x14ac:dyDescent="0.35">
      <c r="A77" s="22" t="s">
        <v>81</v>
      </c>
      <c r="B77" t="s">
        <v>90</v>
      </c>
      <c r="E77" s="2"/>
      <c r="F77" s="2"/>
      <c r="G77" s="2"/>
    </row>
    <row r="78" spans="1:7" x14ac:dyDescent="0.3">
      <c r="A78" s="22" t="s">
        <v>82</v>
      </c>
      <c r="B78" t="s">
        <v>89</v>
      </c>
    </row>
    <row r="79" spans="1:7" ht="18" x14ac:dyDescent="0.35">
      <c r="A79" s="2" t="s">
        <v>42</v>
      </c>
      <c r="B79" s="28"/>
      <c r="C79" s="2"/>
      <c r="D79" s="2"/>
    </row>
    <row r="80" spans="1:7" x14ac:dyDescent="0.3">
      <c r="A80" t="s">
        <v>43</v>
      </c>
      <c r="B80">
        <f>5600*B4^0.5/1000</f>
        <v>25.043961347997648</v>
      </c>
      <c r="C80" t="s">
        <v>48</v>
      </c>
    </row>
    <row r="81" spans="1:4" x14ac:dyDescent="0.3">
      <c r="A81" t="s">
        <v>44</v>
      </c>
      <c r="B81">
        <f>0.85*B80</f>
        <v>21.287367145798001</v>
      </c>
      <c r="C81" t="s">
        <v>48</v>
      </c>
      <c r="D81" t="s">
        <v>51</v>
      </c>
    </row>
    <row r="82" spans="1:4" x14ac:dyDescent="0.3">
      <c r="A82" s="14" t="s">
        <v>47</v>
      </c>
      <c r="B82">
        <v>0.2</v>
      </c>
    </row>
    <row r="83" spans="1:4" x14ac:dyDescent="0.3">
      <c r="A83" s="14" t="s">
        <v>45</v>
      </c>
      <c r="B83">
        <f>0.4*B81</f>
        <v>8.5149468583192007</v>
      </c>
      <c r="C83" t="s">
        <v>48</v>
      </c>
    </row>
    <row r="84" spans="1:4" s="2" customFormat="1" ht="18" x14ac:dyDescent="0.35">
      <c r="A84" s="14" t="s">
        <v>58</v>
      </c>
      <c r="B84" s="27">
        <v>1.0000000000000001E-5</v>
      </c>
      <c r="C84" t="s">
        <v>46</v>
      </c>
      <c r="D84"/>
    </row>
    <row r="85" spans="1:4" x14ac:dyDescent="0.3">
      <c r="A85" s="14" t="s">
        <v>49</v>
      </c>
      <c r="B85">
        <v>210</v>
      </c>
      <c r="C85" t="s">
        <v>50</v>
      </c>
    </row>
  </sheetData>
  <pageMargins left="0.511811024" right="0.511811024" top="0.78740157499999996" bottom="0.78740157499999996" header="0.31496062000000002" footer="0.31496062000000002"/>
  <pageSetup paperSize="9" scale="80" fitToHeight="0" orientation="landscape" r:id="rId1"/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Paul Schwark</cp:lastModifiedBy>
  <cp:lastPrinted>2016-09-18T16:42:44Z</cp:lastPrinted>
  <dcterms:created xsi:type="dcterms:W3CDTF">2015-08-15T15:08:24Z</dcterms:created>
  <dcterms:modified xsi:type="dcterms:W3CDTF">2019-01-09T12:24:32Z</dcterms:modified>
</cp:coreProperties>
</file>