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480" windowHeight="978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P9" i="1"/>
  <c r="P13" s="1"/>
  <c r="P10"/>
  <c r="T13"/>
  <c r="S13"/>
  <c r="R13"/>
  <c r="Q13"/>
  <c r="O13"/>
  <c r="N13"/>
  <c r="M13"/>
  <c r="L13"/>
  <c r="K13"/>
  <c r="J13"/>
  <c r="I13"/>
  <c r="H13"/>
  <c r="G13"/>
  <c r="F13"/>
  <c r="E13"/>
  <c r="D13"/>
  <c r="E42" l="1"/>
  <c r="E40"/>
  <c r="J41"/>
  <c r="I41"/>
  <c r="H41"/>
  <c r="G41"/>
  <c r="F41"/>
  <c r="E41"/>
  <c r="D40"/>
  <c r="J35"/>
  <c r="H35"/>
  <c r="F35"/>
  <c r="K35"/>
  <c r="I35"/>
  <c r="G35"/>
  <c r="E35"/>
  <c r="K34"/>
  <c r="J34"/>
  <c r="I34"/>
  <c r="H34"/>
  <c r="G34"/>
  <c r="F34"/>
  <c r="E34"/>
  <c r="K33"/>
  <c r="J33"/>
  <c r="I33"/>
  <c r="H33"/>
  <c r="G33"/>
  <c r="F33"/>
  <c r="E33"/>
  <c r="D33"/>
  <c r="D32"/>
  <c r="D35"/>
  <c r="L34"/>
  <c r="M34"/>
  <c r="N34"/>
  <c r="D34"/>
  <c r="J30"/>
  <c r="I30"/>
  <c r="H30"/>
  <c r="G30"/>
  <c r="F30"/>
  <c r="E30"/>
  <c r="D39" l="1"/>
  <c r="T6"/>
  <c r="S6"/>
  <c r="R6"/>
  <c r="Q6"/>
  <c r="N35"/>
  <c r="M35"/>
  <c r="L35"/>
  <c r="N33"/>
  <c r="M33"/>
  <c r="L33"/>
  <c r="N32"/>
  <c r="N39" s="1"/>
  <c r="M32"/>
  <c r="M39" s="1"/>
  <c r="L32"/>
  <c r="L39" s="1"/>
  <c r="K32"/>
  <c r="K39" s="1"/>
  <c r="J32"/>
  <c r="J39" s="1"/>
  <c r="I32"/>
  <c r="I39" s="1"/>
  <c r="H32"/>
  <c r="H39" s="1"/>
  <c r="G32"/>
  <c r="G39" s="1"/>
  <c r="F32"/>
  <c r="F39" s="1"/>
  <c r="E32"/>
  <c r="E39" s="1"/>
  <c r="C16"/>
  <c r="O7"/>
  <c r="O9" s="1"/>
  <c r="O25" s="1"/>
  <c r="N7"/>
  <c r="N9" s="1"/>
  <c r="M7"/>
  <c r="M9" s="1"/>
  <c r="L7"/>
  <c r="L9" s="1"/>
  <c r="K7"/>
  <c r="K9" s="1"/>
  <c r="K25" s="1"/>
  <c r="J7"/>
  <c r="J9" s="1"/>
  <c r="I7"/>
  <c r="I9" s="1"/>
  <c r="H7"/>
  <c r="H9" s="1"/>
  <c r="G7"/>
  <c r="G9" s="1"/>
  <c r="G25" s="1"/>
  <c r="F7"/>
  <c r="F9" s="1"/>
  <c r="E7"/>
  <c r="E9" s="1"/>
  <c r="D7"/>
  <c r="P7" s="1"/>
  <c r="Q5"/>
  <c r="Q7" l="1"/>
  <c r="Q10" s="1"/>
  <c r="F25"/>
  <c r="H25"/>
  <c r="J25"/>
  <c r="L25"/>
  <c r="N25"/>
  <c r="E25"/>
  <c r="I25"/>
  <c r="M25"/>
  <c r="R5"/>
  <c r="D10"/>
  <c r="D30" s="1"/>
  <c r="N11"/>
  <c r="L11"/>
  <c r="O27" s="1"/>
  <c r="I11"/>
  <c r="L27" s="1"/>
  <c r="G11"/>
  <c r="J27" s="1"/>
  <c r="E11"/>
  <c r="H27" s="1"/>
  <c r="N10"/>
  <c r="N26" s="1"/>
  <c r="L10"/>
  <c r="L26" s="1"/>
  <c r="I10"/>
  <c r="I26" s="1"/>
  <c r="G10"/>
  <c r="E10"/>
  <c r="E26" s="1"/>
  <c r="D9"/>
  <c r="D50" s="1"/>
  <c r="D11"/>
  <c r="O11"/>
  <c r="M11"/>
  <c r="J11"/>
  <c r="M27" s="1"/>
  <c r="H11"/>
  <c r="K27" s="1"/>
  <c r="F11"/>
  <c r="I27" s="1"/>
  <c r="O10"/>
  <c r="M10"/>
  <c r="M26" s="1"/>
  <c r="J10"/>
  <c r="J26" s="1"/>
  <c r="H10"/>
  <c r="H26" s="1"/>
  <c r="F10"/>
  <c r="F26" s="1"/>
  <c r="Q9"/>
  <c r="K11"/>
  <c r="N27" s="1"/>
  <c r="Q11"/>
  <c r="K10"/>
  <c r="D26" l="1"/>
  <c r="O12"/>
  <c r="O26"/>
  <c r="P11"/>
  <c r="G27"/>
  <c r="P27" s="1"/>
  <c r="D63"/>
  <c r="H12"/>
  <c r="K12"/>
  <c r="K26"/>
  <c r="D25"/>
  <c r="D12"/>
  <c r="G12"/>
  <c r="G26"/>
  <c r="R7"/>
  <c r="S5"/>
  <c r="M12"/>
  <c r="I12"/>
  <c r="E12"/>
  <c r="N12"/>
  <c r="L12"/>
  <c r="J12"/>
  <c r="F12"/>
  <c r="Q12"/>
  <c r="Q27" l="1"/>
  <c r="R9"/>
  <c r="R10"/>
  <c r="R11"/>
  <c r="P28"/>
  <c r="T5"/>
  <c r="T7" s="1"/>
  <c r="S7"/>
  <c r="D49"/>
  <c r="P12"/>
  <c r="D53" l="1"/>
  <c r="D51"/>
  <c r="S10"/>
  <c r="S11"/>
  <c r="S9"/>
  <c r="T9"/>
  <c r="T11"/>
  <c r="T10"/>
  <c r="R12"/>
  <c r="S12" l="1"/>
  <c r="T12"/>
</calcChain>
</file>

<file path=xl/sharedStrings.xml><?xml version="1.0" encoding="utf-8"?>
<sst xmlns="http://schemas.openxmlformats.org/spreadsheetml/2006/main" count="63" uniqueCount="61">
  <si>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</si>
  <si>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</si>
  <si>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</si>
  <si>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</si>
  <si>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</si>
  <si>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</si>
  <si>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</si>
  <si>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</si>
  <si>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</si>
  <si>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</si>
  <si>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</si>
  <si>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</si>
  <si>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quantidade</t>
  </si>
  <si>
    <t>preço</t>
  </si>
  <si>
    <t>a vista</t>
  </si>
  <si>
    <t>financiado CDC</t>
  </si>
  <si>
    <t>descontos</t>
  </si>
  <si>
    <t>90 dias direto</t>
  </si>
  <si>
    <t>FLUXO DE CAIXA</t>
  </si>
  <si>
    <t>ANO 0 = 2015</t>
  </si>
  <si>
    <t>DRE</t>
  </si>
  <si>
    <t>entradas a vista</t>
  </si>
  <si>
    <t>entradas financiado</t>
  </si>
  <si>
    <t>entradas concession</t>
  </si>
  <si>
    <t>despesas financeiras</t>
  </si>
  <si>
    <t>Deduções</t>
  </si>
  <si>
    <t>Impostos</t>
  </si>
  <si>
    <t>Receita Bruta</t>
  </si>
  <si>
    <t>Receita Líquida</t>
  </si>
  <si>
    <t>despesa comunicação</t>
  </si>
  <si>
    <t xml:space="preserve">Despesas </t>
  </si>
  <si>
    <t>Comerciais</t>
  </si>
  <si>
    <t>Financeiras</t>
  </si>
  <si>
    <t>Adminsitrativas</t>
  </si>
  <si>
    <t>comunicação</t>
  </si>
  <si>
    <t>INVESTIMENTOS</t>
  </si>
  <si>
    <t>VENDAS</t>
  </si>
  <si>
    <t>computadores</t>
  </si>
  <si>
    <t>juros CDC</t>
  </si>
  <si>
    <t>instalaççoes</t>
  </si>
  <si>
    <t>imóvel</t>
  </si>
  <si>
    <t>bandeira</t>
  </si>
  <si>
    <t>salário gerente de vendas</t>
  </si>
  <si>
    <t>comissão</t>
  </si>
  <si>
    <t>salário vendedores</t>
  </si>
  <si>
    <t>comissão vendedores</t>
  </si>
  <si>
    <t>gerente fin</t>
  </si>
  <si>
    <t>contador</t>
  </si>
  <si>
    <t>office boy</t>
  </si>
  <si>
    <t>pessoal</t>
  </si>
  <si>
    <t>encargos sociais</t>
  </si>
  <si>
    <t>qtd compada</t>
  </si>
  <si>
    <t>preço de compra</t>
  </si>
  <si>
    <t>compra veicullos</t>
  </si>
  <si>
    <t>CMV</t>
  </si>
  <si>
    <t>PGTO IPOSTOS S VENDAS</t>
  </si>
  <si>
    <t>base de calculo comissao</t>
  </si>
  <si>
    <t>depreciação maq</t>
  </si>
  <si>
    <t>deprec computadores</t>
  </si>
  <si>
    <t>seguros</t>
  </si>
  <si>
    <t>viagens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</si>
</sst>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</numFmts>
  <fonts count="7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9" fontId="0" fillId="0" borderId="0" xfId="0" applyNumberFormat="1"/>
    <xf numFmtId="0" fontId="2" fillId="0" borderId="0" xfId="0" applyFont="1"/>
    <xf numFmtId="165" fontId="0" fillId="0" borderId="0" xfId="1" applyNumberFormat="1" applyFont="1"/>
    <xf numFmtId="165" fontId="2" fillId="0" borderId="0" xfId="1" applyNumberFormat="1" applyFont="1"/>
    <xf numFmtId="165" fontId="2" fillId="0" borderId="1" xfId="1" applyNumberFormat="1" applyFont="1" applyBorder="1"/>
    <xf numFmtId="165" fontId="0" fillId="0" borderId="0" xfId="0" applyNumberFormat="1"/>
    <xf numFmtId="165" fontId="0" fillId="0" borderId="1" xfId="0" applyNumberFormat="1" applyBorder="1"/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165" fontId="0" fillId="0" borderId="0" xfId="0" applyNumberFormat="1" applyBorder="1"/>
    <xf numFmtId="0" fontId="3" fillId="0" borderId="0" xfId="0" applyFont="1"/>
    <xf numFmtId="165" fontId="3" fillId="0" borderId="0" xfId="1" applyNumberFormat="1" applyFont="1"/>
    <xf numFmtId="165" fontId="4" fillId="0" borderId="1" xfId="1" applyNumberFormat="1" applyFont="1" applyBorder="1"/>
    <xf numFmtId="165" fontId="3" fillId="0" borderId="0" xfId="0" applyNumberFormat="1" applyFont="1"/>
    <xf numFmtId="165" fontId="3" fillId="0" borderId="1" xfId="0" applyNumberFormat="1" applyFont="1" applyBorder="1"/>
    <xf numFmtId="165" fontId="3" fillId="0" borderId="0" xfId="0" applyNumberFormat="1" applyFont="1" applyBorder="1"/>
    <xf numFmtId="0" fontId="3" fillId="3" borderId="0" xfId="0" applyFont="1" applyFill="1"/>
    <xf numFmtId="0" fontId="3" fillId="4" borderId="0" xfId="0" applyFont="1" applyFill="1"/>
    <xf numFmtId="165" fontId="4" fillId="0" borderId="0" xfId="1" applyNumberFormat="1" applyFont="1"/>
    <xf numFmtId="9" fontId="0" fillId="0" borderId="0" xfId="2" applyFont="1"/>
    <xf numFmtId="165" fontId="3" fillId="2" borderId="0" xfId="1" applyNumberFormat="1" applyFont="1" applyFill="1"/>
    <xf numFmtId="165" fontId="3" fillId="2" borderId="0" xfId="0" applyNumberFormat="1" applyFont="1" applyFill="1"/>
    <xf numFmtId="165" fontId="5" fillId="0" borderId="0" xfId="1" applyNumberFormat="1" applyFont="1"/>
    <xf numFmtId="0" fontId="5" fillId="0" borderId="0" xfId="0" applyFont="1"/>
    <xf numFmtId="165" fontId="6" fillId="0" borderId="0" xfId="1" applyNumberFormat="1" applyFont="1"/>
    <xf numFmtId="0" fontId="6" fillId="0" borderId="0" xfId="0" applyFont="1"/>
    <xf numFmtId="166" fontId="0" fillId="0" borderId="0" xfId="2" applyNumberFormat="1" applyFont="1"/>
    <xf numFmtId="0" fontId="4" fillId="0" borderId="0" xfId="0" applyFont="1" applyFill="1" applyAlignment="1">
      <alignment horizontal="center"/>
    </xf>
    <xf numFmtId="0" fontId="4" fillId="0" borderId="0" xfId="0" applyFont="1"/>
    <xf numFmtId="9" fontId="3" fillId="0" borderId="0" xfId="0" applyNumberFormat="1" applyFont="1"/>
    <xf numFmtId="164" fontId="3" fillId="0" borderId="0" xfId="0" applyNumberFormat="1" applyFont="1"/>
    <xf numFmtId="0" fontId="3" fillId="2" borderId="0" xfId="0" applyFont="1" applyFill="1"/>
    <xf numFmtId="43" fontId="0" fillId="5" borderId="0" xfId="1" applyFont="1" applyFill="1"/>
    <xf numFmtId="43" fontId="3" fillId="0" borderId="0" xfId="1" applyFont="1" applyBorder="1"/>
    <xf numFmtId="165" fontId="5" fillId="0" borderId="0" xfId="0" applyNumberFormat="1" applyFont="1" applyBorder="1"/>
    <xf numFmtId="10" fontId="0" fillId="0" borderId="0" xfId="0" applyNumberForma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65" fontId="0" fillId="5" borderId="0" xfId="1" applyNumberFormat="1" applyFont="1" applyFill="1"/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4.25"/>
  <cols>
    <col min="1" max="1" width="7" bestFit="1" customWidth="1"/>
    <col min="2" max="2" width="12.875" customWidth="1"/>
    <col min="3" max="3" width="16.75" customWidth="1"/>
    <col min="4" max="15" width="10.125" style="12" bestFit="1" customWidth="1"/>
    <col min="16" max="18" width="11.125" style="12" bestFit="1" customWidth="1"/>
    <col min="19" max="20" width="11.125" bestFit="1" customWidth="1"/>
  </cols>
  <sheetData>
    <row r="2" spans="1:20" ht="15">
      <c r="C2" s="8" t="s">
        <v>19</v>
      </c>
      <c r="D2" s="38">
        <v>2016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29">
        <v>2016</v>
      </c>
      <c r="Q2" s="30">
        <v>2017</v>
      </c>
      <c r="R2" s="30">
        <v>2018</v>
      </c>
      <c r="S2" s="2">
        <v>2019</v>
      </c>
      <c r="T2" s="2">
        <v>2020</v>
      </c>
    </row>
    <row r="3" spans="1:20">
      <c r="D3" s="12" t="s">
        <v>0</v>
      </c>
      <c r="E3" s="12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2" t="s">
        <v>10</v>
      </c>
      <c r="O3" s="12" t="s">
        <v>11</v>
      </c>
    </row>
    <row r="4" spans="1:20">
      <c r="Q4" s="31">
        <v>0.2</v>
      </c>
      <c r="R4" s="31">
        <v>0.2</v>
      </c>
      <c r="S4" s="31">
        <v>0.2</v>
      </c>
      <c r="T4" s="31">
        <v>0.2</v>
      </c>
    </row>
    <row r="5" spans="1:20">
      <c r="B5" t="s">
        <v>12</v>
      </c>
      <c r="D5" s="12">
        <v>50</v>
      </c>
      <c r="E5" s="12">
        <v>60</v>
      </c>
      <c r="F5" s="12">
        <v>50</v>
      </c>
      <c r="G5" s="12">
        <v>60</v>
      </c>
      <c r="H5" s="12">
        <v>60</v>
      </c>
      <c r="I5" s="12">
        <v>60</v>
      </c>
      <c r="J5" s="12">
        <v>70</v>
      </c>
      <c r="K5" s="12">
        <v>90</v>
      </c>
      <c r="L5" s="12">
        <v>80</v>
      </c>
      <c r="M5" s="12">
        <v>80</v>
      </c>
      <c r="N5" s="12">
        <v>80</v>
      </c>
      <c r="O5" s="12">
        <v>80</v>
      </c>
      <c r="Q5" s="12">
        <f>SUM(D5:O5)*(1+Q4)</f>
        <v>984</v>
      </c>
      <c r="R5" s="12">
        <f>Q5*(1+R4)</f>
        <v>1180.8</v>
      </c>
      <c r="S5">
        <f t="shared" ref="S5:T5" si="0">R5*(1+S4)</f>
        <v>1416.9599999999998</v>
      </c>
      <c r="T5">
        <f t="shared" si="0"/>
        <v>1700.3519999999996</v>
      </c>
    </row>
    <row r="6" spans="1:20" s="3" customFormat="1">
      <c r="B6" s="3" t="s">
        <v>13</v>
      </c>
      <c r="D6" s="13">
        <v>35000</v>
      </c>
      <c r="E6" s="13">
        <v>35000</v>
      </c>
      <c r="F6" s="13">
        <v>35000</v>
      </c>
      <c r="G6" s="13">
        <v>35000</v>
      </c>
      <c r="H6" s="13">
        <v>35000</v>
      </c>
      <c r="I6" s="13">
        <v>35000</v>
      </c>
      <c r="J6" s="13">
        <v>35000</v>
      </c>
      <c r="K6" s="13">
        <v>35000</v>
      </c>
      <c r="L6" s="13">
        <v>35000</v>
      </c>
      <c r="M6" s="13">
        <v>35000</v>
      </c>
      <c r="N6" s="13">
        <v>35000</v>
      </c>
      <c r="O6" s="13">
        <v>35000</v>
      </c>
      <c r="P6" s="13"/>
      <c r="Q6" s="13">
        <f>O6</f>
        <v>35000</v>
      </c>
      <c r="R6" s="13">
        <f>$Q$6</f>
        <v>35000</v>
      </c>
      <c r="S6" s="13">
        <f t="shared" ref="S6:T6" si="1">$Q$6</f>
        <v>35000</v>
      </c>
      <c r="T6" s="13">
        <f t="shared" si="1"/>
        <v>35000</v>
      </c>
    </row>
    <row r="7" spans="1:20" s="5" customFormat="1" ht="15.75" thickBot="1">
      <c r="B7" s="5" t="s">
        <v>36</v>
      </c>
      <c r="D7" s="14">
        <f>D6*D5</f>
        <v>1750000</v>
      </c>
      <c r="E7" s="14">
        <f t="shared" ref="E7:T7" si="2">E6*E5</f>
        <v>2100000</v>
      </c>
      <c r="F7" s="14">
        <f t="shared" si="2"/>
        <v>1750000</v>
      </c>
      <c r="G7" s="14">
        <f t="shared" si="2"/>
        <v>2100000</v>
      </c>
      <c r="H7" s="14">
        <f t="shared" si="2"/>
        <v>2100000</v>
      </c>
      <c r="I7" s="14">
        <f t="shared" si="2"/>
        <v>2100000</v>
      </c>
      <c r="J7" s="14">
        <f t="shared" si="2"/>
        <v>2450000</v>
      </c>
      <c r="K7" s="14">
        <f t="shared" si="2"/>
        <v>3150000</v>
      </c>
      <c r="L7" s="14">
        <f t="shared" si="2"/>
        <v>2800000</v>
      </c>
      <c r="M7" s="14">
        <f t="shared" si="2"/>
        <v>2800000</v>
      </c>
      <c r="N7" s="14">
        <f t="shared" si="2"/>
        <v>2800000</v>
      </c>
      <c r="O7" s="14">
        <f t="shared" si="2"/>
        <v>2800000</v>
      </c>
      <c r="P7" s="14">
        <f>SUM(D7:O7)</f>
        <v>28700000</v>
      </c>
      <c r="Q7" s="14">
        <f t="shared" si="2"/>
        <v>34440000</v>
      </c>
      <c r="R7" s="14">
        <f t="shared" si="2"/>
        <v>41328000</v>
      </c>
      <c r="S7" s="5">
        <f t="shared" si="2"/>
        <v>49593599.999999993</v>
      </c>
      <c r="T7" s="5">
        <f t="shared" si="2"/>
        <v>59512319.999999985</v>
      </c>
    </row>
    <row r="8" spans="1:20">
      <c r="C8" t="s">
        <v>16</v>
      </c>
    </row>
    <row r="9" spans="1:20">
      <c r="A9" s="1">
        <v>0.1</v>
      </c>
      <c r="B9" t="s">
        <v>14</v>
      </c>
      <c r="C9" s="1">
        <v>0.09</v>
      </c>
      <c r="D9" s="15">
        <f>$A$9*D7</f>
        <v>175000</v>
      </c>
      <c r="E9" s="15">
        <f t="shared" ref="E9:T9" si="3">$A$9*E7</f>
        <v>210000</v>
      </c>
      <c r="F9" s="15">
        <f t="shared" si="3"/>
        <v>175000</v>
      </c>
      <c r="G9" s="15">
        <f t="shared" si="3"/>
        <v>210000</v>
      </c>
      <c r="H9" s="15">
        <f t="shared" si="3"/>
        <v>210000</v>
      </c>
      <c r="I9" s="15">
        <f t="shared" si="3"/>
        <v>210000</v>
      </c>
      <c r="J9" s="15">
        <f t="shared" si="3"/>
        <v>245000</v>
      </c>
      <c r="K9" s="15">
        <f t="shared" si="3"/>
        <v>315000</v>
      </c>
      <c r="L9" s="15">
        <f t="shared" si="3"/>
        <v>280000</v>
      </c>
      <c r="M9" s="15">
        <f t="shared" si="3"/>
        <v>280000</v>
      </c>
      <c r="N9" s="15">
        <f t="shared" si="3"/>
        <v>280000</v>
      </c>
      <c r="O9" s="15">
        <f t="shared" si="3"/>
        <v>280000</v>
      </c>
      <c r="P9" s="15">
        <f t="shared" ref="P9:P10" si="4">SUM(D9:O9)</f>
        <v>2870000</v>
      </c>
      <c r="Q9" s="15">
        <f t="shared" si="3"/>
        <v>3444000</v>
      </c>
      <c r="R9" s="15">
        <f t="shared" si="3"/>
        <v>4132800</v>
      </c>
      <c r="S9" s="6">
        <f t="shared" si="3"/>
        <v>4959359.9999999991</v>
      </c>
      <c r="T9" s="6">
        <f t="shared" si="3"/>
        <v>5951231.9999999991</v>
      </c>
    </row>
    <row r="10" spans="1:20">
      <c r="A10" s="1">
        <v>0.5</v>
      </c>
      <c r="B10" t="s">
        <v>15</v>
      </c>
      <c r="C10" s="1">
        <v>0.1</v>
      </c>
      <c r="D10" s="15">
        <f>$A$10*D7</f>
        <v>875000</v>
      </c>
      <c r="E10" s="15">
        <f t="shared" ref="E10:T10" si="5">$A$10*E7</f>
        <v>1050000</v>
      </c>
      <c r="F10" s="15">
        <f t="shared" si="5"/>
        <v>875000</v>
      </c>
      <c r="G10" s="15">
        <f t="shared" si="5"/>
        <v>1050000</v>
      </c>
      <c r="H10" s="15">
        <f t="shared" si="5"/>
        <v>1050000</v>
      </c>
      <c r="I10" s="15">
        <f t="shared" si="5"/>
        <v>1050000</v>
      </c>
      <c r="J10" s="15">
        <f t="shared" si="5"/>
        <v>1225000</v>
      </c>
      <c r="K10" s="15">
        <f t="shared" si="5"/>
        <v>1575000</v>
      </c>
      <c r="L10" s="15">
        <f t="shared" si="5"/>
        <v>1400000</v>
      </c>
      <c r="M10" s="15">
        <f t="shared" si="5"/>
        <v>1400000</v>
      </c>
      <c r="N10" s="15">
        <f t="shared" si="5"/>
        <v>1400000</v>
      </c>
      <c r="O10" s="15">
        <f t="shared" si="5"/>
        <v>1400000</v>
      </c>
      <c r="P10" s="15">
        <f t="shared" si="4"/>
        <v>14350000</v>
      </c>
      <c r="Q10" s="15">
        <f t="shared" si="5"/>
        <v>17220000</v>
      </c>
      <c r="R10" s="15">
        <f t="shared" si="5"/>
        <v>20664000</v>
      </c>
      <c r="S10" s="6">
        <f t="shared" si="5"/>
        <v>24796799.999999996</v>
      </c>
      <c r="T10" s="6">
        <f t="shared" si="5"/>
        <v>29756159.999999993</v>
      </c>
    </row>
    <row r="11" spans="1:20">
      <c r="A11" s="1">
        <v>0.4</v>
      </c>
      <c r="B11" t="s">
        <v>17</v>
      </c>
      <c r="D11" s="15">
        <f>$A$11*D7</f>
        <v>700000</v>
      </c>
      <c r="E11" s="15">
        <f t="shared" ref="E11:T11" si="6">$A$11*E7</f>
        <v>840000</v>
      </c>
      <c r="F11" s="15">
        <f t="shared" si="6"/>
        <v>700000</v>
      </c>
      <c r="G11" s="15">
        <f t="shared" si="6"/>
        <v>840000</v>
      </c>
      <c r="H11" s="15">
        <f t="shared" si="6"/>
        <v>840000</v>
      </c>
      <c r="I11" s="15">
        <f t="shared" si="6"/>
        <v>840000</v>
      </c>
      <c r="J11" s="15">
        <f t="shared" si="6"/>
        <v>980000</v>
      </c>
      <c r="K11" s="15">
        <f t="shared" si="6"/>
        <v>1260000</v>
      </c>
      <c r="L11" s="15">
        <f t="shared" si="6"/>
        <v>1120000</v>
      </c>
      <c r="M11" s="15">
        <f t="shared" si="6"/>
        <v>1120000</v>
      </c>
      <c r="N11" s="15">
        <f t="shared" si="6"/>
        <v>1120000</v>
      </c>
      <c r="O11" s="15">
        <f t="shared" si="6"/>
        <v>1120000</v>
      </c>
      <c r="P11" s="15">
        <f>SUM(D11:O11)</f>
        <v>11480000</v>
      </c>
      <c r="Q11" s="15">
        <f t="shared" si="6"/>
        <v>13776000</v>
      </c>
      <c r="R11" s="15">
        <f t="shared" si="6"/>
        <v>16531200</v>
      </c>
      <c r="S11" s="6">
        <f t="shared" si="6"/>
        <v>19837439.999999996</v>
      </c>
      <c r="T11" s="6">
        <f t="shared" si="6"/>
        <v>23804927.999999996</v>
      </c>
    </row>
    <row r="12" spans="1:20" ht="15" thickBot="1">
      <c r="D12" s="16">
        <f>SUM(D9:D11)</f>
        <v>1750000</v>
      </c>
      <c r="E12" s="16">
        <f t="shared" ref="E12:T12" si="7">SUM(E9:E11)</f>
        <v>2100000</v>
      </c>
      <c r="F12" s="16">
        <f t="shared" si="7"/>
        <v>1750000</v>
      </c>
      <c r="G12" s="16">
        <f t="shared" si="7"/>
        <v>2100000</v>
      </c>
      <c r="H12" s="16">
        <f t="shared" si="7"/>
        <v>2100000</v>
      </c>
      <c r="I12" s="16">
        <f t="shared" si="7"/>
        <v>2100000</v>
      </c>
      <c r="J12" s="16">
        <f t="shared" si="7"/>
        <v>2450000</v>
      </c>
      <c r="K12" s="16">
        <f t="shared" si="7"/>
        <v>3150000</v>
      </c>
      <c r="L12" s="16">
        <f t="shared" si="7"/>
        <v>2800000</v>
      </c>
      <c r="M12" s="16">
        <f t="shared" si="7"/>
        <v>2800000</v>
      </c>
      <c r="N12" s="16">
        <f t="shared" si="7"/>
        <v>2800000</v>
      </c>
      <c r="O12" s="16">
        <f t="shared" si="7"/>
        <v>2800000</v>
      </c>
      <c r="P12" s="16">
        <f>SUM(D12:O12)</f>
        <v>28700000</v>
      </c>
      <c r="Q12" s="16">
        <f t="shared" si="7"/>
        <v>34440000</v>
      </c>
      <c r="R12" s="16">
        <f t="shared" si="7"/>
        <v>41328000</v>
      </c>
      <c r="S12" s="7">
        <f t="shared" si="7"/>
        <v>49593599.999999993</v>
      </c>
      <c r="T12" s="7">
        <f t="shared" si="7"/>
        <v>59512319.999999985</v>
      </c>
    </row>
    <row r="13" spans="1:20">
      <c r="C13" s="39" t="s">
        <v>56</v>
      </c>
      <c r="D13" s="36">
        <f>(D9*(1-$C$9))+(D10*(1-$C$10))+D11</f>
        <v>1646750</v>
      </c>
      <c r="E13" s="36">
        <f>(E9*(1-$C$9))+(E10*(1-$C$10))+E11</f>
        <v>1976100</v>
      </c>
      <c r="F13" s="36">
        <f t="shared" ref="F13:T13" si="8">(F9*(1-$C$9))+(F10*(1-$C$10))+F11</f>
        <v>1646750</v>
      </c>
      <c r="G13" s="36">
        <f t="shared" si="8"/>
        <v>1976100</v>
      </c>
      <c r="H13" s="36">
        <f t="shared" si="8"/>
        <v>1976100</v>
      </c>
      <c r="I13" s="36">
        <f t="shared" si="8"/>
        <v>1976100</v>
      </c>
      <c r="J13" s="36">
        <f t="shared" si="8"/>
        <v>2305450</v>
      </c>
      <c r="K13" s="36">
        <f t="shared" si="8"/>
        <v>2964150</v>
      </c>
      <c r="L13" s="36">
        <f t="shared" si="8"/>
        <v>2634800</v>
      </c>
      <c r="M13" s="36">
        <f t="shared" si="8"/>
        <v>2634800</v>
      </c>
      <c r="N13" s="36">
        <f t="shared" si="8"/>
        <v>2634800</v>
      </c>
      <c r="O13" s="36">
        <f t="shared" si="8"/>
        <v>2634800</v>
      </c>
      <c r="P13" s="36">
        <f t="shared" si="8"/>
        <v>27006700</v>
      </c>
      <c r="Q13" s="36">
        <f t="shared" si="8"/>
        <v>32408040</v>
      </c>
      <c r="R13" s="36">
        <f t="shared" si="8"/>
        <v>38889648</v>
      </c>
      <c r="S13" s="36">
        <f t="shared" si="8"/>
        <v>46667577.599999994</v>
      </c>
      <c r="T13" s="36">
        <f t="shared" si="8"/>
        <v>56001093.11999999</v>
      </c>
    </row>
    <row r="14" spans="1:20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1"/>
      <c r="T14" s="11"/>
    </row>
    <row r="15" spans="1:20">
      <c r="B15" t="s">
        <v>35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1"/>
      <c r="T15" s="11"/>
    </row>
    <row r="16" spans="1:20">
      <c r="A16" s="3">
        <v>10</v>
      </c>
      <c r="B16" t="s">
        <v>37</v>
      </c>
      <c r="C16" s="40">
        <f>-A16*2000</f>
        <v>-20000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1"/>
      <c r="T16" s="11"/>
    </row>
    <row r="17" spans="2:20">
      <c r="B17" t="s">
        <v>39</v>
      </c>
      <c r="C17" s="40">
        <v>-7000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1"/>
      <c r="T17" s="11"/>
    </row>
    <row r="18" spans="2:20">
      <c r="B18" t="s">
        <v>40</v>
      </c>
      <c r="C18" s="40">
        <v>-1000000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1"/>
      <c r="T18" s="11"/>
    </row>
    <row r="19" spans="2:20">
      <c r="B19" t="s">
        <v>41</v>
      </c>
      <c r="C19" s="40">
        <v>-1000000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1"/>
      <c r="T19" s="11"/>
    </row>
    <row r="20" spans="2:20">
      <c r="C20" s="34"/>
      <c r="D20" s="17"/>
      <c r="E20" s="17"/>
      <c r="F20" s="35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1"/>
      <c r="T20" s="11"/>
    </row>
    <row r="21" spans="2:20">
      <c r="B21" t="s">
        <v>51</v>
      </c>
      <c r="C21" s="34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1"/>
      <c r="T21" s="11"/>
    </row>
    <row r="22" spans="2:20">
      <c r="B22" t="s">
        <v>52</v>
      </c>
      <c r="C22" s="34"/>
    </row>
    <row r="23" spans="2:20">
      <c r="C23" s="34"/>
      <c r="D23" s="32"/>
    </row>
    <row r="24" spans="2:20">
      <c r="B24" s="9" t="s">
        <v>18</v>
      </c>
      <c r="C24" s="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9"/>
      <c r="T24" s="9"/>
    </row>
    <row r="25" spans="2:20" s="3" customFormat="1">
      <c r="B25" s="3" t="s">
        <v>21</v>
      </c>
      <c r="D25" s="13">
        <f>D9*(1-$C$9)</f>
        <v>159250</v>
      </c>
      <c r="E25" s="13">
        <f t="shared" ref="E25:O25" si="9">E9*(1-$C$9)</f>
        <v>191100</v>
      </c>
      <c r="F25" s="13">
        <f t="shared" si="9"/>
        <v>159250</v>
      </c>
      <c r="G25" s="13">
        <f t="shared" si="9"/>
        <v>191100</v>
      </c>
      <c r="H25" s="13">
        <f t="shared" si="9"/>
        <v>191100</v>
      </c>
      <c r="I25" s="13">
        <f t="shared" si="9"/>
        <v>191100</v>
      </c>
      <c r="J25" s="13">
        <f t="shared" si="9"/>
        <v>222950</v>
      </c>
      <c r="K25" s="13">
        <f t="shared" si="9"/>
        <v>286650</v>
      </c>
      <c r="L25" s="13">
        <f t="shared" si="9"/>
        <v>254800</v>
      </c>
      <c r="M25" s="13">
        <f t="shared" si="9"/>
        <v>254800</v>
      </c>
      <c r="N25" s="13">
        <f t="shared" si="9"/>
        <v>254800</v>
      </c>
      <c r="O25" s="13">
        <f t="shared" si="9"/>
        <v>254800</v>
      </c>
      <c r="P25" s="13"/>
      <c r="Q25" s="13"/>
      <c r="R25" s="13"/>
    </row>
    <row r="26" spans="2:20" s="3" customFormat="1">
      <c r="B26" s="3" t="s">
        <v>22</v>
      </c>
      <c r="D26" s="13">
        <f>D10</f>
        <v>875000</v>
      </c>
      <c r="E26" s="13">
        <f t="shared" ref="E26:O26" si="10">E10*(1-$C$10)</f>
        <v>945000</v>
      </c>
      <c r="F26" s="13">
        <f t="shared" si="10"/>
        <v>787500</v>
      </c>
      <c r="G26" s="13">
        <f t="shared" si="10"/>
        <v>945000</v>
      </c>
      <c r="H26" s="13">
        <f t="shared" si="10"/>
        <v>945000</v>
      </c>
      <c r="I26" s="13">
        <f t="shared" si="10"/>
        <v>945000</v>
      </c>
      <c r="J26" s="13">
        <f t="shared" si="10"/>
        <v>1102500</v>
      </c>
      <c r="K26" s="13">
        <f t="shared" si="10"/>
        <v>1417500</v>
      </c>
      <c r="L26" s="13">
        <f t="shared" si="10"/>
        <v>1260000</v>
      </c>
      <c r="M26" s="13">
        <f t="shared" si="10"/>
        <v>1260000</v>
      </c>
      <c r="N26" s="13">
        <f t="shared" si="10"/>
        <v>1260000</v>
      </c>
      <c r="O26" s="13">
        <f t="shared" si="10"/>
        <v>1260000</v>
      </c>
      <c r="P26" s="13"/>
      <c r="Q26" s="13"/>
      <c r="R26" s="13"/>
    </row>
    <row r="27" spans="2:20" s="3" customFormat="1">
      <c r="B27" s="3" t="s">
        <v>23</v>
      </c>
      <c r="D27" s="13"/>
      <c r="E27" s="13"/>
      <c r="F27" s="13"/>
      <c r="G27" s="13">
        <f>D11</f>
        <v>700000</v>
      </c>
      <c r="H27" s="13">
        <f t="shared" ref="H27:O27" si="11">E11</f>
        <v>840000</v>
      </c>
      <c r="I27" s="13">
        <f t="shared" si="11"/>
        <v>700000</v>
      </c>
      <c r="J27" s="13">
        <f t="shared" si="11"/>
        <v>840000</v>
      </c>
      <c r="K27" s="13">
        <f t="shared" si="11"/>
        <v>840000</v>
      </c>
      <c r="L27" s="13">
        <f t="shared" si="11"/>
        <v>840000</v>
      </c>
      <c r="M27" s="13">
        <f t="shared" si="11"/>
        <v>980000</v>
      </c>
      <c r="N27" s="13">
        <f t="shared" si="11"/>
        <v>1260000</v>
      </c>
      <c r="O27" s="13">
        <f t="shared" si="11"/>
        <v>1120000</v>
      </c>
      <c r="P27" s="13">
        <f>SUM(G27:O27)</f>
        <v>8120000</v>
      </c>
      <c r="Q27" s="13">
        <f>+P11-P27</f>
        <v>3360000</v>
      </c>
      <c r="R27" s="13"/>
    </row>
    <row r="28" spans="2:20">
      <c r="P28" s="15">
        <f>SUM(D25:O27)</f>
        <v>23734200</v>
      </c>
    </row>
    <row r="30" spans="2:20">
      <c r="B30" s="3" t="s">
        <v>24</v>
      </c>
      <c r="D30" s="15">
        <f>D10*$C$10</f>
        <v>87500</v>
      </c>
      <c r="E30" s="15">
        <f t="shared" ref="E30:J30" si="12">E10*$C$10</f>
        <v>105000</v>
      </c>
      <c r="F30" s="15">
        <f t="shared" si="12"/>
        <v>87500</v>
      </c>
      <c r="G30" s="15">
        <f t="shared" si="12"/>
        <v>105000</v>
      </c>
      <c r="H30" s="15">
        <f t="shared" si="12"/>
        <v>105000</v>
      </c>
      <c r="I30" s="15">
        <f t="shared" si="12"/>
        <v>105000</v>
      </c>
      <c r="J30" s="15">
        <f t="shared" si="12"/>
        <v>122500</v>
      </c>
      <c r="K30" s="15"/>
      <c r="L30" s="15"/>
      <c r="M30" s="15"/>
      <c r="N30" s="15"/>
    </row>
    <row r="31" spans="2:20" s="3" customFormat="1">
      <c r="B31" s="3" t="s">
        <v>29</v>
      </c>
      <c r="D31" s="13">
        <v>5000</v>
      </c>
      <c r="E31" s="13">
        <v>5000</v>
      </c>
      <c r="F31" s="13">
        <v>5000</v>
      </c>
      <c r="G31" s="13">
        <v>5000</v>
      </c>
      <c r="H31" s="13">
        <v>5000</v>
      </c>
      <c r="I31" s="13">
        <v>5000</v>
      </c>
      <c r="J31" s="13">
        <v>5000</v>
      </c>
      <c r="K31" s="13">
        <v>5000</v>
      </c>
      <c r="L31" s="13">
        <v>5000</v>
      </c>
      <c r="M31" s="13">
        <v>5000</v>
      </c>
      <c r="N31" s="13">
        <v>5000</v>
      </c>
      <c r="O31" s="13"/>
      <c r="P31" s="13"/>
      <c r="Q31" s="13"/>
      <c r="R31" s="13"/>
    </row>
    <row r="32" spans="2:20" s="3" customFormat="1">
      <c r="B32" s="24" t="s">
        <v>42</v>
      </c>
      <c r="C32" s="24"/>
      <c r="D32" s="22">
        <f>1200*2</f>
        <v>2400</v>
      </c>
      <c r="E32" s="22">
        <f>+E34*2</f>
        <v>24000</v>
      </c>
      <c r="F32" s="22">
        <f t="shared" ref="F32:N32" si="13">+F34*2</f>
        <v>24000</v>
      </c>
      <c r="G32" s="22">
        <f t="shared" si="13"/>
        <v>24000</v>
      </c>
      <c r="H32" s="22">
        <f t="shared" si="13"/>
        <v>24000</v>
      </c>
      <c r="I32" s="22">
        <f t="shared" si="13"/>
        <v>24000</v>
      </c>
      <c r="J32" s="22">
        <f t="shared" si="13"/>
        <v>24000</v>
      </c>
      <c r="K32" s="22">
        <f t="shared" si="13"/>
        <v>24000</v>
      </c>
      <c r="L32" s="22">
        <f t="shared" si="13"/>
        <v>24000</v>
      </c>
      <c r="M32" s="22">
        <f t="shared" si="13"/>
        <v>24000</v>
      </c>
      <c r="N32" s="22">
        <f t="shared" si="13"/>
        <v>24000</v>
      </c>
      <c r="O32" s="13"/>
      <c r="P32" s="13"/>
      <c r="Q32" s="13"/>
      <c r="R32" s="13"/>
    </row>
    <row r="33" spans="1:20" s="3" customFormat="1">
      <c r="A33" s="21">
        <v>0.01</v>
      </c>
      <c r="B33" s="24" t="s">
        <v>43</v>
      </c>
      <c r="C33" s="24"/>
      <c r="D33" s="22">
        <f>$A$33*D13</f>
        <v>16467.5</v>
      </c>
      <c r="E33" s="22">
        <f t="shared" ref="E33:K33" si="14">$A$33*E13</f>
        <v>19761</v>
      </c>
      <c r="F33" s="22">
        <f t="shared" si="14"/>
        <v>16467.5</v>
      </c>
      <c r="G33" s="22">
        <f t="shared" si="14"/>
        <v>19761</v>
      </c>
      <c r="H33" s="22">
        <f t="shared" si="14"/>
        <v>19761</v>
      </c>
      <c r="I33" s="22">
        <f t="shared" si="14"/>
        <v>19761</v>
      </c>
      <c r="J33" s="22">
        <f t="shared" si="14"/>
        <v>23054.5</v>
      </c>
      <c r="K33" s="22">
        <f t="shared" si="14"/>
        <v>29641.5</v>
      </c>
      <c r="L33" s="22">
        <f>$A$33*L53</f>
        <v>0</v>
      </c>
      <c r="M33" s="22">
        <f>$A$33*M53</f>
        <v>0</v>
      </c>
      <c r="N33" s="22">
        <f>$A$33*N53</f>
        <v>0</v>
      </c>
      <c r="O33" s="13"/>
      <c r="P33" s="13"/>
      <c r="Q33" s="13"/>
      <c r="R33" s="13"/>
    </row>
    <row r="34" spans="1:20" s="3" customFormat="1">
      <c r="A34" s="3">
        <v>10</v>
      </c>
      <c r="B34" s="24" t="s">
        <v>44</v>
      </c>
      <c r="C34" s="24">
        <v>1200</v>
      </c>
      <c r="D34" s="22">
        <f>$A$34*$C$34</f>
        <v>12000</v>
      </c>
      <c r="E34" s="22">
        <f t="shared" ref="E34:K34" si="15">$A$34*$C$34</f>
        <v>12000</v>
      </c>
      <c r="F34" s="22">
        <f t="shared" si="15"/>
        <v>12000</v>
      </c>
      <c r="G34" s="22">
        <f t="shared" si="15"/>
        <v>12000</v>
      </c>
      <c r="H34" s="22">
        <f t="shared" si="15"/>
        <v>12000</v>
      </c>
      <c r="I34" s="22">
        <f t="shared" si="15"/>
        <v>12000</v>
      </c>
      <c r="J34" s="22">
        <f t="shared" si="15"/>
        <v>12000</v>
      </c>
      <c r="K34" s="22">
        <f t="shared" si="15"/>
        <v>12000</v>
      </c>
      <c r="L34" s="22">
        <f t="shared" ref="L34:N34" si="16">$A$34*$C$34</f>
        <v>12000</v>
      </c>
      <c r="M34" s="22">
        <f t="shared" si="16"/>
        <v>12000</v>
      </c>
      <c r="N34" s="22">
        <f t="shared" si="16"/>
        <v>12000</v>
      </c>
      <c r="O34" s="13"/>
      <c r="P34" s="13"/>
      <c r="Q34" s="13"/>
      <c r="R34" s="13"/>
    </row>
    <row r="35" spans="1:20">
      <c r="A35" s="1">
        <v>0.05</v>
      </c>
      <c r="B35" s="24" t="s">
        <v>45</v>
      </c>
      <c r="C35" s="25"/>
      <c r="D35" s="23">
        <f>$A$35*D13</f>
        <v>82337.5</v>
      </c>
      <c r="E35" s="23">
        <f t="shared" ref="E35:K35" si="17">$A$35*E13</f>
        <v>98805</v>
      </c>
      <c r="F35" s="23">
        <f t="shared" si="17"/>
        <v>82337.5</v>
      </c>
      <c r="G35" s="23">
        <f t="shared" si="17"/>
        <v>98805</v>
      </c>
      <c r="H35" s="23">
        <f t="shared" si="17"/>
        <v>98805</v>
      </c>
      <c r="I35" s="23">
        <f t="shared" si="17"/>
        <v>98805</v>
      </c>
      <c r="J35" s="23">
        <f t="shared" si="17"/>
        <v>115272.5</v>
      </c>
      <c r="K35" s="23">
        <f t="shared" si="17"/>
        <v>148207.5</v>
      </c>
      <c r="L35" s="23">
        <f>$A$35*L53</f>
        <v>0</v>
      </c>
      <c r="M35" s="23">
        <f>$A$35*M53</f>
        <v>0</v>
      </c>
      <c r="N35" s="23">
        <f>$A$35*N53</f>
        <v>0</v>
      </c>
    </row>
    <row r="36" spans="1:20">
      <c r="B36" s="26" t="s">
        <v>46</v>
      </c>
      <c r="C36" s="27"/>
      <c r="D36" s="33">
        <v>3000</v>
      </c>
      <c r="E36" s="33">
        <v>3000</v>
      </c>
      <c r="F36" s="33">
        <v>3000</v>
      </c>
      <c r="G36" s="33">
        <v>3000</v>
      </c>
      <c r="H36" s="33">
        <v>3000</v>
      </c>
      <c r="I36" s="33">
        <v>3000</v>
      </c>
      <c r="J36" s="33">
        <v>3000</v>
      </c>
      <c r="K36" s="33">
        <v>3000</v>
      </c>
      <c r="L36" s="33">
        <v>3000</v>
      </c>
      <c r="M36" s="33">
        <v>3000</v>
      </c>
      <c r="N36" s="33">
        <v>3000</v>
      </c>
    </row>
    <row r="37" spans="1:20">
      <c r="B37" s="26" t="s">
        <v>47</v>
      </c>
      <c r="C37" s="27"/>
      <c r="D37" s="33">
        <v>3000</v>
      </c>
      <c r="E37" s="33">
        <v>3000</v>
      </c>
      <c r="F37" s="33">
        <v>3000</v>
      </c>
      <c r="G37" s="33">
        <v>3000</v>
      </c>
      <c r="H37" s="33">
        <v>3000</v>
      </c>
      <c r="I37" s="33">
        <v>3000</v>
      </c>
      <c r="J37" s="33">
        <v>3000</v>
      </c>
      <c r="K37" s="33">
        <v>3000</v>
      </c>
      <c r="L37" s="33">
        <v>3000</v>
      </c>
      <c r="M37" s="33">
        <v>3000</v>
      </c>
      <c r="N37" s="33">
        <v>3000</v>
      </c>
    </row>
    <row r="38" spans="1:20">
      <c r="B38" s="26" t="s">
        <v>48</v>
      </c>
      <c r="C38" s="27"/>
      <c r="D38" s="23">
        <v>900</v>
      </c>
      <c r="E38" s="23">
        <v>900</v>
      </c>
      <c r="F38" s="23">
        <v>900</v>
      </c>
      <c r="G38" s="23">
        <v>900</v>
      </c>
      <c r="H38" s="23">
        <v>900</v>
      </c>
      <c r="I38" s="23">
        <v>900</v>
      </c>
      <c r="J38" s="23">
        <v>900</v>
      </c>
      <c r="K38" s="23">
        <v>900</v>
      </c>
      <c r="L38" s="23">
        <v>900</v>
      </c>
      <c r="M38" s="23">
        <v>900</v>
      </c>
      <c r="N38" s="23">
        <v>900</v>
      </c>
    </row>
    <row r="39" spans="1:20">
      <c r="A39" s="37">
        <v>0.14330000000000001</v>
      </c>
      <c r="B39" s="26" t="s">
        <v>50</v>
      </c>
      <c r="C39" s="27"/>
      <c r="D39" s="23">
        <f>$A$39*SUM(D32:D36)</f>
        <v>16652.176500000001</v>
      </c>
      <c r="E39" s="23">
        <f t="shared" ref="E39:K39" si="18">$A$39*SUM(E32:E36)</f>
        <v>22579.2078</v>
      </c>
      <c r="F39" s="23">
        <f t="shared" si="18"/>
        <v>19747.4565</v>
      </c>
      <c r="G39" s="23">
        <f t="shared" si="18"/>
        <v>22579.2078</v>
      </c>
      <c r="H39" s="23">
        <f t="shared" si="18"/>
        <v>22579.2078</v>
      </c>
      <c r="I39" s="23">
        <f t="shared" si="18"/>
        <v>22579.2078</v>
      </c>
      <c r="J39" s="23">
        <f t="shared" si="18"/>
        <v>25410.959100000004</v>
      </c>
      <c r="K39" s="23">
        <f t="shared" si="18"/>
        <v>31074.461700000003</v>
      </c>
      <c r="L39" s="23">
        <f t="shared" ref="L39:N39" si="19">$A$39*SUM(L32:L37)</f>
        <v>6018.6</v>
      </c>
      <c r="M39" s="23">
        <f t="shared" si="19"/>
        <v>6018.6</v>
      </c>
      <c r="N39" s="23">
        <f t="shared" si="19"/>
        <v>6018.6</v>
      </c>
    </row>
    <row r="40" spans="1:20">
      <c r="A40">
        <v>30000</v>
      </c>
      <c r="B40" s="3" t="s">
        <v>53</v>
      </c>
      <c r="D40" s="13">
        <f>150*$A$40</f>
        <v>4500000</v>
      </c>
      <c r="E40" s="13">
        <f>50*30000</f>
        <v>1500000</v>
      </c>
      <c r="F40" s="13"/>
      <c r="G40" s="13"/>
      <c r="H40" s="13"/>
      <c r="I40" s="13"/>
      <c r="J40" s="13"/>
      <c r="K40" s="13"/>
      <c r="L40" s="13"/>
      <c r="M40" s="13"/>
      <c r="N40" s="13"/>
    </row>
    <row r="41" spans="1:20">
      <c r="A41" s="37">
        <v>0.2893</v>
      </c>
      <c r="B41" s="3" t="s">
        <v>55</v>
      </c>
      <c r="D41" s="13"/>
      <c r="E41" s="13">
        <f>$A$41*D12</f>
        <v>506275</v>
      </c>
      <c r="F41" s="13">
        <f t="shared" ref="F41:J41" si="20">$A$41*E12</f>
        <v>607530</v>
      </c>
      <c r="G41" s="13">
        <f t="shared" si="20"/>
        <v>506275</v>
      </c>
      <c r="H41" s="13">
        <f t="shared" si="20"/>
        <v>607530</v>
      </c>
      <c r="I41" s="13">
        <f t="shared" si="20"/>
        <v>607530</v>
      </c>
      <c r="J41" s="13">
        <f t="shared" si="20"/>
        <v>607530</v>
      </c>
      <c r="K41" s="15"/>
      <c r="L41" s="15"/>
      <c r="M41" s="15"/>
      <c r="N41" s="15"/>
    </row>
    <row r="42" spans="1:20">
      <c r="B42" s="3" t="s">
        <v>57</v>
      </c>
      <c r="D42" s="13">
        <v>0</v>
      </c>
      <c r="E42" s="15">
        <f>166.666666666667*100</f>
        <v>16666.666666666664</v>
      </c>
      <c r="F42" s="15"/>
      <c r="G42" s="15"/>
      <c r="H42" s="15"/>
      <c r="I42" s="15"/>
      <c r="J42" s="15"/>
      <c r="K42" s="15"/>
      <c r="L42" s="15"/>
      <c r="M42" s="15"/>
      <c r="N42" s="15"/>
    </row>
    <row r="43" spans="1:20">
      <c r="B43" s="3" t="s">
        <v>58</v>
      </c>
      <c r="D43" s="13">
        <v>0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20">
      <c r="B44" s="3" t="s">
        <v>59</v>
      </c>
      <c r="D44" s="13">
        <v>1100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20">
      <c r="B45" s="3" t="s">
        <v>60</v>
      </c>
      <c r="D45" s="13">
        <v>700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20">
      <c r="B46" s="3"/>
      <c r="D46" s="13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20">
      <c r="B47" s="3"/>
      <c r="D47" s="13"/>
    </row>
    <row r="48" spans="1:20">
      <c r="B48" s="10" t="s">
        <v>20</v>
      </c>
      <c r="C48" s="10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0"/>
      <c r="T48" s="10"/>
    </row>
    <row r="49" spans="1:18" s="4" customFormat="1" ht="15">
      <c r="B49" s="4" t="s">
        <v>27</v>
      </c>
      <c r="D49" s="20">
        <f>D12</f>
        <v>1750000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s="3" customFormat="1">
      <c r="B50" s="3" t="s">
        <v>25</v>
      </c>
      <c r="D50" s="13">
        <f>-$C$9*D9</f>
        <v>-15750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s="3" customFormat="1">
      <c r="A51" s="28">
        <v>0.28899999999999998</v>
      </c>
      <c r="B51" s="3" t="s">
        <v>26</v>
      </c>
      <c r="D51" s="13">
        <f>A51*(D49+D50)</f>
        <v>501198.24999999994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s="3" customFormat="1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s="3" customFormat="1" ht="15">
      <c r="B53" s="4" t="s">
        <v>28</v>
      </c>
      <c r="D53" s="13">
        <f>SUM(D49:D52)</f>
        <v>2235448.25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s="3" customFormat="1">
      <c r="B54" s="3" t="s">
        <v>54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s="3" customFormat="1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s="3" customFormat="1">
      <c r="B56" s="3" t="s">
        <v>30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s="3" customFormat="1">
      <c r="B57" s="3" t="s">
        <v>31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s="3" customFormat="1">
      <c r="B58" s="3" t="s">
        <v>34</v>
      </c>
      <c r="D58" s="13">
        <v>5000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s="3" customFormat="1">
      <c r="B59" s="3" t="s">
        <v>49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s="3" customForma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s="3" customFormat="1"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s="3" customFormat="1">
      <c r="B62" s="3" t="s">
        <v>32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s="3" customFormat="1">
      <c r="B63" s="3" t="s">
        <v>38</v>
      </c>
      <c r="D63" s="13">
        <f>D30</f>
        <v>87500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s="3" customFormat="1"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2:18" s="3" customFormat="1"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2:18" s="3" customFormat="1"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2:18" s="3" customFormat="1">
      <c r="B67" s="3" t="s">
        <v>33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2:18" s="3" customFormat="1">
      <c r="B68" s="3" t="s">
        <v>49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2:18" s="3" customFormat="1">
      <c r="B69" s="3" t="s">
        <v>50</v>
      </c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2:18" s="3" customFormat="1"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2:18" s="3" customFormat="1"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2:18" s="3" customFormat="1"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2:18" s="3" customFormat="1"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2:18" s="3" customFormat="1"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</sheetData>
  <mergeCells count="1">
    <mergeCell ref="D2:O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2" sqref="M12"/>
    </sheetView>
  </sheetViews>
  <sheetFormatPr defaultRowHeight="14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Familia</cp:lastModifiedBy>
  <dcterms:created xsi:type="dcterms:W3CDTF">2015-10-22T18:40:22Z</dcterms:created>
  <dcterms:modified xsi:type="dcterms:W3CDTF">2015-11-12T01:12:26Z</dcterms:modified>
</cp:coreProperties>
</file>