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defaultThemeVersion="124226"/>
  <bookViews>
    <workbookView xWindow="-90" yWindow="90" windowWidth="16215" windowHeight="8310" tabRatio="478"/>
  </bookViews>
  <sheets>
    <sheet name="viga_apoiada" sheetId="4" r:id="rId1"/>
    <sheet name="viga_engastada" sheetId="2" r:id="rId2"/>
    <sheet name="Plan2" sheetId="3" r:id="rId3"/>
  </sheets>
  <calcPr calcId="144525"/>
</workbook>
</file>

<file path=xl/calcChain.xml><?xml version="1.0" encoding="utf-8"?>
<calcChain xmlns="http://schemas.openxmlformats.org/spreadsheetml/2006/main">
  <c r="N93" i="2" l="1"/>
  <c r="S30" i="4"/>
  <c r="S39" i="2"/>
  <c r="M19" i="4"/>
  <c r="M15" i="4"/>
  <c r="M18" i="4"/>
  <c r="U30" i="4" s="1"/>
  <c r="M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18" i="4"/>
  <c r="I126" i="4"/>
  <c r="I127" i="4"/>
  <c r="I128" i="4"/>
  <c r="I129" i="4"/>
  <c r="I130" i="4"/>
  <c r="M130" i="4" s="1"/>
  <c r="I119" i="4"/>
  <c r="M119" i="4" s="1"/>
  <c r="I120" i="4"/>
  <c r="M120" i="4" s="1"/>
  <c r="I121" i="4"/>
  <c r="I122" i="4"/>
  <c r="I123" i="4"/>
  <c r="I124" i="4"/>
  <c r="I125" i="4"/>
  <c r="M125" i="4" s="1"/>
  <c r="M126" i="4"/>
  <c r="M127" i="4"/>
  <c r="M128" i="4"/>
  <c r="M129" i="4"/>
  <c r="M121" i="4"/>
  <c r="M122" i="4"/>
  <c r="M123" i="4"/>
  <c r="M124" i="4"/>
  <c r="D121" i="4" l="1"/>
  <c r="D123" i="4"/>
  <c r="D127" i="4"/>
  <c r="D128" i="4"/>
  <c r="D129" i="4"/>
  <c r="D120" i="4"/>
  <c r="E121" i="4"/>
  <c r="D119" i="4"/>
  <c r="R81" i="4" l="1"/>
  <c r="P82" i="4"/>
  <c r="P83" i="4"/>
  <c r="P84" i="4"/>
  <c r="P85" i="4"/>
  <c r="P86" i="4"/>
  <c r="P87" i="4"/>
  <c r="P88" i="4"/>
  <c r="P89" i="4"/>
  <c r="P81" i="4"/>
  <c r="B101" i="4" l="1"/>
  <c r="B102" i="4"/>
  <c r="B103" i="4"/>
  <c r="B104" i="4"/>
  <c r="B105" i="4"/>
  <c r="B106" i="4"/>
  <c r="B107" i="4"/>
  <c r="B108" i="4"/>
  <c r="B110" i="4"/>
  <c r="B111" i="4"/>
  <c r="B112" i="4"/>
  <c r="B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00" i="4"/>
  <c r="G82" i="4" l="1"/>
  <c r="G83" i="4"/>
  <c r="G84" i="4"/>
  <c r="G85" i="4"/>
  <c r="G86" i="4"/>
  <c r="G87" i="4"/>
  <c r="G88" i="4"/>
  <c r="G89" i="4"/>
  <c r="G90" i="4"/>
  <c r="G91" i="4"/>
  <c r="G92" i="4"/>
  <c r="G93" i="4"/>
  <c r="G81" i="4"/>
  <c r="B81" i="4"/>
  <c r="G42" i="4"/>
  <c r="B52" i="4"/>
  <c r="C52" i="4"/>
  <c r="A52" i="4" s="1"/>
  <c r="C51" i="4"/>
  <c r="C49" i="4"/>
  <c r="M13" i="4"/>
  <c r="M14" i="4"/>
  <c r="M22" i="4" s="1"/>
  <c r="M23" i="4" s="1"/>
  <c r="U31" i="4"/>
  <c r="U32" i="4"/>
  <c r="U33" i="4"/>
  <c r="U34" i="4"/>
  <c r="U35" i="4"/>
  <c r="P30" i="2"/>
  <c r="Q82" i="2"/>
  <c r="Q83" i="2"/>
  <c r="Q84" i="2"/>
  <c r="Q85" i="2"/>
  <c r="Q86" i="2"/>
  <c r="Q87" i="2"/>
  <c r="Q81" i="2"/>
  <c r="R31" i="2"/>
  <c r="R32" i="2"/>
  <c r="R33" i="2"/>
  <c r="R34" i="2"/>
  <c r="R35" i="2"/>
  <c r="R36" i="2"/>
  <c r="R37" i="2"/>
  <c r="R38" i="2"/>
  <c r="R39" i="2"/>
  <c r="R30" i="2"/>
  <c r="M19" i="2"/>
  <c r="N31" i="4" l="1"/>
  <c r="P35" i="4"/>
  <c r="R35" i="4" s="1"/>
  <c r="V35" i="4"/>
  <c r="N33" i="4"/>
  <c r="N32" i="4"/>
  <c r="O31" i="4"/>
  <c r="N34" i="4"/>
  <c r="O33" i="4"/>
  <c r="N35" i="4"/>
  <c r="O32" i="4"/>
  <c r="P32" i="4"/>
  <c r="P31" i="4"/>
  <c r="P33" i="4"/>
  <c r="P30" i="4"/>
  <c r="R30" i="4" s="1"/>
  <c r="O30" i="4"/>
  <c r="N29" i="4"/>
  <c r="O35" i="4"/>
  <c r="N30" i="4"/>
  <c r="O34" i="4"/>
  <c r="P34" i="4"/>
  <c r="U29" i="4" l="1"/>
  <c r="M12" i="4" l="1"/>
  <c r="O16" i="4"/>
  <c r="E153" i="4"/>
  <c r="E152" i="4"/>
  <c r="E151" i="4"/>
  <c r="E150" i="4"/>
  <c r="E149" i="4"/>
  <c r="E148" i="4"/>
  <c r="E147" i="4"/>
  <c r="E146" i="4"/>
  <c r="E145" i="4"/>
  <c r="E144" i="4"/>
  <c r="E143" i="4"/>
  <c r="M142" i="4"/>
  <c r="E142" i="4"/>
  <c r="A142" i="4"/>
  <c r="M141" i="4"/>
  <c r="E141" i="4"/>
  <c r="A141" i="4"/>
  <c r="M140" i="4"/>
  <c r="E140" i="4"/>
  <c r="A140" i="4"/>
  <c r="M139" i="4"/>
  <c r="E139" i="4"/>
  <c r="B139" i="4"/>
  <c r="P138" i="4"/>
  <c r="E129" i="4"/>
  <c r="E128" i="4"/>
  <c r="E127" i="4"/>
  <c r="I118" i="4"/>
  <c r="C112" i="4"/>
  <c r="C111" i="4"/>
  <c r="C110" i="4"/>
  <c r="C108" i="4"/>
  <c r="C107" i="4"/>
  <c r="C106" i="4"/>
  <c r="C105" i="4"/>
  <c r="C104" i="4"/>
  <c r="C103" i="4"/>
  <c r="C102" i="4"/>
  <c r="C101" i="4"/>
  <c r="C100" i="4"/>
  <c r="Q93" i="4"/>
  <c r="N93" i="4"/>
  <c r="L93" i="4"/>
  <c r="R87" i="4"/>
  <c r="O87" i="4"/>
  <c r="N87" i="4"/>
  <c r="B87" i="4"/>
  <c r="C87" i="4" s="1"/>
  <c r="R86" i="4"/>
  <c r="O86" i="4"/>
  <c r="N86" i="4"/>
  <c r="R85" i="4"/>
  <c r="N85" i="4"/>
  <c r="O85" i="4" s="1"/>
  <c r="R84" i="4"/>
  <c r="N84" i="4"/>
  <c r="O84" i="4" s="1"/>
  <c r="R83" i="4"/>
  <c r="O83" i="4"/>
  <c r="N83" i="4"/>
  <c r="R82" i="4"/>
  <c r="O82" i="4"/>
  <c r="N82" i="4"/>
  <c r="B82" i="4"/>
  <c r="C82" i="4" s="1"/>
  <c r="N81" i="4"/>
  <c r="O81" i="4" s="1"/>
  <c r="B51" i="4"/>
  <c r="A51" i="4"/>
  <c r="G49" i="4"/>
  <c r="H49" i="4" s="1"/>
  <c r="A49" i="4"/>
  <c r="B49" i="4"/>
  <c r="G45" i="4"/>
  <c r="H45" i="4" s="1"/>
  <c r="G43" i="4"/>
  <c r="H43" i="4" s="1"/>
  <c r="Q93" i="2"/>
  <c r="O87" i="2"/>
  <c r="R33" i="4" l="1"/>
  <c r="R34" i="4"/>
  <c r="R31" i="4"/>
  <c r="R32" i="4"/>
  <c r="V34" i="4"/>
  <c r="V30" i="4"/>
  <c r="V32" i="4"/>
  <c r="V33" i="4"/>
  <c r="V31" i="4"/>
  <c r="V29" i="4"/>
  <c r="M34" i="4"/>
  <c r="O29" i="4"/>
  <c r="M35" i="4"/>
  <c r="P29" i="4"/>
  <c r="M29" i="4"/>
  <c r="M30" i="4"/>
  <c r="M32" i="4"/>
  <c r="M33" i="4"/>
  <c r="M31" i="4"/>
  <c r="R29" i="4" l="1"/>
  <c r="S29" i="4" s="1"/>
  <c r="S35" i="4"/>
  <c r="Q35" i="4"/>
  <c r="S34" i="4"/>
  <c r="Q34" i="4"/>
  <c r="S33" i="4"/>
  <c r="Q33" i="4"/>
  <c r="S31" i="4"/>
  <c r="Q31" i="4"/>
  <c r="Q30" i="4"/>
  <c r="S32" i="4"/>
  <c r="Q32" i="4"/>
  <c r="O125" i="2" l="1"/>
  <c r="O119" i="2"/>
  <c r="N122" i="2"/>
  <c r="P119" i="2"/>
  <c r="P120" i="2"/>
  <c r="P121" i="2"/>
  <c r="P122" i="2"/>
  <c r="P123" i="2"/>
  <c r="P124" i="2"/>
  <c r="P125" i="2"/>
  <c r="P118" i="2"/>
  <c r="O120" i="2"/>
  <c r="O121" i="2"/>
  <c r="O122" i="2"/>
  <c r="O123" i="2"/>
  <c r="O124" i="2"/>
  <c r="O118" i="2"/>
  <c r="M118" i="2"/>
  <c r="L93" i="2"/>
  <c r="M139" i="2"/>
  <c r="M140" i="2"/>
  <c r="M141" i="2"/>
  <c r="M142" i="2"/>
  <c r="P138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39" i="2"/>
  <c r="R82" i="2"/>
  <c r="R83" i="2"/>
  <c r="R84" i="2"/>
  <c r="R85" i="2"/>
  <c r="R86" i="2"/>
  <c r="R87" i="2"/>
  <c r="R81" i="2"/>
  <c r="P83" i="2"/>
  <c r="P84" i="2"/>
  <c r="P85" i="2"/>
  <c r="P86" i="2"/>
  <c r="P87" i="2"/>
  <c r="P82" i="2"/>
  <c r="O83" i="2"/>
  <c r="O84" i="2"/>
  <c r="O85" i="2"/>
  <c r="O86" i="2"/>
  <c r="O82" i="2"/>
  <c r="O81" i="2"/>
  <c r="N82" i="2"/>
  <c r="N83" i="2"/>
  <c r="N84" i="2"/>
  <c r="N85" i="2"/>
  <c r="N86" i="2"/>
  <c r="N87" i="2"/>
  <c r="N81" i="2"/>
  <c r="C101" i="2"/>
  <c r="F102" i="2"/>
  <c r="F103" i="2"/>
  <c r="F104" i="2"/>
  <c r="F105" i="2"/>
  <c r="F106" i="2"/>
  <c r="F107" i="2"/>
  <c r="F108" i="2"/>
  <c r="F109" i="2"/>
  <c r="F110" i="2"/>
  <c r="F111" i="2"/>
  <c r="F112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81" i="2"/>
  <c r="C81" i="2"/>
  <c r="A50" i="2"/>
  <c r="A51" i="2"/>
  <c r="A52" i="2"/>
  <c r="A49" i="2"/>
  <c r="I119" i="2"/>
  <c r="I120" i="2"/>
  <c r="I121" i="2"/>
  <c r="I122" i="2"/>
  <c r="I123" i="2"/>
  <c r="I124" i="2"/>
  <c r="I125" i="2"/>
  <c r="I118" i="2"/>
  <c r="B139" i="2"/>
  <c r="A142" i="2"/>
  <c r="A141" i="2"/>
  <c r="A140" i="2"/>
  <c r="C83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00" i="2"/>
  <c r="J43" i="2" l="1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42" i="2"/>
  <c r="N119" i="2"/>
  <c r="N120" i="2"/>
  <c r="N121" i="2"/>
  <c r="N123" i="2"/>
  <c r="N124" i="2"/>
  <c r="N125" i="2"/>
  <c r="N118" i="2"/>
  <c r="M119" i="2"/>
  <c r="M120" i="2"/>
  <c r="M121" i="2"/>
  <c r="M122" i="2"/>
  <c r="M123" i="2"/>
  <c r="M124" i="2"/>
  <c r="M125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19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00" i="2"/>
  <c r="C82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H43" i="2"/>
  <c r="H42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42" i="2"/>
  <c r="C52" i="2"/>
  <c r="B52" i="2"/>
  <c r="C51" i="2"/>
  <c r="B51" i="2"/>
  <c r="C50" i="2"/>
  <c r="B50" i="2"/>
  <c r="C49" i="2"/>
  <c r="B49" i="2"/>
  <c r="N39" i="2"/>
  <c r="M22" i="2" l="1"/>
  <c r="M18" i="2"/>
  <c r="M23" i="2"/>
  <c r="O31" i="2" l="1"/>
  <c r="M39" i="2"/>
  <c r="O39" i="2"/>
  <c r="P39" i="2"/>
  <c r="P29" i="2"/>
  <c r="R29" i="2" s="1"/>
  <c r="S29" i="2" s="1"/>
  <c r="O33" i="2"/>
  <c r="P31" i="2"/>
  <c r="Q31" i="2" s="1"/>
  <c r="O29" i="2"/>
  <c r="N38" i="2"/>
  <c r="M30" i="2"/>
  <c r="O32" i="2"/>
  <c r="S30" i="2"/>
  <c r="N37" i="2"/>
  <c r="N35" i="2"/>
  <c r="M34" i="2"/>
  <c r="O36" i="2"/>
  <c r="P34" i="2"/>
  <c r="M33" i="2"/>
  <c r="N31" i="2"/>
  <c r="N29" i="2"/>
  <c r="P37" i="2"/>
  <c r="N36" i="2"/>
  <c r="O34" i="2"/>
  <c r="M31" i="2"/>
  <c r="O37" i="2"/>
  <c r="M36" i="2"/>
  <c r="N34" i="2"/>
  <c r="P32" i="2"/>
  <c r="P38" i="2"/>
  <c r="M37" i="2"/>
  <c r="P35" i="2"/>
  <c r="N32" i="2"/>
  <c r="O30" i="2"/>
  <c r="O38" i="2"/>
  <c r="O35" i="2"/>
  <c r="P33" i="2"/>
  <c r="M32" i="2"/>
  <c r="N30" i="2"/>
  <c r="M29" i="2"/>
  <c r="M38" i="2"/>
  <c r="P36" i="2"/>
  <c r="M35" i="2"/>
  <c r="N33" i="2"/>
  <c r="Q39" i="2" l="1"/>
  <c r="S31" i="2"/>
  <c r="Q30" i="2"/>
  <c r="S38" i="2"/>
  <c r="Q38" i="2"/>
  <c r="Q33" i="2"/>
  <c r="S33" i="2"/>
  <c r="S32" i="2"/>
  <c r="Q32" i="2"/>
  <c r="S37" i="2"/>
  <c r="Q37" i="2"/>
  <c r="S36" i="2"/>
  <c r="Q36" i="2"/>
  <c r="Q35" i="2"/>
  <c r="S35" i="2"/>
  <c r="Q34" i="2"/>
  <c r="S34" i="2"/>
</calcChain>
</file>

<file path=xl/sharedStrings.xml><?xml version="1.0" encoding="utf-8"?>
<sst xmlns="http://schemas.openxmlformats.org/spreadsheetml/2006/main" count="261" uniqueCount="101">
  <si>
    <t>Base =</t>
  </si>
  <si>
    <t>Altura =</t>
  </si>
  <si>
    <t>Comprimento =</t>
  </si>
  <si>
    <t>[mm]</t>
  </si>
  <si>
    <t>E =</t>
  </si>
  <si>
    <t>I  =</t>
  </si>
  <si>
    <t>EI =</t>
  </si>
  <si>
    <t xml:space="preserve">g </t>
  </si>
  <si>
    <t xml:space="preserve"> [N-mm^2]</t>
  </si>
  <si>
    <t>[mm^4]</t>
  </si>
  <si>
    <t>m/s^2</t>
  </si>
  <si>
    <t>Geometria</t>
  </si>
  <si>
    <t xml:space="preserve">P </t>
  </si>
  <si>
    <t>[kg]</t>
  </si>
  <si>
    <r>
      <rPr>
        <sz val="12"/>
        <rFont val="Symbol"/>
        <family val="1"/>
        <charset val="2"/>
      </rPr>
      <t>e</t>
    </r>
    <r>
      <rPr>
        <vertAlign val="subscript"/>
        <sz val="12"/>
        <rFont val="Arial"/>
        <family val="2"/>
      </rPr>
      <t>x</t>
    </r>
  </si>
  <si>
    <t>u</t>
  </si>
  <si>
    <t>v</t>
  </si>
  <si>
    <t>Carga</t>
  </si>
  <si>
    <t>Deslocamento</t>
  </si>
  <si>
    <t>Deformação</t>
  </si>
  <si>
    <t>y =</t>
  </si>
  <si>
    <t>Momento</t>
  </si>
  <si>
    <t>N-mm</t>
  </si>
  <si>
    <t xml:space="preserve">M </t>
  </si>
  <si>
    <t>Strain</t>
  </si>
  <si>
    <t>mm/mm</t>
  </si>
  <si>
    <t xml:space="preserve">  ---</t>
  </si>
  <si>
    <t>deflexão</t>
  </si>
  <si>
    <r>
      <t>x</t>
    </r>
    <r>
      <rPr>
        <b/>
        <vertAlign val="subscript"/>
        <sz val="10"/>
        <rFont val="Arial"/>
        <family val="2"/>
      </rPr>
      <t>defelexão</t>
    </r>
    <r>
      <rPr>
        <b/>
        <sz val="10"/>
        <rFont val="Arial"/>
        <family val="2"/>
      </rPr>
      <t xml:space="preserve"> =</t>
    </r>
  </si>
  <si>
    <r>
      <t>x</t>
    </r>
    <r>
      <rPr>
        <b/>
        <vertAlign val="subscript"/>
        <sz val="10"/>
        <rFont val="Arial"/>
        <family val="2"/>
      </rPr>
      <t xml:space="preserve">deformação </t>
    </r>
    <r>
      <rPr>
        <b/>
        <sz val="10"/>
        <rFont val="Arial"/>
        <family val="2"/>
      </rPr>
      <t>=</t>
    </r>
  </si>
  <si>
    <t>strain</t>
  </si>
  <si>
    <r>
      <rPr>
        <sz val="12"/>
        <rFont val="Symbol"/>
        <family val="1"/>
        <charset val="2"/>
      </rPr>
      <t>e</t>
    </r>
    <r>
      <rPr>
        <vertAlign val="subscript"/>
        <sz val="12"/>
        <rFont val="Arial"/>
        <family val="2"/>
      </rPr>
      <t>y</t>
    </r>
  </si>
  <si>
    <t>dv / dx</t>
  </si>
  <si>
    <r>
      <t>d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v / dx</t>
    </r>
    <r>
      <rPr>
        <vertAlign val="superscript"/>
        <sz val="10"/>
        <rFont val="Arial"/>
        <family val="2"/>
      </rPr>
      <t>2</t>
    </r>
  </si>
  <si>
    <t>1/r</t>
  </si>
  <si>
    <t>Geometria deformada</t>
  </si>
  <si>
    <t>[N/mm^2] = [MPa]</t>
  </si>
  <si>
    <t>Exp. 1</t>
  </si>
  <si>
    <t>Exp. 2</t>
  </si>
  <si>
    <t>Exp. 3</t>
  </si>
  <si>
    <t>Exp. 4</t>
  </si>
  <si>
    <t>E =100 GPa</t>
  </si>
  <si>
    <t>Teórico_E=200 GPa</t>
  </si>
  <si>
    <t>Teórico_E=100 GPa</t>
  </si>
  <si>
    <t>Conversão de V para mm</t>
  </si>
  <si>
    <t>Xi (mm)</t>
  </si>
  <si>
    <t>DDP (V)</t>
  </si>
  <si>
    <t>Peso</t>
  </si>
  <si>
    <t>Volts</t>
  </si>
  <si>
    <t>mm</t>
  </si>
  <si>
    <t>mm/V</t>
  </si>
  <si>
    <t>mass</t>
  </si>
  <si>
    <t>Exp. 5</t>
  </si>
  <si>
    <t>ey</t>
  </si>
  <si>
    <t>Canal 9 (10^-6) Longitudinal</t>
  </si>
  <si>
    <t>Canal 10 (10^-6) Long+Trans</t>
  </si>
  <si>
    <t>Exp. 6</t>
  </si>
  <si>
    <t>Massa (Kg)</t>
  </si>
  <si>
    <t>Canal 9</t>
  </si>
  <si>
    <t>Canal 10</t>
  </si>
  <si>
    <t>Multímetro (V)</t>
  </si>
  <si>
    <r>
      <rPr>
        <sz val="10"/>
        <rFont val="Symbol"/>
        <family val="1"/>
        <charset val="2"/>
      </rPr>
      <t>D</t>
    </r>
    <r>
      <rPr>
        <sz val="10"/>
        <rFont val="Arial"/>
        <family val="2"/>
      </rPr>
      <t xml:space="preserve"> volts</t>
    </r>
  </si>
  <si>
    <t>displ</t>
  </si>
  <si>
    <t>Tensão [V]</t>
  </si>
  <si>
    <t>Massa (kg)</t>
  </si>
  <si>
    <t>Exp. 7</t>
  </si>
  <si>
    <t>Canal 10- Total</t>
  </si>
  <si>
    <t>Canal 9 - Long,</t>
  </si>
  <si>
    <t>canal 9</t>
  </si>
  <si>
    <t>canal 10</t>
  </si>
  <si>
    <t>Exp. 8</t>
  </si>
  <si>
    <r>
      <t>    </t>
    </r>
    <r>
      <rPr>
        <b/>
        <sz val="12"/>
        <color rgb="FF000000"/>
        <rFont val="Times New Roman"/>
        <family val="1"/>
      </rPr>
      <t> Massa (kg)</t>
    </r>
  </si>
  <si>
    <r>
      <t> </t>
    </r>
    <r>
      <rPr>
        <b/>
        <sz val="12"/>
        <color rgb="FF000000"/>
        <rFont val="Times New Roman"/>
        <family val="1"/>
      </rPr>
      <t>Canal 9 (mm)</t>
    </r>
  </si>
  <si>
    <t>Canal 10 (mm)</t>
  </si>
  <si>
    <t>  0,000016</t>
  </si>
  <si>
    <t>  0,000193</t>
  </si>
  <si>
    <t>  0,000552</t>
  </si>
  <si>
    <t>  0,00091</t>
  </si>
  <si>
    <t>  0,000729</t>
  </si>
  <si>
    <t>  0,000376</t>
  </si>
  <si>
    <t>     3,75</t>
  </si>
  <si>
    <t>     3,82</t>
  </si>
  <si>
    <t>     3,99</t>
  </si>
  <si>
    <t>     4,18</t>
  </si>
  <si>
    <t>     4,1</t>
  </si>
  <si>
    <t>     3,9</t>
  </si>
  <si>
    <t>ex</t>
  </si>
  <si>
    <t>Poisson</t>
  </si>
  <si>
    <t>Poisson Teórico</t>
  </si>
  <si>
    <t>massa</t>
  </si>
  <si>
    <t>poisson</t>
  </si>
  <si>
    <t> -0.000001</t>
  </si>
  <si>
    <t>n =</t>
  </si>
  <si>
    <t>ri =</t>
  </si>
  <si>
    <t>re =</t>
  </si>
  <si>
    <t>t=</t>
  </si>
  <si>
    <t>a =</t>
  </si>
  <si>
    <t>b =</t>
  </si>
  <si>
    <t>E=185 Gpa</t>
  </si>
  <si>
    <t>E=220 Gpa</t>
  </si>
  <si>
    <r>
      <rPr>
        <b/>
        <sz val="12"/>
        <rFont val="Symbol"/>
        <family val="1"/>
        <charset val="2"/>
      </rPr>
      <t>D</t>
    </r>
    <r>
      <rPr>
        <b/>
        <sz val="12"/>
        <rFont val="Arial"/>
        <family val="2"/>
      </rPr>
      <t xml:space="preserve"> Volsts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</si>
</sst>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0E+00"/>
    <numFmt numFmtId="165" formatCode="0.0"/>
    <numFmt numFmtId="166" formatCode="0.000"/>
    <numFmt numFmtId="167" formatCode="#,##0.000"/>
    <numFmt numFmtId="168" formatCode="0.00000"/>
    <numFmt numFmtId="169" formatCode="0.000000"/>
  </numFmts>
  <fonts count="17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2"/>
      <name val="Arial"/>
      <family val="2"/>
    </font>
    <font>
      <sz val="10"/>
      <name val="Symbol"/>
      <family val="1"/>
      <charset val="2"/>
    </font>
    <font>
      <sz val="12"/>
      <name val="Arial"/>
      <family val="2"/>
    </font>
    <font>
      <sz val="12"/>
      <name val="Symbol"/>
      <family val="1"/>
      <charset val="2"/>
    </font>
    <font>
      <vertAlign val="subscript"/>
      <sz val="12"/>
      <name val="Arial"/>
      <family val="2"/>
    </font>
    <font>
      <b/>
      <vertAlign val="subscript"/>
      <sz val="10"/>
      <name val="Arial"/>
      <family val="2"/>
    </font>
    <font>
      <vertAlign val="superscript"/>
      <sz val="10"/>
      <name val="Arial"/>
      <family val="2"/>
    </font>
    <font>
      <sz val="10"/>
      <color theme="1"/>
      <name val="Arial"/>
      <family val="2"/>
    </font>
    <font>
      <sz val="12"/>
      <color rgb="FF000000"/>
      <name val="Times New Roman"/>
      <family val="1"/>
    </font>
    <font>
      <b/>
      <sz val="12"/>
      <color rgb="FF000000"/>
      <name val="Times New Roman"/>
      <family val="1"/>
    </font>
    <font>
      <b/>
      <sz val="14"/>
      <name val="Arial"/>
      <family val="2"/>
    </font>
    <font>
      <b/>
      <sz val="12"/>
      <name val="Symbol"/>
      <family val="1"/>
      <charset val="2"/>
    </font>
  </fonts>
  <fills count="9">
    <fill>
      <patternFill patternType="none"/>
    </fill>
    <fill>
      <patternFill patternType="gray125"/>
    </fill>
    <fill>
      <patternFill patternType="solid">
        <fgColor rgb="FF97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A4C2F4"/>
        <bgColor rgb="FFA4C2F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91">
    <xf numFmtId="0" fontId="0" fillId="0" borderId="0" xfId="0"/>
    <xf numFmtId="0" fontId="1" fillId="0" borderId="0" xfId="0" applyFont="1"/>
    <xf numFmtId="0" fontId="1" fillId="0" borderId="0" xfId="0" applyFont="1" applyAlignment="1"/>
    <xf numFmtId="0" fontId="1" fillId="0" borderId="0" xfId="0" applyFont="1" applyFill="1" applyBorder="1"/>
    <xf numFmtId="0" fontId="4" fillId="0" borderId="7" xfId="0" applyFont="1" applyBorder="1"/>
    <xf numFmtId="0" fontId="4" fillId="4" borderId="7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2" fillId="4" borderId="7" xfId="0" applyFont="1" applyFill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7" xfId="0" applyFont="1" applyFill="1" applyBorder="1" applyAlignment="1">
      <alignment horizontal="center"/>
    </xf>
    <xf numFmtId="0" fontId="7" fillId="7" borderId="7" xfId="0" applyFont="1" applyFill="1" applyBorder="1" applyAlignment="1">
      <alignment horizontal="center"/>
    </xf>
    <xf numFmtId="0" fontId="1" fillId="7" borderId="7" xfId="0" applyFont="1" applyFill="1" applyBorder="1" applyAlignment="1">
      <alignment horizontal="center"/>
    </xf>
    <xf numFmtId="0" fontId="8" fillId="7" borderId="7" xfId="0" applyFont="1" applyFill="1" applyBorder="1" applyAlignment="1">
      <alignment horizontal="center"/>
    </xf>
    <xf numFmtId="0" fontId="4" fillId="3" borderId="7" xfId="0" applyFont="1" applyFill="1" applyBorder="1" applyAlignment="1">
      <alignment horizontal="center"/>
    </xf>
    <xf numFmtId="0" fontId="2" fillId="3" borderId="7" xfId="0" applyFont="1" applyFill="1" applyBorder="1"/>
    <xf numFmtId="0" fontId="6" fillId="0" borderId="0" xfId="0" applyFont="1"/>
    <xf numFmtId="0" fontId="2" fillId="3" borderId="7" xfId="0" applyFont="1" applyFill="1" applyBorder="1" applyAlignment="1">
      <alignment horizontal="center"/>
    </xf>
    <xf numFmtId="164" fontId="4" fillId="0" borderId="7" xfId="0" applyNumberFormat="1" applyFont="1" applyBorder="1"/>
    <xf numFmtId="165" fontId="0" fillId="0" borderId="7" xfId="0" applyNumberFormat="1" applyBorder="1"/>
    <xf numFmtId="166" fontId="0" fillId="0" borderId="7" xfId="0" applyNumberFormat="1" applyBorder="1"/>
    <xf numFmtId="2" fontId="0" fillId="0" borderId="7" xfId="0" applyNumberFormat="1" applyBorder="1"/>
    <xf numFmtId="166" fontId="0" fillId="0" borderId="0" xfId="0" applyNumberFormat="1"/>
    <xf numFmtId="11" fontId="1" fillId="0" borderId="0" xfId="0" applyNumberFormat="1" applyFont="1"/>
    <xf numFmtId="2" fontId="0" fillId="0" borderId="7" xfId="0" applyNumberFormat="1" applyBorder="1" applyAlignment="1">
      <alignment horizontal="center" vertical="center" wrapText="1"/>
    </xf>
    <xf numFmtId="166" fontId="0" fillId="0" borderId="7" xfId="0" applyNumberFormat="1" applyBorder="1" applyAlignment="1">
      <alignment horizontal="center"/>
    </xf>
    <xf numFmtId="0" fontId="12" fillId="0" borderId="9" xfId="0" applyFont="1" applyFill="1" applyBorder="1" applyAlignment="1">
      <alignment horizontal="right" vertical="center" wrapText="1"/>
    </xf>
    <xf numFmtId="0" fontId="12" fillId="6" borderId="9" xfId="0" applyFont="1" applyFill="1" applyBorder="1" applyAlignment="1">
      <alignment horizontal="right" vertical="center" wrapText="1"/>
    </xf>
    <xf numFmtId="0" fontId="12" fillId="0" borderId="4" xfId="0" applyFont="1" applyFill="1" applyBorder="1" applyAlignment="1">
      <alignment horizontal="right" vertical="center" wrapText="1"/>
    </xf>
    <xf numFmtId="0" fontId="0" fillId="0" borderId="7" xfId="0" applyBorder="1" applyAlignment="1">
      <alignment horizontal="center" vertical="center" wrapText="1"/>
    </xf>
    <xf numFmtId="164" fontId="0" fillId="0" borderId="0" xfId="0" applyNumberFormat="1"/>
    <xf numFmtId="0" fontId="0" fillId="0" borderId="0" xfId="0" applyFont="1" applyAlignment="1"/>
    <xf numFmtId="164" fontId="5" fillId="3" borderId="0" xfId="0" applyNumberFormat="1" applyFont="1" applyFill="1"/>
    <xf numFmtId="0" fontId="12" fillId="0" borderId="3" xfId="0" applyFont="1" applyFill="1" applyBorder="1" applyAlignment="1">
      <alignment horizontal="right" wrapText="1"/>
    </xf>
    <xf numFmtId="0" fontId="12" fillId="6" borderId="9" xfId="0" applyFont="1" applyFill="1" applyBorder="1" applyAlignment="1">
      <alignment horizontal="right" wrapText="1"/>
    </xf>
    <xf numFmtId="0" fontId="12" fillId="0" borderId="1" xfId="0" applyFont="1" applyFill="1" applyBorder="1" applyAlignment="1">
      <alignment horizontal="right" vertical="center" wrapText="1"/>
    </xf>
    <xf numFmtId="0" fontId="12" fillId="6" borderId="1" xfId="0" applyFont="1" applyFill="1" applyBorder="1" applyAlignment="1">
      <alignment horizontal="right" vertical="center" wrapText="1"/>
    </xf>
    <xf numFmtId="0" fontId="12" fillId="0" borderId="2" xfId="0" applyFont="1" applyFill="1" applyBorder="1" applyAlignment="1">
      <alignment horizontal="right" vertical="center" wrapText="1"/>
    </xf>
    <xf numFmtId="0" fontId="12" fillId="6" borderId="4" xfId="0" applyFont="1" applyFill="1" applyBorder="1" applyAlignment="1">
      <alignment horizontal="center" vertical="center" wrapText="1"/>
    </xf>
    <xf numFmtId="0" fontId="7" fillId="0" borderId="10" xfId="0" applyFont="1" applyBorder="1" applyAlignment="1">
      <alignment horizontal="center"/>
    </xf>
    <xf numFmtId="166" fontId="0" fillId="0" borderId="7" xfId="0" applyNumberFormat="1" applyBorder="1" applyAlignment="1">
      <alignment horizontal="center" vertical="center" wrapText="1"/>
    </xf>
    <xf numFmtId="166" fontId="0" fillId="0" borderId="7" xfId="0" applyNumberFormat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 wrapText="1"/>
    </xf>
    <xf numFmtId="0" fontId="2" fillId="8" borderId="10" xfId="0" applyFont="1" applyFill="1" applyBorder="1" applyAlignment="1">
      <alignment horizontal="center"/>
    </xf>
    <xf numFmtId="0" fontId="1" fillId="0" borderId="10" xfId="0" applyFont="1" applyBorder="1"/>
    <xf numFmtId="0" fontId="1" fillId="0" borderId="10" xfId="0" applyFont="1" applyBorder="1" applyAlignment="1"/>
    <xf numFmtId="0" fontId="2" fillId="8" borderId="11" xfId="0" applyFont="1" applyFill="1" applyBorder="1" applyAlignment="1">
      <alignment horizontal="center"/>
    </xf>
    <xf numFmtId="0" fontId="1" fillId="0" borderId="11" xfId="0" applyFont="1" applyBorder="1"/>
    <xf numFmtId="167" fontId="1" fillId="0" borderId="11" xfId="0" applyNumberFormat="1" applyFont="1" applyBorder="1"/>
    <xf numFmtId="166" fontId="1" fillId="0" borderId="11" xfId="0" applyNumberFormat="1" applyFont="1" applyBorder="1"/>
    <xf numFmtId="0" fontId="13" fillId="0" borderId="10" xfId="0" applyFont="1" applyBorder="1" applyAlignment="1">
      <alignment vertical="center" wrapText="1"/>
    </xf>
    <xf numFmtId="0" fontId="14" fillId="0" borderId="10" xfId="0" applyFont="1" applyBorder="1" applyAlignment="1">
      <alignment vertical="center" wrapText="1"/>
    </xf>
    <xf numFmtId="0" fontId="7" fillId="0" borderId="0" xfId="0" applyFont="1" applyFill="1" applyBorder="1" applyAlignment="1">
      <alignment horizontal="center"/>
    </xf>
    <xf numFmtId="0" fontId="15" fillId="3" borderId="0" xfId="0" applyFont="1" applyFill="1"/>
    <xf numFmtId="2" fontId="13" fillId="0" borderId="10" xfId="0" applyNumberFormat="1" applyFont="1" applyBorder="1" applyAlignment="1">
      <alignment vertical="center" wrapText="1"/>
    </xf>
    <xf numFmtId="168" fontId="13" fillId="0" borderId="10" xfId="0" applyNumberFormat="1" applyFont="1" applyBorder="1" applyAlignment="1">
      <alignment vertical="center" wrapText="1"/>
    </xf>
    <xf numFmtId="166" fontId="2" fillId="0" borderId="7" xfId="0" applyNumberFormat="1" applyFont="1" applyBorder="1" applyAlignment="1">
      <alignment horizontal="center"/>
    </xf>
    <xf numFmtId="165" fontId="0" fillId="3" borderId="7" xfId="0" applyNumberFormat="1" applyFill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6" fontId="0" fillId="5" borderId="7" xfId="0" applyNumberFormat="1" applyFill="1" applyBorder="1" applyAlignment="1">
      <alignment horizontal="center" vertical="center"/>
    </xf>
    <xf numFmtId="169" fontId="0" fillId="0" borderId="7" xfId="0" applyNumberFormat="1" applyBorder="1"/>
    <xf numFmtId="0" fontId="12" fillId="0" borderId="9" xfId="0" applyFont="1" applyBorder="1" applyAlignment="1">
      <alignment horizontal="right" wrapText="1"/>
    </xf>
    <xf numFmtId="0" fontId="12" fillId="0" borderId="4" xfId="0" applyFont="1" applyBorder="1" applyAlignment="1">
      <alignment horizontal="right" wrapText="1"/>
    </xf>
    <xf numFmtId="2" fontId="12" fillId="0" borderId="9" xfId="0" applyNumberFormat="1" applyFont="1" applyBorder="1" applyAlignment="1">
      <alignment horizontal="right" wrapText="1"/>
    </xf>
    <xf numFmtId="2" fontId="12" fillId="6" borderId="9" xfId="0" applyNumberFormat="1" applyFont="1" applyFill="1" applyBorder="1" applyAlignment="1">
      <alignment horizontal="right" wrapText="1"/>
    </xf>
    <xf numFmtId="2" fontId="12" fillId="0" borderId="4" xfId="0" applyNumberFormat="1" applyFont="1" applyBorder="1" applyAlignment="1">
      <alignment horizontal="right" wrapText="1"/>
    </xf>
    <xf numFmtId="165" fontId="0" fillId="0" borderId="10" xfId="0" applyNumberFormat="1" applyFont="1" applyBorder="1"/>
    <xf numFmtId="0" fontId="0" fillId="0" borderId="10" xfId="0" applyFont="1" applyBorder="1"/>
    <xf numFmtId="169" fontId="0" fillId="0" borderId="10" xfId="0" applyNumberFormat="1" applyFont="1" applyBorder="1"/>
    <xf numFmtId="0" fontId="4" fillId="3" borderId="5" xfId="0" applyFont="1" applyFill="1" applyBorder="1" applyAlignment="1">
      <alignment horizontal="center"/>
    </xf>
    <xf numFmtId="0" fontId="7" fillId="7" borderId="5" xfId="0" applyFont="1" applyFill="1" applyBorder="1" applyAlignment="1">
      <alignment horizontal="center"/>
    </xf>
    <xf numFmtId="11" fontId="0" fillId="0" borderId="7" xfId="0" applyNumberFormat="1" applyBorder="1" applyAlignment="1">
      <alignment horizontal="center"/>
    </xf>
    <xf numFmtId="1" fontId="0" fillId="0" borderId="7" xfId="0" applyNumberFormat="1" applyBorder="1" applyAlignment="1">
      <alignment horizontal="center"/>
    </xf>
    <xf numFmtId="2" fontId="0" fillId="0" borderId="7" xfId="0" applyNumberFormat="1" applyBorder="1" applyAlignment="1">
      <alignment horizontal="center"/>
    </xf>
    <xf numFmtId="0" fontId="7" fillId="3" borderId="0" xfId="0" applyFont="1" applyFill="1" applyAlignment="1">
      <alignment horizontal="center"/>
    </xf>
    <xf numFmtId="0" fontId="7" fillId="3" borderId="12" xfId="0" applyFont="1" applyFill="1" applyBorder="1" applyAlignment="1">
      <alignment horizontal="center"/>
    </xf>
    <xf numFmtId="0" fontId="5" fillId="3" borderId="0" xfId="0" applyFont="1" applyFill="1" applyAlignment="1">
      <alignment horizontal="center"/>
    </xf>
    <xf numFmtId="0" fontId="15" fillId="3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2" fillId="3" borderId="6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 vertical="center" wrapText="1"/>
    </xf>
    <xf numFmtId="0" fontId="15" fillId="3" borderId="8" xfId="0" applyFont="1" applyFill="1" applyBorder="1" applyAlignment="1">
      <alignment horizontal="center"/>
    </xf>
    <xf numFmtId="0" fontId="15" fillId="3" borderId="0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5" fillId="7" borderId="7" xfId="0" applyFont="1" applyFill="1" applyBorder="1" applyAlignment="1">
      <alignment horizontal="center" vertical="center"/>
    </xf>
    <xf numFmtId="0" fontId="5" fillId="7" borderId="7" xfId="0" applyFont="1" applyFill="1" applyBorder="1" applyAlignment="1">
      <alignment horizontal="center"/>
    </xf>
    <xf numFmtId="165" fontId="7" fillId="0" borderId="7" xfId="0" applyNumberFormat="1" applyFont="1" applyBorder="1" applyAlignment="1">
      <alignment horizontal="center"/>
    </xf>
    <xf numFmtId="166" fontId="7" fillId="0" borderId="7" xfId="0" applyNumberFormat="1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Viga Biapoiada</a:t>
            </a:r>
          </a:p>
        </c:rich>
      </c:tx>
      <c:layout>
        <c:manualLayout>
          <c:xMode val="edge"/>
          <c:yMode val="edge"/>
          <c:x val="0.44435933099603425"/>
          <c:y val="3.072668832162718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550510116785039"/>
          <c:y val="0.10430480325199921"/>
          <c:w val="0.86614508721135042"/>
          <c:h val="0.7840443676977763"/>
        </c:manualLayout>
      </c:layout>
      <c:scatterChart>
        <c:scatterStyle val="lineMarker"/>
        <c:varyColors val="0"/>
        <c:ser>
          <c:idx val="5"/>
          <c:order val="0"/>
          <c:tx>
            <c:strRef>
              <c:f>viga_apoiada!$S$42</c:f>
              <c:strCache>
                <c:ptCount val="1"/>
                <c:pt idx="0">
                  <c:v>Teórico_E=200 GPa</c:v>
                </c:pt>
              </c:strCache>
            </c:strRef>
          </c:tx>
          <c:spPr>
            <a:ln w="31750">
              <a:solidFill>
                <a:schemeClr val="tx1"/>
              </a:solidFill>
              <a:prstDash val="sysDash"/>
            </a:ln>
          </c:spPr>
          <c:marker>
            <c:symbol val="none"/>
          </c:marker>
          <c:xVal>
            <c:numRef>
              <c:f>viga_apoiada!$L$29:$L$39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xVal>
          <c:yVal>
            <c:numRef>
              <c:f>viga_apoiada!$R$29:$R$39</c:f>
              <c:numCache>
                <c:formatCode>0</c:formatCode>
                <c:ptCount val="11"/>
                <c:pt idx="0">
                  <c:v>0</c:v>
                </c:pt>
                <c:pt idx="1">
                  <c:v>45.979802009228351</c:v>
                </c:pt>
                <c:pt idx="2">
                  <c:v>91.959604018456702</c:v>
                </c:pt>
                <c:pt idx="3">
                  <c:v>137.93940602768507</c:v>
                </c:pt>
                <c:pt idx="4">
                  <c:v>183.9192080369134</c:v>
                </c:pt>
                <c:pt idx="5">
                  <c:v>229.89901004614174</c:v>
                </c:pt>
                <c:pt idx="6">
                  <c:v>275.87881205537013</c:v>
                </c:pt>
              </c:numCache>
            </c:numRef>
          </c:yVal>
          <c:smooth val="0"/>
        </c:ser>
        <c:ser>
          <c:idx val="0"/>
          <c:order val="1"/>
          <c:tx>
            <c:strRef>
              <c:f>viga_apoiada!$S$43</c:f>
              <c:strCache>
                <c:ptCount val="1"/>
                <c:pt idx="0">
                  <c:v>Exp. 1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noFill/>
            </c:spPr>
          </c:marker>
          <c:xVal>
            <c:numRef>
              <c:f>viga_apoiada!$E$42:$E$52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2.5</c:v>
                </c:pt>
                <c:pt idx="5">
                  <c:v>3</c:v>
                </c:pt>
                <c:pt idx="6">
                  <c:v>3.5</c:v>
                </c:pt>
                <c:pt idx="7">
                  <c:v>4</c:v>
                </c:pt>
                <c:pt idx="8">
                  <c:v>4.5</c:v>
                </c:pt>
                <c:pt idx="9">
                  <c:v>5</c:v>
                </c:pt>
                <c:pt idx="10">
                  <c:v>6</c:v>
                </c:pt>
              </c:numCache>
            </c:numRef>
          </c:xVal>
          <c:yVal>
            <c:numRef>
              <c:f>viga_apoiada!$I$42:$I$52</c:f>
              <c:numCache>
                <c:formatCode>General</c:formatCode>
                <c:ptCount val="11"/>
                <c:pt idx="0">
                  <c:v>-4</c:v>
                </c:pt>
                <c:pt idx="1">
                  <c:v>47</c:v>
                </c:pt>
                <c:pt idx="2">
                  <c:v>57</c:v>
                </c:pt>
                <c:pt idx="3">
                  <c:v>94</c:v>
                </c:pt>
                <c:pt idx="4">
                  <c:v>106</c:v>
                </c:pt>
                <c:pt idx="5">
                  <c:v>141</c:v>
                </c:pt>
                <c:pt idx="6">
                  <c:v>153</c:v>
                </c:pt>
                <c:pt idx="7">
                  <c:v>185</c:v>
                </c:pt>
                <c:pt idx="8">
                  <c:v>196</c:v>
                </c:pt>
                <c:pt idx="9">
                  <c:v>234</c:v>
                </c:pt>
                <c:pt idx="10">
                  <c:v>278</c:v>
                </c:pt>
              </c:numCache>
            </c:numRef>
          </c:yVal>
          <c:smooth val="0"/>
        </c:ser>
        <c:ser>
          <c:idx val="1"/>
          <c:order val="2"/>
          <c:tx>
            <c:strRef>
              <c:f>viga_apoiada!$A$78</c:f>
              <c:strCache>
                <c:ptCount val="1"/>
                <c:pt idx="0">
                  <c:v>Exp. 2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noFill/>
            </c:spPr>
          </c:marker>
          <c:xVal>
            <c:numRef>
              <c:f>viga_apoiada!$A$81:$A$96</c:f>
              <c:numCache>
                <c:formatCode>0.0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4.5</c:v>
                </c:pt>
                <c:pt idx="8">
                  <c:v>3.5</c:v>
                </c:pt>
                <c:pt idx="9">
                  <c:v>2.5</c:v>
                </c:pt>
                <c:pt idx="10">
                  <c:v>1.5</c:v>
                </c:pt>
                <c:pt idx="11">
                  <c:v>0.5</c:v>
                </c:pt>
                <c:pt idx="12">
                  <c:v>0</c:v>
                </c:pt>
              </c:numCache>
            </c:numRef>
          </c:xVal>
          <c:yVal>
            <c:numRef>
              <c:f>viga_apoiada!$G$81:$G$96</c:f>
              <c:numCache>
                <c:formatCode>General</c:formatCode>
                <c:ptCount val="16"/>
                <c:pt idx="0">
                  <c:v>2</c:v>
                </c:pt>
                <c:pt idx="1">
                  <c:v>44</c:v>
                </c:pt>
                <c:pt idx="2">
                  <c:v>95</c:v>
                </c:pt>
                <c:pt idx="3">
                  <c:v>139</c:v>
                </c:pt>
                <c:pt idx="4">
                  <c:v>185</c:v>
                </c:pt>
                <c:pt idx="5">
                  <c:v>228</c:v>
                </c:pt>
                <c:pt idx="6">
                  <c:v>266</c:v>
                </c:pt>
                <c:pt idx="7">
                  <c:v>191</c:v>
                </c:pt>
                <c:pt idx="8">
                  <c:v>142</c:v>
                </c:pt>
                <c:pt idx="9">
                  <c:v>96</c:v>
                </c:pt>
                <c:pt idx="10">
                  <c:v>50</c:v>
                </c:pt>
                <c:pt idx="11">
                  <c:v>4</c:v>
                </c:pt>
                <c:pt idx="12">
                  <c:v>-17</c:v>
                </c:pt>
              </c:numCache>
            </c:numRef>
          </c:yVal>
          <c:smooth val="0"/>
        </c:ser>
        <c:ser>
          <c:idx val="2"/>
          <c:order val="3"/>
          <c:tx>
            <c:strRef>
              <c:f>viga_apoiada!$A$98:$I$98</c:f>
              <c:strCache>
                <c:ptCount val="1"/>
                <c:pt idx="0">
                  <c:v>Exp. 3</c:v>
                </c:pt>
              </c:strCache>
            </c:strRef>
          </c:tx>
          <c:spPr>
            <a:ln>
              <a:noFill/>
            </a:ln>
          </c:spPr>
          <c:marker>
            <c:symbol val="triangle"/>
            <c:size val="6"/>
          </c:marker>
          <c:xVal>
            <c:numRef>
              <c:f>viga_apoiada!$A$100:$A$112</c:f>
              <c:numCache>
                <c:formatCode>0.0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</c:numCache>
            </c:numRef>
          </c:xVal>
          <c:yVal>
            <c:numRef>
              <c:f>viga_apoiada!$D$100:$D$112</c:f>
              <c:numCache>
                <c:formatCode>General</c:formatCode>
                <c:ptCount val="13"/>
                <c:pt idx="0">
                  <c:v>6</c:v>
                </c:pt>
                <c:pt idx="1">
                  <c:v>56</c:v>
                </c:pt>
                <c:pt idx="2">
                  <c:v>103</c:v>
                </c:pt>
                <c:pt idx="3">
                  <c:v>152</c:v>
                </c:pt>
                <c:pt idx="4">
                  <c:v>194</c:v>
                </c:pt>
                <c:pt idx="5">
                  <c:v>238</c:v>
                </c:pt>
                <c:pt idx="6">
                  <c:v>283</c:v>
                </c:pt>
                <c:pt idx="7">
                  <c:v>225</c:v>
                </c:pt>
                <c:pt idx="8">
                  <c:v>179</c:v>
                </c:pt>
                <c:pt idx="9">
                  <c:v>130</c:v>
                </c:pt>
                <c:pt idx="10">
                  <c:v>84</c:v>
                </c:pt>
                <c:pt idx="11">
                  <c:v>38</c:v>
                </c:pt>
                <c:pt idx="12">
                  <c:v>-7</c:v>
                </c:pt>
              </c:numCache>
            </c:numRef>
          </c:yVal>
          <c:smooth val="0"/>
        </c:ser>
        <c:ser>
          <c:idx val="3"/>
          <c:order val="4"/>
          <c:tx>
            <c:strRef>
              <c:f>viga_apoiada!$A$116</c:f>
              <c:strCache>
                <c:ptCount val="1"/>
                <c:pt idx="0">
                  <c:v>Exp. 4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</c:marker>
          <c:xVal>
            <c:numRef>
              <c:f>viga_apoiada!$A$119:$A$130</c:f>
              <c:numCache>
                <c:formatCode>0.00</c:formatCode>
                <c:ptCount val="12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4</c:v>
                </c:pt>
                <c:pt idx="9">
                  <c:v>2.5</c:v>
                </c:pt>
                <c:pt idx="10">
                  <c:v>1.5</c:v>
                </c:pt>
                <c:pt idx="11">
                  <c:v>0.5</c:v>
                </c:pt>
              </c:numCache>
            </c:numRef>
          </c:xVal>
          <c:yVal>
            <c:numRef>
              <c:f>viga_apoiada!$B$119:$B$130</c:f>
              <c:numCache>
                <c:formatCode>General</c:formatCode>
                <c:ptCount val="12"/>
                <c:pt idx="0">
                  <c:v>1</c:v>
                </c:pt>
                <c:pt idx="1">
                  <c:v>21</c:v>
                </c:pt>
                <c:pt idx="2">
                  <c:v>43</c:v>
                </c:pt>
                <c:pt idx="3">
                  <c:v>90</c:v>
                </c:pt>
                <c:pt idx="4">
                  <c:v>135</c:v>
                </c:pt>
                <c:pt idx="5">
                  <c:v>180</c:v>
                </c:pt>
                <c:pt idx="6">
                  <c:v>224</c:v>
                </c:pt>
                <c:pt idx="7">
                  <c:v>219</c:v>
                </c:pt>
                <c:pt idx="8">
                  <c:v>170</c:v>
                </c:pt>
                <c:pt idx="9">
                  <c:v>122</c:v>
                </c:pt>
                <c:pt idx="10">
                  <c:v>75</c:v>
                </c:pt>
                <c:pt idx="11">
                  <c:v>5</c:v>
                </c:pt>
              </c:numCache>
            </c:numRef>
          </c:yVal>
          <c:smooth val="0"/>
        </c:ser>
        <c:ser>
          <c:idx val="4"/>
          <c:order val="5"/>
          <c:tx>
            <c:strRef>
              <c:f>viga_apoiada!$H$115</c:f>
              <c:strCache>
                <c:ptCount val="1"/>
                <c:pt idx="0">
                  <c:v>Exp. 5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</c:spPr>
          </c:marker>
          <c:xVal>
            <c:numRef>
              <c:f>viga_apoiada!$H$118:$H$130</c:f>
              <c:numCache>
                <c:formatCode>0.0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</c:numCache>
            </c:numRef>
          </c:xVal>
          <c:yVal>
            <c:numRef>
              <c:f>viga_apoiada!$K$118:$K$130</c:f>
              <c:numCache>
                <c:formatCode>General</c:formatCode>
                <c:ptCount val="13"/>
                <c:pt idx="0">
                  <c:v>6</c:v>
                </c:pt>
                <c:pt idx="1">
                  <c:v>56</c:v>
                </c:pt>
                <c:pt idx="2">
                  <c:v>103</c:v>
                </c:pt>
                <c:pt idx="3">
                  <c:v>152</c:v>
                </c:pt>
                <c:pt idx="4">
                  <c:v>194</c:v>
                </c:pt>
                <c:pt idx="5">
                  <c:v>238</c:v>
                </c:pt>
                <c:pt idx="6">
                  <c:v>283</c:v>
                </c:pt>
                <c:pt idx="7">
                  <c:v>225</c:v>
                </c:pt>
                <c:pt idx="8">
                  <c:v>179</c:v>
                </c:pt>
                <c:pt idx="9">
                  <c:v>130</c:v>
                </c:pt>
                <c:pt idx="10">
                  <c:v>84</c:v>
                </c:pt>
                <c:pt idx="11">
                  <c:v>38</c:v>
                </c:pt>
                <c:pt idx="12">
                  <c:v>-7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viga_apoiada!$J$79:$R$79</c:f>
              <c:strCache>
                <c:ptCount val="1"/>
                <c:pt idx="0">
                  <c:v>Exp. 6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viga_apoiada!$J$81:$J$87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xVal>
          <c:yVal>
            <c:numRef>
              <c:f>viga_apoiada!$P$81:$P$87</c:f>
              <c:numCache>
                <c:formatCode>General</c:formatCode>
                <c:ptCount val="7"/>
                <c:pt idx="0">
                  <c:v>0</c:v>
                </c:pt>
                <c:pt idx="1">
                  <c:v>46</c:v>
                </c:pt>
                <c:pt idx="2">
                  <c:v>92</c:v>
                </c:pt>
                <c:pt idx="3">
                  <c:v>138</c:v>
                </c:pt>
                <c:pt idx="4">
                  <c:v>184</c:v>
                </c:pt>
                <c:pt idx="5">
                  <c:v>230</c:v>
                </c:pt>
                <c:pt idx="6">
                  <c:v>276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442240"/>
        <c:axId val="160445184"/>
      </c:scatterChart>
      <c:valAx>
        <c:axId val="160442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Carga</a:t>
                </a:r>
                <a:r>
                  <a:rPr lang="en-US" sz="1400" baseline="0"/>
                  <a:t> (kg)</a:t>
                </a:r>
                <a:endParaRPr lang="en-US" sz="1400"/>
              </a:p>
            </c:rich>
          </c:tx>
          <c:layout/>
          <c:overlay val="0"/>
        </c:title>
        <c:numFmt formatCode="General" sourceLinked="1"/>
        <c:majorTickMark val="in"/>
        <c:minorTickMark val="in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60445184"/>
        <c:crosses val="autoZero"/>
        <c:crossBetween val="midCat"/>
      </c:valAx>
      <c:valAx>
        <c:axId val="160445184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Strain (</a:t>
                </a:r>
                <a:r>
                  <a:rPr lang="en-US" sz="1400">
                    <a:latin typeface="Symbol" pitchFamily="18" charset="2"/>
                  </a:rPr>
                  <a:t>m</a:t>
                </a:r>
                <a:r>
                  <a:rPr lang="en-US" sz="1400"/>
                  <a:t> mm/mm)</a:t>
                </a:r>
              </a:p>
            </c:rich>
          </c:tx>
          <c:layout>
            <c:manualLayout>
              <c:xMode val="edge"/>
              <c:yMode val="edge"/>
              <c:x val="1.9465291593557194E-3"/>
              <c:y val="0.32251044978571319"/>
            </c:manualLayout>
          </c:layout>
          <c:overlay val="0"/>
        </c:title>
        <c:numFmt formatCode="General" sourceLinked="0"/>
        <c:majorTickMark val="in"/>
        <c:minorTickMark val="in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60442240"/>
        <c:crosses val="autoZero"/>
        <c:crossBetween val="midCat"/>
        <c:majorUnit val="100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5536201349351997"/>
          <c:y val="0.11399573831523961"/>
          <c:w val="0.25235700458618643"/>
          <c:h val="0.39201670041702941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Viga </a:t>
            </a:r>
            <a:r>
              <a:rPr lang="en-US" sz="1800" b="1" i="0" baseline="0">
                <a:effectLst/>
              </a:rPr>
              <a:t>Biapoiada</a:t>
            </a:r>
            <a:endParaRPr lang="en-US">
              <a:effectLst/>
            </a:endParaRPr>
          </a:p>
        </c:rich>
      </c:tx>
      <c:layout>
        <c:manualLayout>
          <c:xMode val="edge"/>
          <c:yMode val="edge"/>
          <c:x val="0.19300162821703346"/>
          <c:y val="6.221592071339104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077722728479165"/>
          <c:y val="4.1886135723315364E-2"/>
          <c:w val="0.85726621250995316"/>
          <c:h val="0.81825320431058424"/>
        </c:manualLayout>
      </c:layout>
      <c:scatterChart>
        <c:scatterStyle val="lineMarker"/>
        <c:varyColors val="0"/>
        <c:ser>
          <c:idx val="5"/>
          <c:order val="0"/>
          <c:tx>
            <c:strRef>
              <c:f>viga_apoiada!$S$42</c:f>
              <c:strCache>
                <c:ptCount val="1"/>
                <c:pt idx="0">
                  <c:v>Teórico_E=200 GPa</c:v>
                </c:pt>
              </c:strCache>
            </c:strRef>
          </c:tx>
          <c:spPr>
            <a:ln w="34925">
              <a:solidFill>
                <a:schemeClr val="tx1"/>
              </a:solidFill>
              <a:prstDash val="sysDash"/>
            </a:ln>
          </c:spPr>
          <c:marker>
            <c:symbol val="none"/>
          </c:marker>
          <c:xVal>
            <c:numRef>
              <c:f>viga_apoiada!$L$29:$L$39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xVal>
          <c:yVal>
            <c:numRef>
              <c:f>viga_apoiada!$N$29:$N$36</c:f>
              <c:numCache>
                <c:formatCode>0.00</c:formatCode>
                <c:ptCount val="8"/>
                <c:pt idx="0">
                  <c:v>0</c:v>
                </c:pt>
                <c:pt idx="1">
                  <c:v>0.35035263939189837</c:v>
                </c:pt>
                <c:pt idx="2">
                  <c:v>0.70070527878379674</c:v>
                </c:pt>
                <c:pt idx="3">
                  <c:v>1.0510579181756954</c:v>
                </c:pt>
                <c:pt idx="4">
                  <c:v>1.4014105575675935</c:v>
                </c:pt>
                <c:pt idx="5">
                  <c:v>1.751763196959492</c:v>
                </c:pt>
                <c:pt idx="6">
                  <c:v>2.1021158363513908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viga_apoiada!$E$39</c:f>
              <c:strCache>
                <c:ptCount val="1"/>
                <c:pt idx="0">
                  <c:v>Exp. 1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5"/>
            <c:spPr>
              <a:noFill/>
            </c:spPr>
          </c:marker>
          <c:xVal>
            <c:numRef>
              <c:f>viga_apoiada!$E$42:$E$58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2.5</c:v>
                </c:pt>
                <c:pt idx="5">
                  <c:v>3</c:v>
                </c:pt>
                <c:pt idx="6">
                  <c:v>3.5</c:v>
                </c:pt>
                <c:pt idx="7">
                  <c:v>4</c:v>
                </c:pt>
                <c:pt idx="8">
                  <c:v>4.5</c:v>
                </c:pt>
                <c:pt idx="9">
                  <c:v>5</c:v>
                </c:pt>
                <c:pt idx="10">
                  <c:v>6</c:v>
                </c:pt>
              </c:numCache>
            </c:numRef>
          </c:xVal>
          <c:yVal>
            <c:numRef>
              <c:f>viga_apoiada!$H$42:$H$58</c:f>
              <c:numCache>
                <c:formatCode>General</c:formatCode>
                <c:ptCount val="17"/>
                <c:pt idx="1">
                  <c:v>0.57884200000000641</c:v>
                </c:pt>
                <c:pt idx="3">
                  <c:v>0.73670800000001235</c:v>
                </c:pt>
                <c:pt idx="7">
                  <c:v>0.99981800000000676</c:v>
                </c:pt>
              </c:numCache>
            </c:numRef>
          </c:yVal>
          <c:smooth val="0"/>
        </c:ser>
        <c:ser>
          <c:idx val="0"/>
          <c:order val="2"/>
          <c:tx>
            <c:strRef>
              <c:f>viga_apoiada!$A$78</c:f>
              <c:strCache>
                <c:ptCount val="1"/>
                <c:pt idx="0">
                  <c:v>Exp. 2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noFill/>
            </c:spPr>
          </c:marker>
          <c:xVal>
            <c:numRef>
              <c:f>viga_apoiada!$A$81:$A$96</c:f>
              <c:numCache>
                <c:formatCode>0.0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4.5</c:v>
                </c:pt>
                <c:pt idx="8">
                  <c:v>3.5</c:v>
                </c:pt>
                <c:pt idx="9">
                  <c:v>2.5</c:v>
                </c:pt>
                <c:pt idx="10">
                  <c:v>1.5</c:v>
                </c:pt>
                <c:pt idx="11">
                  <c:v>0.5</c:v>
                </c:pt>
                <c:pt idx="12">
                  <c:v>0</c:v>
                </c:pt>
              </c:numCache>
            </c:numRef>
          </c:xVal>
          <c:yVal>
            <c:numRef>
              <c:f>viga_apoiada!$C$81:$C$96</c:f>
              <c:numCache>
                <c:formatCode>General</c:formatCode>
                <c:ptCount val="16"/>
                <c:pt idx="1">
                  <c:v>0.52622000000001212</c:v>
                </c:pt>
                <c:pt idx="6">
                  <c:v>2.1048800000000019</c:v>
                </c:pt>
              </c:numCache>
            </c:numRef>
          </c:yVal>
          <c:smooth val="0"/>
        </c:ser>
        <c:ser>
          <c:idx val="2"/>
          <c:order val="3"/>
          <c:tx>
            <c:strRef>
              <c:f>viga_apoiada!$A$98</c:f>
              <c:strCache>
                <c:ptCount val="1"/>
                <c:pt idx="0">
                  <c:v>Exp. 3</c:v>
                </c:pt>
              </c:strCache>
            </c:strRef>
          </c:tx>
          <c:spPr>
            <a:ln>
              <a:noFill/>
            </a:ln>
          </c:spPr>
          <c:marker>
            <c:symbol val="triangle"/>
            <c:size val="5"/>
          </c:marker>
          <c:xVal>
            <c:numRef>
              <c:f>viga_apoiada!$A$100:$A$112</c:f>
              <c:numCache>
                <c:formatCode>0.0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</c:numCache>
            </c:numRef>
          </c:xVal>
          <c:yVal>
            <c:numRef>
              <c:f>viga_apoiada!$C$100:$C$112</c:f>
              <c:numCache>
                <c:formatCode>General</c:formatCode>
                <c:ptCount val="13"/>
                <c:pt idx="0">
                  <c:v>0</c:v>
                </c:pt>
                <c:pt idx="1">
                  <c:v>0.42097600000000035</c:v>
                </c:pt>
                <c:pt idx="2">
                  <c:v>0.78933000000000653</c:v>
                </c:pt>
                <c:pt idx="3">
                  <c:v>1.3681720000000128</c:v>
                </c:pt>
                <c:pt idx="4">
                  <c:v>1.6839040000000014</c:v>
                </c:pt>
                <c:pt idx="5">
                  <c:v>2.6837220000000084</c:v>
                </c:pt>
                <c:pt idx="6">
                  <c:v>3.2099419999999972</c:v>
                </c:pt>
                <c:pt idx="7">
                  <c:v>2.4732340000000081</c:v>
                </c:pt>
                <c:pt idx="8">
                  <c:v>2.420612000000014</c:v>
                </c:pt>
                <c:pt idx="10">
                  <c:v>1.2629280000000012</c:v>
                </c:pt>
                <c:pt idx="11">
                  <c:v>0.78933000000000653</c:v>
                </c:pt>
                <c:pt idx="12">
                  <c:v>0.36835400000000618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viga_apoiada!$A$116:$E$116</c:f>
              <c:strCache>
                <c:ptCount val="1"/>
                <c:pt idx="0">
                  <c:v>Exp. 4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</c:marker>
          <c:xVal>
            <c:numRef>
              <c:f>viga_apoiada!$A$119:$A$129</c:f>
              <c:numCache>
                <c:formatCode>0.00</c:formatCode>
                <c:ptCount val="1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4</c:v>
                </c:pt>
                <c:pt idx="9">
                  <c:v>2.5</c:v>
                </c:pt>
                <c:pt idx="10">
                  <c:v>1.5</c:v>
                </c:pt>
              </c:numCache>
            </c:numRef>
          </c:xVal>
          <c:yVal>
            <c:numRef>
              <c:f>viga_apoiada!$E$119:$E$129</c:f>
              <c:numCache>
                <c:formatCode>0.000</c:formatCode>
                <c:ptCount val="11"/>
                <c:pt idx="2">
                  <c:v>0.21048800000000017</c:v>
                </c:pt>
                <c:pt idx="8">
                  <c:v>1.7365259999999958</c:v>
                </c:pt>
                <c:pt idx="9">
                  <c:v>1.3681719999999895</c:v>
                </c:pt>
                <c:pt idx="10">
                  <c:v>0.94719599999998916</c:v>
                </c:pt>
              </c:numCache>
            </c:numRef>
          </c:yVal>
          <c:smooth val="0"/>
        </c:ser>
        <c:ser>
          <c:idx val="3"/>
          <c:order val="5"/>
          <c:tx>
            <c:strRef>
              <c:f>viga_apoiada!$H$115</c:f>
              <c:strCache>
                <c:ptCount val="1"/>
                <c:pt idx="0">
                  <c:v>Exp. 5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6"/>
          </c:marker>
          <c:xVal>
            <c:numRef>
              <c:f>viga_apoiada!$H$118:$H$130</c:f>
              <c:numCache>
                <c:formatCode>0.0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</c:numCache>
            </c:numRef>
          </c:xVal>
          <c:yVal>
            <c:numRef>
              <c:f>viga_apoiada!$M$118:$M$130</c:f>
              <c:numCache>
                <c:formatCode>0.000E+00</c:formatCode>
                <c:ptCount val="13"/>
                <c:pt idx="0">
                  <c:v>0</c:v>
                </c:pt>
                <c:pt idx="1">
                  <c:v>0.42097600000000035</c:v>
                </c:pt>
                <c:pt idx="2">
                  <c:v>0.78933000000000653</c:v>
                </c:pt>
                <c:pt idx="3">
                  <c:v>1.3681720000000128</c:v>
                </c:pt>
                <c:pt idx="4">
                  <c:v>1.6839040000000014</c:v>
                </c:pt>
                <c:pt idx="5">
                  <c:v>2.6837220000000084</c:v>
                </c:pt>
                <c:pt idx="6">
                  <c:v>3.2099419999999972</c:v>
                </c:pt>
                <c:pt idx="7">
                  <c:v>2.4732340000000081</c:v>
                </c:pt>
                <c:pt idx="8">
                  <c:v>2.0522580000000077</c:v>
                </c:pt>
                <c:pt idx="9">
                  <c:v>1.7365260000000191</c:v>
                </c:pt>
                <c:pt idx="10">
                  <c:v>1.2629280000000012</c:v>
                </c:pt>
                <c:pt idx="11">
                  <c:v>0.78933000000000653</c:v>
                </c:pt>
                <c:pt idx="12">
                  <c:v>0.36835400000000618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viga_apoiada!$J$79:$R$79</c:f>
              <c:strCache>
                <c:ptCount val="1"/>
                <c:pt idx="0">
                  <c:v>Exp. 6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xVal>
            <c:numRef>
              <c:f>viga_apoiada!$J$81:$J$87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xVal>
          <c:yVal>
            <c:numRef>
              <c:f>viga_apoiada!$R$81:$R$87</c:f>
              <c:numCache>
                <c:formatCode>0.000E+00</c:formatCode>
                <c:ptCount val="7"/>
                <c:pt idx="0">
                  <c:v>0</c:v>
                </c:pt>
                <c:pt idx="1">
                  <c:v>0.52621999999998881</c:v>
                </c:pt>
                <c:pt idx="2">
                  <c:v>0.89457399999999498</c:v>
                </c:pt>
                <c:pt idx="3">
                  <c:v>0.99981800000000676</c:v>
                </c:pt>
                <c:pt idx="4">
                  <c:v>1.1576839999999893</c:v>
                </c:pt>
                <c:pt idx="5">
                  <c:v>1.3681719999999895</c:v>
                </c:pt>
                <c:pt idx="6">
                  <c:v>1.5786599999999897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194624"/>
        <c:axId val="169196928"/>
      </c:scatterChart>
      <c:valAx>
        <c:axId val="169194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Carga</a:t>
                </a:r>
                <a:r>
                  <a:rPr lang="en-US" sz="1400" baseline="0"/>
                  <a:t> (kg)</a:t>
                </a:r>
                <a:endParaRPr lang="en-US" sz="1400"/>
              </a:p>
            </c:rich>
          </c:tx>
          <c:layout/>
          <c:overlay val="0"/>
        </c:title>
        <c:numFmt formatCode="General" sourceLinked="1"/>
        <c:majorTickMark val="in"/>
        <c:minorTickMark val="in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69196928"/>
        <c:crosses val="autoZero"/>
        <c:crossBetween val="midCat"/>
      </c:valAx>
      <c:valAx>
        <c:axId val="169196928"/>
        <c:scaling>
          <c:orientation val="minMax"/>
          <c:max val="2.5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 vertical displacement  (mm)</a:t>
                </a:r>
              </a:p>
            </c:rich>
          </c:tx>
          <c:layout>
            <c:manualLayout>
              <c:xMode val="edge"/>
              <c:yMode val="edge"/>
              <c:x val="1.9465333687221681E-3"/>
              <c:y val="0.24266140598515898"/>
            </c:manualLayout>
          </c:layout>
          <c:overlay val="0"/>
        </c:title>
        <c:numFmt formatCode="General" sourceLinked="0"/>
        <c:majorTickMark val="in"/>
        <c:minorTickMark val="in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69194624"/>
        <c:crosses val="autoZero"/>
        <c:crossBetween val="midCat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6872374818903737"/>
          <c:y val="0.48389795522833995"/>
          <c:w val="0.27383176967223666"/>
          <c:h val="0.36829692724305635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intercept val="0"/>
            <c:dispRSqr val="1"/>
            <c:dispEq val="1"/>
            <c:trendlineLbl>
              <c:layout>
                <c:manualLayout>
                  <c:x val="-0.34808857784788688"/>
                  <c:y val="-9.7560077717558036E-2"/>
                </c:manualLayout>
              </c:layout>
              <c:numFmt formatCode="General" sourceLinked="0"/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 sz="1200" b="1"/>
                  </a:pPr>
                  <a:endParaRPr lang="en-US"/>
                </a:p>
              </c:txPr>
            </c:trendlineLbl>
          </c:trendline>
          <c:xVal>
            <c:numRef>
              <c:f>viga_apoiada!$C$49:$C$52</c:f>
              <c:numCache>
                <c:formatCode>0.000</c:formatCode>
                <c:ptCount val="4"/>
                <c:pt idx="0">
                  <c:v>0</c:v>
                </c:pt>
                <c:pt idx="2">
                  <c:v>-0.22299999999999986</c:v>
                </c:pt>
                <c:pt idx="3">
                  <c:v>-0.38300000000000023</c:v>
                </c:pt>
              </c:numCache>
            </c:numRef>
          </c:xVal>
          <c:yVal>
            <c:numRef>
              <c:f>viga_apoiada!$B$49:$B$52</c:f>
              <c:numCache>
                <c:formatCode>0.0</c:formatCode>
                <c:ptCount val="4"/>
                <c:pt idx="0">
                  <c:v>0</c:v>
                </c:pt>
                <c:pt idx="2">
                  <c:v>12</c:v>
                </c:pt>
                <c:pt idx="3">
                  <c:v>20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1682304"/>
        <c:axId val="241692672"/>
      </c:scatterChart>
      <c:valAx>
        <c:axId val="241682304"/>
        <c:scaling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Volts</a:t>
                </a:r>
              </a:p>
            </c:rich>
          </c:tx>
          <c:layout/>
          <c:overlay val="0"/>
        </c:title>
        <c:numFmt formatCode="0.000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241692672"/>
        <c:crosses val="autoZero"/>
        <c:crossBetween val="midCat"/>
      </c:valAx>
      <c:valAx>
        <c:axId val="241692672"/>
        <c:scaling>
          <c:orientation val="minMax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Distância</a:t>
                </a:r>
                <a:r>
                  <a:rPr lang="en-US" sz="1600" baseline="0"/>
                  <a:t> (mm)</a:t>
                </a:r>
                <a:endParaRPr lang="en-US" sz="1600"/>
              </a:p>
            </c:rich>
          </c:tx>
          <c:layout>
            <c:manualLayout>
              <c:xMode val="edge"/>
              <c:yMode val="edge"/>
              <c:x val="0.95019700837071863"/>
              <c:y val="0.14493097453727374"/>
            </c:manualLayout>
          </c:layout>
          <c:overlay val="0"/>
        </c:title>
        <c:numFmt formatCode="0.0" sourceLinked="1"/>
        <c:majorTickMark val="in"/>
        <c:minorTickMark val="in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24168230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Viga Engastada</a:t>
            </a:r>
          </a:p>
        </c:rich>
      </c:tx>
      <c:layout>
        <c:manualLayout>
          <c:xMode val="edge"/>
          <c:yMode val="edge"/>
          <c:x val="0.44435933099603425"/>
          <c:y val="3.072668832162718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2575849186734869"/>
          <c:y val="4.1886135723315364E-2"/>
          <c:w val="0.84228488227292753"/>
          <c:h val="0.81825320431058424"/>
        </c:manualLayout>
      </c:layout>
      <c:scatterChart>
        <c:scatterStyle val="lineMarker"/>
        <c:varyColors val="0"/>
        <c:ser>
          <c:idx val="5"/>
          <c:order val="0"/>
          <c:tx>
            <c:strRef>
              <c:f>viga_engastada!$S$42</c:f>
              <c:strCache>
                <c:ptCount val="1"/>
                <c:pt idx="0">
                  <c:v>Teórico_E=200 GPa</c:v>
                </c:pt>
              </c:strCache>
            </c:strRef>
          </c:tx>
          <c:spPr>
            <a:ln w="31750">
              <a:solidFill>
                <a:schemeClr val="tx1"/>
              </a:solidFill>
              <a:prstDash val="sysDash"/>
            </a:ln>
          </c:spPr>
          <c:marker>
            <c:symbol val="none"/>
          </c:marker>
          <c:xVal>
            <c:numRef>
              <c:f>viga_engastada!$L$29:$L$39</c:f>
              <c:numCache>
                <c:formatCode>General</c:formatCode>
                <c:ptCount val="11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</c:numCache>
            </c:numRef>
          </c:xVal>
          <c:yVal>
            <c:numRef>
              <c:f>viga_engastada!$R$29:$R$39</c:f>
              <c:numCache>
                <c:formatCode>0</c:formatCode>
                <c:ptCount val="11"/>
                <c:pt idx="0">
                  <c:v>0</c:v>
                </c:pt>
                <c:pt idx="1">
                  <c:v>74.746542336817072</c:v>
                </c:pt>
                <c:pt idx="2">
                  <c:v>149.49308467363414</c:v>
                </c:pt>
                <c:pt idx="3">
                  <c:v>224.23962701045124</c:v>
                </c:pt>
                <c:pt idx="4">
                  <c:v>298.98616934726829</c:v>
                </c:pt>
                <c:pt idx="5">
                  <c:v>373.73271168408542</c:v>
                </c:pt>
                <c:pt idx="6">
                  <c:v>448.47925402090249</c:v>
                </c:pt>
                <c:pt idx="7">
                  <c:v>523.22579635771956</c:v>
                </c:pt>
                <c:pt idx="8">
                  <c:v>597.97233869453657</c:v>
                </c:pt>
                <c:pt idx="9">
                  <c:v>672.7188810313537</c:v>
                </c:pt>
                <c:pt idx="10">
                  <c:v>747.46542336817083</c:v>
                </c:pt>
              </c:numCache>
            </c:numRef>
          </c:yVal>
          <c:smooth val="0"/>
        </c:ser>
        <c:ser>
          <c:idx val="0"/>
          <c:order val="1"/>
          <c:tx>
            <c:strRef>
              <c:f>viga_engastada!$S$43</c:f>
              <c:strCache>
                <c:ptCount val="1"/>
                <c:pt idx="0">
                  <c:v>Exp. 1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noFill/>
            </c:spPr>
          </c:marker>
          <c:xVal>
            <c:numRef>
              <c:f>viga_engastada!$E$42:$E$58</c:f>
              <c:numCache>
                <c:formatCode>0.00</c:formatCode>
                <c:ptCount val="1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1.75</c:v>
                </c:pt>
                <c:pt idx="10">
                  <c:v>1.5</c:v>
                </c:pt>
                <c:pt idx="11">
                  <c:v>1.25</c:v>
                </c:pt>
                <c:pt idx="12">
                  <c:v>1</c:v>
                </c:pt>
                <c:pt idx="13">
                  <c:v>0.75</c:v>
                </c:pt>
                <c:pt idx="14">
                  <c:v>0.5</c:v>
                </c:pt>
                <c:pt idx="15">
                  <c:v>0.25</c:v>
                </c:pt>
                <c:pt idx="16">
                  <c:v>0</c:v>
                </c:pt>
              </c:numCache>
            </c:numRef>
          </c:xVal>
          <c:yVal>
            <c:numRef>
              <c:f>viga_engastada!$I$42:$I$58</c:f>
              <c:numCache>
                <c:formatCode>General</c:formatCode>
                <c:ptCount val="17"/>
                <c:pt idx="0">
                  <c:v>1</c:v>
                </c:pt>
                <c:pt idx="1">
                  <c:v>75</c:v>
                </c:pt>
                <c:pt idx="2">
                  <c:v>148</c:v>
                </c:pt>
                <c:pt idx="3">
                  <c:v>225</c:v>
                </c:pt>
                <c:pt idx="4">
                  <c:v>299</c:v>
                </c:pt>
                <c:pt idx="5">
                  <c:v>376</c:v>
                </c:pt>
                <c:pt idx="6">
                  <c:v>450</c:v>
                </c:pt>
                <c:pt idx="7">
                  <c:v>526</c:v>
                </c:pt>
                <c:pt idx="8">
                  <c:v>600</c:v>
                </c:pt>
                <c:pt idx="9">
                  <c:v>528</c:v>
                </c:pt>
                <c:pt idx="10">
                  <c:v>452</c:v>
                </c:pt>
                <c:pt idx="11">
                  <c:v>377</c:v>
                </c:pt>
                <c:pt idx="12">
                  <c:v>300</c:v>
                </c:pt>
                <c:pt idx="13">
                  <c:v>225</c:v>
                </c:pt>
                <c:pt idx="14">
                  <c:v>150</c:v>
                </c:pt>
                <c:pt idx="15">
                  <c:v>75</c:v>
                </c:pt>
                <c:pt idx="16">
                  <c:v>1</c:v>
                </c:pt>
              </c:numCache>
            </c:numRef>
          </c:yVal>
          <c:smooth val="0"/>
        </c:ser>
        <c:ser>
          <c:idx val="1"/>
          <c:order val="2"/>
          <c:tx>
            <c:strRef>
              <c:f>viga_engastada!$A$78</c:f>
              <c:strCache>
                <c:ptCount val="1"/>
                <c:pt idx="0">
                  <c:v>Exp. 2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noFill/>
            </c:spPr>
          </c:marker>
          <c:xVal>
            <c:numRef>
              <c:f>viga_engastada!$A$81:$A$96</c:f>
              <c:numCache>
                <c:formatCode>0.00</c:formatCode>
                <c:ptCount val="16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1.7</c:v>
                </c:pt>
                <c:pt idx="10">
                  <c:v>1.4</c:v>
                </c:pt>
                <c:pt idx="11">
                  <c:v>1.1000000000000001</c:v>
                </c:pt>
                <c:pt idx="12">
                  <c:v>0.8</c:v>
                </c:pt>
                <c:pt idx="13">
                  <c:v>0.5</c:v>
                </c:pt>
                <c:pt idx="14">
                  <c:v>0.2</c:v>
                </c:pt>
                <c:pt idx="15">
                  <c:v>0</c:v>
                </c:pt>
              </c:numCache>
            </c:numRef>
          </c:xVal>
          <c:yVal>
            <c:numRef>
              <c:f>viga_engastada!$E$81:$E$96</c:f>
              <c:numCache>
                <c:formatCode>General</c:formatCode>
                <c:ptCount val="16"/>
                <c:pt idx="0">
                  <c:v>11</c:v>
                </c:pt>
                <c:pt idx="1">
                  <c:v>100</c:v>
                </c:pt>
                <c:pt idx="2">
                  <c:v>188</c:v>
                </c:pt>
                <c:pt idx="3">
                  <c:v>278</c:v>
                </c:pt>
                <c:pt idx="4">
                  <c:v>369</c:v>
                </c:pt>
                <c:pt idx="5">
                  <c:v>457</c:v>
                </c:pt>
                <c:pt idx="6">
                  <c:v>549</c:v>
                </c:pt>
                <c:pt idx="7">
                  <c:v>638</c:v>
                </c:pt>
                <c:pt idx="8">
                  <c:v>726</c:v>
                </c:pt>
                <c:pt idx="9">
                  <c:v>620</c:v>
                </c:pt>
                <c:pt idx="10">
                  <c:v>517</c:v>
                </c:pt>
                <c:pt idx="11">
                  <c:v>407</c:v>
                </c:pt>
                <c:pt idx="12">
                  <c:v>299</c:v>
                </c:pt>
                <c:pt idx="13">
                  <c:v>190</c:v>
                </c:pt>
                <c:pt idx="14">
                  <c:v>82</c:v>
                </c:pt>
                <c:pt idx="15">
                  <c:v>10</c:v>
                </c:pt>
              </c:numCache>
            </c:numRef>
          </c:yVal>
          <c:smooth val="0"/>
        </c:ser>
        <c:ser>
          <c:idx val="2"/>
          <c:order val="3"/>
          <c:tx>
            <c:strRef>
              <c:f>viga_engastada!$A$98:$I$98</c:f>
              <c:strCache>
                <c:ptCount val="1"/>
                <c:pt idx="0">
                  <c:v>Exp. 3</c:v>
                </c:pt>
              </c:strCache>
            </c:strRef>
          </c:tx>
          <c:spPr>
            <a:ln>
              <a:noFill/>
            </a:ln>
          </c:spPr>
          <c:marker>
            <c:symbol val="triangle"/>
            <c:size val="6"/>
          </c:marker>
          <c:xVal>
            <c:numRef>
              <c:f>viga_engastada!$A$100:$A$114</c:f>
              <c:numCache>
                <c:formatCode>General</c:formatCode>
                <c:ptCount val="15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1.6</c:v>
                </c:pt>
                <c:pt idx="10">
                  <c:v>1.2</c:v>
                </c:pt>
                <c:pt idx="11">
                  <c:v>0.9</c:v>
                </c:pt>
                <c:pt idx="12">
                  <c:v>0.6</c:v>
                </c:pt>
                <c:pt idx="13">
                  <c:v>0.2</c:v>
                </c:pt>
                <c:pt idx="14">
                  <c:v>0</c:v>
                </c:pt>
              </c:numCache>
            </c:numRef>
          </c:xVal>
          <c:yVal>
            <c:numRef>
              <c:f>viga_engastada!$D$100:$D$114</c:f>
              <c:numCache>
                <c:formatCode>General</c:formatCode>
                <c:ptCount val="15"/>
                <c:pt idx="0">
                  <c:v>0</c:v>
                </c:pt>
                <c:pt idx="1">
                  <c:v>73</c:v>
                </c:pt>
                <c:pt idx="2">
                  <c:v>150</c:v>
                </c:pt>
                <c:pt idx="3">
                  <c:v>225</c:v>
                </c:pt>
                <c:pt idx="4">
                  <c:v>299</c:v>
                </c:pt>
                <c:pt idx="5">
                  <c:v>376</c:v>
                </c:pt>
                <c:pt idx="6">
                  <c:v>450</c:v>
                </c:pt>
                <c:pt idx="7">
                  <c:v>527</c:v>
                </c:pt>
                <c:pt idx="8">
                  <c:v>602</c:v>
                </c:pt>
                <c:pt idx="9">
                  <c:v>482</c:v>
                </c:pt>
                <c:pt idx="10">
                  <c:v>362</c:v>
                </c:pt>
                <c:pt idx="11">
                  <c:v>270</c:v>
                </c:pt>
                <c:pt idx="12">
                  <c:v>181</c:v>
                </c:pt>
                <c:pt idx="13">
                  <c:v>58</c:v>
                </c:pt>
                <c:pt idx="14">
                  <c:v>1</c:v>
                </c:pt>
              </c:numCache>
            </c:numRef>
          </c:yVal>
          <c:smooth val="0"/>
        </c:ser>
        <c:ser>
          <c:idx val="3"/>
          <c:order val="4"/>
          <c:tx>
            <c:strRef>
              <c:f>viga_engastada!$A$116</c:f>
              <c:strCache>
                <c:ptCount val="1"/>
                <c:pt idx="0">
                  <c:v>Exp. 4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</c:marker>
          <c:xVal>
            <c:numRef>
              <c:f>viga_engastada!$A$119:$A$134</c:f>
              <c:numCache>
                <c:formatCode>0.00</c:formatCode>
                <c:ptCount val="16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1.7</c:v>
                </c:pt>
                <c:pt idx="10">
                  <c:v>1.4</c:v>
                </c:pt>
                <c:pt idx="11">
                  <c:v>1.1000000000000001</c:v>
                </c:pt>
                <c:pt idx="12">
                  <c:v>0.8</c:v>
                </c:pt>
                <c:pt idx="13">
                  <c:v>0.5</c:v>
                </c:pt>
                <c:pt idx="14">
                  <c:v>0.2</c:v>
                </c:pt>
                <c:pt idx="15">
                  <c:v>0</c:v>
                </c:pt>
              </c:numCache>
            </c:numRef>
          </c:xVal>
          <c:yVal>
            <c:numRef>
              <c:f>viga_engastada!$B$119:$B$134</c:f>
              <c:numCache>
                <c:formatCode>General</c:formatCode>
                <c:ptCount val="16"/>
                <c:pt idx="0">
                  <c:v>0</c:v>
                </c:pt>
                <c:pt idx="1">
                  <c:v>72</c:v>
                </c:pt>
                <c:pt idx="2">
                  <c:v>149</c:v>
                </c:pt>
                <c:pt idx="3">
                  <c:v>224</c:v>
                </c:pt>
                <c:pt idx="4">
                  <c:v>300</c:v>
                </c:pt>
                <c:pt idx="5">
                  <c:v>374</c:v>
                </c:pt>
                <c:pt idx="6">
                  <c:v>450</c:v>
                </c:pt>
                <c:pt idx="7">
                  <c:v>527</c:v>
                </c:pt>
                <c:pt idx="8">
                  <c:v>602</c:v>
                </c:pt>
                <c:pt idx="9">
                  <c:v>510.99999999999994</c:v>
                </c:pt>
                <c:pt idx="10">
                  <c:v>421.99999999999994</c:v>
                </c:pt>
                <c:pt idx="11">
                  <c:v>330</c:v>
                </c:pt>
                <c:pt idx="12">
                  <c:v>239.99999999999997</c:v>
                </c:pt>
                <c:pt idx="13">
                  <c:v>149</c:v>
                </c:pt>
                <c:pt idx="14">
                  <c:v>59</c:v>
                </c:pt>
                <c:pt idx="15">
                  <c:v>0</c:v>
                </c:pt>
              </c:numCache>
            </c:numRef>
          </c:yVal>
          <c:smooth val="0"/>
        </c:ser>
        <c:ser>
          <c:idx val="4"/>
          <c:order val="5"/>
          <c:tx>
            <c:strRef>
              <c:f>viga_engastada!$H$115</c:f>
              <c:strCache>
                <c:ptCount val="1"/>
                <c:pt idx="0">
                  <c:v>Exp. 5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</c:spPr>
          </c:marker>
          <c:xVal>
            <c:numRef>
              <c:f>viga_engastada!$H$118:$H$125</c:f>
              <c:numCache>
                <c:formatCode>General</c:formatCode>
                <c:ptCount val="8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2</c:v>
                </c:pt>
              </c:numCache>
            </c:numRef>
          </c:xVal>
          <c:yVal>
            <c:numRef>
              <c:f>viga_engastada!$J$118:$J$125</c:f>
              <c:numCache>
                <c:formatCode>General</c:formatCode>
                <c:ptCount val="8"/>
                <c:pt idx="0">
                  <c:v>0</c:v>
                </c:pt>
                <c:pt idx="1">
                  <c:v>72.25</c:v>
                </c:pt>
                <c:pt idx="2">
                  <c:v>145.5</c:v>
                </c:pt>
                <c:pt idx="3">
                  <c:v>218.25</c:v>
                </c:pt>
                <c:pt idx="4">
                  <c:v>291</c:v>
                </c:pt>
                <c:pt idx="5">
                  <c:v>363.75</c:v>
                </c:pt>
                <c:pt idx="6">
                  <c:v>436.5</c:v>
                </c:pt>
                <c:pt idx="7">
                  <c:v>582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viga_engastada!$J$79:$R$79</c:f>
              <c:strCache>
                <c:ptCount val="1"/>
                <c:pt idx="0">
                  <c:v>Exp. 6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viga_engastada!$J$81:$J$87</c:f>
              <c:numCache>
                <c:formatCode>General</c:formatCode>
                <c:ptCount val="7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</c:numCache>
            </c:numRef>
          </c:xVal>
          <c:yVal>
            <c:numRef>
              <c:f>viga_engastada!$Q$81:$Q$87</c:f>
              <c:numCache>
                <c:formatCode>General</c:formatCode>
                <c:ptCount val="7"/>
                <c:pt idx="0">
                  <c:v>0</c:v>
                </c:pt>
                <c:pt idx="1">
                  <c:v>154</c:v>
                </c:pt>
                <c:pt idx="2">
                  <c:v>303</c:v>
                </c:pt>
                <c:pt idx="3">
                  <c:v>459</c:v>
                </c:pt>
                <c:pt idx="4">
                  <c:v>610</c:v>
                </c:pt>
                <c:pt idx="5">
                  <c:v>756</c:v>
                </c:pt>
                <c:pt idx="6">
                  <c:v>910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3514624"/>
        <c:axId val="223517312"/>
      </c:scatterChart>
      <c:valAx>
        <c:axId val="223514624"/>
        <c:scaling>
          <c:orientation val="minMax"/>
          <c:max val="2.5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Carga</a:t>
                </a:r>
                <a:r>
                  <a:rPr lang="en-US" sz="1400" baseline="0"/>
                  <a:t> (kg)</a:t>
                </a:r>
                <a:endParaRPr lang="en-US" sz="1400"/>
              </a:p>
            </c:rich>
          </c:tx>
          <c:layout/>
          <c:overlay val="0"/>
        </c:title>
        <c:numFmt formatCode="General" sourceLinked="1"/>
        <c:majorTickMark val="in"/>
        <c:minorTickMark val="in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223517312"/>
        <c:crosses val="autoZero"/>
        <c:crossBetween val="midCat"/>
      </c:valAx>
      <c:valAx>
        <c:axId val="22351731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Strain (</a:t>
                </a:r>
                <a:r>
                  <a:rPr lang="en-US" sz="1400">
                    <a:latin typeface="Symbol" pitchFamily="18" charset="2"/>
                  </a:rPr>
                  <a:t>m</a:t>
                </a:r>
                <a:r>
                  <a:rPr lang="en-US" sz="1400"/>
                  <a:t> mm/mm)</a:t>
                </a:r>
              </a:p>
            </c:rich>
          </c:tx>
          <c:layout>
            <c:manualLayout>
              <c:xMode val="edge"/>
              <c:yMode val="edge"/>
              <c:x val="1.9464720194647203E-3"/>
              <c:y val="0.28585795026161687"/>
            </c:manualLayout>
          </c:layout>
          <c:overlay val="0"/>
        </c:title>
        <c:numFmt formatCode="General" sourceLinked="0"/>
        <c:majorTickMark val="in"/>
        <c:minorTickMark val="in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223514624"/>
        <c:crosses val="autoZero"/>
        <c:crossBetween val="midCat"/>
        <c:majorUnit val="100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6217928233423373"/>
          <c:y val="7.9786851697533523E-2"/>
          <c:w val="0.25584530875325251"/>
          <c:h val="0.42555128553227928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Viga Engastada</a:t>
            </a:r>
          </a:p>
        </c:rich>
      </c:tx>
      <c:layout>
        <c:manualLayout>
          <c:xMode val="edge"/>
          <c:yMode val="edge"/>
          <c:x val="0.44435933099603425"/>
          <c:y val="3.072668832162718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077722728479165"/>
          <c:y val="4.1886135723315364E-2"/>
          <c:w val="0.85726621250995316"/>
          <c:h val="0.81825320431058424"/>
        </c:manualLayout>
      </c:layout>
      <c:scatterChart>
        <c:scatterStyle val="lineMarker"/>
        <c:varyColors val="0"/>
        <c:ser>
          <c:idx val="5"/>
          <c:order val="0"/>
          <c:tx>
            <c:strRef>
              <c:f>viga_engastada!$S$42</c:f>
              <c:strCache>
                <c:ptCount val="1"/>
                <c:pt idx="0">
                  <c:v>Teórico_E=200 GPa</c:v>
                </c:pt>
              </c:strCache>
            </c:strRef>
          </c:tx>
          <c:spPr>
            <a:ln w="34925">
              <a:solidFill>
                <a:schemeClr val="tx1"/>
              </a:solidFill>
              <a:prstDash val="sysDash"/>
            </a:ln>
          </c:spPr>
          <c:marker>
            <c:symbol val="none"/>
          </c:marker>
          <c:xVal>
            <c:numRef>
              <c:f>viga_engastada!$L$29:$L$39</c:f>
              <c:numCache>
                <c:formatCode>General</c:formatCode>
                <c:ptCount val="11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</c:numCache>
            </c:numRef>
          </c:xVal>
          <c:yVal>
            <c:numRef>
              <c:f>viga_engastada!$N$29:$N$39</c:f>
              <c:numCache>
                <c:formatCode>0.00</c:formatCode>
                <c:ptCount val="11"/>
                <c:pt idx="0">
                  <c:v>0</c:v>
                </c:pt>
                <c:pt idx="1">
                  <c:v>1.8987340064869624</c:v>
                </c:pt>
                <c:pt idx="2">
                  <c:v>3.7974680129739249</c:v>
                </c:pt>
                <c:pt idx="3">
                  <c:v>5.6962020194608876</c:v>
                </c:pt>
                <c:pt idx="4">
                  <c:v>7.5949360259478498</c:v>
                </c:pt>
                <c:pt idx="5">
                  <c:v>9.4936700324348138</c:v>
                </c:pt>
                <c:pt idx="6">
                  <c:v>11.392404038921775</c:v>
                </c:pt>
                <c:pt idx="7">
                  <c:v>13.29113804540874</c:v>
                </c:pt>
                <c:pt idx="8">
                  <c:v>15.1898720518957</c:v>
                </c:pt>
                <c:pt idx="9">
                  <c:v>17.088606058382663</c:v>
                </c:pt>
                <c:pt idx="10">
                  <c:v>18.987340064869628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viga_engastada!$E$39</c:f>
              <c:strCache>
                <c:ptCount val="1"/>
                <c:pt idx="0">
                  <c:v>Exp. 1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5"/>
            <c:spPr>
              <a:noFill/>
            </c:spPr>
          </c:marker>
          <c:xVal>
            <c:numRef>
              <c:f>viga_engastada!$E$42:$E$58</c:f>
              <c:numCache>
                <c:formatCode>0.00</c:formatCode>
                <c:ptCount val="1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1.75</c:v>
                </c:pt>
                <c:pt idx="10">
                  <c:v>1.5</c:v>
                </c:pt>
                <c:pt idx="11">
                  <c:v>1.25</c:v>
                </c:pt>
                <c:pt idx="12">
                  <c:v>1</c:v>
                </c:pt>
                <c:pt idx="13">
                  <c:v>0.75</c:v>
                </c:pt>
                <c:pt idx="14">
                  <c:v>0.5</c:v>
                </c:pt>
                <c:pt idx="15">
                  <c:v>0.25</c:v>
                </c:pt>
                <c:pt idx="16">
                  <c:v>0</c:v>
                </c:pt>
              </c:numCache>
            </c:numRef>
          </c:xVal>
          <c:yVal>
            <c:numRef>
              <c:f>viga_engastada!$H$42:$H$58</c:f>
              <c:numCache>
                <c:formatCode>General</c:formatCode>
                <c:ptCount val="17"/>
                <c:pt idx="0">
                  <c:v>0</c:v>
                </c:pt>
                <c:pt idx="1">
                  <c:v>0.99266000000000099</c:v>
                </c:pt>
                <c:pt idx="2">
                  <c:v>2.7794480000000026</c:v>
                </c:pt>
                <c:pt idx="3">
                  <c:v>4.5662360000000044</c:v>
                </c:pt>
                <c:pt idx="4">
                  <c:v>7.1967850000000011</c:v>
                </c:pt>
                <c:pt idx="5">
                  <c:v>9.9266000000000094</c:v>
                </c:pt>
                <c:pt idx="6">
                  <c:v>11.91191999999999</c:v>
                </c:pt>
                <c:pt idx="7">
                  <c:v>14.889900000000013</c:v>
                </c:pt>
                <c:pt idx="8">
                  <c:v>17.371550000000006</c:v>
                </c:pt>
                <c:pt idx="9">
                  <c:v>14.889900000000013</c:v>
                </c:pt>
                <c:pt idx="10">
                  <c:v>12.408250000000022</c:v>
                </c:pt>
                <c:pt idx="11">
                  <c:v>10.42293000000002</c:v>
                </c:pt>
                <c:pt idx="12">
                  <c:v>7.4449500000000182</c:v>
                </c:pt>
                <c:pt idx="13">
                  <c:v>4.9633000000000047</c:v>
                </c:pt>
                <c:pt idx="14">
                  <c:v>2.9779800000000027</c:v>
                </c:pt>
                <c:pt idx="15">
                  <c:v>1.4889900000000125</c:v>
                </c:pt>
                <c:pt idx="16">
                  <c:v>0</c:v>
                </c:pt>
              </c:numCache>
            </c:numRef>
          </c:yVal>
          <c:smooth val="0"/>
        </c:ser>
        <c:ser>
          <c:idx val="0"/>
          <c:order val="2"/>
          <c:tx>
            <c:strRef>
              <c:f>viga_engastada!$A$78</c:f>
              <c:strCache>
                <c:ptCount val="1"/>
                <c:pt idx="0">
                  <c:v>Exp. 2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noFill/>
            </c:spPr>
          </c:marker>
          <c:xVal>
            <c:numRef>
              <c:f>viga_engastada!$A$81:$A$96</c:f>
              <c:numCache>
                <c:formatCode>0.00</c:formatCode>
                <c:ptCount val="16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1.7</c:v>
                </c:pt>
                <c:pt idx="10">
                  <c:v>1.4</c:v>
                </c:pt>
                <c:pt idx="11">
                  <c:v>1.1000000000000001</c:v>
                </c:pt>
                <c:pt idx="12">
                  <c:v>0.8</c:v>
                </c:pt>
                <c:pt idx="13">
                  <c:v>0.5</c:v>
                </c:pt>
                <c:pt idx="14">
                  <c:v>0.2</c:v>
                </c:pt>
                <c:pt idx="15">
                  <c:v>0</c:v>
                </c:pt>
              </c:numCache>
            </c:numRef>
          </c:xVal>
          <c:yVal>
            <c:numRef>
              <c:f>viga_engastada!$C$81:$C$96</c:f>
              <c:numCache>
                <c:formatCode>General</c:formatCode>
                <c:ptCount val="16"/>
                <c:pt idx="0">
                  <c:v>0</c:v>
                </c:pt>
                <c:pt idx="1">
                  <c:v>1.538623000000007</c:v>
                </c:pt>
                <c:pt idx="2">
                  <c:v>3.4246769999999978</c:v>
                </c:pt>
                <c:pt idx="3">
                  <c:v>5.1618320000000049</c:v>
                </c:pt>
                <c:pt idx="4">
                  <c:v>7.891646999999991</c:v>
                </c:pt>
                <c:pt idx="5">
                  <c:v>10.671094999999994</c:v>
                </c:pt>
                <c:pt idx="6">
                  <c:v>12.60678199999998</c:v>
                </c:pt>
                <c:pt idx="7">
                  <c:v>15.088432000000013</c:v>
                </c:pt>
                <c:pt idx="8">
                  <c:v>18.066411999999996</c:v>
                </c:pt>
                <c:pt idx="9">
                  <c:v>14.095771999999991</c:v>
                </c:pt>
                <c:pt idx="10">
                  <c:v>12.11045199999999</c:v>
                </c:pt>
                <c:pt idx="11">
                  <c:v>9.6288019999999985</c:v>
                </c:pt>
                <c:pt idx="12">
                  <c:v>6.1544920000000056</c:v>
                </c:pt>
                <c:pt idx="13">
                  <c:v>3.6728419999999926</c:v>
                </c:pt>
                <c:pt idx="14">
                  <c:v>1.1911920000000011</c:v>
                </c:pt>
                <c:pt idx="15">
                  <c:v>0.19853200000000018</c:v>
                </c:pt>
              </c:numCache>
            </c:numRef>
          </c:yVal>
          <c:smooth val="0"/>
        </c:ser>
        <c:ser>
          <c:idx val="2"/>
          <c:order val="3"/>
          <c:tx>
            <c:strRef>
              <c:f>viga_engastada!$A$98</c:f>
              <c:strCache>
                <c:ptCount val="1"/>
                <c:pt idx="0">
                  <c:v>Exp. 3</c:v>
                </c:pt>
              </c:strCache>
            </c:strRef>
          </c:tx>
          <c:spPr>
            <a:ln>
              <a:noFill/>
            </a:ln>
          </c:spPr>
          <c:marker>
            <c:symbol val="triangle"/>
            <c:size val="5"/>
          </c:marker>
          <c:xVal>
            <c:numRef>
              <c:f>viga_engastada!$A$100:$A$114</c:f>
              <c:numCache>
                <c:formatCode>General</c:formatCode>
                <c:ptCount val="15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1.6</c:v>
                </c:pt>
                <c:pt idx="10">
                  <c:v>1.2</c:v>
                </c:pt>
                <c:pt idx="11">
                  <c:v>0.9</c:v>
                </c:pt>
                <c:pt idx="12">
                  <c:v>0.6</c:v>
                </c:pt>
                <c:pt idx="13">
                  <c:v>0.2</c:v>
                </c:pt>
                <c:pt idx="14">
                  <c:v>0</c:v>
                </c:pt>
              </c:numCache>
            </c:numRef>
          </c:xVal>
          <c:yVal>
            <c:numRef>
              <c:f>viga_engastada!$C$100:$C$114</c:f>
              <c:numCache>
                <c:formatCode>General</c:formatCode>
                <c:ptCount val="15"/>
                <c:pt idx="0">
                  <c:v>0</c:v>
                </c:pt>
                <c:pt idx="1">
                  <c:v>1.4889899999999905</c:v>
                </c:pt>
                <c:pt idx="2">
                  <c:v>3.375044000000003</c:v>
                </c:pt>
                <c:pt idx="3">
                  <c:v>5.2610979999999943</c:v>
                </c:pt>
                <c:pt idx="4">
                  <c:v>7.6931149999999908</c:v>
                </c:pt>
                <c:pt idx="5">
                  <c:v>10.522195999999989</c:v>
                </c:pt>
                <c:pt idx="6">
                  <c:v>12.656414999999974</c:v>
                </c:pt>
                <c:pt idx="7">
                  <c:v>15.138065000000008</c:v>
                </c:pt>
                <c:pt idx="8">
                  <c:v>18.612374999999979</c:v>
                </c:pt>
                <c:pt idx="9">
                  <c:v>13.649074999999996</c:v>
                </c:pt>
                <c:pt idx="10">
                  <c:v>10.671094999999994</c:v>
                </c:pt>
                <c:pt idx="11">
                  <c:v>7.1967850000000011</c:v>
                </c:pt>
                <c:pt idx="12">
                  <c:v>4.7151349999999876</c:v>
                </c:pt>
                <c:pt idx="13">
                  <c:v>1.7371549999999851</c:v>
                </c:pt>
                <c:pt idx="14">
                  <c:v>0.74449499999998414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viga_engastada!$A$116:$E$116</c:f>
              <c:strCache>
                <c:ptCount val="1"/>
                <c:pt idx="0">
                  <c:v>Exp. 4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</c:marker>
          <c:xVal>
            <c:numRef>
              <c:f>viga_engastada!$A$119:$A$134</c:f>
              <c:numCache>
                <c:formatCode>0.00</c:formatCode>
                <c:ptCount val="16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1.7</c:v>
                </c:pt>
                <c:pt idx="10">
                  <c:v>1.4</c:v>
                </c:pt>
                <c:pt idx="11">
                  <c:v>1.1000000000000001</c:v>
                </c:pt>
                <c:pt idx="12">
                  <c:v>0.8</c:v>
                </c:pt>
                <c:pt idx="13">
                  <c:v>0.5</c:v>
                </c:pt>
                <c:pt idx="14">
                  <c:v>0.2</c:v>
                </c:pt>
                <c:pt idx="15">
                  <c:v>0</c:v>
                </c:pt>
              </c:numCache>
            </c:numRef>
          </c:xVal>
          <c:yVal>
            <c:numRef>
              <c:f>viga_engastada!$E$119:$E$134</c:f>
              <c:numCache>
                <c:formatCode>0.000</c:formatCode>
                <c:ptCount val="16"/>
                <c:pt idx="0">
                  <c:v>0</c:v>
                </c:pt>
                <c:pt idx="1">
                  <c:v>1.538623000000007</c:v>
                </c:pt>
                <c:pt idx="2">
                  <c:v>3.4246769999999978</c:v>
                </c:pt>
                <c:pt idx="3">
                  <c:v>5.1618320000000049</c:v>
                </c:pt>
                <c:pt idx="4">
                  <c:v>7.891646999999991</c:v>
                </c:pt>
                <c:pt idx="5">
                  <c:v>10.671094999999994</c:v>
                </c:pt>
                <c:pt idx="6">
                  <c:v>12.60678199999998</c:v>
                </c:pt>
                <c:pt idx="7">
                  <c:v>15.088432000000013</c:v>
                </c:pt>
                <c:pt idx="8">
                  <c:v>18.066411999999996</c:v>
                </c:pt>
                <c:pt idx="9">
                  <c:v>14.095771999999991</c:v>
                </c:pt>
                <c:pt idx="10">
                  <c:v>12.11045199999999</c:v>
                </c:pt>
                <c:pt idx="11">
                  <c:v>9.6288019999999985</c:v>
                </c:pt>
                <c:pt idx="12">
                  <c:v>6.1544920000000056</c:v>
                </c:pt>
                <c:pt idx="13">
                  <c:v>3.6728419999999926</c:v>
                </c:pt>
                <c:pt idx="14">
                  <c:v>1.1911920000000011</c:v>
                </c:pt>
                <c:pt idx="15" formatCode="0.000E+00">
                  <c:v>0.19853200000000018</c:v>
                </c:pt>
              </c:numCache>
            </c:numRef>
          </c:yVal>
          <c:smooth val="0"/>
        </c:ser>
        <c:ser>
          <c:idx val="3"/>
          <c:order val="5"/>
          <c:tx>
            <c:strRef>
              <c:f>viga_engastada!$H$115</c:f>
              <c:strCache>
                <c:ptCount val="1"/>
                <c:pt idx="0">
                  <c:v>Exp. 5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6"/>
          </c:marker>
          <c:xVal>
            <c:numRef>
              <c:f>viga_engastada!$H$118:$H$125</c:f>
              <c:numCache>
                <c:formatCode>General</c:formatCode>
                <c:ptCount val="8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2</c:v>
                </c:pt>
              </c:numCache>
            </c:numRef>
          </c:xVal>
          <c:yVal>
            <c:numRef>
              <c:f>viga_engastada!$M$118:$M$125</c:f>
              <c:numCache>
                <c:formatCode>0.000E+00</c:formatCode>
                <c:ptCount val="8"/>
                <c:pt idx="0">
                  <c:v>0</c:v>
                </c:pt>
                <c:pt idx="1">
                  <c:v>1.538623000000007</c:v>
                </c:pt>
                <c:pt idx="2">
                  <c:v>3.5239430000000089</c:v>
                </c:pt>
                <c:pt idx="3">
                  <c:v>5.360364000000005</c:v>
                </c:pt>
                <c:pt idx="4">
                  <c:v>7.8420139999999963</c:v>
                </c:pt>
                <c:pt idx="5">
                  <c:v>10.52219600000001</c:v>
                </c:pt>
                <c:pt idx="6">
                  <c:v>12.557148999999985</c:v>
                </c:pt>
                <c:pt idx="7">
                  <c:v>18.016779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viga_engastada!$J$79:$R$79</c:f>
              <c:strCache>
                <c:ptCount val="1"/>
                <c:pt idx="0">
                  <c:v>Exp. 6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xVal>
            <c:numRef>
              <c:f>viga_engastada!$J$81:$J$87</c:f>
              <c:numCache>
                <c:formatCode>General</c:formatCode>
                <c:ptCount val="7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</c:numCache>
            </c:numRef>
          </c:xVal>
          <c:yVal>
            <c:numRef>
              <c:f>viga_engastada!$R$81:$R$87</c:f>
              <c:numCache>
                <c:formatCode>0.000E+00</c:formatCode>
                <c:ptCount val="7"/>
                <c:pt idx="0">
                  <c:v>0</c:v>
                </c:pt>
                <c:pt idx="1">
                  <c:v>2.9779800000000027</c:v>
                </c:pt>
                <c:pt idx="2">
                  <c:v>7.444949999999996</c:v>
                </c:pt>
                <c:pt idx="3">
                  <c:v>11.911920000000011</c:v>
                </c:pt>
                <c:pt idx="4">
                  <c:v>17.371549999999985</c:v>
                </c:pt>
                <c:pt idx="5">
                  <c:v>21.342189999999988</c:v>
                </c:pt>
                <c:pt idx="6">
                  <c:v>27.794479999999982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6997632"/>
        <c:axId val="237381120"/>
      </c:scatterChart>
      <c:valAx>
        <c:axId val="236997632"/>
        <c:scaling>
          <c:orientation val="minMax"/>
          <c:max val="2.5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Carga</a:t>
                </a:r>
                <a:r>
                  <a:rPr lang="en-US" sz="1400" baseline="0"/>
                  <a:t> (kg)</a:t>
                </a:r>
                <a:endParaRPr lang="en-US" sz="1400"/>
              </a:p>
            </c:rich>
          </c:tx>
          <c:overlay val="0"/>
        </c:title>
        <c:numFmt formatCode="General" sourceLinked="1"/>
        <c:majorTickMark val="in"/>
        <c:minorTickMark val="in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237381120"/>
        <c:crosses val="autoZero"/>
        <c:crossBetween val="midCat"/>
      </c:valAx>
      <c:valAx>
        <c:axId val="23738112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 vertical displacement  (mm)</a:t>
                </a:r>
              </a:p>
            </c:rich>
          </c:tx>
          <c:layout>
            <c:manualLayout>
              <c:xMode val="edge"/>
              <c:yMode val="edge"/>
              <c:x val="1.9465333687221681E-3"/>
              <c:y val="0.24266140598515898"/>
            </c:manualLayout>
          </c:layout>
          <c:overlay val="0"/>
        </c:title>
        <c:numFmt formatCode="General" sourceLinked="0"/>
        <c:majorTickMark val="in"/>
        <c:minorTickMark val="in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236997632"/>
        <c:crosses val="autoZero"/>
        <c:crossBetween val="midCat"/>
        <c:majorUnit val="5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6217928233423373"/>
          <c:y val="7.9786851697533523E-2"/>
          <c:w val="0.27633682057955794"/>
          <c:h val="0.42442548848060657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spPr>
              <a:ln w="25400">
                <a:solidFill>
                  <a:srgbClr val="C00000"/>
                </a:solidFill>
              </a:ln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38769794995173179"/>
                  <c:y val="-8.0322769571158983E-2"/>
                </c:manualLayout>
              </c:layout>
              <c:numFmt formatCode="0.0000E+00" sourceLinked="0"/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 sz="1600"/>
                  </a:pPr>
                  <a:endParaRPr lang="en-US"/>
                </a:p>
              </c:txPr>
            </c:trendlineLbl>
          </c:trendline>
          <c:xVal>
            <c:numRef>
              <c:f>viga_engastada!$C$49:$C$52</c:f>
              <c:numCache>
                <c:formatCode>0.000</c:formatCode>
                <c:ptCount val="4"/>
                <c:pt idx="0">
                  <c:v>0</c:v>
                </c:pt>
                <c:pt idx="1">
                  <c:v>-0.17700000000000005</c:v>
                </c:pt>
                <c:pt idx="2">
                  <c:v>-0.20599999999999996</c:v>
                </c:pt>
                <c:pt idx="3">
                  <c:v>-0.4139999999999997</c:v>
                </c:pt>
              </c:numCache>
            </c:numRef>
          </c:xVal>
          <c:yVal>
            <c:numRef>
              <c:f>viga_engastada!$B$49:$B$52</c:f>
              <c:numCache>
                <c:formatCode>0.0</c:formatCode>
                <c:ptCount val="4"/>
                <c:pt idx="0">
                  <c:v>0</c:v>
                </c:pt>
                <c:pt idx="1">
                  <c:v>8</c:v>
                </c:pt>
                <c:pt idx="2">
                  <c:v>12</c:v>
                </c:pt>
                <c:pt idx="3">
                  <c:v>20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0783744"/>
        <c:axId val="240785664"/>
      </c:scatterChart>
      <c:valAx>
        <c:axId val="240783744"/>
        <c:scaling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Volts</a:t>
                </a:r>
              </a:p>
            </c:rich>
          </c:tx>
          <c:layout/>
          <c:overlay val="0"/>
        </c:title>
        <c:numFmt formatCode="0.000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240785664"/>
        <c:crosses val="autoZero"/>
        <c:crossBetween val="midCat"/>
      </c:valAx>
      <c:valAx>
        <c:axId val="240785664"/>
        <c:scaling>
          <c:orientation val="minMax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Distância</a:t>
                </a:r>
                <a:r>
                  <a:rPr lang="en-US" sz="1600" baseline="0"/>
                  <a:t> (mm)</a:t>
                </a:r>
                <a:endParaRPr lang="en-US" sz="1600"/>
              </a:p>
            </c:rich>
          </c:tx>
          <c:layout>
            <c:manualLayout>
              <c:xMode val="edge"/>
              <c:yMode val="edge"/>
              <c:x val="0.95019700837071863"/>
              <c:y val="0.14493097453727374"/>
            </c:manualLayout>
          </c:layout>
          <c:overlay val="0"/>
        </c:title>
        <c:numFmt formatCode="0.0" sourceLinked="1"/>
        <c:majorTickMark val="in"/>
        <c:minorTickMark val="in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2407837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Viga Engastada</a:t>
            </a:r>
          </a:p>
        </c:rich>
      </c:tx>
      <c:layout>
        <c:manualLayout>
          <c:xMode val="edge"/>
          <c:yMode val="edge"/>
          <c:x val="0.44435933099603425"/>
          <c:y val="3.072668832162718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2575849186734869"/>
          <c:y val="4.1886135723315364E-2"/>
          <c:w val="0.84228488227292753"/>
          <c:h val="0.81825320431058424"/>
        </c:manualLayout>
      </c:layout>
      <c:scatterChart>
        <c:scatterStyle val="lineMarker"/>
        <c:varyColors val="0"/>
        <c:ser>
          <c:idx val="3"/>
          <c:order val="0"/>
          <c:tx>
            <c:strRef>
              <c:f>viga_engastada!$P$90:$Q$90</c:f>
              <c:strCache>
                <c:ptCount val="1"/>
                <c:pt idx="0">
                  <c:v>n = 0.4</c:v>
                </c:pt>
              </c:strCache>
            </c:strRef>
          </c:tx>
          <c:spPr>
            <a:ln>
              <a:prstDash val="lgDashDot"/>
            </a:ln>
          </c:spPr>
          <c:marker>
            <c:symbol val="none"/>
          </c:marker>
          <c:xVal>
            <c:numRef>
              <c:f>viga_engastada!$P$92:$P$93</c:f>
              <c:numCache>
                <c:formatCode>General</c:formatCode>
                <c:ptCount val="2"/>
                <c:pt idx="0">
                  <c:v>0</c:v>
                </c:pt>
                <c:pt idx="1">
                  <c:v>500</c:v>
                </c:pt>
              </c:numCache>
            </c:numRef>
          </c:xVal>
          <c:yVal>
            <c:numRef>
              <c:f>viga_engastada!$Q$92:$Q$93</c:f>
              <c:numCache>
                <c:formatCode>General</c:formatCode>
                <c:ptCount val="2"/>
                <c:pt idx="0">
                  <c:v>0</c:v>
                </c:pt>
                <c:pt idx="1">
                  <c:v>200</c:v>
                </c:pt>
              </c:numCache>
            </c:numRef>
          </c:yVal>
          <c:smooth val="0"/>
        </c:ser>
        <c:ser>
          <c:idx val="0"/>
          <c:order val="1"/>
          <c:tx>
            <c:strRef>
              <c:f>viga_engastada!$M$90:$N$90</c:f>
              <c:strCache>
                <c:ptCount val="1"/>
                <c:pt idx="0">
                  <c:v>n = 0.33</c:v>
                </c:pt>
              </c:strCache>
            </c:strRef>
          </c:tx>
          <c:marker>
            <c:symbol val="none"/>
          </c:marker>
          <c:xVal>
            <c:numRef>
              <c:f>viga_engastada!$M$92:$M$93</c:f>
              <c:numCache>
                <c:formatCode>General</c:formatCode>
                <c:ptCount val="2"/>
                <c:pt idx="0">
                  <c:v>0</c:v>
                </c:pt>
                <c:pt idx="1">
                  <c:v>500</c:v>
                </c:pt>
              </c:numCache>
            </c:numRef>
          </c:xVal>
          <c:yVal>
            <c:numRef>
              <c:f>viga_engastada!$N$92:$N$93</c:f>
              <c:numCache>
                <c:formatCode>General</c:formatCode>
                <c:ptCount val="2"/>
                <c:pt idx="0">
                  <c:v>0</c:v>
                </c:pt>
                <c:pt idx="1">
                  <c:v>165</c:v>
                </c:pt>
              </c:numCache>
            </c:numRef>
          </c:yVal>
          <c:smooth val="0"/>
        </c:ser>
        <c:ser>
          <c:idx val="5"/>
          <c:order val="2"/>
          <c:tx>
            <c:strRef>
              <c:f>viga_engastada!$K$90:$L$90</c:f>
              <c:strCache>
                <c:ptCount val="1"/>
                <c:pt idx="0">
                  <c:v>n = 0.25</c:v>
                </c:pt>
              </c:strCache>
            </c:strRef>
          </c:tx>
          <c:spPr>
            <a:ln w="31750">
              <a:solidFill>
                <a:schemeClr val="tx1"/>
              </a:solidFill>
              <a:prstDash val="sysDash"/>
            </a:ln>
          </c:spPr>
          <c:marker>
            <c:symbol val="none"/>
          </c:marker>
          <c:xVal>
            <c:numRef>
              <c:f>viga_engastada!$K$92:$K$93</c:f>
              <c:numCache>
                <c:formatCode>General</c:formatCode>
                <c:ptCount val="2"/>
                <c:pt idx="0">
                  <c:v>0</c:v>
                </c:pt>
                <c:pt idx="1">
                  <c:v>500</c:v>
                </c:pt>
              </c:numCache>
            </c:numRef>
          </c:xVal>
          <c:yVal>
            <c:numRef>
              <c:f>viga_engastada!$L$92:$L$93</c:f>
              <c:numCache>
                <c:formatCode>General</c:formatCode>
                <c:ptCount val="2"/>
                <c:pt idx="0">
                  <c:v>0</c:v>
                </c:pt>
                <c:pt idx="1">
                  <c:v>125</c:v>
                </c:pt>
              </c:numCache>
            </c:numRef>
          </c:yVal>
          <c:smooth val="0"/>
        </c:ser>
        <c:ser>
          <c:idx val="1"/>
          <c:order val="3"/>
          <c:tx>
            <c:strRef>
              <c:f>viga_engastada!$A$78</c:f>
              <c:strCache>
                <c:ptCount val="1"/>
                <c:pt idx="0">
                  <c:v>Exp. 2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noFill/>
            </c:spPr>
          </c:marker>
          <c:xVal>
            <c:numRef>
              <c:f>viga_engastada!$G$81:$G$96</c:f>
              <c:numCache>
                <c:formatCode>General</c:formatCode>
                <c:ptCount val="16"/>
                <c:pt idx="0">
                  <c:v>5.5</c:v>
                </c:pt>
                <c:pt idx="1">
                  <c:v>50</c:v>
                </c:pt>
                <c:pt idx="2">
                  <c:v>94</c:v>
                </c:pt>
                <c:pt idx="3">
                  <c:v>139</c:v>
                </c:pt>
                <c:pt idx="4">
                  <c:v>184.5</c:v>
                </c:pt>
                <c:pt idx="5">
                  <c:v>228.5</c:v>
                </c:pt>
                <c:pt idx="6">
                  <c:v>274.5</c:v>
                </c:pt>
                <c:pt idx="7">
                  <c:v>319</c:v>
                </c:pt>
                <c:pt idx="8">
                  <c:v>363</c:v>
                </c:pt>
                <c:pt idx="9">
                  <c:v>310</c:v>
                </c:pt>
                <c:pt idx="10">
                  <c:v>258.5</c:v>
                </c:pt>
                <c:pt idx="11">
                  <c:v>203.5</c:v>
                </c:pt>
                <c:pt idx="12">
                  <c:v>149.5</c:v>
                </c:pt>
                <c:pt idx="13">
                  <c:v>95</c:v>
                </c:pt>
                <c:pt idx="14">
                  <c:v>41</c:v>
                </c:pt>
                <c:pt idx="15">
                  <c:v>5</c:v>
                </c:pt>
              </c:numCache>
            </c:numRef>
          </c:xVal>
          <c:yVal>
            <c:numRef>
              <c:f>viga_engastada!$H$81:$H$96</c:f>
              <c:numCache>
                <c:formatCode>General</c:formatCode>
                <c:ptCount val="16"/>
                <c:pt idx="0">
                  <c:v>11</c:v>
                </c:pt>
                <c:pt idx="1">
                  <c:v>28</c:v>
                </c:pt>
                <c:pt idx="2">
                  <c:v>39</c:v>
                </c:pt>
                <c:pt idx="3">
                  <c:v>54</c:v>
                </c:pt>
                <c:pt idx="4">
                  <c:v>69</c:v>
                </c:pt>
                <c:pt idx="5">
                  <c:v>83</c:v>
                </c:pt>
                <c:pt idx="6">
                  <c:v>99</c:v>
                </c:pt>
                <c:pt idx="7">
                  <c:v>111</c:v>
                </c:pt>
                <c:pt idx="8">
                  <c:v>124</c:v>
                </c:pt>
                <c:pt idx="9">
                  <c:v>109</c:v>
                </c:pt>
                <c:pt idx="10">
                  <c:v>95</c:v>
                </c:pt>
                <c:pt idx="11">
                  <c:v>77</c:v>
                </c:pt>
                <c:pt idx="12">
                  <c:v>59</c:v>
                </c:pt>
                <c:pt idx="13">
                  <c:v>41</c:v>
                </c:pt>
                <c:pt idx="14">
                  <c:v>23</c:v>
                </c:pt>
                <c:pt idx="15">
                  <c:v>10</c:v>
                </c:pt>
              </c:numCache>
            </c:numRef>
          </c:yVal>
          <c:smooth val="0"/>
        </c:ser>
        <c:ser>
          <c:idx val="2"/>
          <c:order val="4"/>
          <c:tx>
            <c:strRef>
              <c:f>viga_engastada!$A$98:$I$98</c:f>
              <c:strCache>
                <c:ptCount val="1"/>
                <c:pt idx="0">
                  <c:v>Exp. 3</c:v>
                </c:pt>
              </c:strCache>
            </c:strRef>
          </c:tx>
          <c:spPr>
            <a:ln>
              <a:noFill/>
            </a:ln>
          </c:spPr>
          <c:marker>
            <c:symbol val="triangle"/>
            <c:size val="6"/>
          </c:marker>
          <c:xVal>
            <c:numRef>
              <c:f>viga_engastada!$E$100:$E$114</c:f>
              <c:numCache>
                <c:formatCode>General</c:formatCode>
                <c:ptCount val="15"/>
                <c:pt idx="0">
                  <c:v>0</c:v>
                </c:pt>
                <c:pt idx="1">
                  <c:v>36.5</c:v>
                </c:pt>
                <c:pt idx="2">
                  <c:v>75</c:v>
                </c:pt>
                <c:pt idx="3">
                  <c:v>112.5</c:v>
                </c:pt>
                <c:pt idx="4">
                  <c:v>149.5</c:v>
                </c:pt>
                <c:pt idx="5">
                  <c:v>188</c:v>
                </c:pt>
                <c:pt idx="6">
                  <c:v>225</c:v>
                </c:pt>
                <c:pt idx="7">
                  <c:v>263.5</c:v>
                </c:pt>
                <c:pt idx="8">
                  <c:v>301</c:v>
                </c:pt>
                <c:pt idx="9">
                  <c:v>241</c:v>
                </c:pt>
                <c:pt idx="10">
                  <c:v>181</c:v>
                </c:pt>
                <c:pt idx="11">
                  <c:v>135</c:v>
                </c:pt>
                <c:pt idx="12">
                  <c:v>90.5</c:v>
                </c:pt>
                <c:pt idx="13">
                  <c:v>29</c:v>
                </c:pt>
                <c:pt idx="14">
                  <c:v>0.5</c:v>
                </c:pt>
              </c:numCache>
            </c:numRef>
          </c:xVal>
          <c:yVal>
            <c:numRef>
              <c:f>viga_engastada!$G$100:$G$114</c:f>
              <c:numCache>
                <c:formatCode>General</c:formatCode>
                <c:ptCount val="15"/>
                <c:pt idx="0">
                  <c:v>11</c:v>
                </c:pt>
                <c:pt idx="1">
                  <c:v>26</c:v>
                </c:pt>
                <c:pt idx="2">
                  <c:v>40</c:v>
                </c:pt>
                <c:pt idx="3">
                  <c:v>54</c:v>
                </c:pt>
                <c:pt idx="4">
                  <c:v>68</c:v>
                </c:pt>
                <c:pt idx="5">
                  <c:v>83</c:v>
                </c:pt>
                <c:pt idx="6">
                  <c:v>98</c:v>
                </c:pt>
                <c:pt idx="7">
                  <c:v>111</c:v>
                </c:pt>
                <c:pt idx="8">
                  <c:v>125</c:v>
                </c:pt>
                <c:pt idx="9">
                  <c:v>103</c:v>
                </c:pt>
                <c:pt idx="10">
                  <c:v>83</c:v>
                </c:pt>
                <c:pt idx="11">
                  <c:v>63</c:v>
                </c:pt>
                <c:pt idx="12">
                  <c:v>46</c:v>
                </c:pt>
                <c:pt idx="13">
                  <c:v>22</c:v>
                </c:pt>
                <c:pt idx="14">
                  <c:v>10</c:v>
                </c:pt>
              </c:numCache>
            </c:numRef>
          </c:yVal>
          <c:smooth val="0"/>
        </c:ser>
        <c:ser>
          <c:idx val="4"/>
          <c:order val="5"/>
          <c:tx>
            <c:strRef>
              <c:f>viga_engastada!$H$115</c:f>
              <c:strCache>
                <c:ptCount val="1"/>
                <c:pt idx="0">
                  <c:v>Exp. 5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</c:spPr>
          </c:marker>
          <c:xVal>
            <c:numRef>
              <c:f>viga_engastada!$N$119:$N$126</c:f>
              <c:numCache>
                <c:formatCode>General</c:formatCode>
                <c:ptCount val="8"/>
                <c:pt idx="0">
                  <c:v>36.125</c:v>
                </c:pt>
                <c:pt idx="1">
                  <c:v>72.75</c:v>
                </c:pt>
                <c:pt idx="2">
                  <c:v>109.125</c:v>
                </c:pt>
                <c:pt idx="3">
                  <c:v>145.5</c:v>
                </c:pt>
                <c:pt idx="4">
                  <c:v>181.875</c:v>
                </c:pt>
                <c:pt idx="5">
                  <c:v>218.25</c:v>
                </c:pt>
                <c:pt idx="6">
                  <c:v>291</c:v>
                </c:pt>
              </c:numCache>
            </c:numRef>
          </c:xVal>
          <c:yVal>
            <c:numRef>
              <c:f>viga_engastada!$O$118:$O$125</c:f>
              <c:numCache>
                <c:formatCode>General</c:formatCode>
                <c:ptCount val="8"/>
                <c:pt idx="0">
                  <c:v>0</c:v>
                </c:pt>
                <c:pt idx="1">
                  <c:v>7.75</c:v>
                </c:pt>
                <c:pt idx="2">
                  <c:v>5.5</c:v>
                </c:pt>
                <c:pt idx="3">
                  <c:v>5.75</c:v>
                </c:pt>
                <c:pt idx="4">
                  <c:v>9</c:v>
                </c:pt>
                <c:pt idx="5">
                  <c:v>11.25</c:v>
                </c:pt>
                <c:pt idx="6">
                  <c:v>14.5</c:v>
                </c:pt>
                <c:pt idx="7">
                  <c:v>19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viga_engastada!$J$79:$R$79</c:f>
              <c:strCache>
                <c:ptCount val="1"/>
                <c:pt idx="0">
                  <c:v>Exp. 6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viga_engastada!$Q$81:$Q$87</c:f>
              <c:numCache>
                <c:formatCode>General</c:formatCode>
                <c:ptCount val="7"/>
                <c:pt idx="0">
                  <c:v>0</c:v>
                </c:pt>
                <c:pt idx="1">
                  <c:v>154</c:v>
                </c:pt>
                <c:pt idx="2">
                  <c:v>303</c:v>
                </c:pt>
                <c:pt idx="3">
                  <c:v>459</c:v>
                </c:pt>
                <c:pt idx="4">
                  <c:v>610</c:v>
                </c:pt>
                <c:pt idx="5">
                  <c:v>756</c:v>
                </c:pt>
                <c:pt idx="6">
                  <c:v>910</c:v>
                </c:pt>
              </c:numCache>
            </c:numRef>
          </c:xVal>
          <c:yVal>
            <c:numRef>
              <c:f>viga_engastada!$O$81:$O$87</c:f>
              <c:numCache>
                <c:formatCode>General</c:formatCode>
                <c:ptCount val="7"/>
                <c:pt idx="0">
                  <c:v>0</c:v>
                </c:pt>
                <c:pt idx="1">
                  <c:v>29</c:v>
                </c:pt>
                <c:pt idx="2">
                  <c:v>57</c:v>
                </c:pt>
                <c:pt idx="3">
                  <c:v>89</c:v>
                </c:pt>
                <c:pt idx="4">
                  <c:v>114</c:v>
                </c:pt>
                <c:pt idx="5">
                  <c:v>139</c:v>
                </c:pt>
                <c:pt idx="6">
                  <c:v>172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2604288"/>
        <c:axId val="245973760"/>
      </c:scatterChart>
      <c:valAx>
        <c:axId val="242604288"/>
        <c:scaling>
          <c:orientation val="minMax"/>
          <c:max val="600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 b="1" i="0" u="none" strike="noStrike" baseline="0">
                    <a:effectLst/>
                  </a:rPr>
                  <a:t>Strain x (</a:t>
                </a:r>
                <a:r>
                  <a:rPr lang="en-US" sz="1400" b="1" i="0" u="none" strike="noStrike" baseline="0">
                    <a:effectLst/>
                    <a:latin typeface="Symbol" pitchFamily="18" charset="2"/>
                  </a:rPr>
                  <a:t>m</a:t>
                </a:r>
                <a:r>
                  <a:rPr lang="en-US" sz="1400" b="1" i="0" u="none" strike="noStrike" baseline="0">
                    <a:effectLst/>
                  </a:rPr>
                  <a:t> mm/mm)</a:t>
                </a:r>
                <a:endParaRPr lang="en-US" sz="1400"/>
              </a:p>
            </c:rich>
          </c:tx>
          <c:layout>
            <c:manualLayout>
              <c:xMode val="edge"/>
              <c:yMode val="edge"/>
              <c:x val="0.44650984694328938"/>
              <c:y val="0.93832682386850186"/>
            </c:manualLayout>
          </c:layout>
          <c:overlay val="0"/>
        </c:title>
        <c:numFmt formatCode="General" sourceLinked="1"/>
        <c:majorTickMark val="in"/>
        <c:minorTickMark val="in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245973760"/>
        <c:crosses val="autoZero"/>
        <c:crossBetween val="midCat"/>
      </c:valAx>
      <c:valAx>
        <c:axId val="24597376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abs (Strain y) (</a:t>
                </a:r>
                <a:r>
                  <a:rPr lang="en-US" sz="1400">
                    <a:latin typeface="Symbol" pitchFamily="18" charset="2"/>
                  </a:rPr>
                  <a:t>m</a:t>
                </a:r>
                <a:r>
                  <a:rPr lang="en-US" sz="1400"/>
                  <a:t> mm/mm)</a:t>
                </a:r>
              </a:p>
            </c:rich>
          </c:tx>
          <c:layout>
            <c:manualLayout>
              <c:xMode val="edge"/>
              <c:yMode val="edge"/>
              <c:x val="1.8126302751481905E-2"/>
              <c:y val="0.26729025251153948"/>
            </c:manualLayout>
          </c:layout>
          <c:overlay val="0"/>
        </c:title>
        <c:numFmt formatCode="General" sourceLinked="0"/>
        <c:majorTickMark val="in"/>
        <c:minorTickMark val="in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242604288"/>
        <c:crosses val="autoZero"/>
        <c:crossBetween val="midCat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r"/>
      <c:legendEntry>
        <c:idx val="0"/>
        <c:txPr>
          <a:bodyPr/>
          <a:lstStyle/>
          <a:p>
            <a:pPr>
              <a:defRPr sz="1400">
                <a:latin typeface="Symbol" pitchFamily="18" charset="2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1400">
                <a:latin typeface="Symbol" pitchFamily="18" charset="2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1400">
                <a:latin typeface="Symbol" pitchFamily="18" charset="2"/>
              </a:defRPr>
            </a:pPr>
            <a:endParaRPr lang="en-US"/>
          </a:p>
        </c:txPr>
      </c:legendEntry>
      <c:layout>
        <c:manualLayout>
          <c:xMode val="edge"/>
          <c:yMode val="edge"/>
          <c:x val="0.16217928233423373"/>
          <c:y val="7.9786851697533523E-2"/>
          <c:w val="0.15097542245421569"/>
          <c:h val="0.42665657177468197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.xml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chart" Target="../charts/chart3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9.emf"/><Relationship Id="rId5" Type="http://schemas.openxmlformats.org/officeDocument/2006/relationships/image" Target="../media/image5.png"/><Relationship Id="rId10" Type="http://schemas.openxmlformats.org/officeDocument/2006/relationships/image" Target="../media/image8.png"/><Relationship Id="rId4" Type="http://schemas.openxmlformats.org/officeDocument/2006/relationships/image" Target="../media/image4.png"/><Relationship Id="rId9" Type="http://schemas.openxmlformats.org/officeDocument/2006/relationships/chart" Target="../charts/chart2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chart" Target="../charts/chart7.xml"/><Relationship Id="rId3" Type="http://schemas.openxmlformats.org/officeDocument/2006/relationships/image" Target="../media/image2.png"/><Relationship Id="rId7" Type="http://schemas.openxmlformats.org/officeDocument/2006/relationships/image" Target="../media/image5.png"/><Relationship Id="rId12" Type="http://schemas.openxmlformats.org/officeDocument/2006/relationships/chart" Target="../charts/chart6.xml"/><Relationship Id="rId2" Type="http://schemas.openxmlformats.org/officeDocument/2006/relationships/image" Target="../media/image1.png"/><Relationship Id="rId1" Type="http://schemas.openxmlformats.org/officeDocument/2006/relationships/image" Target="../media/image10.png"/><Relationship Id="rId6" Type="http://schemas.openxmlformats.org/officeDocument/2006/relationships/image" Target="../media/image11.png"/><Relationship Id="rId11" Type="http://schemas.openxmlformats.org/officeDocument/2006/relationships/chart" Target="../charts/chart5.xml"/><Relationship Id="rId5" Type="http://schemas.openxmlformats.org/officeDocument/2006/relationships/image" Target="../media/image4.png"/><Relationship Id="rId10" Type="http://schemas.openxmlformats.org/officeDocument/2006/relationships/chart" Target="../charts/chart4.xml"/><Relationship Id="rId4" Type="http://schemas.openxmlformats.org/officeDocument/2006/relationships/image" Target="../media/image3.png"/><Relationship Id="rId9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0</xdr:row>
      <xdr:rowOff>45131</xdr:rowOff>
    </xdr:from>
    <xdr:to>
      <xdr:col>5</xdr:col>
      <xdr:colOff>288498</xdr:colOff>
      <xdr:row>12</xdr:row>
      <xdr:rowOff>24130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275" y="45131"/>
          <a:ext cx="3984198" cy="1964432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14</xdr:row>
      <xdr:rowOff>76200</xdr:rowOff>
    </xdr:from>
    <xdr:to>
      <xdr:col>4</xdr:col>
      <xdr:colOff>402167</xdr:colOff>
      <xdr:row>32</xdr:row>
      <xdr:rowOff>151930</xdr:rowOff>
    </xdr:to>
    <xdr:pic>
      <xdr:nvPicPr>
        <xdr:cNvPr id="4" name="Imagem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9288" t="11648" r="8321"/>
        <a:stretch/>
      </xdr:blipFill>
      <xdr:spPr>
        <a:xfrm>
          <a:off x="819150" y="2381250"/>
          <a:ext cx="2907242" cy="3323755"/>
        </a:xfrm>
        <a:prstGeom prst="rect">
          <a:avLst/>
        </a:prstGeom>
      </xdr:spPr>
    </xdr:pic>
    <xdr:clientData/>
  </xdr:twoCellAnchor>
  <xdr:twoCellAnchor editAs="oneCell">
    <xdr:from>
      <xdr:col>14</xdr:col>
      <xdr:colOff>180975</xdr:colOff>
      <xdr:row>22</xdr:row>
      <xdr:rowOff>76200</xdr:rowOff>
    </xdr:from>
    <xdr:to>
      <xdr:col>15</xdr:col>
      <xdr:colOff>457069</xdr:colOff>
      <xdr:row>23</xdr:row>
      <xdr:rowOff>152367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001500" y="3810000"/>
          <a:ext cx="1057144" cy="266667"/>
        </a:xfrm>
        <a:prstGeom prst="rect">
          <a:avLst/>
        </a:prstGeom>
      </xdr:spPr>
    </xdr:pic>
    <xdr:clientData/>
  </xdr:twoCellAnchor>
  <xdr:twoCellAnchor editAs="oneCell">
    <xdr:from>
      <xdr:col>17</xdr:col>
      <xdr:colOff>19050</xdr:colOff>
      <xdr:row>22</xdr:row>
      <xdr:rowOff>180975</xdr:rowOff>
    </xdr:from>
    <xdr:to>
      <xdr:col>18</xdr:col>
      <xdr:colOff>104661</xdr:colOff>
      <xdr:row>24</xdr:row>
      <xdr:rowOff>28546</xdr:rowOff>
    </xdr:to>
    <xdr:pic>
      <xdr:nvPicPr>
        <xdr:cNvPr id="6" name="Imagem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839825" y="3914775"/>
          <a:ext cx="914286" cy="228571"/>
        </a:xfrm>
        <a:prstGeom prst="rect">
          <a:avLst/>
        </a:prstGeom>
      </xdr:spPr>
    </xdr:pic>
    <xdr:clientData/>
  </xdr:twoCellAnchor>
  <xdr:twoCellAnchor>
    <xdr:from>
      <xdr:col>20</xdr:col>
      <xdr:colOff>209550</xdr:colOff>
      <xdr:row>4</xdr:row>
      <xdr:rowOff>104775</xdr:rowOff>
    </xdr:from>
    <xdr:to>
      <xdr:col>20</xdr:col>
      <xdr:colOff>209551</xdr:colOff>
      <xdr:row>11</xdr:row>
      <xdr:rowOff>142875</xdr:rowOff>
    </xdr:to>
    <xdr:cxnSp macro="">
      <xdr:nvCxnSpPr>
        <xdr:cNvPr id="8" name="Conector de seta reta 7"/>
        <xdr:cNvCxnSpPr/>
      </xdr:nvCxnSpPr>
      <xdr:spPr>
        <a:xfrm flipH="1">
          <a:off x="15954375" y="752475"/>
          <a:ext cx="1" cy="117157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390525</xdr:colOff>
      <xdr:row>10</xdr:row>
      <xdr:rowOff>57150</xdr:rowOff>
    </xdr:from>
    <xdr:to>
      <xdr:col>20</xdr:col>
      <xdr:colOff>190500</xdr:colOff>
      <xdr:row>10</xdr:row>
      <xdr:rowOff>76200</xdr:rowOff>
    </xdr:to>
    <xdr:cxnSp macro="">
      <xdr:nvCxnSpPr>
        <xdr:cNvPr id="9" name="Conector de seta reta 8"/>
        <xdr:cNvCxnSpPr/>
      </xdr:nvCxnSpPr>
      <xdr:spPr>
        <a:xfrm>
          <a:off x="12211050" y="1676400"/>
          <a:ext cx="3724275" cy="1905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16</xdr:col>
      <xdr:colOff>228600</xdr:colOff>
      <xdr:row>13</xdr:row>
      <xdr:rowOff>104775</xdr:rowOff>
    </xdr:from>
    <xdr:to>
      <xdr:col>18</xdr:col>
      <xdr:colOff>180801</xdr:colOff>
      <xdr:row>18</xdr:row>
      <xdr:rowOff>142764</xdr:rowOff>
    </xdr:to>
    <xdr:pic>
      <xdr:nvPicPr>
        <xdr:cNvPr id="10" name="Imagem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439775" y="2247900"/>
          <a:ext cx="1390476" cy="885714"/>
        </a:xfrm>
        <a:prstGeom prst="rect">
          <a:avLst/>
        </a:prstGeom>
      </xdr:spPr>
    </xdr:pic>
    <xdr:clientData/>
  </xdr:twoCellAnchor>
  <xdr:twoCellAnchor editAs="oneCell">
    <xdr:from>
      <xdr:col>19</xdr:col>
      <xdr:colOff>47625</xdr:colOff>
      <xdr:row>14</xdr:row>
      <xdr:rowOff>38100</xdr:rowOff>
    </xdr:from>
    <xdr:to>
      <xdr:col>20</xdr:col>
      <xdr:colOff>66596</xdr:colOff>
      <xdr:row>16</xdr:row>
      <xdr:rowOff>171393</xdr:rowOff>
    </xdr:to>
    <xdr:pic>
      <xdr:nvPicPr>
        <xdr:cNvPr id="11" name="Imagem 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82850" y="2343150"/>
          <a:ext cx="628571" cy="457143"/>
        </a:xfrm>
        <a:prstGeom prst="rect">
          <a:avLst/>
        </a:prstGeom>
      </xdr:spPr>
    </xdr:pic>
    <xdr:clientData/>
  </xdr:twoCellAnchor>
  <xdr:twoCellAnchor editAs="oneCell">
    <xdr:from>
      <xdr:col>14</xdr:col>
      <xdr:colOff>257175</xdr:colOff>
      <xdr:row>18</xdr:row>
      <xdr:rowOff>133350</xdr:rowOff>
    </xdr:from>
    <xdr:to>
      <xdr:col>15</xdr:col>
      <xdr:colOff>552317</xdr:colOff>
      <xdr:row>21</xdr:row>
      <xdr:rowOff>161852</xdr:rowOff>
    </xdr:to>
    <xdr:pic>
      <xdr:nvPicPr>
        <xdr:cNvPr id="12" name="Imagem 1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077700" y="3124200"/>
          <a:ext cx="1076192" cy="580952"/>
        </a:xfrm>
        <a:prstGeom prst="rect">
          <a:avLst/>
        </a:prstGeom>
      </xdr:spPr>
    </xdr:pic>
    <xdr:clientData/>
  </xdr:twoCellAnchor>
  <xdr:twoCellAnchor>
    <xdr:from>
      <xdr:col>11</xdr:col>
      <xdr:colOff>153457</xdr:colOff>
      <xdr:row>38</xdr:row>
      <xdr:rowOff>38100</xdr:rowOff>
    </xdr:from>
    <xdr:to>
      <xdr:col>20</xdr:col>
      <xdr:colOff>70907</xdr:colOff>
      <xdr:row>68</xdr:row>
      <xdr:rowOff>25400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390524</xdr:colOff>
      <xdr:row>71</xdr:row>
      <xdr:rowOff>93133</xdr:rowOff>
    </xdr:from>
    <xdr:to>
      <xdr:col>29</xdr:col>
      <xdr:colOff>305857</xdr:colOff>
      <xdr:row>98</xdr:row>
      <xdr:rowOff>141816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4</xdr:col>
      <xdr:colOff>521757</xdr:colOff>
      <xdr:row>13</xdr:row>
      <xdr:rowOff>22225</xdr:rowOff>
    </xdr:from>
    <xdr:to>
      <xdr:col>10</xdr:col>
      <xdr:colOff>673742</xdr:colOff>
      <xdr:row>24</xdr:row>
      <xdr:rowOff>21167</xdr:rowOff>
    </xdr:to>
    <xdr:pic>
      <xdr:nvPicPr>
        <xdr:cNvPr id="17" name="Imagem 1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845982" y="2165350"/>
          <a:ext cx="4590635" cy="1970617"/>
        </a:xfrm>
        <a:prstGeom prst="rect">
          <a:avLst/>
        </a:prstGeom>
      </xdr:spPr>
    </xdr:pic>
    <xdr:clientData/>
  </xdr:twoCellAnchor>
  <xdr:twoCellAnchor editAs="oneCell">
    <xdr:from>
      <xdr:col>14</xdr:col>
      <xdr:colOff>116416</xdr:colOff>
      <xdr:row>0</xdr:row>
      <xdr:rowOff>0</xdr:rowOff>
    </xdr:from>
    <xdr:to>
      <xdr:col>19</xdr:col>
      <xdr:colOff>511175</xdr:colOff>
      <xdr:row>11</xdr:row>
      <xdr:rowOff>116417</xdr:rowOff>
    </xdr:to>
    <xdr:pic>
      <xdr:nvPicPr>
        <xdr:cNvPr id="18" name="Imagem 1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0" t="28673" r="24020" b="28674"/>
        <a:stretch/>
      </xdr:blipFill>
      <xdr:spPr bwMode="auto">
        <a:xfrm>
          <a:off x="11948583" y="0"/>
          <a:ext cx="4085167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542925</xdr:colOff>
      <xdr:row>57</xdr:row>
      <xdr:rowOff>57150</xdr:rowOff>
    </xdr:from>
    <xdr:to>
      <xdr:col>9</xdr:col>
      <xdr:colOff>40217</xdr:colOff>
      <xdr:row>73</xdr:row>
      <xdr:rowOff>155575</xdr:rowOff>
    </xdr:to>
    <xdr:graphicFrame macro="">
      <xdr:nvGraphicFramePr>
        <xdr:cNvPr id="16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266700</xdr:colOff>
      <xdr:row>1</xdr:row>
      <xdr:rowOff>28575</xdr:rowOff>
    </xdr:from>
    <xdr:to>
      <xdr:col>12</xdr:col>
      <xdr:colOff>348352</xdr:colOff>
      <xdr:row>11</xdr:row>
      <xdr:rowOff>37897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24300" y="190500"/>
          <a:ext cx="5228572" cy="1628572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0</xdr:row>
      <xdr:rowOff>45131</xdr:rowOff>
    </xdr:from>
    <xdr:to>
      <xdr:col>5</xdr:col>
      <xdr:colOff>288498</xdr:colOff>
      <xdr:row>12</xdr:row>
      <xdr:rowOff>66463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5275" y="45131"/>
          <a:ext cx="3961973" cy="1964432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14</xdr:row>
      <xdr:rowOff>76200</xdr:rowOff>
    </xdr:from>
    <xdr:to>
      <xdr:col>4</xdr:col>
      <xdr:colOff>402167</xdr:colOff>
      <xdr:row>32</xdr:row>
      <xdr:rowOff>151930</xdr:rowOff>
    </xdr:to>
    <xdr:pic>
      <xdr:nvPicPr>
        <xdr:cNvPr id="4" name="Imagem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9288" t="11648" r="8321"/>
        <a:stretch/>
      </xdr:blipFill>
      <xdr:spPr>
        <a:xfrm>
          <a:off x="685800" y="2381250"/>
          <a:ext cx="2895601" cy="3323755"/>
        </a:xfrm>
        <a:prstGeom prst="rect">
          <a:avLst/>
        </a:prstGeom>
      </xdr:spPr>
    </xdr:pic>
    <xdr:clientData/>
  </xdr:twoCellAnchor>
  <xdr:twoCellAnchor editAs="oneCell">
    <xdr:from>
      <xdr:col>14</xdr:col>
      <xdr:colOff>180975</xdr:colOff>
      <xdr:row>22</xdr:row>
      <xdr:rowOff>76200</xdr:rowOff>
    </xdr:from>
    <xdr:to>
      <xdr:col>15</xdr:col>
      <xdr:colOff>457069</xdr:colOff>
      <xdr:row>23</xdr:row>
      <xdr:rowOff>152367</xdr:rowOff>
    </xdr:to>
    <xdr:pic>
      <xdr:nvPicPr>
        <xdr:cNvPr id="6" name="Imagem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810750" y="3810000"/>
          <a:ext cx="1057143" cy="266667"/>
        </a:xfrm>
        <a:prstGeom prst="rect">
          <a:avLst/>
        </a:prstGeom>
      </xdr:spPr>
    </xdr:pic>
    <xdr:clientData/>
  </xdr:twoCellAnchor>
  <xdr:twoCellAnchor editAs="oneCell">
    <xdr:from>
      <xdr:col>17</xdr:col>
      <xdr:colOff>19050</xdr:colOff>
      <xdr:row>22</xdr:row>
      <xdr:rowOff>180975</xdr:rowOff>
    </xdr:from>
    <xdr:to>
      <xdr:col>18</xdr:col>
      <xdr:colOff>238011</xdr:colOff>
      <xdr:row>24</xdr:row>
      <xdr:rowOff>28546</xdr:rowOff>
    </xdr:to>
    <xdr:pic>
      <xdr:nvPicPr>
        <xdr:cNvPr id="7" name="Imagem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649075" y="3914775"/>
          <a:ext cx="914286" cy="228571"/>
        </a:xfrm>
        <a:prstGeom prst="rect">
          <a:avLst/>
        </a:prstGeom>
      </xdr:spPr>
    </xdr:pic>
    <xdr:clientData/>
  </xdr:twoCellAnchor>
  <xdr:twoCellAnchor editAs="oneCell">
    <xdr:from>
      <xdr:col>14</xdr:col>
      <xdr:colOff>161925</xdr:colOff>
      <xdr:row>0</xdr:row>
      <xdr:rowOff>95250</xdr:rowOff>
    </xdr:from>
    <xdr:to>
      <xdr:col>20</xdr:col>
      <xdr:colOff>635474</xdr:colOff>
      <xdr:row>12</xdr:row>
      <xdr:rowOff>123579</xdr:rowOff>
    </xdr:to>
    <xdr:pic>
      <xdr:nvPicPr>
        <xdr:cNvPr id="8" name="Imagem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91700" y="95250"/>
          <a:ext cx="4685715" cy="1971429"/>
        </a:xfrm>
        <a:prstGeom prst="rect">
          <a:avLst/>
        </a:prstGeom>
      </xdr:spPr>
    </xdr:pic>
    <xdr:clientData/>
  </xdr:twoCellAnchor>
  <xdr:twoCellAnchor>
    <xdr:from>
      <xdr:col>20</xdr:col>
      <xdr:colOff>209550</xdr:colOff>
      <xdr:row>4</xdr:row>
      <xdr:rowOff>104775</xdr:rowOff>
    </xdr:from>
    <xdr:to>
      <xdr:col>20</xdr:col>
      <xdr:colOff>209551</xdr:colOff>
      <xdr:row>11</xdr:row>
      <xdr:rowOff>142875</xdr:rowOff>
    </xdr:to>
    <xdr:cxnSp macro="">
      <xdr:nvCxnSpPr>
        <xdr:cNvPr id="10" name="Conector de seta reta 9"/>
        <xdr:cNvCxnSpPr/>
      </xdr:nvCxnSpPr>
      <xdr:spPr>
        <a:xfrm flipH="1">
          <a:off x="13763625" y="752475"/>
          <a:ext cx="1" cy="117157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390525</xdr:colOff>
      <xdr:row>10</xdr:row>
      <xdr:rowOff>57150</xdr:rowOff>
    </xdr:from>
    <xdr:to>
      <xdr:col>20</xdr:col>
      <xdr:colOff>190500</xdr:colOff>
      <xdr:row>10</xdr:row>
      <xdr:rowOff>76200</xdr:rowOff>
    </xdr:to>
    <xdr:cxnSp macro="">
      <xdr:nvCxnSpPr>
        <xdr:cNvPr id="15" name="Conector de seta reta 14"/>
        <xdr:cNvCxnSpPr/>
      </xdr:nvCxnSpPr>
      <xdr:spPr>
        <a:xfrm>
          <a:off x="10020300" y="1676400"/>
          <a:ext cx="3724275" cy="1905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16</xdr:col>
      <xdr:colOff>228600</xdr:colOff>
      <xdr:row>13</xdr:row>
      <xdr:rowOff>104775</xdr:rowOff>
    </xdr:from>
    <xdr:to>
      <xdr:col>18</xdr:col>
      <xdr:colOff>314151</xdr:colOff>
      <xdr:row>18</xdr:row>
      <xdr:rowOff>142764</xdr:rowOff>
    </xdr:to>
    <xdr:pic>
      <xdr:nvPicPr>
        <xdr:cNvPr id="16" name="Imagem 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249025" y="2247900"/>
          <a:ext cx="1390476" cy="885714"/>
        </a:xfrm>
        <a:prstGeom prst="rect">
          <a:avLst/>
        </a:prstGeom>
      </xdr:spPr>
    </xdr:pic>
    <xdr:clientData/>
  </xdr:twoCellAnchor>
  <xdr:twoCellAnchor editAs="oneCell">
    <xdr:from>
      <xdr:col>19</xdr:col>
      <xdr:colOff>47625</xdr:colOff>
      <xdr:row>14</xdr:row>
      <xdr:rowOff>38100</xdr:rowOff>
    </xdr:from>
    <xdr:to>
      <xdr:col>20</xdr:col>
      <xdr:colOff>66596</xdr:colOff>
      <xdr:row>16</xdr:row>
      <xdr:rowOff>171393</xdr:rowOff>
    </xdr:to>
    <xdr:pic>
      <xdr:nvPicPr>
        <xdr:cNvPr id="17" name="Imagem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992100" y="2343150"/>
          <a:ext cx="628571" cy="457143"/>
        </a:xfrm>
        <a:prstGeom prst="rect">
          <a:avLst/>
        </a:prstGeom>
      </xdr:spPr>
    </xdr:pic>
    <xdr:clientData/>
  </xdr:twoCellAnchor>
  <xdr:twoCellAnchor editAs="oneCell">
    <xdr:from>
      <xdr:col>14</xdr:col>
      <xdr:colOff>257175</xdr:colOff>
      <xdr:row>18</xdr:row>
      <xdr:rowOff>133350</xdr:rowOff>
    </xdr:from>
    <xdr:to>
      <xdr:col>15</xdr:col>
      <xdr:colOff>552317</xdr:colOff>
      <xdr:row>21</xdr:row>
      <xdr:rowOff>161852</xdr:rowOff>
    </xdr:to>
    <xdr:pic>
      <xdr:nvPicPr>
        <xdr:cNvPr id="18" name="Imagem 1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886950" y="3124200"/>
          <a:ext cx="1076191" cy="580952"/>
        </a:xfrm>
        <a:prstGeom prst="rect">
          <a:avLst/>
        </a:prstGeom>
      </xdr:spPr>
    </xdr:pic>
    <xdr:clientData/>
  </xdr:twoCellAnchor>
  <xdr:twoCellAnchor>
    <xdr:from>
      <xdr:col>12</xdr:col>
      <xdr:colOff>391582</xdr:colOff>
      <xdr:row>40</xdr:row>
      <xdr:rowOff>0</xdr:rowOff>
    </xdr:from>
    <xdr:to>
      <xdr:col>22</xdr:col>
      <xdr:colOff>89957</xdr:colOff>
      <xdr:row>70</xdr:row>
      <xdr:rowOff>25400</xdr:rowOff>
    </xdr:to>
    <xdr:graphicFrame macro="">
      <xdr:nvGraphicFramePr>
        <xdr:cNvPr id="19" name="Gráfico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18</xdr:col>
      <xdr:colOff>390524</xdr:colOff>
      <xdr:row>71</xdr:row>
      <xdr:rowOff>93133</xdr:rowOff>
    </xdr:from>
    <xdr:to>
      <xdr:col>29</xdr:col>
      <xdr:colOff>305857</xdr:colOff>
      <xdr:row>98</xdr:row>
      <xdr:rowOff>141816</xdr:rowOff>
    </xdr:to>
    <xdr:graphicFrame macro="">
      <xdr:nvGraphicFramePr>
        <xdr:cNvPr id="20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413808</xdr:colOff>
      <xdr:row>58</xdr:row>
      <xdr:rowOff>95779</xdr:rowOff>
    </xdr:from>
    <xdr:to>
      <xdr:col>8</xdr:col>
      <xdr:colOff>109008</xdr:colOff>
      <xdr:row>75</xdr:row>
      <xdr:rowOff>86254</xdr:rowOff>
    </xdr:to>
    <xdr:graphicFrame macro="">
      <xdr:nvGraphicFramePr>
        <xdr:cNvPr id="21" name="Gráfico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338667</xdr:colOff>
      <xdr:row>100</xdr:row>
      <xdr:rowOff>52916</xdr:rowOff>
    </xdr:from>
    <xdr:to>
      <xdr:col>27</xdr:col>
      <xdr:colOff>428626</xdr:colOff>
      <xdr:row>129</xdr:row>
      <xdr:rowOff>46566</xdr:rowOff>
    </xdr:to>
    <xdr:graphicFrame macro="">
      <xdr:nvGraphicFramePr>
        <xdr:cNvPr id="22" name="Gráfico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</xdr:row>
      <xdr:rowOff>0</xdr:rowOff>
    </xdr:from>
    <xdr:to>
      <xdr:col>13</xdr:col>
      <xdr:colOff>608915</xdr:colOff>
      <xdr:row>21</xdr:row>
      <xdr:rowOff>56860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133475"/>
          <a:ext cx="5485715" cy="23238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V153"/>
  <sheetViews>
    <sheetView tabSelected="1" topLeftCell="A40" zoomScaleNormal="100" workbookViewId="0">
      <selection activeCell="B42" sqref="B42:C52"/>
    </sheetView>
  </sheetViews>
  <sheetFormatPr defaultRowHeight="12.75" x14ac:dyDescent="0.2"/>
  <cols>
    <col min="1" max="2" width="11.140625" customWidth="1"/>
    <col min="3" max="3" width="15.5703125" customWidth="1"/>
    <col min="4" max="4" width="12" customWidth="1"/>
    <col min="5" max="5" width="10" bestFit="1" customWidth="1"/>
    <col min="7" max="7" width="12.42578125" bestFit="1" customWidth="1"/>
    <col min="8" max="8" width="11.7109375" customWidth="1"/>
    <col min="9" max="9" width="14.140625" customWidth="1"/>
    <col min="11" max="11" width="12" bestFit="1" customWidth="1"/>
    <col min="12" max="12" width="17.85546875" customWidth="1"/>
    <col min="13" max="13" width="15.140625" customWidth="1"/>
    <col min="14" max="14" width="15.85546875" customWidth="1"/>
    <col min="15" max="15" width="11.7109375" customWidth="1"/>
    <col min="16" max="16" width="12.42578125" bestFit="1" customWidth="1"/>
    <col min="18" max="18" width="12.42578125" bestFit="1" customWidth="1"/>
    <col min="19" max="19" width="9.28515625" bestFit="1" customWidth="1"/>
    <col min="21" max="21" width="11.140625" customWidth="1"/>
    <col min="22" max="22" width="10" bestFit="1" customWidth="1"/>
  </cols>
  <sheetData>
    <row r="10" spans="12:15" ht="15.75" x14ac:dyDescent="0.25">
      <c r="L10" s="77" t="s">
        <v>11</v>
      </c>
      <c r="M10" s="77"/>
      <c r="N10" s="77"/>
    </row>
    <row r="11" spans="12:15" x14ac:dyDescent="0.2">
      <c r="L11" s="7" t="s">
        <v>96</v>
      </c>
      <c r="M11" s="10">
        <v>440</v>
      </c>
      <c r="N11" s="1" t="s">
        <v>3</v>
      </c>
    </row>
    <row r="12" spans="12:15" x14ac:dyDescent="0.2">
      <c r="L12" s="7" t="s">
        <v>97</v>
      </c>
      <c r="M12" s="8">
        <f>+M16-M11</f>
        <v>410</v>
      </c>
      <c r="N12" s="1" t="s">
        <v>3</v>
      </c>
    </row>
    <row r="13" spans="12:15" x14ac:dyDescent="0.2">
      <c r="L13" s="7" t="s">
        <v>95</v>
      </c>
      <c r="M13" s="57">
        <f>+(M15-M14)</f>
        <v>1.5750000000000002</v>
      </c>
      <c r="N13" s="1" t="s">
        <v>3</v>
      </c>
    </row>
    <row r="14" spans="12:15" x14ac:dyDescent="0.2">
      <c r="L14" s="7" t="s">
        <v>93</v>
      </c>
      <c r="M14" s="8">
        <f>12.6/2</f>
        <v>6.3</v>
      </c>
      <c r="N14" s="1" t="s">
        <v>3</v>
      </c>
    </row>
    <row r="15" spans="12:15" x14ac:dyDescent="0.2">
      <c r="L15" s="7" t="s">
        <v>94</v>
      </c>
      <c r="M15" s="8">
        <f>+(15.75/2)</f>
        <v>7.875</v>
      </c>
      <c r="N15" s="1" t="s">
        <v>3</v>
      </c>
      <c r="O15">
        <v>10</v>
      </c>
    </row>
    <row r="16" spans="12:15" x14ac:dyDescent="0.2">
      <c r="L16" s="7" t="s">
        <v>2</v>
      </c>
      <c r="M16" s="8">
        <v>850</v>
      </c>
      <c r="N16" s="1" t="s">
        <v>3</v>
      </c>
      <c r="O16">
        <f>+M16/2</f>
        <v>425</v>
      </c>
    </row>
    <row r="17" spans="10:22" ht="14.25" x14ac:dyDescent="0.25">
      <c r="L17" s="7" t="s">
        <v>28</v>
      </c>
      <c r="M17" s="11">
        <v>445</v>
      </c>
      <c r="N17" s="3" t="s">
        <v>3</v>
      </c>
      <c r="O17" s="1" t="s">
        <v>27</v>
      </c>
    </row>
    <row r="18" spans="10:22" ht="14.25" x14ac:dyDescent="0.25">
      <c r="L18" s="7" t="s">
        <v>29</v>
      </c>
      <c r="M18" s="11">
        <f>+M16/2</f>
        <v>425</v>
      </c>
      <c r="N18" s="3" t="s">
        <v>3</v>
      </c>
      <c r="O18" s="1" t="s">
        <v>30</v>
      </c>
    </row>
    <row r="19" spans="10:22" x14ac:dyDescent="0.2">
      <c r="L19" s="7" t="s">
        <v>20</v>
      </c>
      <c r="M19" s="6">
        <f>+M15</f>
        <v>7.875</v>
      </c>
      <c r="N19" s="3" t="s">
        <v>3</v>
      </c>
    </row>
    <row r="20" spans="10:22" ht="15.75" x14ac:dyDescent="0.25">
      <c r="L20" s="77"/>
      <c r="M20" s="77"/>
      <c r="N20" s="77"/>
    </row>
    <row r="21" spans="10:22" ht="15" x14ac:dyDescent="0.25">
      <c r="L21" s="5" t="s">
        <v>4</v>
      </c>
      <c r="M21" s="19">
        <v>200000</v>
      </c>
      <c r="N21" s="1" t="s">
        <v>36</v>
      </c>
    </row>
    <row r="22" spans="10:22" ht="15" x14ac:dyDescent="0.25">
      <c r="L22" s="5" t="s">
        <v>5</v>
      </c>
      <c r="M22" s="19">
        <f>+(PI()/4)*(M15^4-M14^4)</f>
        <v>1783.3577770418096</v>
      </c>
      <c r="N22" s="1" t="s">
        <v>9</v>
      </c>
    </row>
    <row r="23" spans="10:22" ht="15" x14ac:dyDescent="0.25">
      <c r="L23" s="5" t="s">
        <v>6</v>
      </c>
      <c r="M23" s="19">
        <f>+M22*M21</f>
        <v>356671555.40836191</v>
      </c>
      <c r="N23" s="1" t="s">
        <v>8</v>
      </c>
    </row>
    <row r="24" spans="10:22" ht="15" x14ac:dyDescent="0.25">
      <c r="L24" s="5" t="s">
        <v>7</v>
      </c>
      <c r="M24" s="4">
        <v>9.8000000000000007</v>
      </c>
      <c r="N24" s="3" t="s">
        <v>10</v>
      </c>
    </row>
    <row r="26" spans="10:22" ht="15" x14ac:dyDescent="0.25">
      <c r="L26" s="15" t="s">
        <v>17</v>
      </c>
      <c r="M26" s="82" t="s">
        <v>18</v>
      </c>
      <c r="N26" s="82"/>
      <c r="O26" s="80" t="s">
        <v>35</v>
      </c>
      <c r="P26" s="81"/>
      <c r="Q26" s="18"/>
      <c r="R26" s="18" t="s">
        <v>19</v>
      </c>
      <c r="S26" s="18"/>
      <c r="T26" s="18"/>
      <c r="U26" s="15" t="s">
        <v>21</v>
      </c>
      <c r="V26" s="16" t="s">
        <v>24</v>
      </c>
    </row>
    <row r="27" spans="10:22" ht="19.5" x14ac:dyDescent="0.35">
      <c r="J27" s="1" t="s">
        <v>99</v>
      </c>
      <c r="K27" s="1" t="s">
        <v>98</v>
      </c>
      <c r="L27" s="12" t="s">
        <v>12</v>
      </c>
      <c r="M27" s="13" t="s">
        <v>15</v>
      </c>
      <c r="N27" s="12" t="s">
        <v>16</v>
      </c>
      <c r="O27" s="13" t="s">
        <v>32</v>
      </c>
      <c r="P27" s="13" t="s">
        <v>33</v>
      </c>
      <c r="Q27" s="14" t="s">
        <v>34</v>
      </c>
      <c r="R27" s="12" t="s">
        <v>14</v>
      </c>
      <c r="S27" s="12" t="s">
        <v>31</v>
      </c>
      <c r="T27" s="14" t="s">
        <v>15</v>
      </c>
      <c r="U27" s="12" t="s">
        <v>23</v>
      </c>
      <c r="V27" s="12" t="s">
        <v>14</v>
      </c>
    </row>
    <row r="28" spans="10:22" ht="15" x14ac:dyDescent="0.2">
      <c r="K28" s="1"/>
      <c r="L28" s="12" t="s">
        <v>13</v>
      </c>
      <c r="M28" s="12" t="s">
        <v>3</v>
      </c>
      <c r="N28" s="12" t="s">
        <v>3</v>
      </c>
      <c r="O28" s="12"/>
      <c r="P28" s="12"/>
      <c r="Q28" s="12"/>
      <c r="R28" s="12" t="s">
        <v>25</v>
      </c>
      <c r="S28" s="12" t="s">
        <v>25</v>
      </c>
      <c r="T28" s="12" t="s">
        <v>26</v>
      </c>
      <c r="U28" s="12" t="s">
        <v>22</v>
      </c>
      <c r="V28" s="12" t="s">
        <v>25</v>
      </c>
    </row>
    <row r="29" spans="10:22" x14ac:dyDescent="0.2">
      <c r="J29">
        <v>0</v>
      </c>
      <c r="K29">
        <v>0</v>
      </c>
      <c r="L29" s="6">
        <v>0</v>
      </c>
      <c r="M29" s="74">
        <f>+((L29*$M$24)/(6*$M$23))*(-3*$M$16^2+3*$M$17^2)*(-1*$M$19)</f>
        <v>0</v>
      </c>
      <c r="N29" s="74">
        <f t="shared" ref="N29" si="0">ABS(((L29*$M$24*$M$17)/(48*$M$23))*(3*$M$16^2-4*$M$17^2))</f>
        <v>0</v>
      </c>
      <c r="O29" s="6">
        <f>+((L29*$M$24)/(6*$M$23))*(-3*$M$16^2+3*$M$17^2)*(-1*$M$19)</f>
        <v>0</v>
      </c>
      <c r="P29" s="72">
        <f>+((L29*$M$24)/($M$23))*($M$18)</f>
        <v>0</v>
      </c>
      <c r="Q29" s="6">
        <v>0</v>
      </c>
      <c r="R29" s="73">
        <f>+(P29*($M$19))*10^6</f>
        <v>0</v>
      </c>
      <c r="S29" s="73">
        <f>+(-T29*R29)</f>
        <v>0</v>
      </c>
      <c r="T29" s="6">
        <v>0.33</v>
      </c>
      <c r="U29">
        <f t="shared" ref="U29:U34" si="1">+(L29*$M$24)*$M$16/4</f>
        <v>0</v>
      </c>
      <c r="V29">
        <f>((U29*$M$19/2)/$M$23)*10^6</f>
        <v>0</v>
      </c>
    </row>
    <row r="30" spans="10:22" x14ac:dyDescent="0.2">
      <c r="J30">
        <v>41.79982000838941</v>
      </c>
      <c r="K30">
        <v>49.707894064030661</v>
      </c>
      <c r="L30" s="6">
        <v>1</v>
      </c>
      <c r="M30" s="74">
        <f t="shared" ref="M30:M35" si="2">+((L30*$M$24)/(6*$M$23))*(-3*$M$16^2+3*$M$17^2)*(-1*$M$19)</f>
        <v>5.6741780373623624E-2</v>
      </c>
      <c r="N30" s="74">
        <f>ABS(((L30*$M$24*$M$17)/(48*$M$23))*(3*$M$16^2-4*$M$17^2))</f>
        <v>0.35035263939189837</v>
      </c>
      <c r="O30" s="6">
        <f>ABS(((L30*$M$24)/(48*$M$23))*(3*$M$16^2-12*$M$17^2))</f>
        <v>1.1952172623127146E-4</v>
      </c>
      <c r="P30" s="72">
        <f>ABS(((L30*$M$24)/(48*$M$23))*(-24*$M$18))</f>
        <v>5.8387050170448703E-6</v>
      </c>
      <c r="Q30" s="73">
        <f t="shared" ref="Q30:Q35" si="3">1/P30</f>
        <v>171270.85493798892</v>
      </c>
      <c r="R30" s="73">
        <f>+(P30*($M$19))*10^6</f>
        <v>45.979802009228351</v>
      </c>
      <c r="S30" s="73">
        <f>+(-T30*R30)</f>
        <v>-15.173334663045356</v>
      </c>
      <c r="T30" s="6">
        <v>0.33</v>
      </c>
      <c r="U30">
        <f>+(L30*$M$24)*$M$18/4</f>
        <v>1041.25</v>
      </c>
      <c r="V30">
        <f>((U30*$M$19)/$M$23)*10^6</f>
        <v>22.989901004614175</v>
      </c>
    </row>
    <row r="31" spans="10:22" x14ac:dyDescent="0.2">
      <c r="J31">
        <v>83.599640016778821</v>
      </c>
      <c r="K31">
        <v>99.415788128061322</v>
      </c>
      <c r="L31" s="6">
        <v>2</v>
      </c>
      <c r="M31" s="74">
        <f t="shared" si="2"/>
        <v>0.11348356074724725</v>
      </c>
      <c r="N31" s="74">
        <f t="shared" ref="N31:N34" si="4">ABS(((L31*$M$24*$M$17)/(48*$M$23))*(3*$M$16^2-4*$M$17^2))</f>
        <v>0.70070527878379674</v>
      </c>
      <c r="O31" s="6">
        <f t="shared" ref="O31:O35" si="5">ABS(((L31*$M$24)/(48*$M$23))*(3*$M$16^2-12*$M$17^2))</f>
        <v>2.3904345246254292E-4</v>
      </c>
      <c r="P31" s="72">
        <f t="shared" ref="P31:P34" si="6">ABS(((L31*$M$24)/(48*$M$23))*(-24*$M$18))</f>
        <v>1.1677410034089741E-5</v>
      </c>
      <c r="Q31" s="73">
        <f t="shared" si="3"/>
        <v>85635.427468994458</v>
      </c>
      <c r="R31" s="73">
        <f t="shared" ref="R31:R34" si="7">+(P31*($M$19))*10^6</f>
        <v>91.959604018456702</v>
      </c>
      <c r="S31" s="73">
        <f t="shared" ref="S31:S35" si="8">+(-T31*R31)</f>
        <v>-30.346669326090712</v>
      </c>
      <c r="T31" s="6">
        <v>0.33</v>
      </c>
      <c r="U31">
        <f t="shared" si="1"/>
        <v>4165</v>
      </c>
      <c r="V31">
        <f t="shared" ref="V31:V34" si="9">((U31*$M$19)/$M$23)*10^6</f>
        <v>91.959604018456702</v>
      </c>
    </row>
    <row r="32" spans="10:22" x14ac:dyDescent="0.2">
      <c r="J32">
        <v>125.39946002516824</v>
      </c>
      <c r="K32">
        <v>149.12368219209193</v>
      </c>
      <c r="L32" s="6">
        <v>3</v>
      </c>
      <c r="M32" s="74">
        <f t="shared" si="2"/>
        <v>0.1702253411208709</v>
      </c>
      <c r="N32" s="74">
        <f t="shared" si="4"/>
        <v>1.0510579181756954</v>
      </c>
      <c r="O32" s="6">
        <f t="shared" si="5"/>
        <v>3.5856517869381439E-4</v>
      </c>
      <c r="P32" s="72">
        <f t="shared" si="6"/>
        <v>1.7516115051134611E-5</v>
      </c>
      <c r="Q32" s="73">
        <f t="shared" si="3"/>
        <v>57090.284979329634</v>
      </c>
      <c r="R32" s="73">
        <f t="shared" si="7"/>
        <v>137.93940602768507</v>
      </c>
      <c r="S32" s="73">
        <f t="shared" si="8"/>
        <v>-45.520003989136072</v>
      </c>
      <c r="T32" s="6">
        <v>0.33</v>
      </c>
      <c r="U32">
        <f t="shared" si="1"/>
        <v>6247.5</v>
      </c>
      <c r="V32">
        <f t="shared" si="9"/>
        <v>137.93940602768507</v>
      </c>
    </row>
    <row r="33" spans="2:22" x14ac:dyDescent="0.2">
      <c r="J33">
        <v>167.19928003355764</v>
      </c>
      <c r="K33">
        <v>198.83157625612264</v>
      </c>
      <c r="L33" s="6">
        <v>4</v>
      </c>
      <c r="M33" s="74">
        <f t="shared" si="2"/>
        <v>0.22696712149449449</v>
      </c>
      <c r="N33" s="74">
        <f t="shared" si="4"/>
        <v>1.4014105575675935</v>
      </c>
      <c r="O33" s="6">
        <f t="shared" si="5"/>
        <v>4.7808690492508584E-4</v>
      </c>
      <c r="P33" s="72">
        <f t="shared" si="6"/>
        <v>2.3354820068179481E-5</v>
      </c>
      <c r="Q33" s="73">
        <f t="shared" si="3"/>
        <v>42817.713734497229</v>
      </c>
      <c r="R33" s="73">
        <f t="shared" si="7"/>
        <v>183.9192080369134</v>
      </c>
      <c r="S33" s="73">
        <f t="shared" si="8"/>
        <v>-60.693338652181424</v>
      </c>
      <c r="T33" s="6">
        <v>0.33</v>
      </c>
      <c r="U33">
        <f t="shared" si="1"/>
        <v>8330</v>
      </c>
      <c r="V33">
        <f t="shared" si="9"/>
        <v>183.9192080369134</v>
      </c>
    </row>
    <row r="34" spans="2:22" x14ac:dyDescent="0.2">
      <c r="J34">
        <v>208.99910004194706</v>
      </c>
      <c r="K34">
        <v>248.53947032015319</v>
      </c>
      <c r="L34" s="6">
        <v>5</v>
      </c>
      <c r="M34" s="74">
        <f t="shared" si="2"/>
        <v>0.28370890186811809</v>
      </c>
      <c r="N34" s="74">
        <f t="shared" si="4"/>
        <v>1.751763196959492</v>
      </c>
      <c r="O34" s="6">
        <f t="shared" si="5"/>
        <v>5.9760863115635723E-4</v>
      </c>
      <c r="P34" s="72">
        <f t="shared" si="6"/>
        <v>2.9193525085224348E-5</v>
      </c>
      <c r="Q34" s="73">
        <f t="shared" si="3"/>
        <v>34254.170987597783</v>
      </c>
      <c r="R34" s="73">
        <f t="shared" si="7"/>
        <v>229.89901004614174</v>
      </c>
      <c r="S34" s="73">
        <f t="shared" si="8"/>
        <v>-75.866673315226777</v>
      </c>
      <c r="T34" s="6">
        <v>0.33</v>
      </c>
      <c r="U34">
        <f t="shared" si="1"/>
        <v>10412.5</v>
      </c>
      <c r="V34">
        <f t="shared" si="9"/>
        <v>229.89901004614174</v>
      </c>
    </row>
    <row r="35" spans="2:22" x14ac:dyDescent="0.2">
      <c r="J35">
        <v>250.79892005033648</v>
      </c>
      <c r="K35">
        <v>298.24736438418387</v>
      </c>
      <c r="L35" s="6">
        <v>6</v>
      </c>
      <c r="M35" s="74">
        <f t="shared" si="2"/>
        <v>0.3404506822417418</v>
      </c>
      <c r="N35" s="74">
        <f>ABS(((L35*$M$24*$M$17)/(48*$M$23))*(3*$M$16^2-4*$M$17^2))</f>
        <v>2.1021158363513908</v>
      </c>
      <c r="O35" s="6">
        <f t="shared" si="5"/>
        <v>7.1713035738762878E-4</v>
      </c>
      <c r="P35" s="72">
        <f>ABS(((L35*$M$24)/(48*$M$23))*(-24*$M$18))</f>
        <v>3.5032230102269222E-5</v>
      </c>
      <c r="Q35" s="73">
        <f t="shared" si="3"/>
        <v>28545.142489664817</v>
      </c>
      <c r="R35" s="73">
        <f>+(P35*($M$19))*10^6</f>
        <v>275.87881205537013</v>
      </c>
      <c r="S35" s="73">
        <f t="shared" si="8"/>
        <v>-91.040007978272143</v>
      </c>
      <c r="T35" s="6">
        <v>0.33</v>
      </c>
      <c r="U35">
        <f>+(L35*$M$24)*$M$16/4</f>
        <v>12495</v>
      </c>
      <c r="V35">
        <f>((U35*$M$19)/$M$23)*10^6</f>
        <v>275.87881205537013</v>
      </c>
    </row>
    <row r="36" spans="2:22" x14ac:dyDescent="0.2">
      <c r="L36" s="6"/>
      <c r="M36" s="74"/>
      <c r="N36" s="74"/>
      <c r="O36" s="6"/>
      <c r="P36" s="72"/>
      <c r="Q36" s="73"/>
      <c r="R36" s="73"/>
      <c r="S36" s="73"/>
      <c r="T36" s="6"/>
    </row>
    <row r="37" spans="2:22" x14ac:dyDescent="0.2">
      <c r="L37" s="6"/>
      <c r="M37" s="74"/>
      <c r="N37" s="74"/>
      <c r="O37" s="6"/>
      <c r="P37" s="72"/>
      <c r="Q37" s="73"/>
      <c r="R37" s="73"/>
      <c r="S37" s="73"/>
      <c r="T37" s="6"/>
    </row>
    <row r="38" spans="2:22" x14ac:dyDescent="0.2">
      <c r="L38" s="6"/>
      <c r="M38" s="74"/>
      <c r="N38" s="74"/>
      <c r="O38" s="6"/>
      <c r="P38" s="72"/>
      <c r="Q38" s="73"/>
      <c r="R38" s="73"/>
      <c r="S38" s="73"/>
      <c r="T38" s="6"/>
    </row>
    <row r="39" spans="2:22" ht="15.75" x14ac:dyDescent="0.25">
      <c r="E39" s="79" t="s">
        <v>37</v>
      </c>
      <c r="F39" s="79"/>
      <c r="G39" s="79"/>
      <c r="H39" s="79"/>
      <c r="I39" s="79"/>
      <c r="L39" s="6"/>
      <c r="M39" s="74"/>
      <c r="N39" s="74"/>
      <c r="O39" s="6"/>
      <c r="P39" s="72"/>
      <c r="Q39" s="73"/>
      <c r="R39" s="73"/>
      <c r="S39" s="73"/>
      <c r="T39" s="6"/>
    </row>
    <row r="40" spans="2:22" x14ac:dyDescent="0.2">
      <c r="G40" s="24">
        <v>52.622</v>
      </c>
      <c r="H40" s="1" t="s">
        <v>50</v>
      </c>
    </row>
    <row r="41" spans="2:22" x14ac:dyDescent="0.2">
      <c r="E41" s="1" t="s">
        <v>47</v>
      </c>
      <c r="F41" s="1" t="s">
        <v>48</v>
      </c>
      <c r="H41" s="1" t="s">
        <v>49</v>
      </c>
      <c r="S41" s="1" t="s">
        <v>43</v>
      </c>
    </row>
    <row r="42" spans="2:22" ht="15.75" x14ac:dyDescent="0.2">
      <c r="B42" s="87" t="s">
        <v>44</v>
      </c>
      <c r="C42" s="87"/>
      <c r="E42" s="40">
        <v>0</v>
      </c>
      <c r="F42" s="40">
        <v>2.59</v>
      </c>
      <c r="G42" s="23">
        <f>+F42-$F$42</f>
        <v>0</v>
      </c>
      <c r="I42" s="40">
        <v>-4</v>
      </c>
      <c r="S42" s="1" t="s">
        <v>42</v>
      </c>
    </row>
    <row r="43" spans="2:22" ht="15.75" x14ac:dyDescent="0.25">
      <c r="B43" s="88" t="s">
        <v>45</v>
      </c>
      <c r="C43" s="88" t="s">
        <v>46</v>
      </c>
      <c r="E43" s="40">
        <v>1</v>
      </c>
      <c r="F43" s="40">
        <v>2.601</v>
      </c>
      <c r="G43" s="23">
        <f t="shared" ref="G43:G49" si="10">+F43-$F$42</f>
        <v>1.1000000000000121E-2</v>
      </c>
      <c r="H43">
        <f>+$G$40*G43</f>
        <v>0.57884200000000641</v>
      </c>
      <c r="I43" s="40">
        <v>47</v>
      </c>
      <c r="S43" s="1" t="s">
        <v>37</v>
      </c>
    </row>
    <row r="44" spans="2:22" ht="15" x14ac:dyDescent="0.2">
      <c r="B44" s="89">
        <v>0</v>
      </c>
      <c r="C44" s="90">
        <v>2.5350000000000001</v>
      </c>
      <c r="E44" s="40">
        <v>1.5</v>
      </c>
      <c r="F44" s="40"/>
      <c r="G44" s="23"/>
      <c r="I44" s="40">
        <v>57</v>
      </c>
      <c r="S44" s="1" t="s">
        <v>38</v>
      </c>
    </row>
    <row r="45" spans="2:22" ht="15" x14ac:dyDescent="0.2">
      <c r="B45" s="89">
        <v>8</v>
      </c>
      <c r="C45" s="90">
        <v>2.246</v>
      </c>
      <c r="E45" s="40">
        <v>2</v>
      </c>
      <c r="F45" s="40">
        <v>2.6040000000000001</v>
      </c>
      <c r="G45" s="23">
        <f t="shared" si="10"/>
        <v>1.4000000000000234E-2</v>
      </c>
      <c r="H45">
        <f t="shared" ref="H45:H49" si="11">+$G$40*G45</f>
        <v>0.73670800000001235</v>
      </c>
      <c r="I45" s="40">
        <v>94</v>
      </c>
      <c r="S45" s="1" t="s">
        <v>39</v>
      </c>
    </row>
    <row r="46" spans="2:22" ht="15" x14ac:dyDescent="0.2">
      <c r="B46" s="89">
        <v>20</v>
      </c>
      <c r="C46" s="90">
        <v>2.0230000000000001</v>
      </c>
      <c r="E46" s="40">
        <v>2.5</v>
      </c>
      <c r="F46" s="40"/>
      <c r="G46" s="23"/>
      <c r="I46" s="40">
        <v>106</v>
      </c>
      <c r="S46" s="1" t="s">
        <v>40</v>
      </c>
    </row>
    <row r="47" spans="2:22" ht="15" x14ac:dyDescent="0.2">
      <c r="B47" s="89">
        <v>40</v>
      </c>
      <c r="C47" s="90">
        <v>1.64</v>
      </c>
      <c r="E47" s="40">
        <v>3</v>
      </c>
      <c r="F47" s="40"/>
      <c r="G47" s="23"/>
      <c r="I47" s="40">
        <v>141</v>
      </c>
    </row>
    <row r="48" spans="2:22" ht="15.75" x14ac:dyDescent="0.25">
      <c r="B48" s="88" t="s">
        <v>45</v>
      </c>
      <c r="C48" s="88" t="s">
        <v>100</v>
      </c>
      <c r="E48" s="40">
        <v>3.5</v>
      </c>
      <c r="F48" s="40"/>
      <c r="G48" s="23"/>
      <c r="I48" s="40">
        <v>153</v>
      </c>
    </row>
    <row r="49" spans="1:9" ht="15" x14ac:dyDescent="0.2">
      <c r="A49">
        <f>+C49*-1</f>
        <v>0</v>
      </c>
      <c r="B49" s="89">
        <f>+B44</f>
        <v>0</v>
      </c>
      <c r="C49" s="90">
        <f>+C44-C44</f>
        <v>0</v>
      </c>
      <c r="E49" s="40">
        <v>4</v>
      </c>
      <c r="F49" s="40">
        <v>2.609</v>
      </c>
      <c r="G49" s="23">
        <f t="shared" si="10"/>
        <v>1.9000000000000128E-2</v>
      </c>
      <c r="H49">
        <f t="shared" si="11"/>
        <v>0.99981800000000676</v>
      </c>
      <c r="I49" s="40">
        <v>185</v>
      </c>
    </row>
    <row r="50" spans="1:9" ht="15" x14ac:dyDescent="0.2">
      <c r="B50" s="89"/>
      <c r="C50" s="90"/>
      <c r="E50" s="40">
        <v>4.5</v>
      </c>
      <c r="F50" s="40"/>
      <c r="G50" s="23"/>
      <c r="I50" s="40">
        <v>196</v>
      </c>
    </row>
    <row r="51" spans="1:9" ht="15" x14ac:dyDescent="0.2">
      <c r="A51">
        <f t="shared" ref="A51" si="12">+C51*-1</f>
        <v>0.22299999999999986</v>
      </c>
      <c r="B51" s="89">
        <f>+B46-B45</f>
        <v>12</v>
      </c>
      <c r="C51" s="90">
        <f>+C46-C45</f>
        <v>-0.22299999999999986</v>
      </c>
      <c r="E51" s="40">
        <v>5</v>
      </c>
      <c r="F51" s="40"/>
      <c r="G51" s="23"/>
      <c r="I51" s="40">
        <v>234</v>
      </c>
    </row>
    <row r="52" spans="1:9" ht="15" x14ac:dyDescent="0.2">
      <c r="A52">
        <f>+C52*-1</f>
        <v>0.38300000000000023</v>
      </c>
      <c r="B52" s="89">
        <f>+B47-B46</f>
        <v>20</v>
      </c>
      <c r="C52" s="90">
        <f>+C47-C46</f>
        <v>-0.38300000000000023</v>
      </c>
      <c r="E52" s="40">
        <v>6</v>
      </c>
      <c r="F52" s="40"/>
      <c r="G52" s="23"/>
      <c r="I52" s="40">
        <v>278</v>
      </c>
    </row>
    <row r="53" spans="1:9" x14ac:dyDescent="0.2">
      <c r="E53" s="22"/>
      <c r="F53" s="21"/>
      <c r="G53" s="23"/>
    </row>
    <row r="54" spans="1:9" x14ac:dyDescent="0.2">
      <c r="E54" s="22"/>
      <c r="F54" s="21"/>
      <c r="G54" s="23"/>
    </row>
    <row r="55" spans="1:9" x14ac:dyDescent="0.2">
      <c r="E55" s="22"/>
      <c r="F55" s="21"/>
      <c r="G55" s="23"/>
    </row>
    <row r="56" spans="1:9" x14ac:dyDescent="0.2">
      <c r="E56" s="22"/>
      <c r="F56" s="21"/>
      <c r="G56" s="23"/>
    </row>
    <row r="57" spans="1:9" x14ac:dyDescent="0.2">
      <c r="E57" s="22"/>
      <c r="F57" s="21"/>
      <c r="G57" s="23"/>
    </row>
    <row r="58" spans="1:9" x14ac:dyDescent="0.2">
      <c r="E58" s="22"/>
      <c r="F58" s="21"/>
      <c r="G58" s="23"/>
    </row>
    <row r="78" spans="1:18" ht="18" x14ac:dyDescent="0.25">
      <c r="A78" s="78" t="s">
        <v>38</v>
      </c>
      <c r="B78" s="78"/>
      <c r="C78" s="78"/>
      <c r="D78" s="78"/>
      <c r="E78" s="78"/>
      <c r="F78" s="78"/>
      <c r="G78" s="78"/>
      <c r="H78" s="78"/>
      <c r="I78" s="78"/>
    </row>
    <row r="79" spans="1:18" ht="18" x14ac:dyDescent="0.25">
      <c r="D79" s="83" t="s">
        <v>63</v>
      </c>
      <c r="E79" s="43" t="s">
        <v>59</v>
      </c>
      <c r="F79" s="43" t="s">
        <v>58</v>
      </c>
      <c r="J79" s="84" t="s">
        <v>56</v>
      </c>
      <c r="K79" s="85"/>
      <c r="L79" s="85"/>
      <c r="M79" s="85"/>
      <c r="N79" s="85"/>
      <c r="O79" s="85"/>
      <c r="P79" s="85"/>
      <c r="Q79" s="85"/>
      <c r="R79" s="85"/>
    </row>
    <row r="80" spans="1:18" ht="15" x14ac:dyDescent="0.2">
      <c r="B80" s="1" t="s">
        <v>61</v>
      </c>
      <c r="C80" s="1" t="s">
        <v>62</v>
      </c>
      <c r="D80" s="83"/>
      <c r="E80" s="1" t="s">
        <v>30</v>
      </c>
      <c r="F80" s="3" t="s">
        <v>30</v>
      </c>
      <c r="G80" s="3" t="s">
        <v>86</v>
      </c>
      <c r="H80" s="3" t="s">
        <v>53</v>
      </c>
      <c r="I80" s="3" t="s">
        <v>87</v>
      </c>
      <c r="J80" s="40" t="s">
        <v>57</v>
      </c>
      <c r="K80" s="40" t="s">
        <v>58</v>
      </c>
      <c r="L80" s="40" t="s">
        <v>59</v>
      </c>
      <c r="M80" s="40" t="s">
        <v>60</v>
      </c>
      <c r="P80" s="53" t="s">
        <v>90</v>
      </c>
    </row>
    <row r="81" spans="1:18" ht="15" x14ac:dyDescent="0.2">
      <c r="A81" s="58">
        <v>0</v>
      </c>
      <c r="B81" s="26">
        <f>+D81-$D$81</f>
        <v>0</v>
      </c>
      <c r="D81" s="42">
        <v>2.5259999999999998</v>
      </c>
      <c r="E81" s="30"/>
      <c r="F81" s="42">
        <v>2E-3</v>
      </c>
      <c r="G81">
        <f>+(F81)*10^3</f>
        <v>2</v>
      </c>
      <c r="J81" s="2">
        <v>0</v>
      </c>
      <c r="K81" s="2">
        <v>0</v>
      </c>
      <c r="L81" s="40">
        <v>15</v>
      </c>
      <c r="M81" s="2">
        <v>2.56</v>
      </c>
      <c r="N81">
        <f>+L81-$L$81</f>
        <v>0</v>
      </c>
      <c r="O81">
        <f>+N81-K81</f>
        <v>0</v>
      </c>
      <c r="P81">
        <f>+K81</f>
        <v>0</v>
      </c>
      <c r="R81" s="31">
        <f>+(M81-$M$81)*$G$40</f>
        <v>0</v>
      </c>
    </row>
    <row r="82" spans="1:18" ht="15" x14ac:dyDescent="0.2">
      <c r="A82" s="58">
        <v>1</v>
      </c>
      <c r="B82" s="26">
        <f t="shared" ref="B82:B87" si="13">+D82-$D$81</f>
        <v>1.0000000000000231E-2</v>
      </c>
      <c r="C82">
        <f t="shared" ref="C82:C87" si="14">+$G$40*B82</f>
        <v>0.52622000000001212</v>
      </c>
      <c r="D82" s="42">
        <v>2.536</v>
      </c>
      <c r="E82" s="30"/>
      <c r="F82" s="42">
        <v>4.3999999999999997E-2</v>
      </c>
      <c r="G82">
        <f t="shared" ref="G82:G93" si="15">+(F82)*10^3</f>
        <v>44</v>
      </c>
      <c r="J82" s="2">
        <v>1</v>
      </c>
      <c r="K82" s="2">
        <v>46</v>
      </c>
      <c r="L82" s="40">
        <v>198</v>
      </c>
      <c r="M82" s="2">
        <v>2.57</v>
      </c>
      <c r="N82">
        <f t="shared" ref="N82:N87" si="16">+L82-$L$81</f>
        <v>183</v>
      </c>
      <c r="O82">
        <f>+N82+K82</f>
        <v>229</v>
      </c>
      <c r="P82">
        <f t="shared" ref="P82:P89" si="17">+K82</f>
        <v>46</v>
      </c>
      <c r="R82" s="31">
        <f t="shared" ref="R82:R87" si="18">+(M82-$M$81)*$G$40</f>
        <v>0.52621999999998881</v>
      </c>
    </row>
    <row r="83" spans="1:18" ht="15" x14ac:dyDescent="0.2">
      <c r="A83" s="59">
        <v>2</v>
      </c>
      <c r="B83" s="26"/>
      <c r="D83" s="42"/>
      <c r="E83" s="30"/>
      <c r="F83" s="42">
        <v>9.5000000000000001E-2</v>
      </c>
      <c r="G83">
        <f t="shared" si="15"/>
        <v>95</v>
      </c>
      <c r="J83" s="2">
        <v>2</v>
      </c>
      <c r="K83" s="2">
        <v>92</v>
      </c>
      <c r="L83" s="40">
        <v>375</v>
      </c>
      <c r="M83" s="2">
        <v>2.577</v>
      </c>
      <c r="N83">
        <f t="shared" si="16"/>
        <v>360</v>
      </c>
      <c r="O83">
        <f t="shared" ref="O83:O86" si="19">+N83+K83</f>
        <v>452</v>
      </c>
      <c r="P83">
        <f t="shared" si="17"/>
        <v>92</v>
      </c>
      <c r="R83" s="31">
        <f t="shared" si="18"/>
        <v>0.89457399999999498</v>
      </c>
    </row>
    <row r="84" spans="1:18" ht="15" x14ac:dyDescent="0.2">
      <c r="A84" s="59">
        <v>3</v>
      </c>
      <c r="B84" s="26"/>
      <c r="D84" s="42"/>
      <c r="E84" s="30"/>
      <c r="F84" s="42">
        <v>0.13900000000000001</v>
      </c>
      <c r="G84">
        <f t="shared" si="15"/>
        <v>139</v>
      </c>
      <c r="J84" s="2">
        <v>3</v>
      </c>
      <c r="K84" s="2">
        <v>138</v>
      </c>
      <c r="L84" s="40">
        <v>563</v>
      </c>
      <c r="M84" s="2">
        <v>2.5790000000000002</v>
      </c>
      <c r="N84">
        <f t="shared" si="16"/>
        <v>548</v>
      </c>
      <c r="O84">
        <f t="shared" si="19"/>
        <v>686</v>
      </c>
      <c r="P84">
        <f t="shared" si="17"/>
        <v>138</v>
      </c>
      <c r="R84" s="31">
        <f t="shared" si="18"/>
        <v>0.99981800000000676</v>
      </c>
    </row>
    <row r="85" spans="1:18" ht="15" x14ac:dyDescent="0.2">
      <c r="A85" s="59">
        <v>4</v>
      </c>
      <c r="B85" s="26"/>
      <c r="D85" s="42"/>
      <c r="E85" s="30"/>
      <c r="F85" s="42">
        <v>0.185</v>
      </c>
      <c r="G85">
        <f t="shared" si="15"/>
        <v>185</v>
      </c>
      <c r="J85" s="2">
        <v>4</v>
      </c>
      <c r="K85" s="2">
        <v>184</v>
      </c>
      <c r="L85" s="40">
        <v>739</v>
      </c>
      <c r="M85" s="2">
        <v>2.5819999999999999</v>
      </c>
      <c r="N85">
        <f t="shared" si="16"/>
        <v>724</v>
      </c>
      <c r="O85">
        <f t="shared" si="19"/>
        <v>908</v>
      </c>
      <c r="P85">
        <f t="shared" si="17"/>
        <v>184</v>
      </c>
      <c r="R85" s="31">
        <f t="shared" si="18"/>
        <v>1.1576839999999893</v>
      </c>
    </row>
    <row r="86" spans="1:18" ht="15" x14ac:dyDescent="0.2">
      <c r="A86" s="59">
        <v>5</v>
      </c>
      <c r="B86" s="26"/>
      <c r="D86" s="42"/>
      <c r="E86" s="30"/>
      <c r="F86" s="42">
        <v>0.22800000000000001</v>
      </c>
      <c r="G86">
        <f t="shared" si="15"/>
        <v>228</v>
      </c>
      <c r="J86" s="2">
        <v>5</v>
      </c>
      <c r="K86" s="2">
        <v>230</v>
      </c>
      <c r="L86" s="40">
        <v>910</v>
      </c>
      <c r="M86" s="2">
        <v>2.5859999999999999</v>
      </c>
      <c r="N86">
        <f t="shared" si="16"/>
        <v>895</v>
      </c>
      <c r="O86">
        <f t="shared" si="19"/>
        <v>1125</v>
      </c>
      <c r="P86">
        <f t="shared" si="17"/>
        <v>230</v>
      </c>
      <c r="R86" s="31">
        <f t="shared" si="18"/>
        <v>1.3681719999999895</v>
      </c>
    </row>
    <row r="87" spans="1:18" ht="15" x14ac:dyDescent="0.2">
      <c r="A87" s="58">
        <v>6</v>
      </c>
      <c r="B87" s="26">
        <f t="shared" si="13"/>
        <v>4.0000000000000036E-2</v>
      </c>
      <c r="C87">
        <f t="shared" si="14"/>
        <v>2.1048800000000019</v>
      </c>
      <c r="D87" s="60">
        <v>2.5659999999999998</v>
      </c>
      <c r="E87" s="30"/>
      <c r="F87" s="42">
        <v>0.26600000000000001</v>
      </c>
      <c r="G87">
        <f t="shared" si="15"/>
        <v>266</v>
      </c>
      <c r="J87" s="2">
        <v>6</v>
      </c>
      <c r="K87" s="2">
        <v>276</v>
      </c>
      <c r="L87" s="40">
        <v>1097</v>
      </c>
      <c r="M87" s="2">
        <v>2.59</v>
      </c>
      <c r="N87">
        <f t="shared" si="16"/>
        <v>1082</v>
      </c>
      <c r="O87">
        <f>+N87+K87</f>
        <v>1358</v>
      </c>
      <c r="P87">
        <f t="shared" si="17"/>
        <v>276</v>
      </c>
      <c r="R87" s="31">
        <f t="shared" si="18"/>
        <v>1.5786599999999897</v>
      </c>
    </row>
    <row r="88" spans="1:18" x14ac:dyDescent="0.2">
      <c r="A88" s="59">
        <v>4.5</v>
      </c>
      <c r="B88" s="26"/>
      <c r="D88" s="60">
        <v>2.5369999999999999</v>
      </c>
      <c r="E88" s="30"/>
      <c r="F88" s="42">
        <v>0.191</v>
      </c>
      <c r="G88">
        <f t="shared" si="15"/>
        <v>191</v>
      </c>
      <c r="P88">
        <f t="shared" si="17"/>
        <v>0</v>
      </c>
    </row>
    <row r="89" spans="1:18" x14ac:dyDescent="0.2">
      <c r="A89" s="59">
        <v>3.5</v>
      </c>
      <c r="B89" s="26"/>
      <c r="D89" s="60">
        <v>2.5110000000000001</v>
      </c>
      <c r="E89" s="30"/>
      <c r="F89" s="42">
        <v>0.14199999999999999</v>
      </c>
      <c r="G89">
        <f t="shared" si="15"/>
        <v>142</v>
      </c>
      <c r="P89">
        <f t="shared" si="17"/>
        <v>0</v>
      </c>
    </row>
    <row r="90" spans="1:18" ht="15" x14ac:dyDescent="0.2">
      <c r="A90" s="59">
        <v>2.5</v>
      </c>
      <c r="B90" s="26"/>
      <c r="D90" s="60"/>
      <c r="E90" s="30"/>
      <c r="F90" s="42">
        <v>9.6000000000000002E-2</v>
      </c>
      <c r="G90">
        <f t="shared" si="15"/>
        <v>96</v>
      </c>
      <c r="K90" s="17" t="s">
        <v>92</v>
      </c>
      <c r="L90" s="53">
        <v>0.25</v>
      </c>
      <c r="M90" s="17" t="s">
        <v>92</v>
      </c>
      <c r="N90">
        <v>0.35</v>
      </c>
      <c r="P90" s="17" t="s">
        <v>92</v>
      </c>
      <c r="Q90">
        <v>0.4</v>
      </c>
    </row>
    <row r="91" spans="1:18" x14ac:dyDescent="0.2">
      <c r="A91" s="59">
        <v>1.5</v>
      </c>
      <c r="B91" s="26"/>
      <c r="D91" s="42">
        <v>2.4870000000000001</v>
      </c>
      <c r="E91" s="30"/>
      <c r="F91" s="42">
        <v>0.05</v>
      </c>
      <c r="G91">
        <f t="shared" si="15"/>
        <v>50</v>
      </c>
      <c r="K91" s="1" t="s">
        <v>88</v>
      </c>
    </row>
    <row r="92" spans="1:18" x14ac:dyDescent="0.2">
      <c r="A92" s="59">
        <v>0.5</v>
      </c>
      <c r="B92" s="26"/>
      <c r="D92" s="42">
        <v>2.48</v>
      </c>
      <c r="E92" s="30"/>
      <c r="F92" s="42">
        <v>4.0000000000000001E-3</v>
      </c>
      <c r="G92">
        <f t="shared" si="15"/>
        <v>4</v>
      </c>
      <c r="K92">
        <v>0</v>
      </c>
      <c r="L92">
        <v>0</v>
      </c>
      <c r="M92">
        <v>0</v>
      </c>
      <c r="N92">
        <v>0</v>
      </c>
      <c r="P92">
        <v>0</v>
      </c>
      <c r="Q92">
        <v>0</v>
      </c>
    </row>
    <row r="93" spans="1:18" x14ac:dyDescent="0.2">
      <c r="A93" s="59">
        <v>0</v>
      </c>
      <c r="B93" s="26"/>
      <c r="D93" s="41"/>
      <c r="E93" s="30"/>
      <c r="F93" s="42">
        <v>-1.7000000000000001E-2</v>
      </c>
      <c r="G93">
        <f t="shared" si="15"/>
        <v>-17</v>
      </c>
      <c r="K93">
        <v>500</v>
      </c>
      <c r="L93">
        <f>0.25*K93</f>
        <v>125</v>
      </c>
      <c r="M93">
        <v>500</v>
      </c>
      <c r="N93">
        <f>0.35*M93</f>
        <v>175</v>
      </c>
      <c r="P93">
        <v>500</v>
      </c>
      <c r="Q93">
        <f>+P93*Q90</f>
        <v>200</v>
      </c>
    </row>
    <row r="94" spans="1:18" x14ac:dyDescent="0.2">
      <c r="A94" s="25"/>
      <c r="B94" s="26"/>
      <c r="D94" s="41"/>
      <c r="E94" s="30"/>
      <c r="F94" s="30"/>
    </row>
    <row r="95" spans="1:18" x14ac:dyDescent="0.2">
      <c r="A95" s="25"/>
      <c r="B95" s="26"/>
      <c r="D95" s="42"/>
      <c r="E95" s="30"/>
      <c r="F95" s="30"/>
    </row>
    <row r="96" spans="1:18" x14ac:dyDescent="0.2">
      <c r="A96" s="25"/>
      <c r="B96" s="26"/>
      <c r="D96" s="41"/>
      <c r="E96" s="30"/>
      <c r="F96" s="30"/>
    </row>
    <row r="98" spans="1:9" ht="15" x14ac:dyDescent="0.2">
      <c r="A98" s="75" t="s">
        <v>39</v>
      </c>
      <c r="B98" s="75"/>
      <c r="C98" s="75"/>
      <c r="D98" s="75"/>
      <c r="E98" s="75"/>
      <c r="F98" s="75"/>
      <c r="G98" s="75"/>
      <c r="H98" s="75"/>
      <c r="I98" s="76"/>
    </row>
    <row r="99" spans="1:9" ht="39" thickBot="1" x14ac:dyDescent="0.25">
      <c r="A99" s="9" t="s">
        <v>89</v>
      </c>
      <c r="B99" s="9"/>
      <c r="C99" s="9"/>
      <c r="D99" s="9" t="s">
        <v>86</v>
      </c>
      <c r="E99" s="9"/>
      <c r="F99" s="9"/>
      <c r="G99" s="9" t="s">
        <v>53</v>
      </c>
      <c r="H99" s="39" t="s">
        <v>54</v>
      </c>
      <c r="I99" s="39" t="s">
        <v>55</v>
      </c>
    </row>
    <row r="100" spans="1:9" x14ac:dyDescent="0.2">
      <c r="A100" s="20">
        <v>0</v>
      </c>
      <c r="B100" s="23">
        <f>+F100-$F$100</f>
        <v>0</v>
      </c>
      <c r="C100">
        <f>+$G$40*B100</f>
        <v>0</v>
      </c>
      <c r="D100">
        <f>+H100*10^6</f>
        <v>6</v>
      </c>
      <c r="F100" s="21">
        <v>2.4649999999999999</v>
      </c>
      <c r="G100" s="36"/>
      <c r="H100" s="61">
        <v>6.0000000000000002E-6</v>
      </c>
      <c r="I100" s="27">
        <v>11</v>
      </c>
    </row>
    <row r="101" spans="1:9" x14ac:dyDescent="0.2">
      <c r="A101" s="20">
        <v>1</v>
      </c>
      <c r="B101" s="23">
        <f t="shared" ref="B101:B112" si="20">+F101-$F$100</f>
        <v>8.0000000000000071E-3</v>
      </c>
      <c r="C101">
        <f>+$G$40*B101</f>
        <v>0.42097600000000035</v>
      </c>
      <c r="D101">
        <f t="shared" ref="D101:D112" si="21">+H101*10^6</f>
        <v>56</v>
      </c>
      <c r="F101" s="21">
        <v>2.4729999999999999</v>
      </c>
      <c r="G101" s="37"/>
      <c r="H101" s="61">
        <v>5.5999999999999999E-5</v>
      </c>
      <c r="I101" s="28">
        <v>99</v>
      </c>
    </row>
    <row r="102" spans="1:9" x14ac:dyDescent="0.2">
      <c r="A102" s="20">
        <v>2</v>
      </c>
      <c r="B102" s="23">
        <f t="shared" si="20"/>
        <v>1.5000000000000124E-2</v>
      </c>
      <c r="C102">
        <f t="shared" ref="C102:C112" si="22">+$G$40*B102</f>
        <v>0.78933000000000653</v>
      </c>
      <c r="D102">
        <f t="shared" si="21"/>
        <v>103</v>
      </c>
      <c r="F102" s="21">
        <v>2.48</v>
      </c>
      <c r="G102" s="36"/>
      <c r="H102" s="61">
        <v>1.03E-4</v>
      </c>
      <c r="I102" s="27">
        <v>190</v>
      </c>
    </row>
    <row r="103" spans="1:9" x14ac:dyDescent="0.2">
      <c r="A103" s="20">
        <v>3</v>
      </c>
      <c r="B103" s="23">
        <f t="shared" si="20"/>
        <v>2.6000000000000245E-2</v>
      </c>
      <c r="C103">
        <f t="shared" si="22"/>
        <v>1.3681720000000128</v>
      </c>
      <c r="D103">
        <f t="shared" si="21"/>
        <v>152</v>
      </c>
      <c r="F103" s="21">
        <v>2.4910000000000001</v>
      </c>
      <c r="G103" s="37"/>
      <c r="H103" s="61">
        <v>1.5200000000000001E-4</v>
      </c>
      <c r="I103" s="28">
        <v>279</v>
      </c>
    </row>
    <row r="104" spans="1:9" x14ac:dyDescent="0.2">
      <c r="A104" s="20">
        <v>4</v>
      </c>
      <c r="B104" s="23">
        <f t="shared" si="20"/>
        <v>3.2000000000000028E-2</v>
      </c>
      <c r="C104">
        <f t="shared" si="22"/>
        <v>1.6839040000000014</v>
      </c>
      <c r="D104">
        <f t="shared" si="21"/>
        <v>194</v>
      </c>
      <c r="F104" s="21">
        <v>2.4969999999999999</v>
      </c>
      <c r="G104" s="36"/>
      <c r="H104" s="61">
        <v>1.94E-4</v>
      </c>
      <c r="I104" s="27">
        <v>367</v>
      </c>
    </row>
    <row r="105" spans="1:9" x14ac:dyDescent="0.2">
      <c r="A105" s="20">
        <v>5</v>
      </c>
      <c r="B105" s="23">
        <f t="shared" si="20"/>
        <v>5.1000000000000156E-2</v>
      </c>
      <c r="C105">
        <f t="shared" si="22"/>
        <v>2.6837220000000084</v>
      </c>
      <c r="D105">
        <f t="shared" si="21"/>
        <v>238</v>
      </c>
      <c r="F105" s="21">
        <v>2.516</v>
      </c>
      <c r="G105" s="37"/>
      <c r="H105" s="61">
        <v>2.3800000000000001E-4</v>
      </c>
      <c r="I105" s="28">
        <v>459</v>
      </c>
    </row>
    <row r="106" spans="1:9" x14ac:dyDescent="0.2">
      <c r="A106" s="20">
        <v>6</v>
      </c>
      <c r="B106" s="23">
        <f t="shared" si="20"/>
        <v>6.0999999999999943E-2</v>
      </c>
      <c r="C106">
        <f t="shared" si="22"/>
        <v>3.2099419999999972</v>
      </c>
      <c r="D106">
        <f t="shared" si="21"/>
        <v>283</v>
      </c>
      <c r="F106" s="21">
        <v>2.5259999999999998</v>
      </c>
      <c r="G106" s="36"/>
      <c r="H106" s="61">
        <v>2.8299999999999999E-4</v>
      </c>
      <c r="I106" s="27">
        <v>548</v>
      </c>
    </row>
    <row r="107" spans="1:9" x14ac:dyDescent="0.2">
      <c r="A107" s="20">
        <v>5</v>
      </c>
      <c r="B107" s="23">
        <f t="shared" si="20"/>
        <v>4.7000000000000153E-2</v>
      </c>
      <c r="C107">
        <f t="shared" si="22"/>
        <v>2.4732340000000081</v>
      </c>
      <c r="D107">
        <f t="shared" si="21"/>
        <v>225</v>
      </c>
      <c r="F107" s="21">
        <v>2.512</v>
      </c>
      <c r="G107" s="37"/>
      <c r="H107" s="61">
        <v>2.2499999999999999E-4</v>
      </c>
      <c r="I107" s="28">
        <v>638</v>
      </c>
    </row>
    <row r="108" spans="1:9" x14ac:dyDescent="0.2">
      <c r="A108" s="20">
        <v>4</v>
      </c>
      <c r="B108" s="23">
        <f t="shared" si="20"/>
        <v>4.6000000000000263E-2</v>
      </c>
      <c r="C108">
        <f t="shared" si="22"/>
        <v>2.420612000000014</v>
      </c>
      <c r="D108">
        <f t="shared" si="21"/>
        <v>179</v>
      </c>
      <c r="F108" s="21">
        <v>2.5110000000000001</v>
      </c>
      <c r="G108" s="36"/>
      <c r="H108" s="61">
        <v>1.7899999999999999E-4</v>
      </c>
      <c r="I108" s="27">
        <v>727</v>
      </c>
    </row>
    <row r="109" spans="1:9" x14ac:dyDescent="0.2">
      <c r="A109" s="20">
        <v>3</v>
      </c>
      <c r="B109" s="23"/>
      <c r="D109">
        <f t="shared" si="21"/>
        <v>130</v>
      </c>
      <c r="F109" s="21">
        <v>2.2480000000000002</v>
      </c>
      <c r="G109" s="37"/>
      <c r="H109" s="61">
        <v>1.2999999999999999E-4</v>
      </c>
      <c r="I109" s="28">
        <v>585</v>
      </c>
    </row>
    <row r="110" spans="1:9" x14ac:dyDescent="0.2">
      <c r="A110" s="20">
        <v>2</v>
      </c>
      <c r="B110" s="23">
        <f t="shared" si="20"/>
        <v>2.4000000000000021E-2</v>
      </c>
      <c r="C110">
        <f t="shared" si="22"/>
        <v>1.2629280000000012</v>
      </c>
      <c r="D110">
        <f t="shared" si="21"/>
        <v>84</v>
      </c>
      <c r="F110" s="21">
        <v>2.4889999999999999</v>
      </c>
      <c r="G110" s="36"/>
      <c r="H110" s="61">
        <v>8.3999999999999995E-5</v>
      </c>
      <c r="I110" s="27">
        <v>445</v>
      </c>
    </row>
    <row r="111" spans="1:9" x14ac:dyDescent="0.2">
      <c r="A111" s="20">
        <v>1</v>
      </c>
      <c r="B111" s="23">
        <f t="shared" si="20"/>
        <v>1.5000000000000124E-2</v>
      </c>
      <c r="C111">
        <f t="shared" si="22"/>
        <v>0.78933000000000653</v>
      </c>
      <c r="D111">
        <f t="shared" si="21"/>
        <v>38</v>
      </c>
      <c r="F111" s="21">
        <v>2.48</v>
      </c>
      <c r="G111" s="37"/>
      <c r="H111" s="61">
        <v>3.8000000000000002E-5</v>
      </c>
      <c r="I111" s="28">
        <v>333</v>
      </c>
    </row>
    <row r="112" spans="1:9" ht="13.5" thickBot="1" x14ac:dyDescent="0.25">
      <c r="A112" s="20">
        <v>0</v>
      </c>
      <c r="B112" s="23">
        <f t="shared" si="20"/>
        <v>7.0000000000001172E-3</v>
      </c>
      <c r="C112">
        <f t="shared" si="22"/>
        <v>0.36835400000000618</v>
      </c>
      <c r="D112">
        <f t="shared" si="21"/>
        <v>-7</v>
      </c>
      <c r="F112" s="21">
        <v>2.472</v>
      </c>
      <c r="G112" s="36"/>
      <c r="H112" s="61">
        <v>-6.9999999999999999E-6</v>
      </c>
      <c r="I112" s="27">
        <v>227</v>
      </c>
    </row>
    <row r="113" spans="1:14" ht="13.5" thickBot="1" x14ac:dyDescent="0.25">
      <c r="A113" s="28"/>
      <c r="F113" s="34"/>
      <c r="G113" s="37"/>
      <c r="H113" s="28"/>
      <c r="I113" s="28"/>
    </row>
    <row r="114" spans="1:14" ht="13.5" thickBot="1" x14ac:dyDescent="0.25">
      <c r="A114" s="29"/>
      <c r="F114" s="34"/>
      <c r="G114" s="38"/>
      <c r="H114" s="29"/>
      <c r="I114" s="29"/>
    </row>
    <row r="115" spans="1:14" ht="15.75" x14ac:dyDescent="0.25">
      <c r="H115" s="77" t="s">
        <v>52</v>
      </c>
      <c r="I115" s="77"/>
      <c r="J115" s="77"/>
      <c r="K115" s="77"/>
      <c r="L115" s="77"/>
      <c r="M115" s="77"/>
      <c r="N115" s="77"/>
    </row>
    <row r="116" spans="1:14" ht="15.75" x14ac:dyDescent="0.25">
      <c r="A116" s="77" t="s">
        <v>40</v>
      </c>
      <c r="B116" s="77"/>
      <c r="C116" s="77"/>
      <c r="D116" s="77"/>
      <c r="E116" s="77"/>
      <c r="J116" s="1" t="s">
        <v>68</v>
      </c>
      <c r="K116" s="1" t="s">
        <v>69</v>
      </c>
    </row>
    <row r="117" spans="1:14" x14ac:dyDescent="0.2">
      <c r="J117" s="1" t="s">
        <v>30</v>
      </c>
      <c r="K117" s="1" t="s">
        <v>30</v>
      </c>
      <c r="L117" s="1" t="s">
        <v>48</v>
      </c>
    </row>
    <row r="118" spans="1:14" x14ac:dyDescent="0.2">
      <c r="A118" s="1" t="s">
        <v>51</v>
      </c>
      <c r="B118" s="1" t="s">
        <v>30</v>
      </c>
      <c r="D118" s="1" t="s">
        <v>48</v>
      </c>
      <c r="H118" s="67">
        <v>0</v>
      </c>
      <c r="I118" s="32">
        <f>+L118-$L$118</f>
        <v>0</v>
      </c>
      <c r="J118" s="68">
        <v>6.0000000000000002E-6</v>
      </c>
      <c r="K118" s="2">
        <f>+J118*10^6</f>
        <v>6</v>
      </c>
      <c r="L118" s="68">
        <v>2.4649999999999999</v>
      </c>
      <c r="M118" s="31">
        <f>+I118*$G$40</f>
        <v>0</v>
      </c>
    </row>
    <row r="119" spans="1:14" x14ac:dyDescent="0.2">
      <c r="A119" s="64">
        <v>0</v>
      </c>
      <c r="B119">
        <v>1</v>
      </c>
      <c r="C119" s="62"/>
      <c r="D119" s="26">
        <f>+C119-$C$119</f>
        <v>0</v>
      </c>
      <c r="E119" s="26"/>
      <c r="H119" s="67">
        <v>1</v>
      </c>
      <c r="I119" s="32">
        <f t="shared" ref="I119:I130" si="23">+L119-$L$118</f>
        <v>8.0000000000000071E-3</v>
      </c>
      <c r="J119" s="68">
        <v>5.5999999999999999E-5</v>
      </c>
      <c r="K119" s="2">
        <f t="shared" ref="K119:K130" si="24">+J119*10^6</f>
        <v>56</v>
      </c>
      <c r="L119" s="68">
        <v>2.4729999999999999</v>
      </c>
      <c r="M119" s="31">
        <f t="shared" ref="M119:M130" si="25">+I119*$G$40</f>
        <v>0.42097600000000035</v>
      </c>
    </row>
    <row r="120" spans="1:14" x14ac:dyDescent="0.2">
      <c r="A120" s="65">
        <v>0.5</v>
      </c>
      <c r="B120">
        <v>21</v>
      </c>
      <c r="C120" s="35">
        <v>2.5640000000000001</v>
      </c>
      <c r="D120" s="26">
        <f>+C120-$C$120</f>
        <v>0</v>
      </c>
      <c r="E120" s="26"/>
      <c r="H120" s="67">
        <v>2</v>
      </c>
      <c r="I120" s="32">
        <f t="shared" si="23"/>
        <v>1.5000000000000124E-2</v>
      </c>
      <c r="J120" s="68">
        <v>1.03E-4</v>
      </c>
      <c r="K120" s="2">
        <f t="shared" si="24"/>
        <v>103</v>
      </c>
      <c r="L120" s="68">
        <v>2.48</v>
      </c>
      <c r="M120" s="31">
        <f t="shared" si="25"/>
        <v>0.78933000000000653</v>
      </c>
    </row>
    <row r="121" spans="1:14" x14ac:dyDescent="0.2">
      <c r="A121" s="64">
        <v>1</v>
      </c>
      <c r="B121">
        <v>43</v>
      </c>
      <c r="C121" s="62">
        <v>2.5680000000000001</v>
      </c>
      <c r="D121" s="26">
        <f t="shared" ref="D121:D129" si="26">+C121-$C$120</f>
        <v>4.0000000000000036E-3</v>
      </c>
      <c r="E121" s="26">
        <f>+D121*$G$40</f>
        <v>0.21048800000000017</v>
      </c>
      <c r="H121" s="67">
        <v>3</v>
      </c>
      <c r="I121" s="32">
        <f t="shared" si="23"/>
        <v>2.6000000000000245E-2</v>
      </c>
      <c r="J121" s="68">
        <v>1.5200000000000001E-4</v>
      </c>
      <c r="K121" s="2">
        <f t="shared" si="24"/>
        <v>152</v>
      </c>
      <c r="L121" s="68">
        <v>2.4910000000000001</v>
      </c>
      <c r="M121" s="31">
        <f t="shared" si="25"/>
        <v>1.3681720000000128</v>
      </c>
    </row>
    <row r="122" spans="1:14" x14ac:dyDescent="0.2">
      <c r="A122" s="65">
        <v>2</v>
      </c>
      <c r="B122">
        <v>90</v>
      </c>
      <c r="C122" s="35"/>
      <c r="D122" s="26"/>
      <c r="E122" s="26"/>
      <c r="H122" s="67">
        <v>4</v>
      </c>
      <c r="I122" s="32">
        <f t="shared" si="23"/>
        <v>3.2000000000000028E-2</v>
      </c>
      <c r="J122" s="68">
        <v>1.94E-4</v>
      </c>
      <c r="K122" s="2">
        <f t="shared" si="24"/>
        <v>194</v>
      </c>
      <c r="L122" s="68">
        <v>2.4969999999999999</v>
      </c>
      <c r="M122" s="31">
        <f t="shared" si="25"/>
        <v>1.6839040000000014</v>
      </c>
    </row>
    <row r="123" spans="1:14" x14ac:dyDescent="0.2">
      <c r="A123" s="64">
        <v>3</v>
      </c>
      <c r="B123">
        <v>135</v>
      </c>
      <c r="C123" s="62">
        <v>2.6040000000000001</v>
      </c>
      <c r="D123" s="26">
        <f t="shared" si="26"/>
        <v>4.0000000000000036E-2</v>
      </c>
      <c r="E123" s="26"/>
      <c r="H123" s="67">
        <v>5</v>
      </c>
      <c r="I123" s="32">
        <f t="shared" si="23"/>
        <v>5.1000000000000156E-2</v>
      </c>
      <c r="J123" s="68">
        <v>2.3800000000000001E-4</v>
      </c>
      <c r="K123" s="2">
        <f t="shared" si="24"/>
        <v>238</v>
      </c>
      <c r="L123" s="68">
        <v>2.516</v>
      </c>
      <c r="M123" s="31">
        <f t="shared" si="25"/>
        <v>2.6837220000000084</v>
      </c>
    </row>
    <row r="124" spans="1:14" x14ac:dyDescent="0.2">
      <c r="A124" s="65">
        <v>4</v>
      </c>
      <c r="B124">
        <v>180</v>
      </c>
      <c r="C124" s="35"/>
      <c r="D124" s="26"/>
      <c r="E124" s="26"/>
      <c r="H124" s="67">
        <v>6</v>
      </c>
      <c r="I124" s="32">
        <f t="shared" si="23"/>
        <v>6.0999999999999943E-2</v>
      </c>
      <c r="J124" s="68">
        <v>2.8299999999999999E-4</v>
      </c>
      <c r="K124" s="2">
        <f t="shared" si="24"/>
        <v>283</v>
      </c>
      <c r="L124" s="68">
        <v>2.5259999999999998</v>
      </c>
      <c r="M124" s="31">
        <f t="shared" si="25"/>
        <v>3.2099419999999972</v>
      </c>
    </row>
    <row r="125" spans="1:14" x14ac:dyDescent="0.2">
      <c r="A125" s="64">
        <v>5</v>
      </c>
      <c r="B125">
        <v>224</v>
      </c>
      <c r="C125" s="62"/>
      <c r="D125" s="26"/>
      <c r="E125" s="26"/>
      <c r="H125" s="67">
        <v>5</v>
      </c>
      <c r="I125" s="32">
        <f t="shared" si="23"/>
        <v>4.7000000000000153E-2</v>
      </c>
      <c r="J125" s="68">
        <v>2.2499999999999999E-4</v>
      </c>
      <c r="K125" s="2">
        <f t="shared" si="24"/>
        <v>225</v>
      </c>
      <c r="L125" s="68">
        <v>2.512</v>
      </c>
      <c r="M125" s="31">
        <f t="shared" si="25"/>
        <v>2.4732340000000081</v>
      </c>
    </row>
    <row r="126" spans="1:14" x14ac:dyDescent="0.2">
      <c r="A126" s="65">
        <v>5</v>
      </c>
      <c r="B126">
        <v>219</v>
      </c>
      <c r="C126" s="35">
        <v>2.5499999999999998</v>
      </c>
      <c r="D126" s="26"/>
      <c r="E126" s="26"/>
      <c r="H126" s="67">
        <v>4</v>
      </c>
      <c r="I126" s="32">
        <f>+L126-$L$118</f>
        <v>3.9000000000000146E-2</v>
      </c>
      <c r="J126" s="68">
        <v>1.7899999999999999E-4</v>
      </c>
      <c r="K126" s="2">
        <f t="shared" si="24"/>
        <v>179</v>
      </c>
      <c r="L126" s="68">
        <v>2.504</v>
      </c>
      <c r="M126" s="31">
        <f>+I126*$G$40</f>
        <v>2.0522580000000077</v>
      </c>
    </row>
    <row r="127" spans="1:14" x14ac:dyDescent="0.2">
      <c r="A127" s="64">
        <v>4</v>
      </c>
      <c r="B127">
        <v>170</v>
      </c>
      <c r="C127" s="62">
        <v>2.597</v>
      </c>
      <c r="D127" s="26">
        <f t="shared" si="26"/>
        <v>3.2999999999999918E-2</v>
      </c>
      <c r="E127" s="26">
        <f t="shared" ref="E127:E129" si="27">+D127*$G$40</f>
        <v>1.7365259999999958</v>
      </c>
      <c r="H127" s="67">
        <v>3</v>
      </c>
      <c r="I127" s="32">
        <f t="shared" si="23"/>
        <v>3.3000000000000362E-2</v>
      </c>
      <c r="J127" s="69">
        <v>1.2999999999999999E-4</v>
      </c>
      <c r="K127" s="2">
        <f t="shared" si="24"/>
        <v>130</v>
      </c>
      <c r="L127" s="68">
        <v>2.4980000000000002</v>
      </c>
      <c r="M127" s="31">
        <f t="shared" si="25"/>
        <v>1.7365260000000191</v>
      </c>
    </row>
    <row r="128" spans="1:14" x14ac:dyDescent="0.2">
      <c r="A128" s="65">
        <v>2.5</v>
      </c>
      <c r="B128">
        <v>122</v>
      </c>
      <c r="C128" s="35">
        <v>2.59</v>
      </c>
      <c r="D128" s="26">
        <f t="shared" si="26"/>
        <v>2.5999999999999801E-2</v>
      </c>
      <c r="E128" s="26">
        <f t="shared" si="27"/>
        <v>1.3681719999999895</v>
      </c>
      <c r="H128" s="67">
        <v>2</v>
      </c>
      <c r="I128" s="32">
        <f t="shared" si="23"/>
        <v>2.4000000000000021E-2</v>
      </c>
      <c r="J128" s="68">
        <v>8.3999999999999995E-5</v>
      </c>
      <c r="K128" s="2">
        <f t="shared" si="24"/>
        <v>84</v>
      </c>
      <c r="L128" s="68">
        <v>2.4889999999999999</v>
      </c>
      <c r="M128" s="31">
        <f t="shared" si="25"/>
        <v>1.2629280000000012</v>
      </c>
    </row>
    <row r="129" spans="1:16" x14ac:dyDescent="0.2">
      <c r="A129" s="64">
        <v>1.5</v>
      </c>
      <c r="B129">
        <v>75</v>
      </c>
      <c r="C129" s="62">
        <v>2.5819999999999999</v>
      </c>
      <c r="D129" s="26">
        <f t="shared" si="26"/>
        <v>1.7999999999999794E-2</v>
      </c>
      <c r="E129" s="26">
        <f t="shared" si="27"/>
        <v>0.94719599999998916</v>
      </c>
      <c r="H129" s="67">
        <v>1</v>
      </c>
      <c r="I129" s="32">
        <f t="shared" si="23"/>
        <v>1.5000000000000124E-2</v>
      </c>
      <c r="J129" s="68">
        <v>3.8000000000000002E-5</v>
      </c>
      <c r="K129" s="2">
        <f t="shared" si="24"/>
        <v>38</v>
      </c>
      <c r="L129" s="68">
        <v>2.48</v>
      </c>
      <c r="M129" s="31">
        <f t="shared" si="25"/>
        <v>0.78933000000000653</v>
      </c>
    </row>
    <row r="130" spans="1:16" x14ac:dyDescent="0.2">
      <c r="A130" s="65">
        <v>0.5</v>
      </c>
      <c r="B130">
        <v>5</v>
      </c>
      <c r="C130" s="35">
        <v>2.56</v>
      </c>
      <c r="D130" s="26"/>
      <c r="E130" s="26"/>
      <c r="H130" s="67">
        <v>0</v>
      </c>
      <c r="I130" s="32">
        <f t="shared" si="23"/>
        <v>7.0000000000001172E-3</v>
      </c>
      <c r="J130" s="68">
        <v>-6.9999999999999999E-6</v>
      </c>
      <c r="K130" s="2">
        <f t="shared" si="24"/>
        <v>-7</v>
      </c>
      <c r="L130" s="68">
        <v>2.472</v>
      </c>
      <c r="M130" s="31">
        <f t="shared" si="25"/>
        <v>0.36835400000000618</v>
      </c>
    </row>
    <row r="131" spans="1:16" ht="13.5" thickBot="1" x14ac:dyDescent="0.25">
      <c r="A131" s="66">
        <v>0</v>
      </c>
      <c r="C131" s="63">
        <v>2.5630000000000002</v>
      </c>
      <c r="D131" s="26"/>
      <c r="E131" s="26"/>
    </row>
    <row r="132" spans="1:16" x14ac:dyDescent="0.2">
      <c r="A132" s="25"/>
      <c r="B132" s="30"/>
      <c r="D132" s="26"/>
      <c r="E132" s="26"/>
    </row>
    <row r="133" spans="1:16" x14ac:dyDescent="0.2">
      <c r="A133" s="25"/>
      <c r="B133" s="30"/>
      <c r="D133" s="26"/>
      <c r="E133" s="26"/>
    </row>
    <row r="134" spans="1:16" x14ac:dyDescent="0.2">
      <c r="A134" s="25"/>
      <c r="B134" s="30"/>
      <c r="D134" s="26"/>
      <c r="E134" s="31"/>
    </row>
    <row r="136" spans="1:16" ht="18" x14ac:dyDescent="0.25">
      <c r="A136" s="78" t="s">
        <v>65</v>
      </c>
      <c r="B136" s="78"/>
      <c r="C136" s="78"/>
      <c r="D136" s="78"/>
      <c r="E136" s="78"/>
      <c r="F136" s="54"/>
      <c r="G136" s="54"/>
      <c r="H136" s="54"/>
      <c r="I136" s="54"/>
      <c r="J136" s="54"/>
      <c r="L136" s="78" t="s">
        <v>70</v>
      </c>
      <c r="M136" s="78"/>
      <c r="N136" s="78"/>
      <c r="O136" s="78"/>
      <c r="P136" s="78"/>
    </row>
    <row r="137" spans="1:16" ht="31.5" x14ac:dyDescent="0.2">
      <c r="B137" s="1" t="s">
        <v>30</v>
      </c>
      <c r="C137" s="1" t="s">
        <v>30</v>
      </c>
      <c r="L137" s="51" t="s">
        <v>71</v>
      </c>
      <c r="M137" s="51" t="s">
        <v>72</v>
      </c>
      <c r="N137" s="52" t="s">
        <v>73</v>
      </c>
      <c r="O137" s="52" t="s">
        <v>60</v>
      </c>
    </row>
    <row r="138" spans="1:16" ht="15.75" x14ac:dyDescent="0.2">
      <c r="A138" s="44" t="s">
        <v>64</v>
      </c>
      <c r="B138" s="44" t="s">
        <v>66</v>
      </c>
      <c r="C138" s="44" t="s">
        <v>67</v>
      </c>
      <c r="D138" s="47" t="s">
        <v>46</v>
      </c>
      <c r="L138" s="55">
        <v>0</v>
      </c>
      <c r="M138" s="56" t="s">
        <v>91</v>
      </c>
      <c r="N138" s="55" t="s">
        <v>74</v>
      </c>
      <c r="O138" s="55" t="s">
        <v>80</v>
      </c>
      <c r="P138" t="e">
        <f>+M138*10^6/2</f>
        <v>#VALUE!</v>
      </c>
    </row>
    <row r="139" spans="1:16" ht="15.75" x14ac:dyDescent="0.2">
      <c r="A139" s="45">
        <v>0</v>
      </c>
      <c r="B139" s="45">
        <f>0*$K$11</f>
        <v>0</v>
      </c>
      <c r="C139" s="45">
        <v>0</v>
      </c>
      <c r="D139" s="48">
        <v>3.7570000000000001</v>
      </c>
      <c r="E139">
        <f>+C139*-1/2</f>
        <v>0</v>
      </c>
      <c r="L139" s="55">
        <v>0.5</v>
      </c>
      <c r="M139" s="56">
        <f>-0.00015</f>
        <v>-1.4999999999999999E-4</v>
      </c>
      <c r="N139" s="55" t="s">
        <v>75</v>
      </c>
      <c r="O139" s="55" t="s">
        <v>81</v>
      </c>
    </row>
    <row r="140" spans="1:16" ht="15.75" x14ac:dyDescent="0.2">
      <c r="A140" s="45">
        <f>50/1000</f>
        <v>0.05</v>
      </c>
      <c r="B140" s="46">
        <v>200</v>
      </c>
      <c r="C140" s="46">
        <v>-140</v>
      </c>
      <c r="D140" s="48">
        <v>3.7709999999999999</v>
      </c>
      <c r="E140">
        <f t="shared" ref="E140:E153" si="28">+C140*-1/2</f>
        <v>70</v>
      </c>
      <c r="L140" s="55">
        <v>1.5</v>
      </c>
      <c r="M140" s="56">
        <f>-0.000453</f>
        <v>-4.5300000000000001E-4</v>
      </c>
      <c r="N140" s="55" t="s">
        <v>76</v>
      </c>
      <c r="O140" s="55" t="s">
        <v>82</v>
      </c>
    </row>
    <row r="141" spans="1:16" ht="15.75" x14ac:dyDescent="0.2">
      <c r="A141" s="45">
        <f>150/1000</f>
        <v>0.15</v>
      </c>
      <c r="B141" s="46">
        <v>540</v>
      </c>
      <c r="C141" s="46">
        <v>-420</v>
      </c>
      <c r="D141" s="48">
        <v>3.7749999999999999</v>
      </c>
      <c r="E141">
        <f t="shared" si="28"/>
        <v>210</v>
      </c>
      <c r="L141" s="55">
        <v>2.5</v>
      </c>
      <c r="M141" s="56">
        <f>-0.000753</f>
        <v>-7.5299999999999998E-4</v>
      </c>
      <c r="N141" s="55" t="s">
        <v>77</v>
      </c>
      <c r="O141" s="55" t="s">
        <v>83</v>
      </c>
    </row>
    <row r="142" spans="1:16" ht="15.75" x14ac:dyDescent="0.2">
      <c r="A142" s="45">
        <f>250/1000</f>
        <v>0.25</v>
      </c>
      <c r="B142" s="46">
        <v>900</v>
      </c>
      <c r="C142" s="46">
        <v>-750</v>
      </c>
      <c r="D142" s="49">
        <v>3.7869999999999999</v>
      </c>
      <c r="E142">
        <f t="shared" si="28"/>
        <v>375</v>
      </c>
      <c r="L142" s="55">
        <v>2</v>
      </c>
      <c r="M142" s="56">
        <f>-0.000603</f>
        <v>-6.0300000000000002E-4</v>
      </c>
      <c r="N142" s="55" t="s">
        <v>78</v>
      </c>
      <c r="O142" s="55" t="s">
        <v>84</v>
      </c>
    </row>
    <row r="143" spans="1:16" ht="15.75" x14ac:dyDescent="0.2">
      <c r="A143" s="45">
        <v>0.35</v>
      </c>
      <c r="B143" s="46">
        <v>1240</v>
      </c>
      <c r="C143" s="46">
        <v>-1030</v>
      </c>
      <c r="D143" s="50">
        <v>3.8</v>
      </c>
      <c r="E143">
        <f t="shared" si="28"/>
        <v>515</v>
      </c>
      <c r="L143" s="55">
        <v>1</v>
      </c>
      <c r="M143" s="56">
        <v>-3.0299999999999999E-4</v>
      </c>
      <c r="N143" s="55" t="s">
        <v>79</v>
      </c>
      <c r="O143" s="55" t="s">
        <v>85</v>
      </c>
    </row>
    <row r="144" spans="1:16" x14ac:dyDescent="0.2">
      <c r="A144" s="45">
        <v>0.45</v>
      </c>
      <c r="B144" s="46">
        <v>1620</v>
      </c>
      <c r="C144" s="46">
        <v>-1340</v>
      </c>
      <c r="D144" s="48">
        <v>3.8130000000000002</v>
      </c>
      <c r="E144">
        <f t="shared" si="28"/>
        <v>670</v>
      </c>
    </row>
    <row r="145" spans="1:5" x14ac:dyDescent="0.2">
      <c r="A145" s="45">
        <v>0.55000000000000004</v>
      </c>
      <c r="B145" s="46">
        <v>1950</v>
      </c>
      <c r="C145" s="46">
        <v>-1640</v>
      </c>
      <c r="D145" s="48">
        <v>3.8319999999999999</v>
      </c>
      <c r="E145">
        <f t="shared" si="28"/>
        <v>820</v>
      </c>
    </row>
    <row r="146" spans="1:5" x14ac:dyDescent="0.2">
      <c r="A146" s="45">
        <v>0.65</v>
      </c>
      <c r="B146" s="46">
        <v>2340</v>
      </c>
      <c r="C146" s="46">
        <v>-1960</v>
      </c>
      <c r="D146" s="48">
        <v>3.8540000000000001</v>
      </c>
      <c r="E146">
        <f t="shared" si="28"/>
        <v>980</v>
      </c>
    </row>
    <row r="147" spans="1:5" x14ac:dyDescent="0.2">
      <c r="A147" s="45">
        <v>0.55000000000000004</v>
      </c>
      <c r="B147" s="46">
        <v>1970</v>
      </c>
      <c r="C147" s="46">
        <v>-1670</v>
      </c>
      <c r="D147" s="48">
        <v>3.8340000000000001</v>
      </c>
      <c r="E147">
        <f t="shared" si="28"/>
        <v>835</v>
      </c>
    </row>
    <row r="148" spans="1:5" x14ac:dyDescent="0.2">
      <c r="A148" s="45">
        <v>0.45</v>
      </c>
      <c r="B148" s="46">
        <v>1630</v>
      </c>
      <c r="C148" s="46">
        <v>-1360</v>
      </c>
      <c r="D148" s="48">
        <v>3.8149999999999999</v>
      </c>
      <c r="E148">
        <f t="shared" si="28"/>
        <v>680</v>
      </c>
    </row>
    <row r="149" spans="1:5" x14ac:dyDescent="0.2">
      <c r="A149" s="45">
        <v>0.35</v>
      </c>
      <c r="B149" s="46">
        <v>1250</v>
      </c>
      <c r="C149" s="46">
        <v>-1050</v>
      </c>
      <c r="D149" s="48">
        <v>3.8029999999999999</v>
      </c>
      <c r="E149">
        <f t="shared" si="28"/>
        <v>525</v>
      </c>
    </row>
    <row r="150" spans="1:5" x14ac:dyDescent="0.2">
      <c r="A150" s="45">
        <v>0.25</v>
      </c>
      <c r="B150" s="46">
        <v>920</v>
      </c>
      <c r="C150" s="46">
        <v>-780</v>
      </c>
      <c r="D150" s="48">
        <v>3.7909999999999999</v>
      </c>
      <c r="E150">
        <f t="shared" si="28"/>
        <v>390</v>
      </c>
    </row>
    <row r="151" spans="1:5" x14ac:dyDescent="0.2">
      <c r="A151" s="45">
        <v>0.15</v>
      </c>
      <c r="B151" s="46">
        <v>570</v>
      </c>
      <c r="C151" s="46">
        <v>-450</v>
      </c>
      <c r="D151" s="48">
        <v>3.778</v>
      </c>
      <c r="E151">
        <f t="shared" si="28"/>
        <v>225</v>
      </c>
    </row>
    <row r="152" spans="1:5" x14ac:dyDescent="0.2">
      <c r="A152" s="45">
        <v>0.05</v>
      </c>
      <c r="B152" s="46">
        <v>240</v>
      </c>
      <c r="C152" s="46">
        <v>-170</v>
      </c>
      <c r="D152" s="48">
        <v>3.7730000000000001</v>
      </c>
      <c r="E152">
        <f t="shared" si="28"/>
        <v>85</v>
      </c>
    </row>
    <row r="153" spans="1:5" x14ac:dyDescent="0.2">
      <c r="A153" s="45">
        <v>0</v>
      </c>
      <c r="B153" s="45">
        <v>0</v>
      </c>
      <c r="C153" s="45">
        <v>0</v>
      </c>
      <c r="D153" s="50">
        <v>3.76</v>
      </c>
      <c r="E153">
        <f t="shared" si="28"/>
        <v>0</v>
      </c>
    </row>
  </sheetData>
  <mergeCells count="14">
    <mergeCell ref="B42:C42"/>
    <mergeCell ref="A78:I78"/>
    <mergeCell ref="D79:D80"/>
    <mergeCell ref="J79:R79"/>
    <mergeCell ref="L10:N10"/>
    <mergeCell ref="E39:I39"/>
    <mergeCell ref="O26:P26"/>
    <mergeCell ref="L20:N20"/>
    <mergeCell ref="M26:N26"/>
    <mergeCell ref="A98:I98"/>
    <mergeCell ref="H115:N115"/>
    <mergeCell ref="A116:E116"/>
    <mergeCell ref="A136:E136"/>
    <mergeCell ref="L136:P136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3:V153"/>
  <sheetViews>
    <sheetView topLeftCell="A40" zoomScale="90" zoomScaleNormal="90" workbookViewId="0">
      <selection activeCell="B48" sqref="B48:C48"/>
    </sheetView>
  </sheetViews>
  <sheetFormatPr defaultRowHeight="12.75" x14ac:dyDescent="0.2"/>
  <cols>
    <col min="1" max="2" width="11.140625" customWidth="1"/>
    <col min="3" max="3" width="15.5703125" customWidth="1"/>
    <col min="4" max="4" width="12" customWidth="1"/>
    <col min="5" max="5" width="10" bestFit="1" customWidth="1"/>
    <col min="7" max="7" width="12.42578125" bestFit="1" customWidth="1"/>
    <col min="8" max="8" width="11.7109375" customWidth="1"/>
    <col min="9" max="9" width="14.140625" customWidth="1"/>
    <col min="11" max="11" width="12" bestFit="1" customWidth="1"/>
    <col min="12" max="12" width="17.85546875" customWidth="1"/>
    <col min="13" max="13" width="15.140625" customWidth="1"/>
    <col min="14" max="14" width="15.85546875" customWidth="1"/>
    <col min="15" max="15" width="11.7109375" customWidth="1"/>
    <col min="16" max="16" width="13.42578125" bestFit="1" customWidth="1"/>
    <col min="18" max="18" width="10.42578125" bestFit="1" customWidth="1"/>
    <col min="19" max="19" width="9.28515625" bestFit="1" customWidth="1"/>
    <col min="21" max="21" width="11.140625" customWidth="1"/>
  </cols>
  <sheetData>
    <row r="13" spans="12:15" ht="15.75" x14ac:dyDescent="0.25">
      <c r="L13" s="77" t="s">
        <v>11</v>
      </c>
      <c r="M13" s="77"/>
      <c r="N13" s="77"/>
    </row>
    <row r="14" spans="12:15" x14ac:dyDescent="0.2">
      <c r="L14" s="7" t="s">
        <v>0</v>
      </c>
      <c r="M14" s="8">
        <v>38</v>
      </c>
      <c r="N14" s="1" t="s">
        <v>3</v>
      </c>
    </row>
    <row r="15" spans="12:15" x14ac:dyDescent="0.2">
      <c r="L15" s="7" t="s">
        <v>1</v>
      </c>
      <c r="M15" s="8">
        <v>2.9</v>
      </c>
      <c r="N15" s="1" t="s">
        <v>3</v>
      </c>
      <c r="O15">
        <v>10</v>
      </c>
    </row>
    <row r="16" spans="12:15" x14ac:dyDescent="0.2">
      <c r="L16" s="7" t="s">
        <v>2</v>
      </c>
      <c r="M16" s="8">
        <v>335</v>
      </c>
      <c r="N16" s="1" t="s">
        <v>3</v>
      </c>
    </row>
    <row r="17" spans="11:22" ht="14.25" x14ac:dyDescent="0.25">
      <c r="L17" s="7" t="s">
        <v>28</v>
      </c>
      <c r="M17" s="11">
        <v>10</v>
      </c>
      <c r="N17" s="3" t="s">
        <v>3</v>
      </c>
      <c r="O17" s="1" t="s">
        <v>27</v>
      </c>
    </row>
    <row r="18" spans="11:22" ht="14.25" x14ac:dyDescent="0.25">
      <c r="L18" s="7" t="s">
        <v>29</v>
      </c>
      <c r="M18" s="11">
        <f>+M16-O15</f>
        <v>325</v>
      </c>
      <c r="N18" s="3" t="s">
        <v>3</v>
      </c>
      <c r="O18" s="1" t="s">
        <v>30</v>
      </c>
    </row>
    <row r="19" spans="11:22" x14ac:dyDescent="0.2">
      <c r="L19" s="7" t="s">
        <v>20</v>
      </c>
      <c r="M19" s="6">
        <f>+M15/2</f>
        <v>1.45</v>
      </c>
      <c r="N19" s="3" t="s">
        <v>3</v>
      </c>
    </row>
    <row r="20" spans="11:22" ht="15.75" x14ac:dyDescent="0.25">
      <c r="L20" s="77"/>
      <c r="M20" s="77"/>
      <c r="N20" s="77"/>
    </row>
    <row r="21" spans="11:22" ht="15" x14ac:dyDescent="0.25">
      <c r="L21" s="5" t="s">
        <v>4</v>
      </c>
      <c r="M21" s="19">
        <v>200000</v>
      </c>
      <c r="N21" s="1" t="s">
        <v>36</v>
      </c>
    </row>
    <row r="22" spans="11:22" ht="15" x14ac:dyDescent="0.25">
      <c r="L22" s="5" t="s">
        <v>5</v>
      </c>
      <c r="M22" s="19">
        <f>+M14*M15^3/12</f>
        <v>77.231833333333327</v>
      </c>
      <c r="N22" s="1" t="s">
        <v>9</v>
      </c>
    </row>
    <row r="23" spans="11:22" ht="15" x14ac:dyDescent="0.25">
      <c r="L23" s="5" t="s">
        <v>6</v>
      </c>
      <c r="M23" s="19">
        <f>+M22*M21</f>
        <v>15446366.666666666</v>
      </c>
      <c r="N23" s="1" t="s">
        <v>8</v>
      </c>
    </row>
    <row r="24" spans="11:22" ht="15" x14ac:dyDescent="0.25">
      <c r="L24" s="5" t="s">
        <v>7</v>
      </c>
      <c r="M24" s="4">
        <v>9.8000000000000007</v>
      </c>
      <c r="N24" s="3" t="s">
        <v>10</v>
      </c>
    </row>
    <row r="26" spans="11:22" ht="15" x14ac:dyDescent="0.25">
      <c r="L26" s="15" t="s">
        <v>17</v>
      </c>
      <c r="M26" s="82" t="s">
        <v>18</v>
      </c>
      <c r="N26" s="82"/>
      <c r="O26" s="80" t="s">
        <v>35</v>
      </c>
      <c r="P26" s="81"/>
      <c r="Q26" s="18"/>
      <c r="R26" s="18" t="s">
        <v>19</v>
      </c>
      <c r="S26" s="18"/>
      <c r="T26" s="18"/>
      <c r="U26" s="70" t="s">
        <v>21</v>
      </c>
      <c r="V26" s="16" t="s">
        <v>24</v>
      </c>
    </row>
    <row r="27" spans="11:22" ht="19.5" x14ac:dyDescent="0.35">
      <c r="L27" s="12" t="s">
        <v>12</v>
      </c>
      <c r="M27" s="13" t="s">
        <v>15</v>
      </c>
      <c r="N27" s="12" t="s">
        <v>16</v>
      </c>
      <c r="O27" s="13" t="s">
        <v>32</v>
      </c>
      <c r="P27" s="13" t="s">
        <v>33</v>
      </c>
      <c r="Q27" s="14" t="s">
        <v>34</v>
      </c>
      <c r="R27" s="12" t="s">
        <v>14</v>
      </c>
      <c r="S27" s="12" t="s">
        <v>31</v>
      </c>
      <c r="T27" s="14" t="s">
        <v>15</v>
      </c>
      <c r="U27" s="71" t="s">
        <v>23</v>
      </c>
      <c r="V27" s="12" t="s">
        <v>14</v>
      </c>
    </row>
    <row r="28" spans="11:22" ht="15" x14ac:dyDescent="0.2">
      <c r="K28" s="1" t="s">
        <v>41</v>
      </c>
      <c r="L28" s="12" t="s">
        <v>13</v>
      </c>
      <c r="M28" s="12" t="s">
        <v>3</v>
      </c>
      <c r="N28" s="12" t="s">
        <v>3</v>
      </c>
      <c r="O28" s="12"/>
      <c r="P28" s="12"/>
      <c r="Q28" s="12"/>
      <c r="R28" s="12" t="s">
        <v>25</v>
      </c>
      <c r="S28" s="12" t="s">
        <v>25</v>
      </c>
      <c r="T28" s="12" t="s">
        <v>26</v>
      </c>
      <c r="U28" s="71" t="s">
        <v>22</v>
      </c>
      <c r="V28" s="12" t="s">
        <v>25</v>
      </c>
    </row>
    <row r="29" spans="11:22" x14ac:dyDescent="0.2">
      <c r="K29">
        <v>0</v>
      </c>
      <c r="L29" s="6">
        <v>0</v>
      </c>
      <c r="M29" s="74">
        <f>+((L29*$M$24)/(6*$M$23))*(-3*$M$16^2+3*$M$17^2)*(-1*$M$19)</f>
        <v>0</v>
      </c>
      <c r="N29" s="74">
        <f>(L29*$M$24)/(6*$M$23)*(2*$M$16^3-3*$M$16^2*$M$17+$M$17^3)</f>
        <v>0</v>
      </c>
      <c r="O29" s="6">
        <f>+((L29*$M$24)/(6*$M$23))*(-3*$M$16^2+3*$M$17^2)*(-1*$M$19)</f>
        <v>0</v>
      </c>
      <c r="P29" s="72">
        <f>+((L29*$M$24)/($M$23))*($M$18)</f>
        <v>0</v>
      </c>
      <c r="Q29" s="6">
        <v>0</v>
      </c>
      <c r="R29" s="73">
        <f>+(P29*($M$19/2))*10^6</f>
        <v>0</v>
      </c>
      <c r="S29" s="73">
        <f>+(-T29*R29)</f>
        <v>0</v>
      </c>
      <c r="T29" s="6">
        <v>0.3</v>
      </c>
    </row>
    <row r="30" spans="11:22" x14ac:dyDescent="0.2">
      <c r="K30">
        <v>74.746542336817072</v>
      </c>
      <c r="L30" s="6">
        <v>0.25</v>
      </c>
      <c r="M30" s="74">
        <f t="shared" ref="M30:M39" si="0">+((L30*$M$24)/(6*$M$23))*(-3*$M$16^2+3*$M$17^2)*(-1*$M$19)</f>
        <v>1.2893778553100945E-2</v>
      </c>
      <c r="N30" s="74">
        <f t="shared" ref="N30:N38" si="1">(L30*$M$24)/(6*$M$23)*(2*$M$16^3-3*$M$16^2*$M$17+$M$17^3)</f>
        <v>1.8987340064869624</v>
      </c>
      <c r="O30" s="6">
        <f t="shared" ref="O30:O38" si="2">+((L30*$M$24)/(6*$M$23))*(-3*$M$16^2+3*$M$17^2)*(-1*$M$19)</f>
        <v>1.2893778553100945E-2</v>
      </c>
      <c r="P30" s="72">
        <f>+((L30*$M$24)/($M$23))*($M$18)</f>
        <v>5.1549339542632465E-5</v>
      </c>
      <c r="Q30" s="73">
        <f t="shared" ref="Q30:Q39" si="3">1/P30</f>
        <v>19398.890633176346</v>
      </c>
      <c r="R30" s="73">
        <f>+(P30*($M$19))*10^6</f>
        <v>74.746542336817072</v>
      </c>
      <c r="S30" s="73">
        <f t="shared" ref="S30:S38" si="4">+(-T30*R30)</f>
        <v>-22.42396270104512</v>
      </c>
      <c r="T30" s="6">
        <v>0.3</v>
      </c>
    </row>
    <row r="31" spans="11:22" x14ac:dyDescent="0.2">
      <c r="K31">
        <v>149.49308467363414</v>
      </c>
      <c r="L31" s="6">
        <v>0.5</v>
      </c>
      <c r="M31" s="74">
        <f t="shared" si="0"/>
        <v>2.578755710620189E-2</v>
      </c>
      <c r="N31" s="74">
        <f t="shared" si="1"/>
        <v>3.7974680129739249</v>
      </c>
      <c r="O31" s="6">
        <f t="shared" si="2"/>
        <v>2.578755710620189E-2</v>
      </c>
      <c r="P31" s="72">
        <f t="shared" ref="P31:P38" si="5">+((L31*$M$24)/($M$23))*($M$18)</f>
        <v>1.0309867908526493E-4</v>
      </c>
      <c r="Q31" s="73">
        <f t="shared" si="3"/>
        <v>9699.4453165881732</v>
      </c>
      <c r="R31" s="73">
        <f t="shared" ref="R31:R39" si="6">+(P31*($M$19))*10^6</f>
        <v>149.49308467363414</v>
      </c>
      <c r="S31" s="73">
        <f t="shared" si="4"/>
        <v>-44.84792540209024</v>
      </c>
      <c r="T31" s="6">
        <v>0.3</v>
      </c>
    </row>
    <row r="32" spans="11:22" x14ac:dyDescent="0.2">
      <c r="K32">
        <v>224.23962701045124</v>
      </c>
      <c r="L32" s="6">
        <v>0.75</v>
      </c>
      <c r="M32" s="74">
        <f t="shared" si="0"/>
        <v>3.8681335659302832E-2</v>
      </c>
      <c r="N32" s="74">
        <f t="shared" si="1"/>
        <v>5.6962020194608876</v>
      </c>
      <c r="O32" s="6">
        <f t="shared" si="2"/>
        <v>3.8681335659302832E-2</v>
      </c>
      <c r="P32" s="72">
        <f t="shared" si="5"/>
        <v>1.5464801862789742E-4</v>
      </c>
      <c r="Q32" s="73">
        <f t="shared" si="3"/>
        <v>6466.2968777254482</v>
      </c>
      <c r="R32" s="73">
        <f t="shared" si="6"/>
        <v>224.23962701045124</v>
      </c>
      <c r="S32" s="73">
        <f t="shared" si="4"/>
        <v>-67.271888103135367</v>
      </c>
      <c r="T32" s="6">
        <v>0.3</v>
      </c>
    </row>
    <row r="33" spans="2:20" x14ac:dyDescent="0.2">
      <c r="K33">
        <v>298.98616934726829</v>
      </c>
      <c r="L33" s="6">
        <v>1</v>
      </c>
      <c r="M33" s="74">
        <f t="shared" si="0"/>
        <v>5.157511421240378E-2</v>
      </c>
      <c r="N33" s="74">
        <f t="shared" si="1"/>
        <v>7.5949360259478498</v>
      </c>
      <c r="O33" s="6">
        <f t="shared" si="2"/>
        <v>5.157511421240378E-2</v>
      </c>
      <c r="P33" s="72">
        <f t="shared" si="5"/>
        <v>2.0619735817052986E-4</v>
      </c>
      <c r="Q33" s="73">
        <f t="shared" si="3"/>
        <v>4849.7226582940866</v>
      </c>
      <c r="R33" s="73">
        <f t="shared" si="6"/>
        <v>298.98616934726829</v>
      </c>
      <c r="S33" s="73">
        <f t="shared" si="4"/>
        <v>-89.695850804180481</v>
      </c>
      <c r="T33" s="6">
        <v>0.3</v>
      </c>
    </row>
    <row r="34" spans="2:20" x14ac:dyDescent="0.2">
      <c r="K34">
        <v>373.73271168408542</v>
      </c>
      <c r="L34" s="6">
        <v>1.25</v>
      </c>
      <c r="M34" s="74">
        <f t="shared" si="0"/>
        <v>6.4468892765504729E-2</v>
      </c>
      <c r="N34" s="74">
        <f t="shared" si="1"/>
        <v>9.4936700324348138</v>
      </c>
      <c r="O34" s="6">
        <f t="shared" si="2"/>
        <v>6.4468892765504729E-2</v>
      </c>
      <c r="P34" s="72">
        <f t="shared" si="5"/>
        <v>2.5774669771316236E-4</v>
      </c>
      <c r="Q34" s="73">
        <f t="shared" si="3"/>
        <v>3879.778126635269</v>
      </c>
      <c r="R34" s="73">
        <f t="shared" si="6"/>
        <v>373.73271168408542</v>
      </c>
      <c r="S34" s="73">
        <f t="shared" si="4"/>
        <v>-112.11981350522562</v>
      </c>
      <c r="T34" s="6">
        <v>0.3</v>
      </c>
    </row>
    <row r="35" spans="2:20" x14ac:dyDescent="0.2">
      <c r="K35">
        <v>448.47925402090249</v>
      </c>
      <c r="L35" s="6">
        <v>1.5</v>
      </c>
      <c r="M35" s="74">
        <f t="shared" si="0"/>
        <v>7.7362671318605664E-2</v>
      </c>
      <c r="N35" s="74">
        <f t="shared" si="1"/>
        <v>11.392404038921775</v>
      </c>
      <c r="O35" s="6">
        <f t="shared" si="2"/>
        <v>7.7362671318605664E-2</v>
      </c>
      <c r="P35" s="72">
        <f t="shared" si="5"/>
        <v>3.0929603725579483E-4</v>
      </c>
      <c r="Q35" s="73">
        <f t="shared" si="3"/>
        <v>3233.1484388627241</v>
      </c>
      <c r="R35" s="73">
        <f t="shared" si="6"/>
        <v>448.47925402090249</v>
      </c>
      <c r="S35" s="73">
        <f t="shared" si="4"/>
        <v>-134.54377620627073</v>
      </c>
      <c r="T35" s="6">
        <v>0.3</v>
      </c>
    </row>
    <row r="36" spans="2:20" x14ac:dyDescent="0.2">
      <c r="K36">
        <v>523.22579635771956</v>
      </c>
      <c r="L36" s="6">
        <v>1.75</v>
      </c>
      <c r="M36" s="74">
        <f t="shared" si="0"/>
        <v>9.0256449871706626E-2</v>
      </c>
      <c r="N36" s="74">
        <f t="shared" si="1"/>
        <v>13.29113804540874</v>
      </c>
      <c r="O36" s="6">
        <f t="shared" si="2"/>
        <v>9.0256449871706626E-2</v>
      </c>
      <c r="P36" s="72">
        <f t="shared" si="5"/>
        <v>3.608453767984273E-4</v>
      </c>
      <c r="Q36" s="73">
        <f t="shared" si="3"/>
        <v>2771.2700904537633</v>
      </c>
      <c r="R36" s="73">
        <f t="shared" si="6"/>
        <v>523.22579635771956</v>
      </c>
      <c r="S36" s="73">
        <f t="shared" si="4"/>
        <v>-156.96773890731586</v>
      </c>
      <c r="T36" s="6">
        <v>0.3</v>
      </c>
    </row>
    <row r="37" spans="2:20" x14ac:dyDescent="0.2">
      <c r="K37">
        <v>597.97233869453657</v>
      </c>
      <c r="L37" s="6">
        <v>2</v>
      </c>
      <c r="M37" s="74">
        <f t="shared" si="0"/>
        <v>0.10315022842480756</v>
      </c>
      <c r="N37" s="74">
        <f t="shared" si="1"/>
        <v>15.1898720518957</v>
      </c>
      <c r="O37" s="6">
        <f t="shared" si="2"/>
        <v>0.10315022842480756</v>
      </c>
      <c r="P37" s="72">
        <f t="shared" si="5"/>
        <v>4.1239471634105972E-4</v>
      </c>
      <c r="Q37" s="73">
        <f t="shared" si="3"/>
        <v>2424.8613291470433</v>
      </c>
      <c r="R37" s="73">
        <f t="shared" si="6"/>
        <v>597.97233869453657</v>
      </c>
      <c r="S37" s="73">
        <f t="shared" si="4"/>
        <v>-179.39170160836096</v>
      </c>
      <c r="T37" s="6">
        <v>0.3</v>
      </c>
    </row>
    <row r="38" spans="2:20" x14ac:dyDescent="0.2">
      <c r="K38">
        <v>672.7188810313537</v>
      </c>
      <c r="L38" s="6">
        <v>2.25</v>
      </c>
      <c r="M38" s="74">
        <f t="shared" si="0"/>
        <v>0.1160440069779085</v>
      </c>
      <c r="N38" s="74">
        <f t="shared" si="1"/>
        <v>17.088606058382663</v>
      </c>
      <c r="O38" s="6">
        <f t="shared" si="2"/>
        <v>0.1160440069779085</v>
      </c>
      <c r="P38" s="72">
        <f t="shared" si="5"/>
        <v>4.6394405588369219E-4</v>
      </c>
      <c r="Q38" s="73">
        <f t="shared" si="3"/>
        <v>2155.4322925751494</v>
      </c>
      <c r="R38" s="73">
        <f t="shared" si="6"/>
        <v>672.7188810313537</v>
      </c>
      <c r="S38" s="73">
        <f t="shared" si="4"/>
        <v>-201.81566430940612</v>
      </c>
      <c r="T38" s="6">
        <v>0.3</v>
      </c>
    </row>
    <row r="39" spans="2:20" x14ac:dyDescent="0.2">
      <c r="E39" s="1" t="s">
        <v>37</v>
      </c>
      <c r="K39">
        <v>747.46542336817083</v>
      </c>
      <c r="L39" s="6">
        <v>2.5</v>
      </c>
      <c r="M39" s="74">
        <f t="shared" si="0"/>
        <v>0.12893778553100946</v>
      </c>
      <c r="N39" s="74">
        <f>(L39*$M$24)/(6*$M$23)*(2*$M$16^3-3*$M$16^2*$M$17+$M$17^3)</f>
        <v>18.987340064869628</v>
      </c>
      <c r="O39" s="6">
        <f t="shared" ref="O39" si="7">+((L39*$M$24)/(6*$M$23))*(-3*$M$16^2+3*$M$17^2)*(-1*$M$19)</f>
        <v>0.12893778553100946</v>
      </c>
      <c r="P39" s="72">
        <f t="shared" ref="P39" si="8">+((L39*$M$24)/($M$23))*($M$18)</f>
        <v>5.1549339542632472E-4</v>
      </c>
      <c r="Q39" s="73">
        <f t="shared" si="3"/>
        <v>1939.8890633176345</v>
      </c>
      <c r="R39" s="73">
        <f t="shared" si="6"/>
        <v>747.46542336817083</v>
      </c>
      <c r="S39" s="73">
        <f>+(-T39*R39)</f>
        <v>-224.23962701045124</v>
      </c>
      <c r="T39" s="6">
        <v>0.3</v>
      </c>
    </row>
    <row r="40" spans="2:20" ht="15.75" x14ac:dyDescent="0.25">
      <c r="G40" s="33">
        <v>49.633000000000003</v>
      </c>
      <c r="H40" s="1" t="s">
        <v>50</v>
      </c>
    </row>
    <row r="41" spans="2:20" x14ac:dyDescent="0.2">
      <c r="E41" s="1" t="s">
        <v>47</v>
      </c>
      <c r="F41" s="1" t="s">
        <v>48</v>
      </c>
      <c r="H41" s="1" t="s">
        <v>49</v>
      </c>
      <c r="S41" s="1" t="s">
        <v>43</v>
      </c>
    </row>
    <row r="42" spans="2:20" ht="15.75" x14ac:dyDescent="0.2">
      <c r="B42" s="87" t="s">
        <v>44</v>
      </c>
      <c r="C42" s="87"/>
      <c r="E42" s="22">
        <v>0</v>
      </c>
      <c r="F42" s="21">
        <v>3.78</v>
      </c>
      <c r="G42" s="23">
        <f>+F42-$F$42</f>
        <v>0</v>
      </c>
      <c r="H42">
        <f>+$G$40*G42</f>
        <v>0</v>
      </c>
      <c r="I42">
        <v>1</v>
      </c>
      <c r="J42">
        <f>+I42/2</f>
        <v>0.5</v>
      </c>
      <c r="S42" s="1" t="s">
        <v>42</v>
      </c>
    </row>
    <row r="43" spans="2:20" ht="15.75" x14ac:dyDescent="0.25">
      <c r="B43" s="88" t="s">
        <v>45</v>
      </c>
      <c r="C43" s="88" t="s">
        <v>46</v>
      </c>
      <c r="E43" s="22">
        <v>0.25</v>
      </c>
      <c r="F43" s="21">
        <v>3.8</v>
      </c>
      <c r="G43" s="23">
        <f t="shared" ref="G43:G58" si="9">+F43-$F$42</f>
        <v>2.0000000000000018E-2</v>
      </c>
      <c r="H43">
        <f>+$G$40*G43</f>
        <v>0.99266000000000099</v>
      </c>
      <c r="I43">
        <v>75</v>
      </c>
      <c r="J43">
        <f t="shared" ref="J43:J58" si="10">+I43/2</f>
        <v>37.5</v>
      </c>
      <c r="S43" s="1" t="s">
        <v>37</v>
      </c>
    </row>
    <row r="44" spans="2:20" ht="15" x14ac:dyDescent="0.2">
      <c r="B44" s="89">
        <v>0</v>
      </c>
      <c r="C44" s="90">
        <v>3.7669999999999999</v>
      </c>
      <c r="E44" s="22">
        <v>0.5</v>
      </c>
      <c r="F44" s="21">
        <v>3.8359999999999999</v>
      </c>
      <c r="G44" s="23">
        <f t="shared" si="9"/>
        <v>5.600000000000005E-2</v>
      </c>
      <c r="H44">
        <f t="shared" ref="H44:H58" si="11">+$G$40*G44</f>
        <v>2.7794480000000026</v>
      </c>
      <c r="I44">
        <v>148</v>
      </c>
      <c r="J44">
        <f t="shared" si="10"/>
        <v>74</v>
      </c>
      <c r="S44" s="1" t="s">
        <v>38</v>
      </c>
    </row>
    <row r="45" spans="2:20" ht="15" x14ac:dyDescent="0.2">
      <c r="B45" s="89">
        <v>8</v>
      </c>
      <c r="C45" s="90">
        <v>3.59</v>
      </c>
      <c r="E45" s="22">
        <v>0.75</v>
      </c>
      <c r="F45" s="21">
        <v>3.8719999999999999</v>
      </c>
      <c r="G45" s="23">
        <f t="shared" si="9"/>
        <v>9.2000000000000082E-2</v>
      </c>
      <c r="H45">
        <f t="shared" si="11"/>
        <v>4.5662360000000044</v>
      </c>
      <c r="I45">
        <v>225</v>
      </c>
      <c r="J45">
        <f t="shared" si="10"/>
        <v>112.5</v>
      </c>
      <c r="S45" s="1" t="s">
        <v>39</v>
      </c>
    </row>
    <row r="46" spans="2:20" ht="15" x14ac:dyDescent="0.2">
      <c r="B46" s="89">
        <v>20</v>
      </c>
      <c r="C46" s="90">
        <v>3.3839999999999999</v>
      </c>
      <c r="E46" s="22">
        <v>1</v>
      </c>
      <c r="F46" s="21">
        <v>3.9249999999999998</v>
      </c>
      <c r="G46" s="23">
        <f t="shared" si="9"/>
        <v>0.14500000000000002</v>
      </c>
      <c r="H46">
        <f t="shared" si="11"/>
        <v>7.1967850000000011</v>
      </c>
      <c r="I46">
        <v>299</v>
      </c>
      <c r="J46">
        <f t="shared" si="10"/>
        <v>149.5</v>
      </c>
      <c r="S46" s="1" t="s">
        <v>40</v>
      </c>
    </row>
    <row r="47" spans="2:20" ht="15" x14ac:dyDescent="0.2">
      <c r="B47" s="89">
        <v>40</v>
      </c>
      <c r="C47" s="90">
        <v>2.97</v>
      </c>
      <c r="E47" s="22">
        <v>1.25</v>
      </c>
      <c r="F47" s="21">
        <v>3.98</v>
      </c>
      <c r="G47" s="23">
        <f t="shared" si="9"/>
        <v>0.20000000000000018</v>
      </c>
      <c r="H47">
        <f t="shared" si="11"/>
        <v>9.9266000000000094</v>
      </c>
      <c r="I47">
        <v>376</v>
      </c>
      <c r="J47">
        <f t="shared" si="10"/>
        <v>188</v>
      </c>
    </row>
    <row r="48" spans="2:20" ht="15.75" x14ac:dyDescent="0.25">
      <c r="B48" s="88" t="s">
        <v>45</v>
      </c>
      <c r="C48" s="88" t="s">
        <v>100</v>
      </c>
      <c r="E48" s="22">
        <v>1.5</v>
      </c>
      <c r="F48" s="21">
        <v>4.0199999999999996</v>
      </c>
      <c r="G48" s="23">
        <f t="shared" si="9"/>
        <v>0.23999999999999977</v>
      </c>
      <c r="H48">
        <f t="shared" si="11"/>
        <v>11.91191999999999</v>
      </c>
      <c r="I48">
        <v>450</v>
      </c>
      <c r="J48">
        <f t="shared" si="10"/>
        <v>225</v>
      </c>
    </row>
    <row r="49" spans="1:10" ht="15" x14ac:dyDescent="0.2">
      <c r="A49">
        <f>+C49*-1</f>
        <v>0</v>
      </c>
      <c r="B49" s="89">
        <f>+B44</f>
        <v>0</v>
      </c>
      <c r="C49" s="90">
        <f>+C44-C44</f>
        <v>0</v>
      </c>
      <c r="E49" s="22">
        <v>1.75</v>
      </c>
      <c r="F49" s="21">
        <v>4.08</v>
      </c>
      <c r="G49" s="23">
        <f t="shared" si="9"/>
        <v>0.30000000000000027</v>
      </c>
      <c r="H49">
        <f t="shared" si="11"/>
        <v>14.889900000000013</v>
      </c>
      <c r="I49">
        <v>526</v>
      </c>
      <c r="J49">
        <f t="shared" si="10"/>
        <v>263</v>
      </c>
    </row>
    <row r="50" spans="1:10" ht="15" x14ac:dyDescent="0.2">
      <c r="A50">
        <f t="shared" ref="A50:A52" si="12">+C50*-1</f>
        <v>0.17700000000000005</v>
      </c>
      <c r="B50" s="89">
        <f t="shared" ref="B50:C52" si="13">+B45-B44</f>
        <v>8</v>
      </c>
      <c r="C50" s="90">
        <f t="shared" si="13"/>
        <v>-0.17700000000000005</v>
      </c>
      <c r="E50" s="22">
        <v>2</v>
      </c>
      <c r="F50" s="21">
        <v>4.13</v>
      </c>
      <c r="G50" s="23">
        <f t="shared" si="9"/>
        <v>0.35000000000000009</v>
      </c>
      <c r="H50">
        <f t="shared" si="11"/>
        <v>17.371550000000006</v>
      </c>
      <c r="I50">
        <v>600</v>
      </c>
      <c r="J50">
        <f t="shared" si="10"/>
        <v>300</v>
      </c>
    </row>
    <row r="51" spans="1:10" ht="15" x14ac:dyDescent="0.2">
      <c r="A51">
        <f t="shared" si="12"/>
        <v>0.20599999999999996</v>
      </c>
      <c r="B51" s="89">
        <f t="shared" si="13"/>
        <v>12</v>
      </c>
      <c r="C51" s="90">
        <f t="shared" si="13"/>
        <v>-0.20599999999999996</v>
      </c>
      <c r="E51" s="22">
        <v>1.75</v>
      </c>
      <c r="F51" s="21">
        <v>4.08</v>
      </c>
      <c r="G51" s="23">
        <f t="shared" si="9"/>
        <v>0.30000000000000027</v>
      </c>
      <c r="H51">
        <f t="shared" si="11"/>
        <v>14.889900000000013</v>
      </c>
      <c r="I51">
        <v>528</v>
      </c>
      <c r="J51">
        <f t="shared" si="10"/>
        <v>264</v>
      </c>
    </row>
    <row r="52" spans="1:10" ht="15" x14ac:dyDescent="0.2">
      <c r="A52">
        <f t="shared" si="12"/>
        <v>0.4139999999999997</v>
      </c>
      <c r="B52" s="89">
        <f t="shared" si="13"/>
        <v>20</v>
      </c>
      <c r="C52" s="90">
        <f t="shared" si="13"/>
        <v>-0.4139999999999997</v>
      </c>
      <c r="E52" s="22">
        <v>1.5</v>
      </c>
      <c r="F52" s="21">
        <v>4.03</v>
      </c>
      <c r="G52" s="23">
        <f t="shared" si="9"/>
        <v>0.25000000000000044</v>
      </c>
      <c r="H52">
        <f t="shared" si="11"/>
        <v>12.408250000000022</v>
      </c>
      <c r="I52">
        <v>452</v>
      </c>
      <c r="J52">
        <f t="shared" si="10"/>
        <v>226</v>
      </c>
    </row>
    <row r="53" spans="1:10" x14ac:dyDescent="0.2">
      <c r="E53" s="22">
        <v>1.25</v>
      </c>
      <c r="F53" s="21">
        <v>3.99</v>
      </c>
      <c r="G53" s="23">
        <f t="shared" si="9"/>
        <v>0.21000000000000041</v>
      </c>
      <c r="H53">
        <f t="shared" si="11"/>
        <v>10.42293000000002</v>
      </c>
      <c r="I53">
        <v>377</v>
      </c>
      <c r="J53">
        <f t="shared" si="10"/>
        <v>188.5</v>
      </c>
    </row>
    <row r="54" spans="1:10" x14ac:dyDescent="0.2">
      <c r="E54" s="22">
        <v>1</v>
      </c>
      <c r="F54" s="21">
        <v>3.93</v>
      </c>
      <c r="G54" s="23">
        <f t="shared" si="9"/>
        <v>0.15000000000000036</v>
      </c>
      <c r="H54">
        <f t="shared" si="11"/>
        <v>7.4449500000000182</v>
      </c>
      <c r="I54">
        <v>300</v>
      </c>
      <c r="J54">
        <f t="shared" si="10"/>
        <v>150</v>
      </c>
    </row>
    <row r="55" spans="1:10" x14ac:dyDescent="0.2">
      <c r="E55" s="22">
        <v>0.75</v>
      </c>
      <c r="F55" s="21">
        <v>3.88</v>
      </c>
      <c r="G55" s="23">
        <f t="shared" si="9"/>
        <v>0.10000000000000009</v>
      </c>
      <c r="H55">
        <f t="shared" si="11"/>
        <v>4.9633000000000047</v>
      </c>
      <c r="I55">
        <v>225</v>
      </c>
      <c r="J55">
        <f t="shared" si="10"/>
        <v>112.5</v>
      </c>
    </row>
    <row r="56" spans="1:10" x14ac:dyDescent="0.2">
      <c r="E56" s="22">
        <v>0.5</v>
      </c>
      <c r="F56" s="21">
        <v>3.84</v>
      </c>
      <c r="G56" s="23">
        <f t="shared" si="9"/>
        <v>6.0000000000000053E-2</v>
      </c>
      <c r="H56">
        <f t="shared" si="11"/>
        <v>2.9779800000000027</v>
      </c>
      <c r="I56">
        <v>150</v>
      </c>
      <c r="J56">
        <f t="shared" si="10"/>
        <v>75</v>
      </c>
    </row>
    <row r="57" spans="1:10" x14ac:dyDescent="0.2">
      <c r="E57" s="22">
        <v>0.25</v>
      </c>
      <c r="F57" s="21">
        <v>3.81</v>
      </c>
      <c r="G57" s="23">
        <f t="shared" si="9"/>
        <v>3.0000000000000249E-2</v>
      </c>
      <c r="H57">
        <f t="shared" si="11"/>
        <v>1.4889900000000125</v>
      </c>
      <c r="I57">
        <v>75</v>
      </c>
      <c r="J57">
        <f t="shared" si="10"/>
        <v>37.5</v>
      </c>
    </row>
    <row r="58" spans="1:10" x14ac:dyDescent="0.2">
      <c r="E58" s="22">
        <v>0</v>
      </c>
      <c r="F58" s="21">
        <v>3.78</v>
      </c>
      <c r="G58" s="23">
        <f t="shared" si="9"/>
        <v>0</v>
      </c>
      <c r="H58">
        <f t="shared" si="11"/>
        <v>0</v>
      </c>
      <c r="I58">
        <v>1</v>
      </c>
      <c r="J58">
        <f t="shared" si="10"/>
        <v>0.5</v>
      </c>
    </row>
    <row r="78" spans="1:18" ht="18" x14ac:dyDescent="0.25">
      <c r="A78" s="78" t="s">
        <v>38</v>
      </c>
      <c r="B78" s="78"/>
      <c r="C78" s="78"/>
      <c r="D78" s="78"/>
      <c r="E78" s="78"/>
      <c r="F78" s="78"/>
      <c r="G78" s="78"/>
      <c r="H78" s="78"/>
      <c r="I78" s="78"/>
    </row>
    <row r="79" spans="1:18" ht="18" x14ac:dyDescent="0.25">
      <c r="D79" s="83" t="s">
        <v>63</v>
      </c>
      <c r="E79" s="43" t="s">
        <v>59</v>
      </c>
      <c r="F79" s="43" t="s">
        <v>58</v>
      </c>
      <c r="J79" s="84" t="s">
        <v>56</v>
      </c>
      <c r="K79" s="85"/>
      <c r="L79" s="85"/>
      <c r="M79" s="85"/>
      <c r="N79" s="85"/>
      <c r="O79" s="85"/>
      <c r="P79" s="85"/>
      <c r="Q79" s="85"/>
      <c r="R79" s="85"/>
    </row>
    <row r="80" spans="1:18" ht="15" x14ac:dyDescent="0.2">
      <c r="B80" s="1" t="s">
        <v>61</v>
      </c>
      <c r="C80" s="1" t="s">
        <v>62</v>
      </c>
      <c r="D80" s="83"/>
      <c r="E80" s="1" t="s">
        <v>30</v>
      </c>
      <c r="F80" s="3" t="s">
        <v>30</v>
      </c>
      <c r="G80" s="3" t="s">
        <v>86</v>
      </c>
      <c r="H80" s="3" t="s">
        <v>53</v>
      </c>
      <c r="I80" s="3" t="s">
        <v>87</v>
      </c>
      <c r="J80" s="40" t="s">
        <v>57</v>
      </c>
      <c r="K80" s="40" t="s">
        <v>58</v>
      </c>
      <c r="L80" s="40" t="s">
        <v>59</v>
      </c>
      <c r="M80" s="40" t="s">
        <v>60</v>
      </c>
      <c r="P80" s="53" t="s">
        <v>90</v>
      </c>
    </row>
    <row r="81" spans="1:18" ht="15" x14ac:dyDescent="0.2">
      <c r="A81" s="25">
        <v>0</v>
      </c>
      <c r="B81" s="26">
        <f>+D81-$D$81</f>
        <v>0</v>
      </c>
      <c r="C81">
        <f>+$G$40*B81</f>
        <v>0</v>
      </c>
      <c r="D81" s="41">
        <v>3.766</v>
      </c>
      <c r="E81" s="30">
        <v>11</v>
      </c>
      <c r="F81" s="30">
        <v>0</v>
      </c>
      <c r="G81">
        <f>+(E81)/2</f>
        <v>5.5</v>
      </c>
      <c r="H81">
        <f>+E81+F81</f>
        <v>11</v>
      </c>
      <c r="J81" s="40">
        <v>0</v>
      </c>
      <c r="K81" s="40">
        <v>0</v>
      </c>
      <c r="L81" s="40">
        <v>15</v>
      </c>
      <c r="M81" s="40">
        <v>3.75</v>
      </c>
      <c r="N81">
        <f>+L81-$L$81</f>
        <v>0</v>
      </c>
      <c r="O81">
        <f>+N81-K81</f>
        <v>0</v>
      </c>
      <c r="Q81">
        <f>+K81*-1</f>
        <v>0</v>
      </c>
      <c r="R81" s="31">
        <f>+(M81-$M$81)*$G$40</f>
        <v>0</v>
      </c>
    </row>
    <row r="82" spans="1:18" ht="15" x14ac:dyDescent="0.2">
      <c r="A82" s="25">
        <v>0.25</v>
      </c>
      <c r="B82" s="26">
        <f t="shared" ref="B82:B96" si="14">+D82-$D$81</f>
        <v>3.1000000000000139E-2</v>
      </c>
      <c r="C82">
        <f t="shared" ref="C82:C96" si="15">+$G$40*B82</f>
        <v>1.538623000000007</v>
      </c>
      <c r="D82" s="41">
        <v>3.7970000000000002</v>
      </c>
      <c r="E82" s="30">
        <v>100</v>
      </c>
      <c r="F82" s="30">
        <v>-72</v>
      </c>
      <c r="G82">
        <f t="shared" ref="G82:G96" si="16">+(E82)/2</f>
        <v>50</v>
      </c>
      <c r="H82">
        <f t="shared" ref="H82:H96" si="17">+E82+F82</f>
        <v>28</v>
      </c>
      <c r="I82">
        <f t="shared" ref="I82:I94" si="18">+H82/G82</f>
        <v>0.56000000000000005</v>
      </c>
      <c r="J82" s="40">
        <v>0.5</v>
      </c>
      <c r="K82" s="40">
        <v>-154</v>
      </c>
      <c r="L82" s="40">
        <v>198</v>
      </c>
      <c r="M82" s="40">
        <v>3.81</v>
      </c>
      <c r="N82">
        <f t="shared" ref="N82:N87" si="19">+L82-$L$81</f>
        <v>183</v>
      </c>
      <c r="O82">
        <f>+N82+K82</f>
        <v>29</v>
      </c>
      <c r="P82">
        <f>+O82/N82</f>
        <v>0.15846994535519127</v>
      </c>
      <c r="Q82">
        <f t="shared" ref="Q82:Q87" si="20">+K82*-1</f>
        <v>154</v>
      </c>
      <c r="R82" s="31">
        <f t="shared" ref="R82:R87" si="21">+(M82-$M$81)*$G$40</f>
        <v>2.9779800000000027</v>
      </c>
    </row>
    <row r="83" spans="1:18" ht="15" x14ac:dyDescent="0.2">
      <c r="A83" s="25">
        <v>0.5</v>
      </c>
      <c r="B83" s="26">
        <f t="shared" si="14"/>
        <v>6.899999999999995E-2</v>
      </c>
      <c r="C83">
        <f>+$G$40*B83</f>
        <v>3.4246769999999978</v>
      </c>
      <c r="D83" s="41">
        <v>3.835</v>
      </c>
      <c r="E83" s="30">
        <v>188</v>
      </c>
      <c r="F83" s="30">
        <v>-149</v>
      </c>
      <c r="G83">
        <f t="shared" si="16"/>
        <v>94</v>
      </c>
      <c r="H83">
        <f t="shared" si="17"/>
        <v>39</v>
      </c>
      <c r="I83">
        <f t="shared" si="18"/>
        <v>0.41489361702127658</v>
      </c>
      <c r="J83" s="40">
        <v>1</v>
      </c>
      <c r="K83" s="40">
        <v>-303</v>
      </c>
      <c r="L83" s="40">
        <v>375</v>
      </c>
      <c r="M83" s="40">
        <v>3.9</v>
      </c>
      <c r="N83">
        <f t="shared" si="19"/>
        <v>360</v>
      </c>
      <c r="O83">
        <f t="shared" ref="O83:O86" si="22">+N83+K83</f>
        <v>57</v>
      </c>
      <c r="P83">
        <f t="shared" ref="P83:P87" si="23">+O83/N83</f>
        <v>0.15833333333333333</v>
      </c>
      <c r="Q83">
        <f t="shared" si="20"/>
        <v>303</v>
      </c>
      <c r="R83" s="31">
        <f t="shared" si="21"/>
        <v>7.444949999999996</v>
      </c>
    </row>
    <row r="84" spans="1:18" ht="15" x14ac:dyDescent="0.2">
      <c r="A84" s="25">
        <v>0.75</v>
      </c>
      <c r="B84" s="26">
        <f t="shared" si="14"/>
        <v>0.10400000000000009</v>
      </c>
      <c r="C84">
        <f t="shared" si="15"/>
        <v>5.1618320000000049</v>
      </c>
      <c r="D84" s="41">
        <v>3.87</v>
      </c>
      <c r="E84" s="30">
        <v>278</v>
      </c>
      <c r="F84" s="30">
        <v>-224</v>
      </c>
      <c r="G84">
        <f t="shared" si="16"/>
        <v>139</v>
      </c>
      <c r="H84">
        <f t="shared" si="17"/>
        <v>54</v>
      </c>
      <c r="I84">
        <f t="shared" si="18"/>
        <v>0.38848920863309355</v>
      </c>
      <c r="J84" s="40">
        <v>1.5</v>
      </c>
      <c r="K84" s="40">
        <v>-459</v>
      </c>
      <c r="L84" s="40">
        <v>563</v>
      </c>
      <c r="M84" s="40">
        <v>3.99</v>
      </c>
      <c r="N84">
        <f t="shared" si="19"/>
        <v>548</v>
      </c>
      <c r="O84">
        <f t="shared" si="22"/>
        <v>89</v>
      </c>
      <c r="P84">
        <f t="shared" si="23"/>
        <v>0.16240875912408759</v>
      </c>
      <c r="Q84">
        <f t="shared" si="20"/>
        <v>459</v>
      </c>
      <c r="R84" s="31">
        <f t="shared" si="21"/>
        <v>11.911920000000011</v>
      </c>
    </row>
    <row r="85" spans="1:18" ht="15" x14ac:dyDescent="0.2">
      <c r="A85" s="25">
        <v>1</v>
      </c>
      <c r="B85" s="26">
        <f t="shared" si="14"/>
        <v>0.15899999999999981</v>
      </c>
      <c r="C85">
        <f t="shared" si="15"/>
        <v>7.891646999999991</v>
      </c>
      <c r="D85" s="41">
        <v>3.9249999999999998</v>
      </c>
      <c r="E85" s="30">
        <v>369</v>
      </c>
      <c r="F85" s="30">
        <v>-300</v>
      </c>
      <c r="G85">
        <f t="shared" si="16"/>
        <v>184.5</v>
      </c>
      <c r="H85">
        <f t="shared" si="17"/>
        <v>69</v>
      </c>
      <c r="I85">
        <f t="shared" si="18"/>
        <v>0.37398373983739835</v>
      </c>
      <c r="J85" s="40">
        <v>2</v>
      </c>
      <c r="K85" s="40">
        <v>-610</v>
      </c>
      <c r="L85" s="40">
        <v>739</v>
      </c>
      <c r="M85" s="40">
        <v>4.0999999999999996</v>
      </c>
      <c r="N85">
        <f t="shared" si="19"/>
        <v>724</v>
      </c>
      <c r="O85">
        <f t="shared" si="22"/>
        <v>114</v>
      </c>
      <c r="P85">
        <f t="shared" si="23"/>
        <v>0.15745856353591159</v>
      </c>
      <c r="Q85">
        <f t="shared" si="20"/>
        <v>610</v>
      </c>
      <c r="R85" s="31">
        <f t="shared" si="21"/>
        <v>17.371549999999985</v>
      </c>
    </row>
    <row r="86" spans="1:18" ht="15" x14ac:dyDescent="0.2">
      <c r="A86" s="25">
        <v>1.25</v>
      </c>
      <c r="B86" s="26">
        <f t="shared" si="14"/>
        <v>0.21499999999999986</v>
      </c>
      <c r="C86">
        <f t="shared" si="15"/>
        <v>10.671094999999994</v>
      </c>
      <c r="D86" s="41">
        <v>3.9809999999999999</v>
      </c>
      <c r="E86" s="30">
        <v>457</v>
      </c>
      <c r="F86" s="30">
        <v>-374</v>
      </c>
      <c r="G86">
        <f t="shared" si="16"/>
        <v>228.5</v>
      </c>
      <c r="H86">
        <f t="shared" si="17"/>
        <v>83</v>
      </c>
      <c r="I86">
        <f t="shared" si="18"/>
        <v>0.36323851203501095</v>
      </c>
      <c r="J86" s="40">
        <v>2.5</v>
      </c>
      <c r="K86" s="40">
        <v>-756</v>
      </c>
      <c r="L86" s="40">
        <v>910</v>
      </c>
      <c r="M86" s="40">
        <v>4.18</v>
      </c>
      <c r="N86">
        <f t="shared" si="19"/>
        <v>895</v>
      </c>
      <c r="O86">
        <f t="shared" si="22"/>
        <v>139</v>
      </c>
      <c r="P86">
        <f t="shared" si="23"/>
        <v>0.1553072625698324</v>
      </c>
      <c r="Q86">
        <f t="shared" si="20"/>
        <v>756</v>
      </c>
      <c r="R86" s="31">
        <f t="shared" si="21"/>
        <v>21.342189999999988</v>
      </c>
    </row>
    <row r="87" spans="1:18" ht="15" x14ac:dyDescent="0.2">
      <c r="A87" s="25">
        <v>1.5</v>
      </c>
      <c r="B87" s="26">
        <f t="shared" si="14"/>
        <v>0.25399999999999956</v>
      </c>
      <c r="C87">
        <f t="shared" si="15"/>
        <v>12.60678199999998</v>
      </c>
      <c r="D87" s="41">
        <v>4.0199999999999996</v>
      </c>
      <c r="E87" s="30">
        <v>549</v>
      </c>
      <c r="F87" s="30">
        <v>-450</v>
      </c>
      <c r="G87">
        <f t="shared" si="16"/>
        <v>274.5</v>
      </c>
      <c r="H87">
        <f t="shared" si="17"/>
        <v>99</v>
      </c>
      <c r="I87">
        <f t="shared" si="18"/>
        <v>0.36065573770491804</v>
      </c>
      <c r="J87" s="40">
        <v>3</v>
      </c>
      <c r="K87" s="40">
        <v>-910</v>
      </c>
      <c r="L87" s="40">
        <v>1097</v>
      </c>
      <c r="M87" s="40">
        <v>4.3099999999999996</v>
      </c>
      <c r="N87">
        <f t="shared" si="19"/>
        <v>1082</v>
      </c>
      <c r="O87">
        <f>+N87+K87</f>
        <v>172</v>
      </c>
      <c r="P87">
        <f t="shared" si="23"/>
        <v>0.15896487985212571</v>
      </c>
      <c r="Q87">
        <f t="shared" si="20"/>
        <v>910</v>
      </c>
      <c r="R87" s="31">
        <f t="shared" si="21"/>
        <v>27.794479999999982</v>
      </c>
    </row>
    <row r="88" spans="1:18" x14ac:dyDescent="0.2">
      <c r="A88" s="25">
        <v>1.75</v>
      </c>
      <c r="B88" s="26">
        <f t="shared" si="14"/>
        <v>0.30400000000000027</v>
      </c>
      <c r="C88">
        <f t="shared" si="15"/>
        <v>15.088432000000013</v>
      </c>
      <c r="D88" s="41">
        <v>4.07</v>
      </c>
      <c r="E88" s="30">
        <v>638</v>
      </c>
      <c r="F88" s="30">
        <v>-527</v>
      </c>
      <c r="G88">
        <f t="shared" si="16"/>
        <v>319</v>
      </c>
      <c r="H88">
        <f t="shared" si="17"/>
        <v>111</v>
      </c>
      <c r="I88">
        <f t="shared" si="18"/>
        <v>0.34796238244514105</v>
      </c>
    </row>
    <row r="89" spans="1:18" x14ac:dyDescent="0.2">
      <c r="A89" s="25">
        <v>2</v>
      </c>
      <c r="B89" s="26">
        <f t="shared" si="14"/>
        <v>0.36399999999999988</v>
      </c>
      <c r="C89">
        <f t="shared" si="15"/>
        <v>18.066411999999996</v>
      </c>
      <c r="D89" s="41">
        <v>4.13</v>
      </c>
      <c r="E89" s="30">
        <v>726</v>
      </c>
      <c r="F89" s="30">
        <v>-602</v>
      </c>
      <c r="G89">
        <f t="shared" si="16"/>
        <v>363</v>
      </c>
      <c r="H89">
        <f t="shared" si="17"/>
        <v>124</v>
      </c>
      <c r="I89">
        <f t="shared" si="18"/>
        <v>0.3415977961432507</v>
      </c>
    </row>
    <row r="90" spans="1:18" ht="15" x14ac:dyDescent="0.2">
      <c r="A90" s="25">
        <v>1.7</v>
      </c>
      <c r="B90" s="26">
        <f t="shared" si="14"/>
        <v>0.28399999999999981</v>
      </c>
      <c r="C90">
        <f t="shared" si="15"/>
        <v>14.095771999999991</v>
      </c>
      <c r="D90" s="41">
        <v>4.05</v>
      </c>
      <c r="E90" s="30">
        <v>620</v>
      </c>
      <c r="F90" s="30">
        <v>-511</v>
      </c>
      <c r="G90">
        <f t="shared" si="16"/>
        <v>310</v>
      </c>
      <c r="H90">
        <f t="shared" si="17"/>
        <v>109</v>
      </c>
      <c r="I90">
        <f t="shared" si="18"/>
        <v>0.35161290322580646</v>
      </c>
      <c r="K90" s="17" t="s">
        <v>92</v>
      </c>
      <c r="L90" s="53">
        <v>0.25</v>
      </c>
      <c r="M90" s="17" t="s">
        <v>92</v>
      </c>
      <c r="N90">
        <v>0.33</v>
      </c>
      <c r="P90" s="17" t="s">
        <v>92</v>
      </c>
      <c r="Q90">
        <v>0.4</v>
      </c>
    </row>
    <row r="91" spans="1:18" x14ac:dyDescent="0.2">
      <c r="A91" s="25">
        <v>1.4</v>
      </c>
      <c r="B91" s="26">
        <f t="shared" si="14"/>
        <v>0.24399999999999977</v>
      </c>
      <c r="C91">
        <f t="shared" si="15"/>
        <v>12.11045199999999</v>
      </c>
      <c r="D91" s="41">
        <v>4.01</v>
      </c>
      <c r="E91" s="30">
        <v>517</v>
      </c>
      <c r="F91" s="30">
        <v>-422</v>
      </c>
      <c r="G91">
        <f t="shared" si="16"/>
        <v>258.5</v>
      </c>
      <c r="H91">
        <f t="shared" si="17"/>
        <v>95</v>
      </c>
      <c r="I91">
        <f t="shared" si="18"/>
        <v>0.36750483558994196</v>
      </c>
      <c r="K91" s="1" t="s">
        <v>88</v>
      </c>
    </row>
    <row r="92" spans="1:18" x14ac:dyDescent="0.2">
      <c r="A92" s="25">
        <v>1.1000000000000001</v>
      </c>
      <c r="B92" s="26">
        <f t="shared" si="14"/>
        <v>0.19399999999999995</v>
      </c>
      <c r="C92">
        <f t="shared" si="15"/>
        <v>9.6288019999999985</v>
      </c>
      <c r="D92" s="41">
        <v>3.96</v>
      </c>
      <c r="E92" s="30">
        <v>407</v>
      </c>
      <c r="F92" s="30">
        <v>-330</v>
      </c>
      <c r="G92">
        <f t="shared" si="16"/>
        <v>203.5</v>
      </c>
      <c r="H92">
        <f t="shared" si="17"/>
        <v>77</v>
      </c>
      <c r="I92">
        <f t="shared" si="18"/>
        <v>0.3783783783783784</v>
      </c>
      <c r="K92">
        <v>0</v>
      </c>
      <c r="L92">
        <v>0</v>
      </c>
      <c r="M92">
        <v>0</v>
      </c>
      <c r="N92">
        <v>0</v>
      </c>
      <c r="P92">
        <v>0</v>
      </c>
      <c r="Q92">
        <v>0</v>
      </c>
    </row>
    <row r="93" spans="1:18" x14ac:dyDescent="0.2">
      <c r="A93" s="25">
        <v>0.8</v>
      </c>
      <c r="B93" s="26">
        <f t="shared" si="14"/>
        <v>0.12400000000000011</v>
      </c>
      <c r="C93">
        <f t="shared" si="15"/>
        <v>6.1544920000000056</v>
      </c>
      <c r="D93" s="41">
        <v>3.89</v>
      </c>
      <c r="E93" s="30">
        <v>299</v>
      </c>
      <c r="F93" s="30">
        <v>-240</v>
      </c>
      <c r="G93">
        <f t="shared" si="16"/>
        <v>149.5</v>
      </c>
      <c r="H93">
        <f t="shared" si="17"/>
        <v>59</v>
      </c>
      <c r="I93">
        <f t="shared" si="18"/>
        <v>0.39464882943143814</v>
      </c>
      <c r="K93">
        <v>500</v>
      </c>
      <c r="L93">
        <f>0.25*K93</f>
        <v>125</v>
      </c>
      <c r="M93">
        <v>500</v>
      </c>
      <c r="N93">
        <f>N90*M93</f>
        <v>165</v>
      </c>
      <c r="P93">
        <v>500</v>
      </c>
      <c r="Q93">
        <f>+P93*Q90</f>
        <v>200</v>
      </c>
    </row>
    <row r="94" spans="1:18" x14ac:dyDescent="0.2">
      <c r="A94" s="25">
        <v>0.5</v>
      </c>
      <c r="B94" s="26">
        <f t="shared" si="14"/>
        <v>7.3999999999999844E-2</v>
      </c>
      <c r="C94">
        <f t="shared" si="15"/>
        <v>3.6728419999999926</v>
      </c>
      <c r="D94" s="41">
        <v>3.84</v>
      </c>
      <c r="E94" s="30">
        <v>190</v>
      </c>
      <c r="F94" s="30">
        <v>-149</v>
      </c>
      <c r="G94">
        <f t="shared" si="16"/>
        <v>95</v>
      </c>
      <c r="H94">
        <f t="shared" si="17"/>
        <v>41</v>
      </c>
      <c r="I94">
        <f t="shared" si="18"/>
        <v>0.43157894736842106</v>
      </c>
    </row>
    <row r="95" spans="1:18" x14ac:dyDescent="0.2">
      <c r="A95" s="25">
        <v>0.2</v>
      </c>
      <c r="B95" s="26">
        <f t="shared" si="14"/>
        <v>2.4000000000000021E-2</v>
      </c>
      <c r="C95">
        <f t="shared" si="15"/>
        <v>1.1911920000000011</v>
      </c>
      <c r="D95" s="42">
        <v>3.79</v>
      </c>
      <c r="E95" s="30">
        <v>82</v>
      </c>
      <c r="F95" s="30">
        <v>-59</v>
      </c>
      <c r="G95">
        <f t="shared" si="16"/>
        <v>41</v>
      </c>
      <c r="H95">
        <f t="shared" si="17"/>
        <v>23</v>
      </c>
    </row>
    <row r="96" spans="1:18" x14ac:dyDescent="0.2">
      <c r="A96" s="25">
        <v>0</v>
      </c>
      <c r="B96" s="26">
        <f t="shared" si="14"/>
        <v>4.0000000000000036E-3</v>
      </c>
      <c r="C96">
        <f t="shared" si="15"/>
        <v>0.19853200000000018</v>
      </c>
      <c r="D96" s="41">
        <v>3.77</v>
      </c>
      <c r="E96" s="30">
        <v>10</v>
      </c>
      <c r="F96" s="30">
        <v>0</v>
      </c>
      <c r="G96">
        <f t="shared" si="16"/>
        <v>5</v>
      </c>
      <c r="H96">
        <f t="shared" si="17"/>
        <v>10</v>
      </c>
    </row>
    <row r="98" spans="1:9" ht="15" x14ac:dyDescent="0.2">
      <c r="A98" s="75" t="s">
        <v>39</v>
      </c>
      <c r="B98" s="75"/>
      <c r="C98" s="75"/>
      <c r="D98" s="75"/>
      <c r="E98" s="75"/>
      <c r="F98" s="75"/>
      <c r="G98" s="75"/>
      <c r="H98" s="75"/>
      <c r="I98" s="76"/>
    </row>
    <row r="99" spans="1:9" ht="39" thickBot="1" x14ac:dyDescent="0.25">
      <c r="A99" s="9" t="s">
        <v>89</v>
      </c>
      <c r="B99" s="9"/>
      <c r="C99" s="9"/>
      <c r="D99" s="9" t="s">
        <v>86</v>
      </c>
      <c r="E99" s="9"/>
      <c r="F99" s="9"/>
      <c r="G99" s="9" t="s">
        <v>53</v>
      </c>
      <c r="H99" s="39" t="s">
        <v>54</v>
      </c>
      <c r="I99" s="39" t="s">
        <v>55</v>
      </c>
    </row>
    <row r="100" spans="1:9" ht="13.5" thickBot="1" x14ac:dyDescent="0.25">
      <c r="A100" s="27">
        <v>0</v>
      </c>
      <c r="B100">
        <v>0</v>
      </c>
      <c r="C100">
        <f>+$G$40*B100</f>
        <v>0</v>
      </c>
      <c r="D100">
        <v>0</v>
      </c>
      <c r="E100">
        <f>+D100/2</f>
        <v>0</v>
      </c>
      <c r="F100" s="34"/>
      <c r="G100" s="36">
        <v>11</v>
      </c>
      <c r="H100" s="27">
        <v>0</v>
      </c>
      <c r="I100" s="27">
        <v>11</v>
      </c>
    </row>
    <row r="101" spans="1:9" ht="13.5" thickBot="1" x14ac:dyDescent="0.25">
      <c r="A101" s="28">
        <v>0.25</v>
      </c>
      <c r="B101">
        <v>2.9999999999999805E-2</v>
      </c>
      <c r="C101">
        <f>+$G$40*B101</f>
        <v>1.4889899999999905</v>
      </c>
      <c r="D101">
        <v>73</v>
      </c>
      <c r="E101">
        <f t="shared" ref="E101:E114" si="24">+D101/2</f>
        <v>36.5</v>
      </c>
      <c r="F101" s="34"/>
      <c r="G101" s="37">
        <v>26</v>
      </c>
      <c r="H101" s="28">
        <v>-73</v>
      </c>
      <c r="I101" s="28">
        <v>99</v>
      </c>
    </row>
    <row r="102" spans="1:9" ht="13.5" thickBot="1" x14ac:dyDescent="0.25">
      <c r="A102" s="27">
        <v>0.5</v>
      </c>
      <c r="B102">
        <v>6.800000000000006E-2</v>
      </c>
      <c r="C102">
        <f t="shared" ref="C102:C114" si="25">+$G$40*B102</f>
        <v>3.375044000000003</v>
      </c>
      <c r="D102">
        <v>150</v>
      </c>
      <c r="E102">
        <f t="shared" si="24"/>
        <v>75</v>
      </c>
      <c r="F102" s="34">
        <f t="shared" ref="F102:F112" si="26">+G102/E102</f>
        <v>0.53333333333333333</v>
      </c>
      <c r="G102" s="36">
        <v>40</v>
      </c>
      <c r="H102" s="27">
        <v>-150</v>
      </c>
      <c r="I102" s="27">
        <v>190</v>
      </c>
    </row>
    <row r="103" spans="1:9" ht="13.5" thickBot="1" x14ac:dyDescent="0.25">
      <c r="A103" s="28">
        <v>0.75</v>
      </c>
      <c r="B103">
        <v>0.10599999999999987</v>
      </c>
      <c r="C103">
        <f t="shared" si="25"/>
        <v>5.2610979999999943</v>
      </c>
      <c r="D103">
        <v>225</v>
      </c>
      <c r="E103">
        <f t="shared" si="24"/>
        <v>112.5</v>
      </c>
      <c r="F103" s="34">
        <f t="shared" si="26"/>
        <v>0.48</v>
      </c>
      <c r="G103" s="37">
        <v>54</v>
      </c>
      <c r="H103" s="28">
        <v>-225</v>
      </c>
      <c r="I103" s="28">
        <v>279</v>
      </c>
    </row>
    <row r="104" spans="1:9" ht="13.5" thickBot="1" x14ac:dyDescent="0.25">
      <c r="A104" s="27">
        <v>1</v>
      </c>
      <c r="B104">
        <v>0.1549999999999998</v>
      </c>
      <c r="C104">
        <f t="shared" si="25"/>
        <v>7.6931149999999908</v>
      </c>
      <c r="D104">
        <v>299</v>
      </c>
      <c r="E104">
        <f t="shared" si="24"/>
        <v>149.5</v>
      </c>
      <c r="F104" s="34">
        <f t="shared" si="26"/>
        <v>0.45484949832775917</v>
      </c>
      <c r="G104" s="36">
        <v>68</v>
      </c>
      <c r="H104" s="27">
        <v>-299</v>
      </c>
      <c r="I104" s="27">
        <v>367</v>
      </c>
    </row>
    <row r="105" spans="1:9" ht="13.5" thickBot="1" x14ac:dyDescent="0.25">
      <c r="A105" s="28">
        <v>1.25</v>
      </c>
      <c r="B105">
        <v>0.21199999999999974</v>
      </c>
      <c r="C105">
        <f t="shared" si="25"/>
        <v>10.522195999999989</v>
      </c>
      <c r="D105">
        <v>376</v>
      </c>
      <c r="E105">
        <f t="shared" si="24"/>
        <v>188</v>
      </c>
      <c r="F105" s="34">
        <f t="shared" si="26"/>
        <v>0.44148936170212766</v>
      </c>
      <c r="G105" s="37">
        <v>83</v>
      </c>
      <c r="H105" s="28">
        <v>-376</v>
      </c>
      <c r="I105" s="28">
        <v>459</v>
      </c>
    </row>
    <row r="106" spans="1:9" ht="13.5" thickBot="1" x14ac:dyDescent="0.25">
      <c r="A106" s="27">
        <v>1.5</v>
      </c>
      <c r="B106">
        <v>0.25499999999999945</v>
      </c>
      <c r="C106">
        <f t="shared" si="25"/>
        <v>12.656414999999974</v>
      </c>
      <c r="D106">
        <v>450</v>
      </c>
      <c r="E106">
        <f t="shared" si="24"/>
        <v>225</v>
      </c>
      <c r="F106" s="34">
        <f t="shared" si="26"/>
        <v>0.43555555555555553</v>
      </c>
      <c r="G106" s="36">
        <v>98</v>
      </c>
      <c r="H106" s="27">
        <v>-450</v>
      </c>
      <c r="I106" s="27">
        <v>548</v>
      </c>
    </row>
    <row r="107" spans="1:9" ht="13.5" thickBot="1" x14ac:dyDescent="0.25">
      <c r="A107" s="28">
        <v>1.75</v>
      </c>
      <c r="B107">
        <v>0.30500000000000016</v>
      </c>
      <c r="C107">
        <f t="shared" si="25"/>
        <v>15.138065000000008</v>
      </c>
      <c r="D107">
        <v>527</v>
      </c>
      <c r="E107">
        <f t="shared" si="24"/>
        <v>263.5</v>
      </c>
      <c r="F107" s="34">
        <f t="shared" si="26"/>
        <v>0.42125237191650855</v>
      </c>
      <c r="G107" s="37">
        <v>111</v>
      </c>
      <c r="H107" s="28">
        <v>-527</v>
      </c>
      <c r="I107" s="28">
        <v>638</v>
      </c>
    </row>
    <row r="108" spans="1:9" ht="13.5" thickBot="1" x14ac:dyDescent="0.25">
      <c r="A108" s="27">
        <v>2</v>
      </c>
      <c r="B108">
        <v>0.37499999999999956</v>
      </c>
      <c r="C108">
        <f t="shared" si="25"/>
        <v>18.612374999999979</v>
      </c>
      <c r="D108">
        <v>602</v>
      </c>
      <c r="E108">
        <f t="shared" si="24"/>
        <v>301</v>
      </c>
      <c r="F108" s="34">
        <f t="shared" si="26"/>
        <v>0.41528239202657807</v>
      </c>
      <c r="G108" s="36">
        <v>125</v>
      </c>
      <c r="H108" s="27">
        <v>-602</v>
      </c>
      <c r="I108" s="27">
        <v>727</v>
      </c>
    </row>
    <row r="109" spans="1:9" ht="13.5" thickBot="1" x14ac:dyDescent="0.25">
      <c r="A109" s="28">
        <v>1.6</v>
      </c>
      <c r="B109">
        <v>0.27499999999999991</v>
      </c>
      <c r="C109">
        <f t="shared" si="25"/>
        <v>13.649074999999996</v>
      </c>
      <c r="D109">
        <v>482</v>
      </c>
      <c r="E109">
        <f t="shared" si="24"/>
        <v>241</v>
      </c>
      <c r="F109" s="34">
        <f t="shared" si="26"/>
        <v>0.42738589211618255</v>
      </c>
      <c r="G109" s="37">
        <v>103</v>
      </c>
      <c r="H109" s="28">
        <v>-482</v>
      </c>
      <c r="I109" s="28">
        <v>585</v>
      </c>
    </row>
    <row r="110" spans="1:9" ht="13.5" thickBot="1" x14ac:dyDescent="0.25">
      <c r="A110" s="27">
        <v>1.2</v>
      </c>
      <c r="B110">
        <v>0.21499999999999986</v>
      </c>
      <c r="C110">
        <f t="shared" si="25"/>
        <v>10.671094999999994</v>
      </c>
      <c r="D110">
        <v>362</v>
      </c>
      <c r="E110">
        <f t="shared" si="24"/>
        <v>181</v>
      </c>
      <c r="F110" s="34">
        <f t="shared" si="26"/>
        <v>0.4585635359116022</v>
      </c>
      <c r="G110" s="36">
        <v>83</v>
      </c>
      <c r="H110" s="27">
        <v>-362</v>
      </c>
      <c r="I110" s="27">
        <v>445</v>
      </c>
    </row>
    <row r="111" spans="1:9" ht="13.5" thickBot="1" x14ac:dyDescent="0.25">
      <c r="A111" s="28">
        <v>0.9</v>
      </c>
      <c r="B111">
        <v>0.14500000000000002</v>
      </c>
      <c r="C111">
        <f t="shared" si="25"/>
        <v>7.1967850000000011</v>
      </c>
      <c r="D111">
        <v>270</v>
      </c>
      <c r="E111">
        <f t="shared" si="24"/>
        <v>135</v>
      </c>
      <c r="F111" s="34">
        <f t="shared" si="26"/>
        <v>0.46666666666666667</v>
      </c>
      <c r="G111" s="37">
        <v>63</v>
      </c>
      <c r="H111" s="28">
        <v>-270</v>
      </c>
      <c r="I111" s="28">
        <v>333</v>
      </c>
    </row>
    <row r="112" spans="1:9" ht="13.5" thickBot="1" x14ac:dyDescent="0.25">
      <c r="A112" s="27">
        <v>0.6</v>
      </c>
      <c r="B112">
        <v>9.4999999999999751E-2</v>
      </c>
      <c r="C112">
        <f t="shared" si="25"/>
        <v>4.7151349999999876</v>
      </c>
      <c r="D112">
        <v>181</v>
      </c>
      <c r="E112">
        <f t="shared" si="24"/>
        <v>90.5</v>
      </c>
      <c r="F112" s="34">
        <f t="shared" si="26"/>
        <v>0.50828729281767959</v>
      </c>
      <c r="G112" s="36">
        <v>46</v>
      </c>
      <c r="H112" s="27">
        <v>-181</v>
      </c>
      <c r="I112" s="27">
        <v>227</v>
      </c>
    </row>
    <row r="113" spans="1:16" ht="13.5" thickBot="1" x14ac:dyDescent="0.25">
      <c r="A113" s="28">
        <v>0.2</v>
      </c>
      <c r="B113">
        <v>3.4999999999999698E-2</v>
      </c>
      <c r="C113">
        <f t="shared" si="25"/>
        <v>1.7371549999999851</v>
      </c>
      <c r="D113">
        <v>58</v>
      </c>
      <c r="E113">
        <f t="shared" si="24"/>
        <v>29</v>
      </c>
      <c r="F113" s="34"/>
      <c r="G113" s="37">
        <v>22</v>
      </c>
      <c r="H113" s="28">
        <v>-58</v>
      </c>
      <c r="I113" s="28">
        <v>80</v>
      </c>
    </row>
    <row r="114" spans="1:16" ht="13.5" thickBot="1" x14ac:dyDescent="0.25">
      <c r="A114" s="29">
        <v>0</v>
      </c>
      <c r="B114">
        <v>1.499999999999968E-2</v>
      </c>
      <c r="C114">
        <f t="shared" si="25"/>
        <v>0.74449499999998414</v>
      </c>
      <c r="D114">
        <v>1</v>
      </c>
      <c r="E114">
        <f t="shared" si="24"/>
        <v>0.5</v>
      </c>
      <c r="F114" s="34"/>
      <c r="G114" s="38">
        <v>10</v>
      </c>
      <c r="H114" s="29">
        <v>-1</v>
      </c>
      <c r="I114" s="29">
        <v>11</v>
      </c>
    </row>
    <row r="115" spans="1:16" x14ac:dyDescent="0.2">
      <c r="H115" s="86" t="s">
        <v>52</v>
      </c>
      <c r="I115" s="86"/>
      <c r="J115" s="86"/>
      <c r="K115" s="86"/>
      <c r="L115" s="86"/>
      <c r="M115" s="86"/>
      <c r="N115" s="86"/>
    </row>
    <row r="116" spans="1:16" ht="15.75" x14ac:dyDescent="0.25">
      <c r="A116" s="77" t="s">
        <v>40</v>
      </c>
      <c r="B116" s="77"/>
      <c r="C116" s="77"/>
      <c r="D116" s="77"/>
      <c r="E116" s="77"/>
      <c r="J116" s="1" t="s">
        <v>68</v>
      </c>
      <c r="K116" s="1" t="s">
        <v>69</v>
      </c>
    </row>
    <row r="117" spans="1:16" x14ac:dyDescent="0.2">
      <c r="J117" s="1" t="s">
        <v>30</v>
      </c>
      <c r="K117" s="1" t="s">
        <v>30</v>
      </c>
      <c r="L117" s="1" t="s">
        <v>48</v>
      </c>
    </row>
    <row r="118" spans="1:16" x14ac:dyDescent="0.2">
      <c r="A118" s="1" t="s">
        <v>51</v>
      </c>
      <c r="B118" s="1" t="s">
        <v>30</v>
      </c>
      <c r="D118" s="1" t="s">
        <v>48</v>
      </c>
      <c r="H118" s="2">
        <v>0</v>
      </c>
      <c r="I118" s="32">
        <f>+L118-$L$118</f>
        <v>0</v>
      </c>
      <c r="J118" s="32">
        <v>0</v>
      </c>
      <c r="K118" s="2">
        <v>0</v>
      </c>
      <c r="L118" s="2">
        <v>3.7669999999999999</v>
      </c>
      <c r="M118" s="31">
        <f t="shared" ref="M118:M125" si="27">+I118*$G$40</f>
        <v>0</v>
      </c>
      <c r="N118">
        <f t="shared" ref="N118:N125" si="28">+J118/2</f>
        <v>0</v>
      </c>
      <c r="O118">
        <f>ABS(J118+K118)</f>
        <v>0</v>
      </c>
      <c r="P118" t="e">
        <f>+O118/N118</f>
        <v>#DIV/0!</v>
      </c>
    </row>
    <row r="119" spans="1:16" x14ac:dyDescent="0.2">
      <c r="A119" s="25">
        <v>0</v>
      </c>
      <c r="B119" s="30">
        <v>0</v>
      </c>
      <c r="C119">
        <f>+B119/2</f>
        <v>0</v>
      </c>
      <c r="D119" s="26">
        <v>0</v>
      </c>
      <c r="E119" s="26">
        <f>+D119*$G$40</f>
        <v>0</v>
      </c>
      <c r="H119" s="2">
        <v>0.25</v>
      </c>
      <c r="I119" s="32">
        <f t="shared" ref="I119:I125" si="29">+L119-$L$118</f>
        <v>3.1000000000000139E-2</v>
      </c>
      <c r="J119" s="32">
        <v>72.25</v>
      </c>
      <c r="K119" s="2">
        <v>-80</v>
      </c>
      <c r="L119" s="2">
        <v>3.798</v>
      </c>
      <c r="M119" s="31">
        <f t="shared" si="27"/>
        <v>1.538623000000007</v>
      </c>
      <c r="N119">
        <f t="shared" si="28"/>
        <v>36.125</v>
      </c>
      <c r="O119">
        <f>ABS(J119+K119)</f>
        <v>7.75</v>
      </c>
      <c r="P119">
        <f t="shared" ref="P119:P125" si="30">+O119/N119</f>
        <v>0.21453287197231835</v>
      </c>
    </row>
    <row r="120" spans="1:16" x14ac:dyDescent="0.2">
      <c r="A120" s="25">
        <v>0.25</v>
      </c>
      <c r="B120" s="30">
        <v>72</v>
      </c>
      <c r="C120">
        <f t="shared" ref="C120:C134" si="31">+B120/2</f>
        <v>36</v>
      </c>
      <c r="D120" s="26">
        <v>3.1000000000000139E-2</v>
      </c>
      <c r="E120" s="26">
        <f t="shared" ref="E120:E134" si="32">+D120*$G$40</f>
        <v>1.538623000000007</v>
      </c>
      <c r="H120" s="2">
        <v>0.5</v>
      </c>
      <c r="I120" s="32">
        <f t="shared" si="29"/>
        <v>7.1000000000000174E-2</v>
      </c>
      <c r="J120" s="32">
        <v>145.5</v>
      </c>
      <c r="K120" s="2">
        <v>-140</v>
      </c>
      <c r="L120" s="2">
        <v>3.8380000000000001</v>
      </c>
      <c r="M120" s="31">
        <f t="shared" si="27"/>
        <v>3.5239430000000089</v>
      </c>
      <c r="N120">
        <f t="shared" si="28"/>
        <v>72.75</v>
      </c>
      <c r="O120">
        <f t="shared" ref="O120:O124" si="33">ABS(J120+K120)</f>
        <v>5.5</v>
      </c>
      <c r="P120">
        <f t="shared" si="30"/>
        <v>7.560137457044673E-2</v>
      </c>
    </row>
    <row r="121" spans="1:16" x14ac:dyDescent="0.2">
      <c r="A121" s="25">
        <v>0.5</v>
      </c>
      <c r="B121" s="30">
        <v>149</v>
      </c>
      <c r="C121">
        <f t="shared" si="31"/>
        <v>74.5</v>
      </c>
      <c r="D121" s="26">
        <v>6.899999999999995E-2</v>
      </c>
      <c r="E121" s="26">
        <f t="shared" si="32"/>
        <v>3.4246769999999978</v>
      </c>
      <c r="H121" s="2">
        <v>0.75</v>
      </c>
      <c r="I121" s="32">
        <f t="shared" si="29"/>
        <v>0.1080000000000001</v>
      </c>
      <c r="J121" s="32">
        <v>218.25</v>
      </c>
      <c r="K121" s="2">
        <v>-224</v>
      </c>
      <c r="L121" s="2">
        <v>3.875</v>
      </c>
      <c r="M121" s="31">
        <f t="shared" si="27"/>
        <v>5.360364000000005</v>
      </c>
      <c r="N121">
        <f t="shared" si="28"/>
        <v>109.125</v>
      </c>
      <c r="O121">
        <f t="shared" si="33"/>
        <v>5.75</v>
      </c>
      <c r="P121">
        <f t="shared" si="30"/>
        <v>5.2691867124856816E-2</v>
      </c>
    </row>
    <row r="122" spans="1:16" x14ac:dyDescent="0.2">
      <c r="A122" s="25">
        <v>0.75</v>
      </c>
      <c r="B122" s="30">
        <v>224</v>
      </c>
      <c r="C122">
        <f t="shared" si="31"/>
        <v>112</v>
      </c>
      <c r="D122" s="26">
        <v>0.10400000000000009</v>
      </c>
      <c r="E122" s="26">
        <f t="shared" si="32"/>
        <v>5.1618320000000049</v>
      </c>
      <c r="H122" s="2">
        <v>1</v>
      </c>
      <c r="I122" s="32">
        <f t="shared" si="29"/>
        <v>0.15799999999999992</v>
      </c>
      <c r="J122" s="32">
        <v>291</v>
      </c>
      <c r="K122" s="2">
        <v>-300</v>
      </c>
      <c r="L122" s="2">
        <v>3.9249999999999998</v>
      </c>
      <c r="M122" s="31">
        <f t="shared" si="27"/>
        <v>7.8420139999999963</v>
      </c>
      <c r="N122">
        <f t="shared" si="28"/>
        <v>145.5</v>
      </c>
      <c r="O122">
        <f t="shared" si="33"/>
        <v>9</v>
      </c>
      <c r="P122">
        <f t="shared" si="30"/>
        <v>6.1855670103092786E-2</v>
      </c>
    </row>
    <row r="123" spans="1:16" x14ac:dyDescent="0.2">
      <c r="A123" s="25">
        <v>1</v>
      </c>
      <c r="B123" s="30">
        <v>300</v>
      </c>
      <c r="C123">
        <f t="shared" si="31"/>
        <v>150</v>
      </c>
      <c r="D123" s="26">
        <v>0.15899999999999981</v>
      </c>
      <c r="E123" s="26">
        <f t="shared" si="32"/>
        <v>7.891646999999991</v>
      </c>
      <c r="H123" s="2">
        <v>1.25</v>
      </c>
      <c r="I123" s="32">
        <f t="shared" si="29"/>
        <v>0.21200000000000019</v>
      </c>
      <c r="J123" s="32">
        <v>363.75</v>
      </c>
      <c r="K123" s="2">
        <v>-375</v>
      </c>
      <c r="L123" s="2">
        <v>3.9790000000000001</v>
      </c>
      <c r="M123" s="31">
        <f t="shared" si="27"/>
        <v>10.52219600000001</v>
      </c>
      <c r="N123">
        <f t="shared" si="28"/>
        <v>181.875</v>
      </c>
      <c r="O123">
        <f t="shared" si="33"/>
        <v>11.25</v>
      </c>
      <c r="P123">
        <f t="shared" si="30"/>
        <v>6.1855670103092786E-2</v>
      </c>
    </row>
    <row r="124" spans="1:16" x14ac:dyDescent="0.2">
      <c r="A124" s="25">
        <v>1.25</v>
      </c>
      <c r="B124" s="30">
        <v>374</v>
      </c>
      <c r="C124">
        <f t="shared" si="31"/>
        <v>187</v>
      </c>
      <c r="D124" s="26">
        <v>0.21499999999999986</v>
      </c>
      <c r="E124" s="26">
        <f t="shared" si="32"/>
        <v>10.671094999999994</v>
      </c>
      <c r="H124" s="2">
        <v>1.5</v>
      </c>
      <c r="I124" s="32">
        <f t="shared" si="29"/>
        <v>0.25299999999999967</v>
      </c>
      <c r="J124" s="32">
        <v>436.5</v>
      </c>
      <c r="K124" s="2">
        <v>-451</v>
      </c>
      <c r="L124" s="2">
        <v>4.0199999999999996</v>
      </c>
      <c r="M124" s="31">
        <f t="shared" si="27"/>
        <v>12.557148999999985</v>
      </c>
      <c r="N124">
        <f t="shared" si="28"/>
        <v>218.25</v>
      </c>
      <c r="O124">
        <f t="shared" si="33"/>
        <v>14.5</v>
      </c>
      <c r="P124">
        <f t="shared" si="30"/>
        <v>6.6437571592210767E-2</v>
      </c>
    </row>
    <row r="125" spans="1:16" x14ac:dyDescent="0.2">
      <c r="A125" s="25">
        <v>1.5</v>
      </c>
      <c r="B125" s="30">
        <v>450</v>
      </c>
      <c r="C125">
        <f t="shared" si="31"/>
        <v>225</v>
      </c>
      <c r="D125" s="26">
        <v>0.25399999999999956</v>
      </c>
      <c r="E125" s="26">
        <f t="shared" si="32"/>
        <v>12.60678199999998</v>
      </c>
      <c r="H125" s="2">
        <v>2</v>
      </c>
      <c r="I125" s="32">
        <f t="shared" si="29"/>
        <v>0.36299999999999999</v>
      </c>
      <c r="J125" s="32">
        <v>582</v>
      </c>
      <c r="K125" s="2">
        <v>-601</v>
      </c>
      <c r="L125" s="2">
        <v>4.13</v>
      </c>
      <c r="M125" s="31">
        <f t="shared" si="27"/>
        <v>18.016779</v>
      </c>
      <c r="N125">
        <f t="shared" si="28"/>
        <v>291</v>
      </c>
      <c r="O125">
        <f>ABS(J125+K125)</f>
        <v>19</v>
      </c>
      <c r="P125">
        <f t="shared" si="30"/>
        <v>6.5292096219931275E-2</v>
      </c>
    </row>
    <row r="126" spans="1:16" x14ac:dyDescent="0.2">
      <c r="A126" s="25">
        <v>1.75</v>
      </c>
      <c r="B126" s="30">
        <v>527</v>
      </c>
      <c r="C126">
        <f t="shared" si="31"/>
        <v>263.5</v>
      </c>
      <c r="D126" s="26">
        <v>0.30400000000000027</v>
      </c>
      <c r="E126" s="26">
        <f t="shared" si="32"/>
        <v>15.088432000000013</v>
      </c>
    </row>
    <row r="127" spans="1:16" x14ac:dyDescent="0.2">
      <c r="A127" s="25">
        <v>2</v>
      </c>
      <c r="B127" s="30">
        <v>602</v>
      </c>
      <c r="C127">
        <f t="shared" si="31"/>
        <v>301</v>
      </c>
      <c r="D127" s="26">
        <v>0.36399999999999988</v>
      </c>
      <c r="E127" s="26">
        <f t="shared" si="32"/>
        <v>18.066411999999996</v>
      </c>
    </row>
    <row r="128" spans="1:16" x14ac:dyDescent="0.2">
      <c r="A128" s="25">
        <v>1.7</v>
      </c>
      <c r="B128" s="30">
        <v>510.99999999999994</v>
      </c>
      <c r="C128">
        <f t="shared" si="31"/>
        <v>255.49999999999997</v>
      </c>
      <c r="D128" s="26">
        <v>0.28399999999999981</v>
      </c>
      <c r="E128" s="26">
        <f t="shared" si="32"/>
        <v>14.095771999999991</v>
      </c>
    </row>
    <row r="129" spans="1:16" x14ac:dyDescent="0.2">
      <c r="A129" s="25">
        <v>1.4</v>
      </c>
      <c r="B129" s="30">
        <v>421.99999999999994</v>
      </c>
      <c r="C129">
        <f t="shared" si="31"/>
        <v>210.99999999999997</v>
      </c>
      <c r="D129" s="26">
        <v>0.24399999999999977</v>
      </c>
      <c r="E129" s="26">
        <f t="shared" si="32"/>
        <v>12.11045199999999</v>
      </c>
    </row>
    <row r="130" spans="1:16" x14ac:dyDescent="0.2">
      <c r="A130" s="25">
        <v>1.1000000000000001</v>
      </c>
      <c r="B130" s="30">
        <v>330</v>
      </c>
      <c r="C130">
        <f t="shared" si="31"/>
        <v>165</v>
      </c>
      <c r="D130" s="26">
        <v>0.19399999999999995</v>
      </c>
      <c r="E130" s="26">
        <f t="shared" si="32"/>
        <v>9.6288019999999985</v>
      </c>
    </row>
    <row r="131" spans="1:16" x14ac:dyDescent="0.2">
      <c r="A131" s="25">
        <v>0.8</v>
      </c>
      <c r="B131" s="30">
        <v>239.99999999999997</v>
      </c>
      <c r="C131">
        <f t="shared" si="31"/>
        <v>119.99999999999999</v>
      </c>
      <c r="D131" s="26">
        <v>0.12400000000000011</v>
      </c>
      <c r="E131" s="26">
        <f t="shared" si="32"/>
        <v>6.1544920000000056</v>
      </c>
    </row>
    <row r="132" spans="1:16" x14ac:dyDescent="0.2">
      <c r="A132" s="25">
        <v>0.5</v>
      </c>
      <c r="B132" s="30">
        <v>149</v>
      </c>
      <c r="C132">
        <f t="shared" si="31"/>
        <v>74.5</v>
      </c>
      <c r="D132" s="26">
        <v>7.3999999999999844E-2</v>
      </c>
      <c r="E132" s="26">
        <f t="shared" si="32"/>
        <v>3.6728419999999926</v>
      </c>
    </row>
    <row r="133" spans="1:16" x14ac:dyDescent="0.2">
      <c r="A133" s="25">
        <v>0.2</v>
      </c>
      <c r="B133" s="30">
        <v>59</v>
      </c>
      <c r="C133">
        <f t="shared" si="31"/>
        <v>29.5</v>
      </c>
      <c r="D133" s="26">
        <v>2.4000000000000021E-2</v>
      </c>
      <c r="E133" s="26">
        <f t="shared" si="32"/>
        <v>1.1911920000000011</v>
      </c>
    </row>
    <row r="134" spans="1:16" x14ac:dyDescent="0.2">
      <c r="A134" s="25">
        <v>0</v>
      </c>
      <c r="B134" s="30">
        <v>0</v>
      </c>
      <c r="C134">
        <f t="shared" si="31"/>
        <v>0</v>
      </c>
      <c r="D134" s="26">
        <v>4.0000000000000036E-3</v>
      </c>
      <c r="E134" s="31">
        <f t="shared" si="32"/>
        <v>0.19853200000000018</v>
      </c>
    </row>
    <row r="136" spans="1:16" ht="18" x14ac:dyDescent="0.25">
      <c r="A136" s="78" t="s">
        <v>65</v>
      </c>
      <c r="B136" s="78"/>
      <c r="C136" s="78"/>
      <c r="D136" s="78"/>
      <c r="E136" s="78"/>
      <c r="F136" s="54"/>
      <c r="G136" s="54"/>
      <c r="H136" s="54"/>
      <c r="I136" s="54"/>
      <c r="J136" s="54"/>
      <c r="L136" s="78" t="s">
        <v>70</v>
      </c>
      <c r="M136" s="78"/>
      <c r="N136" s="78"/>
      <c r="O136" s="78"/>
      <c r="P136" s="78"/>
    </row>
    <row r="137" spans="1:16" ht="31.5" x14ac:dyDescent="0.2">
      <c r="B137" s="1" t="s">
        <v>30</v>
      </c>
      <c r="C137" s="1" t="s">
        <v>30</v>
      </c>
      <c r="L137" s="51" t="s">
        <v>71</v>
      </c>
      <c r="M137" s="51" t="s">
        <v>72</v>
      </c>
      <c r="N137" s="52" t="s">
        <v>73</v>
      </c>
      <c r="O137" s="52" t="s">
        <v>60</v>
      </c>
    </row>
    <row r="138" spans="1:16" ht="15.75" x14ac:dyDescent="0.2">
      <c r="A138" s="44" t="s">
        <v>64</v>
      </c>
      <c r="B138" s="44" t="s">
        <v>66</v>
      </c>
      <c r="C138" s="44" t="s">
        <v>67</v>
      </c>
      <c r="D138" s="47" t="s">
        <v>46</v>
      </c>
      <c r="L138" s="55">
        <v>0</v>
      </c>
      <c r="M138" s="56" t="s">
        <v>91</v>
      </c>
      <c r="N138" s="55" t="s">
        <v>74</v>
      </c>
      <c r="O138" s="55" t="s">
        <v>80</v>
      </c>
      <c r="P138" t="e">
        <f>+M138*10^6/2</f>
        <v>#VALUE!</v>
      </c>
    </row>
    <row r="139" spans="1:16" ht="15.75" x14ac:dyDescent="0.2">
      <c r="A139" s="45">
        <v>0</v>
      </c>
      <c r="B139" s="45">
        <f>0*$K$11</f>
        <v>0</v>
      </c>
      <c r="C139" s="45">
        <v>0</v>
      </c>
      <c r="D139" s="48">
        <v>3.7570000000000001</v>
      </c>
      <c r="E139">
        <f>+C139*-1/2</f>
        <v>0</v>
      </c>
      <c r="L139" s="55">
        <v>0.5</v>
      </c>
      <c r="M139" s="56">
        <f>-0.00015</f>
        <v>-1.4999999999999999E-4</v>
      </c>
      <c r="N139" s="55" t="s">
        <v>75</v>
      </c>
      <c r="O139" s="55" t="s">
        <v>81</v>
      </c>
    </row>
    <row r="140" spans="1:16" ht="15.75" x14ac:dyDescent="0.2">
      <c r="A140" s="45">
        <f>50/1000</f>
        <v>0.05</v>
      </c>
      <c r="B140" s="46">
        <v>200</v>
      </c>
      <c r="C140" s="46">
        <v>-140</v>
      </c>
      <c r="D140" s="48">
        <v>3.7709999999999999</v>
      </c>
      <c r="E140">
        <f t="shared" ref="E140:E153" si="34">+C140*-1/2</f>
        <v>70</v>
      </c>
      <c r="L140" s="55">
        <v>1.5</v>
      </c>
      <c r="M140" s="56">
        <f>-0.000453</f>
        <v>-4.5300000000000001E-4</v>
      </c>
      <c r="N140" s="55" t="s">
        <v>76</v>
      </c>
      <c r="O140" s="55" t="s">
        <v>82</v>
      </c>
    </row>
    <row r="141" spans="1:16" ht="15.75" x14ac:dyDescent="0.2">
      <c r="A141" s="45">
        <f>150/1000</f>
        <v>0.15</v>
      </c>
      <c r="B141" s="46">
        <v>540</v>
      </c>
      <c r="C141" s="46">
        <v>-420</v>
      </c>
      <c r="D141" s="48">
        <v>3.7749999999999999</v>
      </c>
      <c r="E141">
        <f t="shared" si="34"/>
        <v>210</v>
      </c>
      <c r="L141" s="55">
        <v>2.5</v>
      </c>
      <c r="M141" s="56">
        <f>-0.000753</f>
        <v>-7.5299999999999998E-4</v>
      </c>
      <c r="N141" s="55" t="s">
        <v>77</v>
      </c>
      <c r="O141" s="55" t="s">
        <v>83</v>
      </c>
    </row>
    <row r="142" spans="1:16" ht="15.75" x14ac:dyDescent="0.2">
      <c r="A142" s="45">
        <f>250/1000</f>
        <v>0.25</v>
      </c>
      <c r="B142" s="46">
        <v>900</v>
      </c>
      <c r="C142" s="46">
        <v>-750</v>
      </c>
      <c r="D142" s="49">
        <v>3.7869999999999999</v>
      </c>
      <c r="E142">
        <f t="shared" si="34"/>
        <v>375</v>
      </c>
      <c r="L142" s="55">
        <v>2</v>
      </c>
      <c r="M142" s="56">
        <f>-0.000603</f>
        <v>-6.0300000000000002E-4</v>
      </c>
      <c r="N142" s="55" t="s">
        <v>78</v>
      </c>
      <c r="O142" s="55" t="s">
        <v>84</v>
      </c>
    </row>
    <row r="143" spans="1:16" ht="15.75" x14ac:dyDescent="0.2">
      <c r="A143" s="45">
        <v>0.35</v>
      </c>
      <c r="B143" s="46">
        <v>1240</v>
      </c>
      <c r="C143" s="46">
        <v>-1030</v>
      </c>
      <c r="D143" s="50">
        <v>3.8</v>
      </c>
      <c r="E143">
        <f t="shared" si="34"/>
        <v>515</v>
      </c>
      <c r="L143" s="55">
        <v>1</v>
      </c>
      <c r="M143" s="56">
        <v>-3.0299999999999999E-4</v>
      </c>
      <c r="N143" s="55" t="s">
        <v>79</v>
      </c>
      <c r="O143" s="55" t="s">
        <v>85</v>
      </c>
    </row>
    <row r="144" spans="1:16" x14ac:dyDescent="0.2">
      <c r="A144" s="45">
        <v>0.45</v>
      </c>
      <c r="B144" s="46">
        <v>1620</v>
      </c>
      <c r="C144" s="46">
        <v>-1340</v>
      </c>
      <c r="D144" s="48">
        <v>3.8130000000000002</v>
      </c>
      <c r="E144">
        <f t="shared" si="34"/>
        <v>670</v>
      </c>
    </row>
    <row r="145" spans="1:5" x14ac:dyDescent="0.2">
      <c r="A145" s="45">
        <v>0.55000000000000004</v>
      </c>
      <c r="B145" s="46">
        <v>1950</v>
      </c>
      <c r="C145" s="46">
        <v>-1640</v>
      </c>
      <c r="D145" s="48">
        <v>3.8319999999999999</v>
      </c>
      <c r="E145">
        <f t="shared" si="34"/>
        <v>820</v>
      </c>
    </row>
    <row r="146" spans="1:5" x14ac:dyDescent="0.2">
      <c r="A146" s="45">
        <v>0.65</v>
      </c>
      <c r="B146" s="46">
        <v>2340</v>
      </c>
      <c r="C146" s="46">
        <v>-1960</v>
      </c>
      <c r="D146" s="48">
        <v>3.8540000000000001</v>
      </c>
      <c r="E146">
        <f t="shared" si="34"/>
        <v>980</v>
      </c>
    </row>
    <row r="147" spans="1:5" x14ac:dyDescent="0.2">
      <c r="A147" s="45">
        <v>0.55000000000000004</v>
      </c>
      <c r="B147" s="46">
        <v>1970</v>
      </c>
      <c r="C147" s="46">
        <v>-1670</v>
      </c>
      <c r="D147" s="48">
        <v>3.8340000000000001</v>
      </c>
      <c r="E147">
        <f t="shared" si="34"/>
        <v>835</v>
      </c>
    </row>
    <row r="148" spans="1:5" x14ac:dyDescent="0.2">
      <c r="A148" s="45">
        <v>0.45</v>
      </c>
      <c r="B148" s="46">
        <v>1630</v>
      </c>
      <c r="C148" s="46">
        <v>-1360</v>
      </c>
      <c r="D148" s="48">
        <v>3.8149999999999999</v>
      </c>
      <c r="E148">
        <f t="shared" si="34"/>
        <v>680</v>
      </c>
    </row>
    <row r="149" spans="1:5" x14ac:dyDescent="0.2">
      <c r="A149" s="45">
        <v>0.35</v>
      </c>
      <c r="B149" s="46">
        <v>1250</v>
      </c>
      <c r="C149" s="46">
        <v>-1050</v>
      </c>
      <c r="D149" s="48">
        <v>3.8029999999999999</v>
      </c>
      <c r="E149">
        <f t="shared" si="34"/>
        <v>525</v>
      </c>
    </row>
    <row r="150" spans="1:5" x14ac:dyDescent="0.2">
      <c r="A150" s="45">
        <v>0.25</v>
      </c>
      <c r="B150" s="46">
        <v>920</v>
      </c>
      <c r="C150" s="46">
        <v>-780</v>
      </c>
      <c r="D150" s="48">
        <v>3.7909999999999999</v>
      </c>
      <c r="E150">
        <f t="shared" si="34"/>
        <v>390</v>
      </c>
    </row>
    <row r="151" spans="1:5" x14ac:dyDescent="0.2">
      <c r="A151" s="45">
        <v>0.15</v>
      </c>
      <c r="B151" s="46">
        <v>570</v>
      </c>
      <c r="C151" s="46">
        <v>-450</v>
      </c>
      <c r="D151" s="48">
        <v>3.778</v>
      </c>
      <c r="E151">
        <f t="shared" si="34"/>
        <v>225</v>
      </c>
    </row>
    <row r="152" spans="1:5" x14ac:dyDescent="0.2">
      <c r="A152" s="45">
        <v>0.05</v>
      </c>
      <c r="B152" s="46">
        <v>240</v>
      </c>
      <c r="C152" s="46">
        <v>-170</v>
      </c>
      <c r="D152" s="48">
        <v>3.7730000000000001</v>
      </c>
      <c r="E152">
        <f t="shared" si="34"/>
        <v>85</v>
      </c>
    </row>
    <row r="153" spans="1:5" x14ac:dyDescent="0.2">
      <c r="A153" s="45">
        <v>0</v>
      </c>
      <c r="B153" s="45">
        <v>0</v>
      </c>
      <c r="C153" s="45">
        <v>0</v>
      </c>
      <c r="D153" s="50">
        <v>3.76</v>
      </c>
      <c r="E153">
        <f t="shared" si="34"/>
        <v>0</v>
      </c>
    </row>
  </sheetData>
  <mergeCells count="13">
    <mergeCell ref="L20:N20"/>
    <mergeCell ref="L13:N13"/>
    <mergeCell ref="M26:N26"/>
    <mergeCell ref="O26:P26"/>
    <mergeCell ref="B42:C42"/>
    <mergeCell ref="D79:D80"/>
    <mergeCell ref="A78:I78"/>
    <mergeCell ref="A136:E136"/>
    <mergeCell ref="H115:N115"/>
    <mergeCell ref="L136:P136"/>
    <mergeCell ref="A98:I98"/>
    <mergeCell ref="J79:R79"/>
    <mergeCell ref="A116:E116"/>
  </mergeCells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8" sqref="F8"/>
    </sheetView>
  </sheetViews>
  <sheetFormatPr defaultRowHeight="12.75" x14ac:dyDescent="0.2"/>
  <sheetData/>
  <pageMargins left="0.511811024" right="0.511811024" top="0.78740157499999996" bottom="0.78740157499999996" header="0.31496062000000002" footer="0.31496062000000002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Props1.xml><?xml version="1.0" encoding="utf-8"?>
<ds:datastoreItem xmlns:ds="http://schemas.openxmlformats.org/officeDocument/2006/customXml" ds:itemID="{4D10AEF4-FB5E-4F12-B454-2805324E010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viga_apoiada</vt:lpstr>
      <vt:lpstr>viga_engastada</vt:lpstr>
      <vt:lpstr>Plan2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NAMEF</dc:creator>
  <cp:lastModifiedBy>NAMEF</cp:lastModifiedBy>
  <cp:lastPrinted>2003-03-28T19:58:39Z</cp:lastPrinted>
  <dcterms:created xsi:type="dcterms:W3CDTF">2019-06-15T13:23:01Z</dcterms:created>
  <dcterms:modified xsi:type="dcterms:W3CDTF">2019-06-17T12:34:14Z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TC060888721046</vt:lpwstr>
  </property>
</Properties>
</file>