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tabRatio="741" activeTab="1"/>
  </bookViews>
  <sheets>
    <sheet name="Estudos caso-controle" sheetId="1" r:id="rId1"/>
    <sheet name="n, caso-controle, 1.1" sheetId="2" r:id="rId2"/>
    <sheet name="n, caso-controle, 1.c" sheetId="3" r:id="rId3"/>
    <sheet name="Estudos de corte-transversal" sheetId="4" r:id="rId4"/>
    <sheet name="n, prevalência" sheetId="5" r:id="rId5"/>
    <sheet name="n, média" sheetId="6" r:id="rId6"/>
    <sheet name="n, comparação entre 2 médias" sheetId="7" r:id="rId7"/>
  </sheets>
  <definedNames/>
  <calcPr fullCalcOnLoad="1"/>
</workbook>
</file>

<file path=xl/sharedStrings.xml><?xml version="1.0" encoding="utf-8"?>
<sst xmlns="http://schemas.openxmlformats.org/spreadsheetml/2006/main" count="126" uniqueCount="75">
  <si>
    <t>casos</t>
  </si>
  <si>
    <t>controles</t>
  </si>
  <si>
    <t>expostos</t>
  </si>
  <si>
    <t>não expostos</t>
  </si>
  <si>
    <t>total</t>
  </si>
  <si>
    <t>Casos</t>
  </si>
  <si>
    <t>Controles</t>
  </si>
  <si>
    <t>Total</t>
  </si>
  <si>
    <t>odds ratio</t>
  </si>
  <si>
    <t>Teste qui-quadrado</t>
  </si>
  <si>
    <t>nível de significância</t>
  </si>
  <si>
    <t>graus de liberdade</t>
  </si>
  <si>
    <t>valor crítico</t>
  </si>
  <si>
    <r>
      <t>valor-</t>
    </r>
    <r>
      <rPr>
        <b/>
        <i/>
        <sz val="10"/>
        <rFont val="Arial"/>
        <family val="2"/>
      </rPr>
      <t>p</t>
    </r>
  </si>
  <si>
    <t>Decisão</t>
  </si>
  <si>
    <t>estatística χ2</t>
  </si>
  <si>
    <t>Proporção</t>
  </si>
  <si>
    <r>
      <t xml:space="preserve">1 / </t>
    </r>
    <r>
      <rPr>
        <b/>
        <i/>
        <sz val="10"/>
        <rFont val="Arial"/>
        <family val="2"/>
      </rPr>
      <t>odds ratio</t>
    </r>
  </si>
  <si>
    <r>
      <t xml:space="preserve">logaritmo do </t>
    </r>
    <r>
      <rPr>
        <b/>
        <i/>
        <sz val="10"/>
        <rFont val="Arial"/>
        <family val="2"/>
      </rPr>
      <t>odds ratio</t>
    </r>
  </si>
  <si>
    <t>erro padrão</t>
  </si>
  <si>
    <t>coeficiente de confiança</t>
  </si>
  <si>
    <t>intervalo de confiança</t>
  </si>
  <si>
    <t>Faculdade de Medicina de Ribeirão Preto</t>
  </si>
  <si>
    <t>UNIVERSIDADE DE SÃO PAULO - USP</t>
  </si>
  <si>
    <t>erro padrão (método de Woolf)</t>
  </si>
  <si>
    <t>Ribeirão Preto - Brasil</t>
  </si>
  <si>
    <t>Utilizar esta calculadora apenas para fins educacionais.</t>
  </si>
  <si>
    <t>Modificar apenas os valores nas caselas azuis.</t>
  </si>
  <si>
    <t>presente</t>
  </si>
  <si>
    <t>ausente</t>
  </si>
  <si>
    <t>característica de</t>
  </si>
  <si>
    <t>interesse</t>
  </si>
  <si>
    <t>Estudos caso-controle - não pareado</t>
  </si>
  <si>
    <t>Estudos de corte-transversal</t>
  </si>
  <si>
    <t>RP</t>
  </si>
  <si>
    <t>1 / RP</t>
  </si>
  <si>
    <t>logaritmo da razão de prevalências</t>
  </si>
  <si>
    <t>prevalência</t>
  </si>
  <si>
    <t>Determinação do tamanho amostral - Estudos caso-controle</t>
  </si>
  <si>
    <t>Proporção exposta, entre os controles</t>
  </si>
  <si>
    <t>Proporção exposta, entre os casos</t>
  </si>
  <si>
    <t>Referência:</t>
  </si>
  <si>
    <t>Schlesselman JJ. Case-Control Studies: Design, Conduct, Analysis.</t>
  </si>
  <si>
    <t>New York: Oxford University Press, 1982. Página 145.</t>
  </si>
  <si>
    <t>beta</t>
  </si>
  <si>
    <r>
      <t xml:space="preserve">Os valores acima referem-se ao tamanho amostral </t>
    </r>
    <r>
      <rPr>
        <b/>
        <sz val="10"/>
        <rFont val="Arial"/>
        <family val="2"/>
      </rPr>
      <t>de cada grupo</t>
    </r>
    <r>
      <rPr>
        <sz val="10"/>
        <rFont val="Arial"/>
        <family val="2"/>
      </rPr>
      <t>.</t>
    </r>
  </si>
  <si>
    <t>Estudos não pareados, proporção 1:1</t>
  </si>
  <si>
    <t>alfa (two-sided)</t>
  </si>
  <si>
    <t>razão de prevalências (RP)</t>
  </si>
  <si>
    <t>Estudos não pareados, proporção 1:c</t>
  </si>
  <si>
    <t>Número de controles por caso</t>
  </si>
  <si>
    <t>c =</t>
  </si>
  <si>
    <t>New York: Oxford University Press, 1982. Página 150.</t>
  </si>
  <si>
    <t>Considerando variâncias populacionais iguais</t>
  </si>
  <si>
    <t>Determinação do tamanho amostral, comparação entre duas médias</t>
  </si>
  <si>
    <t>Média populacional, grupo 1</t>
  </si>
  <si>
    <t>Média populacional, grupo 2</t>
  </si>
  <si>
    <t>Diferença absoluta entre os dois grupos</t>
  </si>
  <si>
    <t>Proporção n1/n2</t>
  </si>
  <si>
    <t>Amostra 1</t>
  </si>
  <si>
    <t>Amostra 2</t>
  </si>
  <si>
    <t>Desvio padrão populacional</t>
  </si>
  <si>
    <t>Singer, J. A simple procedure to compute the sample size needed to compare</t>
  </si>
  <si>
    <r>
      <t xml:space="preserve">two independent groups when the population variances are unequal. </t>
    </r>
    <r>
      <rPr>
        <i/>
        <sz val="10"/>
        <rFont val="Arial"/>
        <family val="2"/>
      </rPr>
      <t>Statistics in</t>
    </r>
  </si>
  <si>
    <r>
      <t>Medicine</t>
    </r>
    <r>
      <rPr>
        <sz val="10"/>
        <rFont val="Arial"/>
        <family val="2"/>
      </rPr>
      <t xml:space="preserve"> 2001;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20:1089-1095.</t>
    </r>
  </si>
  <si>
    <t>Determinação do tamanho amostral, estimar uma prevalência</t>
  </si>
  <si>
    <t>Considerando uma população infinita</t>
  </si>
  <si>
    <t>Prevalência</t>
  </si>
  <si>
    <t>Coeficiente de confiança</t>
  </si>
  <si>
    <t>n =</t>
  </si>
  <si>
    <t>Considerando uma população finita</t>
  </si>
  <si>
    <r>
      <t>Tamanho da população 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</si>
  <si>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Erro absoluto tolerável (</t>
    </r>
    <r>
      <rPr>
        <b/>
        <i/>
        <sz val="10"/>
        <rFont val="Arial"/>
        <family val="2"/>
      </rPr>
      <t>d</t>
    </r>
    <r>
      <rPr>
        <b/>
        <sz val="10"/>
        <rFont val="Arial"/>
        <family val="2"/>
      </rPr>
      <t>)</t>
    </r>
  </si>
  <si>
    <t>Determinação do tamanho amostral, estimar uma média</t>
  </si>
  <si>
    <r>
      <t>Desvio padrão populacional (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</si>
</sst>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26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b/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2" fontId="0" fillId="34" borderId="10" xfId="49" applyNumberFormat="1" applyFont="1" applyFill="1" applyBorder="1" applyAlignment="1">
      <alignment/>
    </xf>
    <xf numFmtId="172" fontId="0" fillId="34" borderId="13" xfId="49" applyNumberFormat="1" applyFont="1" applyFill="1" applyBorder="1" applyAlignment="1">
      <alignment/>
    </xf>
    <xf numFmtId="172" fontId="0" fillId="34" borderId="12" xfId="49" applyNumberFormat="1" applyFont="1" applyFill="1" applyBorder="1" applyAlignment="1">
      <alignment/>
    </xf>
    <xf numFmtId="172" fontId="0" fillId="34" borderId="14" xfId="49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175" fontId="0" fillId="34" borderId="15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 horizontal="right"/>
    </xf>
    <xf numFmtId="175" fontId="0" fillId="34" borderId="15" xfId="0" applyNumberFormat="1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2" fillId="33" borderId="10" xfId="0" applyFont="1" applyFill="1" applyBorder="1" applyAlignment="1">
      <alignment/>
    </xf>
    <xf numFmtId="175" fontId="0" fillId="34" borderId="13" xfId="0" applyNumberFormat="1" applyFill="1" applyBorder="1" applyAlignment="1">
      <alignment/>
    </xf>
    <xf numFmtId="0" fontId="0" fillId="33" borderId="16" xfId="0" applyFill="1" applyBorder="1" applyAlignment="1">
      <alignment/>
    </xf>
    <xf numFmtId="175" fontId="0" fillId="34" borderId="15" xfId="0" applyNumberFormat="1" applyFill="1" applyBorder="1" applyAlignment="1">
      <alignment/>
    </xf>
    <xf numFmtId="0" fontId="1" fillId="33" borderId="17" xfId="0" applyFont="1" applyFill="1" applyBorder="1" applyAlignment="1">
      <alignment/>
    </xf>
    <xf numFmtId="9" fontId="1" fillId="33" borderId="17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9" fontId="0" fillId="35" borderId="0" xfId="49" applyFont="1" applyFill="1" applyAlignment="1">
      <alignment/>
    </xf>
    <xf numFmtId="0" fontId="0" fillId="0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" fillId="0" borderId="0" xfId="0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2" fontId="0" fillId="0" borderId="15" xfId="49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72" fontId="0" fillId="35" borderId="0" xfId="49" applyNumberFormat="1" applyFont="1" applyFill="1" applyAlignment="1">
      <alignment/>
    </xf>
    <xf numFmtId="174" fontId="4" fillId="0" borderId="0" xfId="49" applyNumberFormat="1" applyFont="1" applyFill="1" applyAlignment="1">
      <alignment/>
    </xf>
    <xf numFmtId="0" fontId="0" fillId="35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9" fontId="0" fillId="36" borderId="15" xfId="0" applyNumberFormat="1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1" fillId="35" borderId="0" xfId="0" applyFont="1" applyFill="1" applyAlignment="1">
      <alignment horizontal="left" shrinkToFit="1"/>
    </xf>
    <xf numFmtId="0" fontId="0" fillId="0" borderId="20" xfId="0" applyBorder="1" applyAlignment="1">
      <alignment/>
    </xf>
    <xf numFmtId="0" fontId="0" fillId="33" borderId="17" xfId="0" applyFill="1" applyBorder="1" applyAlignment="1">
      <alignment/>
    </xf>
    <xf numFmtId="0" fontId="0" fillId="0" borderId="14" xfId="0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5" fillId="35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 horizontal="center"/>
    </xf>
    <xf numFmtId="2" fontId="0" fillId="34" borderId="0" xfId="0" applyNumberFormat="1" applyFill="1" applyAlignment="1">
      <alignment/>
    </xf>
    <xf numFmtId="2" fontId="0" fillId="34" borderId="17" xfId="0" applyNumberFormat="1" applyFill="1" applyBorder="1" applyAlignment="1">
      <alignment/>
    </xf>
    <xf numFmtId="0" fontId="6" fillId="35" borderId="0" xfId="0" applyFont="1" applyFill="1" applyAlignment="1">
      <alignment/>
    </xf>
    <xf numFmtId="0" fontId="0" fillId="34" borderId="17" xfId="0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 horizontal="right"/>
    </xf>
    <xf numFmtId="0" fontId="1" fillId="34" borderId="21" xfId="0" applyFont="1" applyFill="1" applyBorder="1" applyAlignment="1">
      <alignment/>
    </xf>
    <xf numFmtId="0" fontId="0" fillId="36" borderId="17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2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0" fillId="36" borderId="20" xfId="0" applyFill="1" applyBorder="1" applyAlignment="1" applyProtection="1">
      <alignment/>
      <protection locked="0"/>
    </xf>
    <xf numFmtId="0" fontId="1" fillId="33" borderId="16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36" borderId="14" xfId="0" applyNumberFormat="1" applyFill="1" applyBorder="1" applyAlignment="1" applyProtection="1">
      <alignment/>
      <protection locked="0"/>
    </xf>
    <xf numFmtId="10" fontId="0" fillId="35" borderId="0" xfId="49" applyNumberFormat="1" applyFont="1" applyFill="1" applyBorder="1" applyAlignment="1">
      <alignment horizontal="center"/>
    </xf>
    <xf numFmtId="10" fontId="0" fillId="35" borderId="0" xfId="0" applyNumberFormat="1" applyFill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0" fontId="0" fillId="34" borderId="16" xfId="49" applyNumberFormat="1" applyFont="1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34" borderId="17" xfId="49" applyNumberFormat="1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2</xdr:row>
      <xdr:rowOff>19050</xdr:rowOff>
    </xdr:from>
    <xdr:to>
      <xdr:col>6</xdr:col>
      <xdr:colOff>495300</xdr:colOff>
      <xdr:row>10</xdr:row>
      <xdr:rowOff>9525</xdr:rowOff>
    </xdr:to>
    <xdr:pic>
      <xdr:nvPicPr>
        <xdr:cNvPr id="1" name="Picture 2" descr="cemeq_logo_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61950"/>
          <a:ext cx="1981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3</xdr:row>
      <xdr:rowOff>66675</xdr:rowOff>
    </xdr:from>
    <xdr:to>
      <xdr:col>7</xdr:col>
      <xdr:colOff>504825</xdr:colOff>
      <xdr:row>11</xdr:row>
      <xdr:rowOff>47625</xdr:rowOff>
    </xdr:to>
    <xdr:pic>
      <xdr:nvPicPr>
        <xdr:cNvPr id="1" name="Picture 1" descr="cemeq_logo_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81025"/>
          <a:ext cx="1981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C6" sqref="C6"/>
    </sheetView>
  </sheetViews>
  <sheetFormatPr defaultColWidth="9.140625" defaultRowHeight="12.75"/>
  <cols>
    <col min="1" max="1" width="5.7109375" style="0" customWidth="1"/>
    <col min="2" max="2" width="13.00390625" style="0" customWidth="1"/>
    <col min="5" max="5" width="20.57421875" style="0" bestFit="1" customWidth="1"/>
    <col min="6" max="6" width="16.00390625" style="0" customWidth="1"/>
    <col min="8" max="11" width="9.140625" style="30" customWidth="1"/>
  </cols>
  <sheetData>
    <row r="1" spans="1:11" ht="13.5" thickBot="1">
      <c r="A1" s="26"/>
      <c r="B1" s="26"/>
      <c r="C1" s="26"/>
      <c r="D1" s="26"/>
      <c r="E1" s="26"/>
      <c r="F1" s="26"/>
      <c r="G1" s="26"/>
      <c r="H1" s="26"/>
      <c r="I1" s="33"/>
      <c r="J1" s="33"/>
      <c r="K1" s="33"/>
    </row>
    <row r="2" spans="1:11" ht="13.5" thickBot="1">
      <c r="A2" s="26"/>
      <c r="B2" s="43" t="s">
        <v>32</v>
      </c>
      <c r="C2" s="44"/>
      <c r="D2" s="45"/>
      <c r="E2" s="26"/>
      <c r="F2" s="26"/>
      <c r="G2" s="26"/>
      <c r="H2" s="26"/>
      <c r="I2" s="33"/>
      <c r="J2" s="33"/>
      <c r="K2" s="33"/>
    </row>
    <row r="3" spans="1:11" ht="12.75">
      <c r="A3" s="26"/>
      <c r="B3" s="26"/>
      <c r="C3" s="26"/>
      <c r="D3" s="26"/>
      <c r="E3" s="26"/>
      <c r="F3" s="26"/>
      <c r="G3" s="26"/>
      <c r="H3" s="26"/>
      <c r="I3" s="33"/>
      <c r="J3" s="33"/>
      <c r="K3" s="33"/>
    </row>
    <row r="4" spans="1:11" ht="12.75">
      <c r="A4" s="26"/>
      <c r="B4" s="26"/>
      <c r="C4" s="26"/>
      <c r="D4" s="26"/>
      <c r="E4" s="26"/>
      <c r="F4" s="26"/>
      <c r="G4" s="26"/>
      <c r="H4" s="26"/>
      <c r="I4" s="33"/>
      <c r="J4" s="33"/>
      <c r="K4" s="33"/>
    </row>
    <row r="5" spans="1:11" ht="13.5" thickBot="1">
      <c r="A5" s="26"/>
      <c r="B5" s="26"/>
      <c r="C5" s="27" t="s">
        <v>0</v>
      </c>
      <c r="D5" s="27" t="s">
        <v>1</v>
      </c>
      <c r="E5" s="26"/>
      <c r="F5" s="26"/>
      <c r="G5" s="26"/>
      <c r="H5" s="26"/>
      <c r="I5" s="33">
        <f>C8/D8</f>
        <v>0.581986143187067</v>
      </c>
      <c r="J5" s="34">
        <f>1/I5</f>
        <v>1.7182539682539681</v>
      </c>
      <c r="K5" s="33"/>
    </row>
    <row r="6" spans="1:11" ht="12.75">
      <c r="A6" s="26"/>
      <c r="B6" s="28" t="s">
        <v>2</v>
      </c>
      <c r="C6" s="46">
        <v>108</v>
      </c>
      <c r="D6" s="47">
        <v>177</v>
      </c>
      <c r="E6" s="26"/>
      <c r="F6" s="26"/>
      <c r="G6" s="26"/>
      <c r="H6" s="26"/>
      <c r="I6" s="33">
        <f>INT(I5)</f>
        <v>0</v>
      </c>
      <c r="J6" s="33">
        <f>INT(J5)</f>
        <v>1</v>
      </c>
      <c r="K6" s="33"/>
    </row>
    <row r="7" spans="1:11" ht="13.5" thickBot="1">
      <c r="A7" s="26"/>
      <c r="B7" s="28" t="s">
        <v>3</v>
      </c>
      <c r="C7" s="48">
        <v>144</v>
      </c>
      <c r="D7" s="49">
        <v>256</v>
      </c>
      <c r="E7" s="26"/>
      <c r="F7" s="26"/>
      <c r="G7" s="26"/>
      <c r="H7" s="26"/>
      <c r="I7" s="35" t="str">
        <f>IF(I5=I6,IF(I5&gt;=1,CONCATENATE(I5," : 1"),"erro"),IF(1/I5=J6,IF(J5&gt;=1,CONCATENATE("1 : ",J6),"erro"),CONCATENATE("1 : ",ROUND(J5,2))))</f>
        <v>1 : 1,72</v>
      </c>
      <c r="J7" s="33"/>
      <c r="K7" s="33"/>
    </row>
    <row r="8" spans="1:11" ht="12.75">
      <c r="A8" s="26"/>
      <c r="B8" s="28" t="s">
        <v>4</v>
      </c>
      <c r="C8" s="26">
        <f>SUM(C6:C7)</f>
        <v>252</v>
      </c>
      <c r="D8" s="26">
        <f>SUM(D6:D7)</f>
        <v>433</v>
      </c>
      <c r="E8" s="26"/>
      <c r="F8" s="26"/>
      <c r="G8" s="26"/>
      <c r="H8" s="26"/>
      <c r="I8" s="35" t="str">
        <f>IF(I5&gt;=1,CONCATENATE(ROUND(I5,2)," : 1"),CONCATENATE("1 : ",ROUND(J5,2)))</f>
        <v>1 : 1,72</v>
      </c>
      <c r="J8" s="33"/>
      <c r="K8" s="33"/>
    </row>
    <row r="9" spans="1:11" ht="12.75">
      <c r="A9" s="26"/>
      <c r="B9" s="26"/>
      <c r="C9" s="26"/>
      <c r="D9" s="26"/>
      <c r="E9" s="26"/>
      <c r="F9" s="26"/>
      <c r="G9" s="26"/>
      <c r="H9" s="26"/>
      <c r="I9" s="33"/>
      <c r="J9" s="33"/>
      <c r="K9" s="33"/>
    </row>
    <row r="10" spans="1:11" ht="12.75">
      <c r="A10" s="26"/>
      <c r="B10" s="26"/>
      <c r="C10" s="26"/>
      <c r="D10" s="26"/>
      <c r="E10" s="26"/>
      <c r="F10" s="26"/>
      <c r="G10" s="26"/>
      <c r="H10" s="26"/>
      <c r="I10" s="33"/>
      <c r="J10" s="33"/>
      <c r="K10" s="33"/>
    </row>
    <row r="11" spans="1:11" ht="13.5" thickBot="1">
      <c r="A11" s="26"/>
      <c r="B11" s="26"/>
      <c r="C11" s="27" t="s">
        <v>0</v>
      </c>
      <c r="D11" s="27" t="s">
        <v>1</v>
      </c>
      <c r="E11" s="26"/>
      <c r="F11" s="26"/>
      <c r="G11" s="26"/>
      <c r="H11" s="26"/>
      <c r="I11" s="33"/>
      <c r="J11" s="33"/>
      <c r="K11" s="33"/>
    </row>
    <row r="12" spans="1:11" ht="12.75">
      <c r="A12" s="26"/>
      <c r="B12" s="28" t="s">
        <v>2</v>
      </c>
      <c r="C12" s="6">
        <f>C6/C8</f>
        <v>0.42857142857142855</v>
      </c>
      <c r="D12" s="7">
        <f>D6/D8</f>
        <v>0.40877598152424943</v>
      </c>
      <c r="E12" s="26"/>
      <c r="F12" s="31" t="s">
        <v>22</v>
      </c>
      <c r="G12" s="26"/>
      <c r="H12" s="26"/>
      <c r="I12" s="33"/>
      <c r="J12" s="33"/>
      <c r="K12" s="33"/>
    </row>
    <row r="13" spans="1:11" ht="13.5" thickBot="1">
      <c r="A13" s="26"/>
      <c r="B13" s="28" t="s">
        <v>3</v>
      </c>
      <c r="C13" s="8">
        <f>C7/C8</f>
        <v>0.5714285714285714</v>
      </c>
      <c r="D13" s="9">
        <f>D7/D8</f>
        <v>0.5912240184757506</v>
      </c>
      <c r="E13" s="26"/>
      <c r="F13" s="31" t="s">
        <v>23</v>
      </c>
      <c r="G13" s="26"/>
      <c r="H13" s="26"/>
      <c r="I13" s="33"/>
      <c r="J13" s="33"/>
      <c r="K13" s="33"/>
    </row>
    <row r="14" spans="1:11" ht="12.75">
      <c r="A14" s="26"/>
      <c r="B14" s="28" t="s">
        <v>4</v>
      </c>
      <c r="C14" s="29">
        <f>SUM(C12:C13)</f>
        <v>1</v>
      </c>
      <c r="D14" s="29">
        <f>SUM(D12:D13)</f>
        <v>1</v>
      </c>
      <c r="E14" s="26"/>
      <c r="F14" s="32" t="s">
        <v>25</v>
      </c>
      <c r="G14" s="26"/>
      <c r="H14" s="26"/>
      <c r="I14" s="33"/>
      <c r="J14" s="33"/>
      <c r="K14" s="33"/>
    </row>
    <row r="15" spans="1:11" ht="12.75">
      <c r="A15" s="26"/>
      <c r="B15" s="26"/>
      <c r="C15" s="26"/>
      <c r="D15" s="26"/>
      <c r="E15" s="26"/>
      <c r="F15" s="26"/>
      <c r="G15" s="26"/>
      <c r="H15" s="26"/>
      <c r="I15" s="33"/>
      <c r="J15" s="33"/>
      <c r="K15" s="33"/>
    </row>
    <row r="16" spans="1:11" ht="13.5" thickBot="1">
      <c r="A16" s="26"/>
      <c r="B16" s="26"/>
      <c r="C16" s="26"/>
      <c r="D16" s="26"/>
      <c r="E16" s="26"/>
      <c r="F16" s="26"/>
      <c r="G16" s="26"/>
      <c r="H16" s="26"/>
      <c r="I16" s="33"/>
      <c r="J16" s="33"/>
      <c r="K16" s="33"/>
    </row>
    <row r="17" spans="1:11" ht="12.75">
      <c r="A17" s="26"/>
      <c r="B17" s="1" t="s">
        <v>5</v>
      </c>
      <c r="C17" s="4">
        <f>C8</f>
        <v>252</v>
      </c>
      <c r="D17" s="26"/>
      <c r="E17" s="1" t="s">
        <v>9</v>
      </c>
      <c r="F17" s="13"/>
      <c r="G17" s="26"/>
      <c r="H17" s="26"/>
      <c r="I17" s="33"/>
      <c r="J17" s="33"/>
      <c r="K17" s="33"/>
    </row>
    <row r="18" spans="1:11" ht="12.75">
      <c r="A18" s="26"/>
      <c r="B18" s="2" t="s">
        <v>6</v>
      </c>
      <c r="C18" s="11">
        <f>D8</f>
        <v>433</v>
      </c>
      <c r="D18" s="26"/>
      <c r="E18" s="2" t="s">
        <v>15</v>
      </c>
      <c r="F18" s="14">
        <f>(C20*(C6*D7-D6*C7)^2)/(C8*D8*(C6+D6)*(C7+D7))</f>
        <v>0.25692406535970413</v>
      </c>
      <c r="G18" s="26"/>
      <c r="H18" s="26"/>
      <c r="I18" s="33"/>
      <c r="J18" s="33"/>
      <c r="K18" s="33"/>
    </row>
    <row r="19" spans="1:11" ht="12.75">
      <c r="A19" s="26"/>
      <c r="B19" s="2" t="s">
        <v>16</v>
      </c>
      <c r="C19" s="19" t="str">
        <f>I8</f>
        <v>1 : 1,72</v>
      </c>
      <c r="D19" s="26"/>
      <c r="E19" s="2" t="s">
        <v>11</v>
      </c>
      <c r="F19" s="11">
        <v>1</v>
      </c>
      <c r="G19" s="26"/>
      <c r="H19" s="26"/>
      <c r="I19" s="33"/>
      <c r="J19" s="33"/>
      <c r="K19" s="33"/>
    </row>
    <row r="20" spans="1:11" ht="13.5" thickBot="1">
      <c r="A20" s="26"/>
      <c r="B20" s="3" t="s">
        <v>7</v>
      </c>
      <c r="C20" s="5">
        <f>C17+C18</f>
        <v>685</v>
      </c>
      <c r="D20" s="26"/>
      <c r="E20" s="2" t="s">
        <v>10</v>
      </c>
      <c r="F20" s="51">
        <v>0.05</v>
      </c>
      <c r="G20" s="26"/>
      <c r="H20" s="26"/>
      <c r="I20" s="33"/>
      <c r="J20" s="33"/>
      <c r="K20" s="33"/>
    </row>
    <row r="21" spans="1:11" ht="13.5" thickBot="1">
      <c r="A21" s="26"/>
      <c r="B21" s="26"/>
      <c r="C21" s="26"/>
      <c r="D21" s="26"/>
      <c r="E21" s="2" t="s">
        <v>12</v>
      </c>
      <c r="F21" s="14">
        <f>CHIINV(F20,F19)</f>
        <v>3.841459149489757</v>
      </c>
      <c r="G21" s="26"/>
      <c r="H21" s="26"/>
      <c r="I21" s="33"/>
      <c r="J21" s="33"/>
      <c r="K21" s="33"/>
    </row>
    <row r="22" spans="1:11" ht="12.75">
      <c r="A22" s="26"/>
      <c r="B22" s="20" t="s">
        <v>8</v>
      </c>
      <c r="C22" s="21">
        <f>(C6*D7)/(C7*D6)</f>
        <v>1.0847457627118644</v>
      </c>
      <c r="D22" s="26"/>
      <c r="E22" s="2" t="s">
        <v>13</v>
      </c>
      <c r="F22" s="18">
        <f>IF(CHIDIST(F18,F19)&gt;=0.001,CHIDIST(F18,F19),"menor que 0,001")</f>
        <v>0.6122412830707576</v>
      </c>
      <c r="G22" s="26"/>
      <c r="H22" s="26"/>
      <c r="I22" s="33"/>
      <c r="J22" s="33"/>
      <c r="K22" s="33"/>
    </row>
    <row r="23" spans="1:11" ht="13.5" thickBot="1">
      <c r="A23" s="26"/>
      <c r="B23" s="3" t="s">
        <v>17</v>
      </c>
      <c r="C23" s="15">
        <f>1/C22</f>
        <v>0.921875</v>
      </c>
      <c r="D23" s="26"/>
      <c r="E23" s="3" t="s">
        <v>14</v>
      </c>
      <c r="F23" s="17" t="str">
        <f>IF(F18&gt;F21,"Rejeitamos H0","Não rejeitamos H0")</f>
        <v>Não rejeitamos H0</v>
      </c>
      <c r="G23" s="26"/>
      <c r="H23" s="26"/>
      <c r="I23" s="33"/>
      <c r="J23" s="33"/>
      <c r="K23" s="33"/>
    </row>
    <row r="24" spans="1:11" ht="13.5" thickBot="1">
      <c r="A24" s="26"/>
      <c r="B24" s="26"/>
      <c r="C24" s="26"/>
      <c r="D24" s="26"/>
      <c r="E24" s="26"/>
      <c r="F24" s="26"/>
      <c r="G24" s="26"/>
      <c r="H24" s="26"/>
      <c r="I24" s="33"/>
      <c r="J24" s="33"/>
      <c r="K24" s="33"/>
    </row>
    <row r="25" spans="1:11" ht="12.75">
      <c r="A25" s="26"/>
      <c r="B25" s="1" t="s">
        <v>18</v>
      </c>
      <c r="C25" s="22"/>
      <c r="D25" s="22"/>
      <c r="E25" s="21">
        <f>LN(C22)</f>
        <v>0.0813456394539524</v>
      </c>
      <c r="F25" s="26"/>
      <c r="G25" s="26"/>
      <c r="H25" s="26"/>
      <c r="I25" s="33"/>
      <c r="J25" s="33"/>
      <c r="K25" s="33"/>
    </row>
    <row r="26" spans="1:11" ht="12.75">
      <c r="A26" s="26"/>
      <c r="B26" s="2" t="s">
        <v>24</v>
      </c>
      <c r="C26" s="16"/>
      <c r="D26" s="16"/>
      <c r="E26" s="23">
        <f>SQRT(1/C6+1/D6+1/C7+1/D7)</f>
        <v>0.16049819693014622</v>
      </c>
      <c r="F26" s="26"/>
      <c r="G26" s="26"/>
      <c r="H26" s="26"/>
      <c r="I26" s="33">
        <f>EXP(E25-I29*E26)</f>
        <v>0.7919753224999927</v>
      </c>
      <c r="J26" s="33"/>
      <c r="K26" s="33"/>
    </row>
    <row r="27" spans="1:11" ht="12.75">
      <c r="A27" s="26"/>
      <c r="B27" s="2" t="s">
        <v>20</v>
      </c>
      <c r="C27" s="16"/>
      <c r="D27" s="16"/>
      <c r="E27" s="50">
        <v>0.95</v>
      </c>
      <c r="F27" s="26"/>
      <c r="G27" s="26"/>
      <c r="H27" s="26"/>
      <c r="I27" s="33">
        <f>EXP(E25+I29*E26)</f>
        <v>1.4857449926684494</v>
      </c>
      <c r="J27" s="33"/>
      <c r="K27" s="33"/>
    </row>
    <row r="28" spans="1:11" ht="12.75">
      <c r="A28" s="26"/>
      <c r="B28" s="36" t="s">
        <v>8</v>
      </c>
      <c r="C28" s="16"/>
      <c r="D28" s="16"/>
      <c r="E28" s="37">
        <f>C22</f>
        <v>1.0847457627118644</v>
      </c>
      <c r="F28" s="26"/>
      <c r="G28" s="26"/>
      <c r="H28" s="26"/>
      <c r="I28" s="33"/>
      <c r="J28" s="33"/>
      <c r="K28" s="33"/>
    </row>
    <row r="29" spans="1:11" ht="13.5" thickBot="1">
      <c r="A29" s="26"/>
      <c r="B29" s="3" t="s">
        <v>21</v>
      </c>
      <c r="C29" s="24"/>
      <c r="D29" s="25">
        <f>E27</f>
        <v>0.95</v>
      </c>
      <c r="E29" s="17" t="str">
        <f>CONCATENATE("( ",ROUND(I26,2)," ; ",ROUND(I27,2)," )")</f>
        <v>( 0,79 ; 1,49 )</v>
      </c>
      <c r="F29" s="26"/>
      <c r="G29" s="26"/>
      <c r="H29" s="26"/>
      <c r="I29" s="33">
        <f>NORMSINV((1+E27)/2)</f>
        <v>1.959963984540054</v>
      </c>
      <c r="J29" s="33"/>
      <c r="K29" s="33"/>
    </row>
    <row r="30" spans="1:11" ht="13.5" thickBot="1">
      <c r="A30" s="26"/>
      <c r="B30" s="26"/>
      <c r="C30" s="26"/>
      <c r="D30" s="26"/>
      <c r="E30" s="26"/>
      <c r="F30" s="26"/>
      <c r="G30" s="26"/>
      <c r="H30" s="26"/>
      <c r="I30" s="33"/>
      <c r="J30" s="33"/>
      <c r="K30" s="33"/>
    </row>
    <row r="31" spans="1:8" ht="12.75">
      <c r="A31" s="26"/>
      <c r="B31" s="10" t="s">
        <v>26</v>
      </c>
      <c r="C31" s="38"/>
      <c r="D31" s="38"/>
      <c r="E31" s="4"/>
      <c r="F31" s="26"/>
      <c r="G31" s="26"/>
      <c r="H31" s="26"/>
    </row>
    <row r="32" spans="1:8" ht="13.5" thickBot="1">
      <c r="A32" s="26"/>
      <c r="B32" s="12" t="s">
        <v>27</v>
      </c>
      <c r="C32" s="39"/>
      <c r="D32" s="39"/>
      <c r="E32" s="5"/>
      <c r="F32" s="26"/>
      <c r="G32" s="26"/>
      <c r="H32" s="26"/>
    </row>
    <row r="33" spans="1:8" ht="12.75">
      <c r="A33" s="26"/>
      <c r="B33" s="26"/>
      <c r="C33" s="26"/>
      <c r="D33" s="26"/>
      <c r="E33" s="26"/>
      <c r="F33" s="26"/>
      <c r="G33" s="26"/>
      <c r="H33" s="26"/>
    </row>
    <row r="34" spans="1:8" ht="12.75">
      <c r="A34" s="26"/>
      <c r="B34" s="26"/>
      <c r="C34" s="26"/>
      <c r="D34" s="26"/>
      <c r="E34" s="26"/>
      <c r="F34" s="26"/>
      <c r="G34" s="26"/>
      <c r="H34" s="26"/>
    </row>
  </sheetData>
  <sheetProtection password="EA44" sheet="1" objects="1" scenarios="1" selectLockedCells="1"/>
  <printOptions/>
  <pageMargins left="0.54" right="0.46" top="0.984251969" bottom="0.984251969" header="0.492125985" footer="0.49212598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4.57421875" style="0" customWidth="1"/>
    <col min="9" max="9" width="5.00390625" style="0" customWidth="1"/>
  </cols>
  <sheetData>
    <row r="1" spans="1:9" ht="13.5" thickBot="1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6"/>
      <c r="B2" s="43" t="s">
        <v>38</v>
      </c>
      <c r="C2" s="44"/>
      <c r="D2" s="44"/>
      <c r="E2" s="44"/>
      <c r="F2" s="44"/>
      <c r="G2" s="45"/>
      <c r="H2" s="26"/>
      <c r="I2" s="26"/>
    </row>
    <row r="3" spans="1:9" ht="13.5" thickBo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>
      <c r="A4" s="26"/>
      <c r="B4" s="43" t="s">
        <v>46</v>
      </c>
      <c r="C4" s="44"/>
      <c r="D4" s="45"/>
      <c r="E4" s="45"/>
      <c r="F4" s="65">
        <f>(F6+F7)/2</f>
        <v>0.43125</v>
      </c>
      <c r="G4" s="26"/>
      <c r="H4" s="26"/>
      <c r="I4" s="26"/>
    </row>
    <row r="5" spans="1:9" ht="13.5" thickBot="1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6"/>
      <c r="B6" s="1" t="s">
        <v>39</v>
      </c>
      <c r="C6" s="22"/>
      <c r="D6" s="22"/>
      <c r="E6" s="22"/>
      <c r="F6" s="47">
        <v>0.3</v>
      </c>
      <c r="G6" s="59">
        <f>IF(F6&lt;=1,IF(F6&lt;0,"Insira um número entre 0 e 1",""),"Insira um número entre 0 e 1")</f>
      </c>
      <c r="H6" s="26"/>
      <c r="I6" s="26"/>
    </row>
    <row r="7" spans="1:9" ht="13.5" thickBot="1">
      <c r="A7" s="26"/>
      <c r="B7" s="3" t="s">
        <v>40</v>
      </c>
      <c r="C7" s="54"/>
      <c r="D7" s="54"/>
      <c r="E7" s="54"/>
      <c r="F7" s="49">
        <v>0.5625</v>
      </c>
      <c r="G7" s="59">
        <f>IF(F7&lt;=1,IF(F7&lt;0,"Insira um número entre 0 e 1",""),"Insira um número entre 0 e 1")</f>
      </c>
      <c r="H7" s="26"/>
      <c r="I7" s="26"/>
    </row>
    <row r="8" spans="1:9" ht="12.75">
      <c r="A8" s="26"/>
      <c r="B8" s="26"/>
      <c r="C8" s="26"/>
      <c r="D8" s="26"/>
      <c r="E8" s="26"/>
      <c r="F8" s="26"/>
      <c r="G8" s="26"/>
      <c r="H8" s="26"/>
      <c r="I8" s="26"/>
    </row>
    <row r="9" spans="1:9" ht="13.5" thickBot="1">
      <c r="A9" s="26"/>
      <c r="B9" s="61"/>
      <c r="C9" s="39"/>
      <c r="D9" s="39"/>
      <c r="E9" s="62" t="s">
        <v>47</v>
      </c>
      <c r="F9" s="39"/>
      <c r="G9" s="39"/>
      <c r="H9" s="39"/>
      <c r="I9" s="26"/>
    </row>
    <row r="10" spans="1:9" ht="13.5" thickBot="1">
      <c r="A10" s="26"/>
      <c r="B10" s="66" t="s">
        <v>44</v>
      </c>
      <c r="C10" s="39">
        <v>0.001</v>
      </c>
      <c r="D10" s="64">
        <v>0.01</v>
      </c>
      <c r="E10" s="64">
        <v>0.02</v>
      </c>
      <c r="F10" s="64">
        <v>0.05</v>
      </c>
      <c r="G10" s="64">
        <v>0.1</v>
      </c>
      <c r="H10" s="71">
        <v>0.15</v>
      </c>
      <c r="I10" s="26"/>
    </row>
    <row r="11" spans="1:9" ht="12.75">
      <c r="A11" s="26"/>
      <c r="B11" s="61">
        <v>0.001</v>
      </c>
      <c r="C11" s="61">
        <f aca="true" t="shared" si="0" ref="C11:H17">ROUNDUP(2*$F$4*(1-$F$4)*(NORMSINV(1-C$10/2)+NORMSINV(1-$B11))*(NORMSINV(1-C$10/2)+NORMSINV(1-$B11))/(($F$6-$F$7)*($F$6-$F$7)),0)</f>
        <v>290</v>
      </c>
      <c r="D11" s="61">
        <f t="shared" si="0"/>
        <v>229</v>
      </c>
      <c r="E11" s="61">
        <f t="shared" si="0"/>
        <v>209</v>
      </c>
      <c r="F11" s="61">
        <f t="shared" si="0"/>
        <v>182</v>
      </c>
      <c r="G11" s="61">
        <f t="shared" si="0"/>
        <v>160</v>
      </c>
      <c r="H11" s="61">
        <f t="shared" si="0"/>
        <v>147</v>
      </c>
      <c r="I11" s="26"/>
    </row>
    <row r="12" spans="1:9" ht="12.75">
      <c r="A12" s="26"/>
      <c r="B12" s="63">
        <v>0.01</v>
      </c>
      <c r="C12" s="61">
        <f t="shared" si="0"/>
        <v>225</v>
      </c>
      <c r="D12" s="61">
        <f t="shared" si="0"/>
        <v>172</v>
      </c>
      <c r="E12" s="61">
        <f t="shared" si="0"/>
        <v>155</v>
      </c>
      <c r="F12" s="61">
        <f t="shared" si="0"/>
        <v>131</v>
      </c>
      <c r="G12" s="61">
        <f t="shared" si="0"/>
        <v>113</v>
      </c>
      <c r="H12" s="61">
        <f t="shared" si="0"/>
        <v>101</v>
      </c>
      <c r="I12" s="26"/>
    </row>
    <row r="13" spans="1:9" ht="12.75">
      <c r="A13" s="26"/>
      <c r="B13" s="63">
        <v>0.02</v>
      </c>
      <c r="C13" s="61">
        <f t="shared" si="0"/>
        <v>204</v>
      </c>
      <c r="D13" s="61">
        <f t="shared" si="0"/>
        <v>153</v>
      </c>
      <c r="E13" s="61">
        <f t="shared" si="0"/>
        <v>137</v>
      </c>
      <c r="F13" s="61">
        <f t="shared" si="0"/>
        <v>115</v>
      </c>
      <c r="G13" s="61">
        <f t="shared" si="0"/>
        <v>98</v>
      </c>
      <c r="H13" s="61">
        <f t="shared" si="0"/>
        <v>87</v>
      </c>
      <c r="I13" s="26"/>
    </row>
    <row r="14" spans="1:9" ht="12.75">
      <c r="A14" s="26"/>
      <c r="B14" s="63">
        <v>0.05</v>
      </c>
      <c r="C14" s="61">
        <f t="shared" si="0"/>
        <v>174</v>
      </c>
      <c r="D14" s="61">
        <f t="shared" si="0"/>
        <v>127</v>
      </c>
      <c r="E14" s="61">
        <f t="shared" si="0"/>
        <v>113</v>
      </c>
      <c r="F14" s="61">
        <f t="shared" si="0"/>
        <v>93</v>
      </c>
      <c r="G14" s="61">
        <f t="shared" si="0"/>
        <v>78</v>
      </c>
      <c r="H14" s="61">
        <f t="shared" si="0"/>
        <v>68</v>
      </c>
      <c r="I14" s="26"/>
    </row>
    <row r="15" spans="1:9" ht="12.75">
      <c r="A15" s="26"/>
      <c r="B15" s="63">
        <v>0.1</v>
      </c>
      <c r="C15" s="61">
        <f t="shared" si="0"/>
        <v>149</v>
      </c>
      <c r="D15" s="61">
        <f t="shared" si="0"/>
        <v>106</v>
      </c>
      <c r="E15" s="61">
        <f t="shared" si="0"/>
        <v>93</v>
      </c>
      <c r="F15" s="61">
        <f t="shared" si="0"/>
        <v>75</v>
      </c>
      <c r="G15" s="61">
        <f t="shared" si="0"/>
        <v>61</v>
      </c>
      <c r="H15" s="61">
        <f t="shared" si="0"/>
        <v>53</v>
      </c>
      <c r="I15" s="26"/>
    </row>
    <row r="16" spans="1:9" ht="12.75">
      <c r="A16" s="26"/>
      <c r="B16" s="63">
        <v>0.2</v>
      </c>
      <c r="C16" s="61">
        <f t="shared" si="0"/>
        <v>122</v>
      </c>
      <c r="D16" s="61">
        <f t="shared" si="0"/>
        <v>84</v>
      </c>
      <c r="E16" s="61">
        <f t="shared" si="0"/>
        <v>72</v>
      </c>
      <c r="F16" s="61">
        <f t="shared" si="0"/>
        <v>56</v>
      </c>
      <c r="G16" s="61">
        <f t="shared" si="0"/>
        <v>45</v>
      </c>
      <c r="H16" s="61">
        <f t="shared" si="0"/>
        <v>38</v>
      </c>
      <c r="I16" s="26"/>
    </row>
    <row r="17" spans="1:9" ht="12.75">
      <c r="A17" s="26"/>
      <c r="B17" s="72">
        <v>0.25</v>
      </c>
      <c r="C17" s="61">
        <f t="shared" si="0"/>
        <v>112</v>
      </c>
      <c r="D17" s="61">
        <f t="shared" si="0"/>
        <v>76</v>
      </c>
      <c r="E17" s="61">
        <f t="shared" si="0"/>
        <v>65</v>
      </c>
      <c r="F17" s="61">
        <f t="shared" si="0"/>
        <v>50</v>
      </c>
      <c r="G17" s="61">
        <f t="shared" si="0"/>
        <v>39</v>
      </c>
      <c r="H17" s="61">
        <f t="shared" si="0"/>
        <v>32</v>
      </c>
      <c r="I17" s="26"/>
    </row>
    <row r="18" spans="1:9" ht="13.5" thickBot="1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3.5" thickBot="1">
      <c r="A19" s="26"/>
      <c r="B19" s="43" t="s">
        <v>45</v>
      </c>
      <c r="C19" s="44"/>
      <c r="D19" s="44"/>
      <c r="E19" s="44"/>
      <c r="F19" s="44"/>
      <c r="G19" s="44"/>
      <c r="H19" s="45"/>
      <c r="I19" s="26"/>
    </row>
    <row r="20" spans="1:9" ht="13.5" thickBot="1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.75">
      <c r="A21" s="26"/>
      <c r="B21" s="10" t="s">
        <v>41</v>
      </c>
      <c r="C21" s="38"/>
      <c r="D21" s="38"/>
      <c r="E21" s="38"/>
      <c r="F21" s="38"/>
      <c r="G21" s="38"/>
      <c r="H21" s="4"/>
      <c r="I21" s="26"/>
    </row>
    <row r="22" spans="1:9" ht="12.75">
      <c r="A22" s="26"/>
      <c r="B22" s="56" t="s">
        <v>42</v>
      </c>
      <c r="C22" s="57"/>
      <c r="D22" s="57"/>
      <c r="E22" s="57"/>
      <c r="F22" s="57"/>
      <c r="G22" s="57"/>
      <c r="H22" s="11"/>
      <c r="I22" s="26"/>
    </row>
    <row r="23" spans="1:9" ht="13.5" thickBot="1">
      <c r="A23" s="26"/>
      <c r="B23" s="58" t="s">
        <v>43</v>
      </c>
      <c r="C23" s="39"/>
      <c r="D23" s="39"/>
      <c r="E23" s="39"/>
      <c r="F23" s="39"/>
      <c r="G23" s="39"/>
      <c r="H23" s="5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</sheetData>
  <sheetProtection password="EA44" sheet="1" objects="1" scenarios="1" selectLockedCells="1"/>
  <printOptions/>
  <pageMargins left="0.787401575" right="0.787401575" top="0.984251969" bottom="0.984251969" header="0.492125985" footer="0.49212598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F8" sqref="F8"/>
    </sheetView>
  </sheetViews>
  <sheetFormatPr defaultColWidth="9.140625" defaultRowHeight="12.75"/>
  <cols>
    <col min="1" max="1" width="4.57421875" style="0" customWidth="1"/>
    <col min="2" max="2" width="9.7109375" style="0" customWidth="1"/>
    <col min="9" max="9" width="5.00390625" style="0" customWidth="1"/>
  </cols>
  <sheetData>
    <row r="1" spans="1:9" ht="9" customHeight="1" thickBot="1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6"/>
      <c r="B2" s="43" t="s">
        <v>38</v>
      </c>
      <c r="C2" s="44"/>
      <c r="D2" s="44"/>
      <c r="E2" s="44"/>
      <c r="F2" s="44"/>
      <c r="G2" s="45"/>
      <c r="H2" s="26"/>
      <c r="I2" s="26"/>
    </row>
    <row r="3" spans="1:9" ht="13.5" thickBo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>
      <c r="A4" s="26"/>
      <c r="B4" s="43" t="s">
        <v>49</v>
      </c>
      <c r="C4" s="44"/>
      <c r="D4" s="45"/>
      <c r="E4" s="45"/>
      <c r="F4" s="65">
        <f>(F9+F6*F8)/(1+F6)</f>
        <v>0.41053333333333336</v>
      </c>
      <c r="G4" s="26"/>
      <c r="H4" s="26"/>
      <c r="I4" s="26"/>
    </row>
    <row r="5" spans="1:9" ht="13.5" thickBot="1">
      <c r="A5" s="26"/>
      <c r="B5" s="26"/>
      <c r="C5" s="26"/>
      <c r="D5" s="26"/>
      <c r="E5" s="26"/>
      <c r="F5" s="26"/>
      <c r="G5" s="26"/>
      <c r="H5" s="26"/>
      <c r="I5" s="26"/>
    </row>
    <row r="6" spans="1:9" ht="13.5" thickBot="1">
      <c r="A6" s="26"/>
      <c r="B6" s="67" t="s">
        <v>50</v>
      </c>
      <c r="C6" s="68"/>
      <c r="D6" s="68"/>
      <c r="E6" s="69" t="s">
        <v>51</v>
      </c>
      <c r="F6" s="73">
        <v>2</v>
      </c>
      <c r="G6" s="26"/>
      <c r="H6" s="26"/>
      <c r="I6" s="26"/>
    </row>
    <row r="7" spans="1:9" ht="9" customHeight="1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2.75">
      <c r="A8" s="26"/>
      <c r="B8" s="1" t="s">
        <v>39</v>
      </c>
      <c r="C8" s="22"/>
      <c r="D8" s="22"/>
      <c r="E8" s="22"/>
      <c r="F8" s="47">
        <v>0.3</v>
      </c>
      <c r="G8" s="59">
        <f>IF(F8&lt;=1,IF(F8&lt;0,"Insira um número entre 0 e 1",""),"Insira um número entre 0 e 1")</f>
      </c>
      <c r="H8" s="26"/>
      <c r="I8" s="26"/>
    </row>
    <row r="9" spans="1:9" ht="13.5" thickBot="1">
      <c r="A9" s="26"/>
      <c r="B9" s="3" t="s">
        <v>40</v>
      </c>
      <c r="C9" s="54"/>
      <c r="D9" s="54"/>
      <c r="E9" s="54"/>
      <c r="F9" s="49">
        <v>0.6316</v>
      </c>
      <c r="G9" s="59">
        <f>IF(F9&lt;=1,IF(F9&lt;0,"Insira um número entre 0 e 1",""),"Insira um número entre 0 e 1")</f>
      </c>
      <c r="H9" s="26"/>
      <c r="I9" s="26"/>
    </row>
    <row r="10" spans="1:9" ht="10.5" customHeight="1" thickBo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thickBot="1">
      <c r="A11" s="26"/>
      <c r="B11" s="70" t="s">
        <v>5</v>
      </c>
      <c r="C11" s="26"/>
      <c r="D11" s="26"/>
      <c r="E11" s="26"/>
      <c r="F11" s="26"/>
      <c r="G11" s="26"/>
      <c r="H11" s="26"/>
      <c r="I11" s="26"/>
    </row>
    <row r="12" spans="1:9" ht="13.5" thickBot="1">
      <c r="A12" s="26"/>
      <c r="B12" s="61"/>
      <c r="C12" s="39"/>
      <c r="D12" s="39"/>
      <c r="E12" s="62" t="s">
        <v>47</v>
      </c>
      <c r="F12" s="39"/>
      <c r="G12" s="39"/>
      <c r="H12" s="39"/>
      <c r="I12" s="26"/>
    </row>
    <row r="13" spans="1:9" ht="13.5" thickBot="1">
      <c r="A13" s="26"/>
      <c r="B13" s="66" t="s">
        <v>44</v>
      </c>
      <c r="C13" s="39">
        <v>0.001</v>
      </c>
      <c r="D13" s="64">
        <v>0.01</v>
      </c>
      <c r="E13" s="64">
        <v>0.02</v>
      </c>
      <c r="F13" s="64">
        <v>0.05</v>
      </c>
      <c r="G13" s="64">
        <v>0.1</v>
      </c>
      <c r="H13" s="71">
        <v>0.15</v>
      </c>
      <c r="I13" s="26"/>
    </row>
    <row r="14" spans="1:9" ht="12.75">
      <c r="A14" s="26"/>
      <c r="B14" s="61">
        <v>0.001</v>
      </c>
      <c r="C14" s="61">
        <f>ROUNDUP((1+1/$F$6)*$F$4*(1-$F$4)*(NORMSINV(1-C$13/2)+NORMSINV(1-$B14))*(NORMSINV(1-C$13/2)+NORMSINV(1-$B14))/(($F$8-$F$9)*($F$8-$F$9)),0)</f>
        <v>135</v>
      </c>
      <c r="D14" s="61">
        <f aca="true" t="shared" si="0" ref="D14:H20">ROUNDUP((1+1/$F$6)*$F$4*(1-$F$4)*(NORMSINV(1-D$13/2)+NORMSINV(1-$B14))*(NORMSINV(1-D$13/2)+NORMSINV(1-$B14))/(($F$8-$F$9)*($F$8-$F$9)),0)</f>
        <v>106</v>
      </c>
      <c r="E14" s="61">
        <f t="shared" si="0"/>
        <v>97</v>
      </c>
      <c r="F14" s="61">
        <f t="shared" si="0"/>
        <v>85</v>
      </c>
      <c r="G14" s="61">
        <f t="shared" si="0"/>
        <v>75</v>
      </c>
      <c r="H14" s="61">
        <f t="shared" si="0"/>
        <v>68</v>
      </c>
      <c r="I14" s="26"/>
    </row>
    <row r="15" spans="1:9" ht="12.75">
      <c r="A15" s="26"/>
      <c r="B15" s="63">
        <v>0.01</v>
      </c>
      <c r="C15" s="61">
        <f aca="true" t="shared" si="1" ref="C15:C20">ROUNDUP((1+1/$F$6)*$F$4*(1-$F$4)*(NORMSINV(1-C$13/2)+NORMSINV(1-$B15))*(NORMSINV(1-C$13/2)+NORMSINV(1-$B15))/(($F$8-$F$9)*($F$8-$F$9)),0)</f>
        <v>105</v>
      </c>
      <c r="D15" s="61">
        <f t="shared" si="0"/>
        <v>80</v>
      </c>
      <c r="E15" s="61">
        <f t="shared" si="0"/>
        <v>72</v>
      </c>
      <c r="F15" s="61">
        <f t="shared" si="0"/>
        <v>61</v>
      </c>
      <c r="G15" s="61">
        <f t="shared" si="0"/>
        <v>53</v>
      </c>
      <c r="H15" s="61">
        <f t="shared" si="0"/>
        <v>47</v>
      </c>
      <c r="I15" s="26"/>
    </row>
    <row r="16" spans="1:9" ht="12.75">
      <c r="A16" s="26"/>
      <c r="B16" s="63">
        <v>0.02</v>
      </c>
      <c r="C16" s="61">
        <f t="shared" si="1"/>
        <v>95</v>
      </c>
      <c r="D16" s="61">
        <f t="shared" si="0"/>
        <v>71</v>
      </c>
      <c r="E16" s="61">
        <f t="shared" si="0"/>
        <v>64</v>
      </c>
      <c r="F16" s="61">
        <f t="shared" si="0"/>
        <v>54</v>
      </c>
      <c r="G16" s="61">
        <f t="shared" si="0"/>
        <v>46</v>
      </c>
      <c r="H16" s="61">
        <f t="shared" si="0"/>
        <v>41</v>
      </c>
      <c r="I16" s="26"/>
    </row>
    <row r="17" spans="1:9" ht="12.75">
      <c r="A17" s="26"/>
      <c r="B17" s="63">
        <v>0.05</v>
      </c>
      <c r="C17" s="61">
        <f t="shared" si="1"/>
        <v>81</v>
      </c>
      <c r="D17" s="61">
        <f t="shared" si="0"/>
        <v>59</v>
      </c>
      <c r="E17" s="61">
        <f t="shared" si="0"/>
        <v>53</v>
      </c>
      <c r="F17" s="61">
        <f t="shared" si="0"/>
        <v>43</v>
      </c>
      <c r="G17" s="61">
        <f t="shared" si="0"/>
        <v>36</v>
      </c>
      <c r="H17" s="61">
        <f t="shared" si="0"/>
        <v>32</v>
      </c>
      <c r="I17" s="26"/>
    </row>
    <row r="18" spans="1:9" ht="12.75">
      <c r="A18" s="26"/>
      <c r="B18" s="63">
        <v>0.1</v>
      </c>
      <c r="C18" s="61">
        <f t="shared" si="1"/>
        <v>70</v>
      </c>
      <c r="D18" s="61">
        <f t="shared" si="0"/>
        <v>50</v>
      </c>
      <c r="E18" s="61">
        <f t="shared" si="0"/>
        <v>43</v>
      </c>
      <c r="F18" s="61">
        <f t="shared" si="0"/>
        <v>35</v>
      </c>
      <c r="G18" s="61">
        <f t="shared" si="0"/>
        <v>29</v>
      </c>
      <c r="H18" s="61">
        <f t="shared" si="0"/>
        <v>25</v>
      </c>
      <c r="I18" s="26"/>
    </row>
    <row r="19" spans="1:9" ht="12.75">
      <c r="A19" s="26"/>
      <c r="B19" s="63">
        <v>0.2</v>
      </c>
      <c r="C19" s="61">
        <f t="shared" si="1"/>
        <v>57</v>
      </c>
      <c r="D19" s="61">
        <f t="shared" si="0"/>
        <v>39</v>
      </c>
      <c r="E19" s="61">
        <f t="shared" si="0"/>
        <v>34</v>
      </c>
      <c r="F19" s="61">
        <f t="shared" si="0"/>
        <v>26</v>
      </c>
      <c r="G19" s="61">
        <f t="shared" si="0"/>
        <v>21</v>
      </c>
      <c r="H19" s="61">
        <f t="shared" si="0"/>
        <v>18</v>
      </c>
      <c r="I19" s="26"/>
    </row>
    <row r="20" spans="1:9" ht="12.75">
      <c r="A20" s="26"/>
      <c r="B20" s="72">
        <v>0.25</v>
      </c>
      <c r="C20" s="61">
        <f t="shared" si="1"/>
        <v>52</v>
      </c>
      <c r="D20" s="61">
        <f t="shared" si="0"/>
        <v>35</v>
      </c>
      <c r="E20" s="61">
        <f t="shared" si="0"/>
        <v>30</v>
      </c>
      <c r="F20" s="61">
        <f t="shared" si="0"/>
        <v>23</v>
      </c>
      <c r="G20" s="61">
        <f t="shared" si="0"/>
        <v>18</v>
      </c>
      <c r="H20" s="61">
        <f t="shared" si="0"/>
        <v>15</v>
      </c>
      <c r="I20" s="26"/>
    </row>
    <row r="21" spans="1:9" ht="10.5" customHeight="1" thickBo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3.5" thickBot="1">
      <c r="A22" s="26"/>
      <c r="B22" s="70" t="s">
        <v>6</v>
      </c>
      <c r="C22" s="61"/>
      <c r="D22" s="61"/>
      <c r="E22" s="61"/>
      <c r="F22" s="61"/>
      <c r="G22" s="61"/>
      <c r="H22" s="61"/>
      <c r="I22" s="26"/>
    </row>
    <row r="23" spans="1:9" ht="13.5" thickBot="1">
      <c r="A23" s="26"/>
      <c r="B23" s="61"/>
      <c r="C23" s="39"/>
      <c r="D23" s="39"/>
      <c r="E23" s="62" t="s">
        <v>47</v>
      </c>
      <c r="F23" s="39"/>
      <c r="G23" s="39"/>
      <c r="H23" s="39"/>
      <c r="I23" s="26"/>
    </row>
    <row r="24" spans="1:9" ht="13.5" thickBot="1">
      <c r="A24" s="26"/>
      <c r="B24" s="66" t="s">
        <v>44</v>
      </c>
      <c r="C24" s="39">
        <v>0.001</v>
      </c>
      <c r="D24" s="64">
        <v>0.01</v>
      </c>
      <c r="E24" s="64">
        <v>0.02</v>
      </c>
      <c r="F24" s="64">
        <v>0.05</v>
      </c>
      <c r="G24" s="64">
        <v>0.1</v>
      </c>
      <c r="H24" s="39">
        <f>H13</f>
        <v>0.15</v>
      </c>
      <c r="I24" s="26"/>
    </row>
    <row r="25" spans="1:9" ht="12.75">
      <c r="A25" s="26"/>
      <c r="B25" s="61">
        <v>0.001</v>
      </c>
      <c r="C25" s="61">
        <f aca="true" t="shared" si="2" ref="C25:H29">C14*$F$6</f>
        <v>270</v>
      </c>
      <c r="D25" s="61">
        <f t="shared" si="2"/>
        <v>212</v>
      </c>
      <c r="E25" s="61">
        <f t="shared" si="2"/>
        <v>194</v>
      </c>
      <c r="F25" s="61">
        <f t="shared" si="2"/>
        <v>170</v>
      </c>
      <c r="G25" s="61">
        <f t="shared" si="2"/>
        <v>150</v>
      </c>
      <c r="H25" s="61">
        <f t="shared" si="2"/>
        <v>136</v>
      </c>
      <c r="I25" s="26"/>
    </row>
    <row r="26" spans="1:9" ht="12.75">
      <c r="A26" s="26"/>
      <c r="B26" s="63">
        <v>0.01</v>
      </c>
      <c r="C26" s="61">
        <f t="shared" si="2"/>
        <v>210</v>
      </c>
      <c r="D26" s="61">
        <f t="shared" si="2"/>
        <v>160</v>
      </c>
      <c r="E26" s="61">
        <f t="shared" si="2"/>
        <v>144</v>
      </c>
      <c r="F26" s="61">
        <f t="shared" si="2"/>
        <v>122</v>
      </c>
      <c r="G26" s="61">
        <f t="shared" si="2"/>
        <v>106</v>
      </c>
      <c r="H26" s="61">
        <f t="shared" si="2"/>
        <v>94</v>
      </c>
      <c r="I26" s="26"/>
    </row>
    <row r="27" spans="1:9" ht="12.75">
      <c r="A27" s="26"/>
      <c r="B27" s="63">
        <v>0.02</v>
      </c>
      <c r="C27" s="61">
        <f t="shared" si="2"/>
        <v>190</v>
      </c>
      <c r="D27" s="61">
        <f t="shared" si="2"/>
        <v>142</v>
      </c>
      <c r="E27" s="61">
        <f t="shared" si="2"/>
        <v>128</v>
      </c>
      <c r="F27" s="61">
        <f t="shared" si="2"/>
        <v>108</v>
      </c>
      <c r="G27" s="61">
        <f t="shared" si="2"/>
        <v>92</v>
      </c>
      <c r="H27" s="61">
        <f t="shared" si="2"/>
        <v>82</v>
      </c>
      <c r="I27" s="26"/>
    </row>
    <row r="28" spans="1:9" ht="12.75">
      <c r="A28" s="26"/>
      <c r="B28" s="63">
        <v>0.05</v>
      </c>
      <c r="C28" s="61">
        <f t="shared" si="2"/>
        <v>162</v>
      </c>
      <c r="D28" s="61">
        <f t="shared" si="2"/>
        <v>118</v>
      </c>
      <c r="E28" s="61">
        <f t="shared" si="2"/>
        <v>106</v>
      </c>
      <c r="F28" s="61">
        <f t="shared" si="2"/>
        <v>86</v>
      </c>
      <c r="G28" s="61">
        <f t="shared" si="2"/>
        <v>72</v>
      </c>
      <c r="H28" s="61">
        <f t="shared" si="2"/>
        <v>64</v>
      </c>
      <c r="I28" s="26"/>
    </row>
    <row r="29" spans="1:9" ht="12.75">
      <c r="A29" s="26"/>
      <c r="B29" s="63">
        <v>0.1</v>
      </c>
      <c r="C29" s="61">
        <f t="shared" si="2"/>
        <v>140</v>
      </c>
      <c r="D29" s="61">
        <f t="shared" si="2"/>
        <v>100</v>
      </c>
      <c r="E29" s="61">
        <f t="shared" si="2"/>
        <v>86</v>
      </c>
      <c r="F29" s="61">
        <f t="shared" si="2"/>
        <v>70</v>
      </c>
      <c r="G29" s="61">
        <f t="shared" si="2"/>
        <v>58</v>
      </c>
      <c r="H29" s="61">
        <f t="shared" si="2"/>
        <v>50</v>
      </c>
      <c r="I29" s="26"/>
    </row>
    <row r="30" spans="1:9" ht="12.75">
      <c r="A30" s="26"/>
      <c r="B30" s="63">
        <v>0.2</v>
      </c>
      <c r="C30" s="61">
        <f aca="true" t="shared" si="3" ref="C30:H30">C19*$F$6</f>
        <v>114</v>
      </c>
      <c r="D30" s="61">
        <f t="shared" si="3"/>
        <v>78</v>
      </c>
      <c r="E30" s="61">
        <f t="shared" si="3"/>
        <v>68</v>
      </c>
      <c r="F30" s="61">
        <f t="shared" si="3"/>
        <v>52</v>
      </c>
      <c r="G30" s="61">
        <f t="shared" si="3"/>
        <v>42</v>
      </c>
      <c r="H30" s="61">
        <f t="shared" si="3"/>
        <v>36</v>
      </c>
      <c r="I30" s="26"/>
    </row>
    <row r="31" spans="1:9" ht="12.75">
      <c r="A31" s="26"/>
      <c r="B31" s="61">
        <f>B20</f>
        <v>0.25</v>
      </c>
      <c r="C31" s="61">
        <f aca="true" t="shared" si="4" ref="C31:H31">C20*$F$6</f>
        <v>104</v>
      </c>
      <c r="D31" s="61">
        <f t="shared" si="4"/>
        <v>70</v>
      </c>
      <c r="E31" s="61">
        <f t="shared" si="4"/>
        <v>60</v>
      </c>
      <c r="F31" s="61">
        <f t="shared" si="4"/>
        <v>46</v>
      </c>
      <c r="G31" s="61">
        <f t="shared" si="4"/>
        <v>36</v>
      </c>
      <c r="H31" s="61">
        <f t="shared" si="4"/>
        <v>30</v>
      </c>
      <c r="I31" s="26"/>
    </row>
    <row r="32" spans="1:9" ht="13.5" thickBot="1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10" t="s">
        <v>41</v>
      </c>
      <c r="C33" s="38"/>
      <c r="D33" s="38"/>
      <c r="E33" s="38"/>
      <c r="F33" s="38"/>
      <c r="G33" s="38"/>
      <c r="H33" s="4"/>
      <c r="I33" s="26"/>
    </row>
    <row r="34" spans="1:9" ht="12.75">
      <c r="A34" s="26"/>
      <c r="B34" s="56" t="s">
        <v>42</v>
      </c>
      <c r="C34" s="57"/>
      <c r="D34" s="57"/>
      <c r="E34" s="57"/>
      <c r="F34" s="57"/>
      <c r="G34" s="57"/>
      <c r="H34" s="11"/>
      <c r="I34" s="26"/>
    </row>
    <row r="35" spans="1:9" ht="13.5" thickBot="1">
      <c r="A35" s="26"/>
      <c r="B35" s="58" t="s">
        <v>52</v>
      </c>
      <c r="C35" s="39"/>
      <c r="D35" s="39"/>
      <c r="E35" s="39"/>
      <c r="F35" s="39"/>
      <c r="G35" s="39"/>
      <c r="H35" s="5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</sheetData>
  <sheetProtection password="EA44" sheet="1" objects="1" scenarios="1" selectLockedCells="1"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4" width="10.28125" style="0" customWidth="1"/>
    <col min="5" max="5" width="6.140625" style="0" customWidth="1"/>
    <col min="6" max="6" width="16.140625" style="0" customWidth="1"/>
    <col min="7" max="7" width="16.00390625" style="0" customWidth="1"/>
    <col min="9" max="12" width="9.140625" style="30" customWidth="1"/>
  </cols>
  <sheetData>
    <row r="1" spans="1:9" ht="13.5" thickBot="1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6"/>
      <c r="B2" s="43" t="s">
        <v>33</v>
      </c>
      <c r="C2" s="44"/>
      <c r="D2" s="45"/>
      <c r="E2" s="26"/>
      <c r="F2" s="26"/>
      <c r="G2" s="26"/>
      <c r="H2" s="26"/>
      <c r="I2" s="26"/>
    </row>
    <row r="3" spans="1:12" ht="13.5" thickBot="1">
      <c r="A3" s="26"/>
      <c r="B3" s="26"/>
      <c r="C3" s="26"/>
      <c r="D3" s="26"/>
      <c r="E3" s="26"/>
      <c r="F3" s="26"/>
      <c r="G3" s="26"/>
      <c r="H3" s="26"/>
      <c r="I3" s="26"/>
      <c r="J3" s="33"/>
      <c r="K3" s="33"/>
      <c r="L3" s="33"/>
    </row>
    <row r="4" spans="1:12" ht="12.75">
      <c r="A4" s="26"/>
      <c r="B4" s="26"/>
      <c r="C4" s="90" t="s">
        <v>30</v>
      </c>
      <c r="D4" s="91"/>
      <c r="E4" s="26"/>
      <c r="F4" s="26"/>
      <c r="G4" s="26"/>
      <c r="H4" s="26"/>
      <c r="I4" s="26"/>
      <c r="J4" s="33"/>
      <c r="K4" s="33"/>
      <c r="L4" s="33"/>
    </row>
    <row r="5" spans="1:12" ht="13.5" thickBot="1">
      <c r="A5" s="26"/>
      <c r="B5" s="26"/>
      <c r="C5" s="92" t="s">
        <v>31</v>
      </c>
      <c r="D5" s="93"/>
      <c r="E5" s="26"/>
      <c r="F5" s="26"/>
      <c r="G5" s="26"/>
      <c r="H5" s="26"/>
      <c r="I5" s="26"/>
      <c r="J5" s="33"/>
      <c r="K5" s="33"/>
      <c r="L5" s="33"/>
    </row>
    <row r="6" spans="1:12" ht="12.75">
      <c r="A6" s="26"/>
      <c r="B6" s="26"/>
      <c r="C6" s="26"/>
      <c r="D6" s="26"/>
      <c r="E6" s="26"/>
      <c r="F6" s="26"/>
      <c r="G6" s="26"/>
      <c r="H6" s="26"/>
      <c r="I6" s="26"/>
      <c r="J6" s="33"/>
      <c r="K6" s="33"/>
      <c r="L6" s="33"/>
    </row>
    <row r="7" spans="1:12" ht="13.5" thickBot="1">
      <c r="A7" s="26"/>
      <c r="B7" s="26"/>
      <c r="C7" s="27" t="s">
        <v>28</v>
      </c>
      <c r="D7" s="27" t="s">
        <v>29</v>
      </c>
      <c r="E7" s="27" t="s">
        <v>4</v>
      </c>
      <c r="F7" s="26"/>
      <c r="G7" s="26"/>
      <c r="H7" s="26"/>
      <c r="I7" s="26"/>
      <c r="J7" s="33">
        <f>C10/D10</f>
        <v>0.2714285714285714</v>
      </c>
      <c r="K7" s="34">
        <f>1/J7</f>
        <v>3.68421052631579</v>
      </c>
      <c r="L7" s="33"/>
    </row>
    <row r="8" spans="1:12" ht="12.75">
      <c r="A8" s="26"/>
      <c r="B8" s="28" t="s">
        <v>2</v>
      </c>
      <c r="C8" s="46">
        <v>3</v>
      </c>
      <c r="D8" s="47">
        <v>19</v>
      </c>
      <c r="E8" s="26">
        <f>SUM(C8:D8)</f>
        <v>22</v>
      </c>
      <c r="F8" s="26"/>
      <c r="G8" s="26"/>
      <c r="H8" s="26"/>
      <c r="I8" s="26"/>
      <c r="J8" s="33">
        <f>INT(J7)</f>
        <v>0</v>
      </c>
      <c r="K8" s="33">
        <f>INT(K7)</f>
        <v>3</v>
      </c>
      <c r="L8" s="33"/>
    </row>
    <row r="9" spans="1:12" ht="13.5" thickBot="1">
      <c r="A9" s="26"/>
      <c r="B9" s="28" t="s">
        <v>3</v>
      </c>
      <c r="C9" s="48">
        <v>16</v>
      </c>
      <c r="D9" s="49">
        <v>51</v>
      </c>
      <c r="E9" s="26">
        <f>SUM(C9:D9)</f>
        <v>67</v>
      </c>
      <c r="F9" s="26"/>
      <c r="G9" s="26"/>
      <c r="H9" s="26"/>
      <c r="I9" s="26"/>
      <c r="J9" s="35" t="str">
        <f>IF(J7=J8,IF(J7&gt;=1,CONCATENATE(J7," : 1"),"erro"),IF(1/J7=K8,IF(K7&gt;=1,CONCATENATE("1 : ",K8),"erro"),CONCATENATE("1 : ",ROUND(K7,2))))</f>
        <v>1 : 3,68</v>
      </c>
      <c r="K9" s="33"/>
      <c r="L9" s="33"/>
    </row>
    <row r="10" spans="1:12" ht="12.75">
      <c r="A10" s="26"/>
      <c r="B10" s="28" t="s">
        <v>4</v>
      </c>
      <c r="C10" s="26">
        <f>SUM(C8:C9)</f>
        <v>19</v>
      </c>
      <c r="D10" s="26">
        <f>SUM(D8:D9)</f>
        <v>70</v>
      </c>
      <c r="E10" s="26">
        <f>SUM(C10:D10)</f>
        <v>89</v>
      </c>
      <c r="F10" s="26"/>
      <c r="G10" s="26"/>
      <c r="H10" s="26"/>
      <c r="I10" s="26"/>
      <c r="J10" s="35" t="str">
        <f>IF(J7&gt;=1,CONCATENATE(ROUND(J7,2)," : 1"),CONCATENATE("1 : ",ROUND(K7,2)))</f>
        <v>1 : 3,68</v>
      </c>
      <c r="K10" s="33"/>
      <c r="L10" s="33"/>
    </row>
    <row r="11" spans="1:12" ht="12.75">
      <c r="A11" s="26"/>
      <c r="B11" s="26"/>
      <c r="C11" s="26"/>
      <c r="D11" s="26"/>
      <c r="E11" s="26"/>
      <c r="F11" s="26"/>
      <c r="G11" s="26"/>
      <c r="H11" s="26"/>
      <c r="I11" s="26"/>
      <c r="J11" s="33"/>
      <c r="K11" s="33"/>
      <c r="L11" s="33"/>
    </row>
    <row r="12" spans="1:12" ht="12.75">
      <c r="A12" s="26"/>
      <c r="B12" s="26"/>
      <c r="C12" s="26"/>
      <c r="D12" s="26"/>
      <c r="E12" s="26"/>
      <c r="F12" s="26"/>
      <c r="G12" s="26"/>
      <c r="H12" s="26"/>
      <c r="I12" s="26"/>
      <c r="J12" s="33"/>
      <c r="K12" s="33"/>
      <c r="L12" s="33"/>
    </row>
    <row r="13" spans="1:12" ht="13.5" thickBot="1">
      <c r="A13" s="26"/>
      <c r="B13" s="26"/>
      <c r="C13" s="52" t="s">
        <v>37</v>
      </c>
      <c r="D13" s="89" t="str">
        <f>CONCATENATE("IC ",100*D25,"%")</f>
        <v>IC 95%</v>
      </c>
      <c r="E13" s="89"/>
      <c r="F13" s="26"/>
      <c r="G13" s="26"/>
      <c r="H13" s="26"/>
      <c r="I13" s="26"/>
      <c r="J13" s="33"/>
      <c r="K13" s="33"/>
      <c r="L13" s="33"/>
    </row>
    <row r="14" spans="1:12" ht="12.75">
      <c r="A14" s="26"/>
      <c r="B14" s="28" t="s">
        <v>2</v>
      </c>
      <c r="C14" s="6">
        <f>C8/E8</f>
        <v>0.13636363636363635</v>
      </c>
      <c r="D14" s="94" t="str">
        <f>CONCATENATE("( ",ROUND(100*J14,1),"% ; ",ROUND(100*K14,1),"% )")</f>
        <v>( 3,6% ; 36% )</v>
      </c>
      <c r="E14" s="95"/>
      <c r="F14" s="26"/>
      <c r="G14" s="31" t="s">
        <v>22</v>
      </c>
      <c r="H14" s="26"/>
      <c r="I14" s="26"/>
      <c r="J14" s="41">
        <f>((2*E8*C14+J25*J25-1)-J25*SQRT(J25*J25-(2+(1/E8))+4*C14*(E8*(1-C14)+1)))/(2*(E8+J25*J25))</f>
        <v>0.03589817751692028</v>
      </c>
      <c r="K14" s="41">
        <f>((2*E8*C14+J25*J25+1)+J25*SQRT(J25*J25+(2-(1/E8))+4*C14*(E8*(1-C14)-1)))/(2*(E8+J25*J25))</f>
        <v>0.3596200862189487</v>
      </c>
      <c r="L14" s="33"/>
    </row>
    <row r="15" spans="1:12" ht="13.5" thickBot="1">
      <c r="A15" s="26"/>
      <c r="B15" s="28" t="s">
        <v>3</v>
      </c>
      <c r="C15" s="8">
        <f>C9/E9</f>
        <v>0.23880597014925373</v>
      </c>
      <c r="D15" s="96" t="str">
        <f>CONCATENATE("( ",ROUND(100*J15,1),"% ; ",ROUND(100*K15,1),"% )")</f>
        <v>( 14,7% ; 36,1% )</v>
      </c>
      <c r="E15" s="97"/>
      <c r="F15" s="26"/>
      <c r="G15" s="31" t="s">
        <v>23</v>
      </c>
      <c r="H15" s="26"/>
      <c r="I15" s="26"/>
      <c r="J15" s="41">
        <f>((2*E9*C15+J25*J25-1)-J25*SQRT(J25*J25-(2+(1/E9))+4*C15*(E9*(1-C15)+1)))/(2*(E9+J25*J25))</f>
        <v>0.1466395576829747</v>
      </c>
      <c r="K15" s="41">
        <f>((2*E9*C15+J25*J25+1)+J25*SQRT(J25*J25+(2-(1/E9))+4*C15*(E9*(1-C15)-1)))/(2*(E9+J25*J25))</f>
        <v>0.36129343784244483</v>
      </c>
      <c r="L15" s="33"/>
    </row>
    <row r="16" spans="1:12" ht="12.75">
      <c r="A16" s="26"/>
      <c r="B16" s="28" t="s">
        <v>4</v>
      </c>
      <c r="C16" s="40">
        <f>C10/E10</f>
        <v>0.21348314606741572</v>
      </c>
      <c r="D16" s="87" t="str">
        <f>CONCATENATE("( ",ROUND(100*J16,1),"% ; ",ROUND(100*K16,1),"% )")</f>
        <v>( 13,7% ; 31,6% )</v>
      </c>
      <c r="E16" s="88"/>
      <c r="F16" s="26"/>
      <c r="G16" s="32" t="s">
        <v>25</v>
      </c>
      <c r="H16" s="26"/>
      <c r="I16" s="26"/>
      <c r="J16" s="41">
        <f>((2*E10*C16+J25*J25-1)-J25*SQRT(J25*J25-(2+(1/E10))+4*C16*(E10*(1-C16)+1)))/(2*(E10+J25*J25))</f>
        <v>0.13653174121306869</v>
      </c>
      <c r="K16" s="41">
        <f>((2*E10*C16+J25*J25+1)+J25*SQRT(J25*J25+(2-(1/E10))+4*C16*(E10*(1-C16)-1)))/(2*(E10+J25*J25))</f>
        <v>0.3156616047714049</v>
      </c>
      <c r="L16" s="33"/>
    </row>
    <row r="17" spans="1:12" ht="13.5" thickBot="1">
      <c r="A17" s="26"/>
      <c r="B17" s="26"/>
      <c r="C17" s="26"/>
      <c r="D17" s="26"/>
      <c r="E17" s="26"/>
      <c r="F17" s="26"/>
      <c r="G17" s="26"/>
      <c r="H17" s="26"/>
      <c r="I17" s="26"/>
      <c r="J17" s="33"/>
      <c r="K17" s="33"/>
      <c r="L17" s="33"/>
    </row>
    <row r="18" spans="1:12" ht="12.75">
      <c r="A18" s="26"/>
      <c r="B18" s="1" t="s">
        <v>34</v>
      </c>
      <c r="C18" s="21">
        <f>C14/C15</f>
        <v>0.5710227272727273</v>
      </c>
      <c r="D18" s="26"/>
      <c r="E18" s="42"/>
      <c r="F18" s="42"/>
      <c r="G18" s="42"/>
      <c r="H18" s="42"/>
      <c r="I18" s="42"/>
      <c r="J18" s="33"/>
      <c r="K18" s="33"/>
      <c r="L18" s="33"/>
    </row>
    <row r="19" spans="1:12" ht="13.5" thickBot="1">
      <c r="A19" s="26"/>
      <c r="B19" s="3" t="s">
        <v>35</v>
      </c>
      <c r="C19" s="15">
        <f>1/C18</f>
        <v>1.7512437810945274</v>
      </c>
      <c r="D19" s="26"/>
      <c r="E19" s="42"/>
      <c r="F19" s="42"/>
      <c r="G19" s="42"/>
      <c r="H19" s="42"/>
      <c r="I19" s="42"/>
      <c r="J19" s="33"/>
      <c r="K19" s="33"/>
      <c r="L19" s="33"/>
    </row>
    <row r="20" spans="1:12" ht="13.5" thickBot="1">
      <c r="A20" s="26"/>
      <c r="B20" s="26"/>
      <c r="C20" s="26"/>
      <c r="D20" s="26"/>
      <c r="E20" s="26"/>
      <c r="F20" s="26"/>
      <c r="G20" s="26"/>
      <c r="H20" s="26"/>
      <c r="I20" s="26"/>
      <c r="J20" s="33"/>
      <c r="K20" s="33"/>
      <c r="L20" s="33"/>
    </row>
    <row r="21" spans="1:12" ht="12.75">
      <c r="A21" s="26"/>
      <c r="B21" s="1" t="s">
        <v>36</v>
      </c>
      <c r="C21" s="22"/>
      <c r="D21" s="22"/>
      <c r="E21" s="22"/>
      <c r="F21" s="21">
        <f>LN(C18)</f>
        <v>-0.5603262675390213</v>
      </c>
      <c r="G21" s="26"/>
      <c r="H21" s="26"/>
      <c r="I21" s="26"/>
      <c r="J21" s="33"/>
      <c r="K21" s="33"/>
      <c r="L21" s="33"/>
    </row>
    <row r="22" spans="1:12" ht="12.75">
      <c r="A22" s="26"/>
      <c r="B22" s="2" t="s">
        <v>19</v>
      </c>
      <c r="C22" s="16"/>
      <c r="D22" s="16"/>
      <c r="E22" s="16"/>
      <c r="F22" s="23">
        <f>SQRT(1/C8-1/E8+1/C9-1/E9)</f>
        <v>0.579183403374492</v>
      </c>
      <c r="G22" s="26"/>
      <c r="H22" s="26"/>
      <c r="I22" s="26"/>
      <c r="J22" s="33">
        <f>EXP(F21-J25*F22)</f>
        <v>0.18350655710267783</v>
      </c>
      <c r="K22" s="33"/>
      <c r="L22" s="33"/>
    </row>
    <row r="23" spans="1:12" ht="12.75">
      <c r="A23" s="26"/>
      <c r="B23" s="2" t="s">
        <v>20</v>
      </c>
      <c r="C23" s="16"/>
      <c r="D23" s="16"/>
      <c r="E23" s="16"/>
      <c r="F23" s="50">
        <v>0.95</v>
      </c>
      <c r="G23" s="26"/>
      <c r="H23" s="26"/>
      <c r="I23" s="26"/>
      <c r="J23" s="33">
        <f>EXP(F21+J25*F22)</f>
        <v>1.776868141444878</v>
      </c>
      <c r="K23" s="33"/>
      <c r="L23" s="33"/>
    </row>
    <row r="24" spans="1:12" ht="12.75">
      <c r="A24" s="26"/>
      <c r="B24" s="2" t="s">
        <v>48</v>
      </c>
      <c r="C24" s="16"/>
      <c r="D24" s="16"/>
      <c r="E24" s="16"/>
      <c r="F24" s="37">
        <f>C18</f>
        <v>0.5710227272727273</v>
      </c>
      <c r="G24" s="26"/>
      <c r="H24" s="26"/>
      <c r="I24" s="26"/>
      <c r="J24" s="33"/>
      <c r="K24" s="33"/>
      <c r="L24" s="33"/>
    </row>
    <row r="25" spans="1:12" ht="13.5" thickBot="1">
      <c r="A25" s="26"/>
      <c r="B25" s="3" t="s">
        <v>21</v>
      </c>
      <c r="C25" s="24"/>
      <c r="D25" s="25">
        <f>F23</f>
        <v>0.95</v>
      </c>
      <c r="E25" s="25"/>
      <c r="F25" s="17" t="str">
        <f>CONCATENATE("( ",ROUND(J22,2)," ; ",ROUND(J23,2)," )")</f>
        <v>( 0,18 ; 1,78 )</v>
      </c>
      <c r="G25" s="26"/>
      <c r="H25" s="26"/>
      <c r="I25" s="26"/>
      <c r="J25" s="33">
        <f>NORMSINV((1+F23)/2)</f>
        <v>1.959963984540054</v>
      </c>
      <c r="K25" s="33"/>
      <c r="L25" s="33"/>
    </row>
    <row r="26" spans="1:12" ht="13.5" thickBot="1">
      <c r="A26" s="26"/>
      <c r="B26" s="26"/>
      <c r="C26" s="26"/>
      <c r="D26" s="26"/>
      <c r="E26" s="26"/>
      <c r="F26" s="26"/>
      <c r="G26" s="26"/>
      <c r="H26" s="26"/>
      <c r="I26" s="26"/>
      <c r="J26" s="33"/>
      <c r="K26" s="33"/>
      <c r="L26" s="33"/>
    </row>
    <row r="27" spans="1:11" ht="12.75">
      <c r="A27" s="26"/>
      <c r="B27" s="10" t="s">
        <v>26</v>
      </c>
      <c r="C27" s="38"/>
      <c r="D27" s="38"/>
      <c r="E27" s="38"/>
      <c r="F27" s="4"/>
      <c r="G27" s="26"/>
      <c r="H27" s="26"/>
      <c r="I27" s="26"/>
      <c r="J27" s="33"/>
      <c r="K27" s="33"/>
    </row>
    <row r="28" spans="1:11" ht="13.5" thickBot="1">
      <c r="A28" s="26"/>
      <c r="B28" s="12" t="s">
        <v>27</v>
      </c>
      <c r="C28" s="39"/>
      <c r="D28" s="39"/>
      <c r="E28" s="39"/>
      <c r="F28" s="5"/>
      <c r="G28" s="26"/>
      <c r="H28" s="26"/>
      <c r="I28" s="26"/>
      <c r="J28" s="33"/>
      <c r="K28" s="33"/>
    </row>
    <row r="29" spans="1:9" ht="12.7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</sheetData>
  <sheetProtection password="EA44" sheet="1" objects="1" scenarios="1" selectLockedCells="1"/>
  <mergeCells count="6">
    <mergeCell ref="D16:E16"/>
    <mergeCell ref="D13:E13"/>
    <mergeCell ref="C4:D4"/>
    <mergeCell ref="C5:D5"/>
    <mergeCell ref="D14:E14"/>
    <mergeCell ref="D15:E15"/>
  </mergeCells>
  <printOptions/>
  <pageMargins left="0.47" right="0.49" top="0.984251969" bottom="0.984251969" header="0.492125985" footer="0.49212598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8515625" style="0" customWidth="1"/>
  </cols>
  <sheetData>
    <row r="1" spans="1:9" ht="13.5" thickBot="1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6"/>
      <c r="B2" s="43" t="s">
        <v>65</v>
      </c>
      <c r="C2" s="44"/>
      <c r="D2" s="44"/>
      <c r="E2" s="44"/>
      <c r="F2" s="44"/>
      <c r="G2" s="45"/>
      <c r="H2" s="26"/>
      <c r="I2" s="26"/>
    </row>
    <row r="3" spans="1:9" ht="13.5" thickBo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>
      <c r="A4" s="26"/>
      <c r="B4" s="43" t="s">
        <v>66</v>
      </c>
      <c r="C4" s="44"/>
      <c r="D4" s="44"/>
      <c r="E4" s="44"/>
      <c r="F4" s="45"/>
      <c r="G4" s="26"/>
      <c r="H4" s="26"/>
      <c r="I4" s="26"/>
    </row>
    <row r="5" spans="1:9" ht="13.5" thickBot="1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6"/>
      <c r="B6" s="1" t="s">
        <v>67</v>
      </c>
      <c r="C6" s="77"/>
      <c r="D6" s="77"/>
      <c r="E6" s="77"/>
      <c r="F6" s="47">
        <v>0.5</v>
      </c>
      <c r="G6" s="26"/>
      <c r="H6" s="26"/>
      <c r="I6" s="26"/>
    </row>
    <row r="7" spans="1:9" ht="12.75">
      <c r="A7" s="26"/>
      <c r="B7" s="2" t="s">
        <v>72</v>
      </c>
      <c r="C7" s="60"/>
      <c r="D7" s="60"/>
      <c r="E7" s="60"/>
      <c r="F7" s="51">
        <v>0.05</v>
      </c>
      <c r="G7" s="26"/>
      <c r="H7" s="26"/>
      <c r="I7" s="26"/>
    </row>
    <row r="8" spans="1:9" ht="13.5" thickBot="1">
      <c r="A8" s="26"/>
      <c r="B8" s="3" t="s">
        <v>68</v>
      </c>
      <c r="C8" s="24"/>
      <c r="D8" s="24"/>
      <c r="E8" s="24"/>
      <c r="F8" s="86">
        <v>0.95</v>
      </c>
      <c r="G8" s="26"/>
      <c r="H8" s="26"/>
      <c r="I8" s="26"/>
    </row>
    <row r="9" spans="1:9" ht="13.5" thickBot="1">
      <c r="A9" s="26"/>
      <c r="B9" s="26"/>
      <c r="C9" s="26"/>
      <c r="D9" s="26"/>
      <c r="E9" s="26"/>
      <c r="F9" s="26"/>
      <c r="G9" s="26"/>
      <c r="H9" s="26"/>
      <c r="I9" s="26"/>
    </row>
    <row r="10" spans="1:9" ht="13.5" thickBot="1">
      <c r="A10" s="26"/>
      <c r="B10" s="78" t="s">
        <v>69</v>
      </c>
      <c r="C10" s="53">
        <f>ROUNDUP(NORMSINV((1+F8)/2)^2*F6*(1-F6)/(F7*F7),0)</f>
        <v>385</v>
      </c>
      <c r="D10" s="26"/>
      <c r="E10" s="26"/>
      <c r="F10" s="26"/>
      <c r="G10" s="26"/>
      <c r="H10" s="26"/>
      <c r="I10" s="26"/>
    </row>
    <row r="11" spans="1:9" ht="12.7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3.5" thickBo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3.5" thickBot="1">
      <c r="A14" s="26"/>
      <c r="B14" s="43" t="s">
        <v>70</v>
      </c>
      <c r="C14" s="44"/>
      <c r="D14" s="44"/>
      <c r="E14" s="44"/>
      <c r="F14" s="45"/>
      <c r="G14" s="26"/>
      <c r="H14" s="26"/>
      <c r="I14" s="26"/>
    </row>
    <row r="15" spans="1:9" ht="13.5" thickBo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26"/>
      <c r="B16" s="1" t="s">
        <v>67</v>
      </c>
      <c r="C16" s="77"/>
      <c r="D16" s="77"/>
      <c r="E16" s="77"/>
      <c r="F16" s="47">
        <v>0.5</v>
      </c>
      <c r="G16" s="26"/>
      <c r="H16" s="26"/>
      <c r="I16" s="26"/>
    </row>
    <row r="17" spans="1:9" ht="12.75">
      <c r="A17" s="26"/>
      <c r="B17" s="2" t="s">
        <v>72</v>
      </c>
      <c r="C17" s="60"/>
      <c r="D17" s="60"/>
      <c r="E17" s="60"/>
      <c r="F17" s="51">
        <v>0.05</v>
      </c>
      <c r="G17" s="26"/>
      <c r="H17" s="26"/>
      <c r="I17" s="26"/>
    </row>
    <row r="18" spans="1:9" ht="12.75">
      <c r="A18" s="26"/>
      <c r="B18" s="2" t="s">
        <v>71</v>
      </c>
      <c r="C18" s="60"/>
      <c r="D18" s="60"/>
      <c r="E18" s="60"/>
      <c r="F18" s="51">
        <v>200</v>
      </c>
      <c r="G18" s="26"/>
      <c r="H18" s="26"/>
      <c r="I18" s="26"/>
    </row>
    <row r="19" spans="1:9" ht="13.5" thickBot="1">
      <c r="A19" s="26"/>
      <c r="B19" s="3" t="s">
        <v>68</v>
      </c>
      <c r="C19" s="24"/>
      <c r="D19" s="24"/>
      <c r="E19" s="24"/>
      <c r="F19" s="86">
        <v>0.95</v>
      </c>
      <c r="G19" s="26"/>
      <c r="H19" s="26"/>
      <c r="I19" s="26"/>
    </row>
    <row r="20" spans="1:9" ht="13.5" thickBot="1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 thickBot="1">
      <c r="A21" s="26"/>
      <c r="B21" s="78" t="s">
        <v>69</v>
      </c>
      <c r="C21" s="53">
        <f>ROUNDUP(NORMSINV((1+F19)/2)^2*F18*F16*(1-F16)/(F17*F17*(F18-1)+NORMSINV((1+F19)/2)^2*F16*(1-F16)),0)</f>
        <v>132</v>
      </c>
      <c r="D21" s="26"/>
      <c r="E21" s="26"/>
      <c r="F21" s="26"/>
      <c r="G21" s="26"/>
      <c r="H21" s="26"/>
      <c r="I21" s="26"/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</sheetData>
  <sheetProtection password="EA44" sheet="1" objects="1" scenarios="1" selectLockedCells="1"/>
  <printOptions/>
  <pageMargins left="0.787401575" right="0.787401575" top="0.984251969" bottom="0.984251969" header="0.492125985" footer="0.492125985"/>
  <pageSetup horizontalDpi="200" verticalDpi="200" orientation="portrait" r:id="rId4"/>
  <legacyDrawing r:id="rId3"/>
  <oleObjects>
    <oleObject progId="Equation.3" shapeId="2935018" r:id="rId1"/>
    <oleObject progId="Equation.3" shapeId="294878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8515625" style="0" customWidth="1"/>
  </cols>
  <sheetData>
    <row r="1" spans="1:9" ht="13.5" thickBot="1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6"/>
      <c r="B2" s="43" t="s">
        <v>73</v>
      </c>
      <c r="C2" s="44"/>
      <c r="D2" s="44"/>
      <c r="E2" s="44"/>
      <c r="F2" s="44"/>
      <c r="G2" s="45"/>
      <c r="H2" s="26"/>
      <c r="I2" s="26"/>
    </row>
    <row r="3" spans="1:9" ht="13.5" thickBo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>
      <c r="A4" s="26"/>
      <c r="B4" s="43" t="s">
        <v>66</v>
      </c>
      <c r="C4" s="44"/>
      <c r="D4" s="44"/>
      <c r="E4" s="44"/>
      <c r="F4" s="45"/>
      <c r="G4" s="26"/>
      <c r="H4" s="26"/>
      <c r="I4" s="26"/>
    </row>
    <row r="5" spans="1:9" ht="13.5" thickBot="1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6"/>
      <c r="B6" s="1" t="s">
        <v>74</v>
      </c>
      <c r="C6" s="77"/>
      <c r="D6" s="77"/>
      <c r="E6" s="77"/>
      <c r="F6" s="47">
        <v>40</v>
      </c>
      <c r="G6" s="26"/>
      <c r="H6" s="26"/>
      <c r="I6" s="26"/>
    </row>
    <row r="7" spans="1:9" ht="12.75">
      <c r="A7" s="26"/>
      <c r="B7" s="2" t="s">
        <v>72</v>
      </c>
      <c r="C7" s="60"/>
      <c r="D7" s="60"/>
      <c r="E7" s="60"/>
      <c r="F7" s="51">
        <v>23</v>
      </c>
      <c r="G7" s="26"/>
      <c r="H7" s="26"/>
      <c r="I7" s="26"/>
    </row>
    <row r="8" spans="1:9" ht="13.5" thickBot="1">
      <c r="A8" s="26"/>
      <c r="B8" s="3" t="s">
        <v>68</v>
      </c>
      <c r="C8" s="24"/>
      <c r="D8" s="24"/>
      <c r="E8" s="24"/>
      <c r="F8" s="86">
        <v>0.95</v>
      </c>
      <c r="G8" s="26"/>
      <c r="H8" s="26"/>
      <c r="I8" s="26"/>
    </row>
    <row r="9" spans="1:9" ht="13.5" thickBot="1">
      <c r="A9" s="26"/>
      <c r="B9" s="26"/>
      <c r="C9" s="26"/>
      <c r="D9" s="26"/>
      <c r="E9" s="26"/>
      <c r="F9" s="26"/>
      <c r="G9" s="26"/>
      <c r="H9" s="26"/>
      <c r="I9" s="26"/>
    </row>
    <row r="10" spans="1:9" ht="13.5" thickBot="1">
      <c r="A10" s="26"/>
      <c r="B10" s="78" t="s">
        <v>69</v>
      </c>
      <c r="C10" s="53">
        <f>ROUNDUP((NORMSINV((1+F8)/2)^2*F6*F6)/(F7*F7),0)</f>
        <v>12</v>
      </c>
      <c r="D10" s="26"/>
      <c r="E10" s="26"/>
      <c r="F10" s="26"/>
      <c r="G10" s="26"/>
      <c r="H10" s="26"/>
      <c r="I10" s="26"/>
    </row>
    <row r="11" spans="1:9" ht="12.7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3.5" thickBo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3.5" thickBot="1">
      <c r="A14" s="26"/>
      <c r="B14" s="43" t="s">
        <v>70</v>
      </c>
      <c r="C14" s="44"/>
      <c r="D14" s="44"/>
      <c r="E14" s="44"/>
      <c r="F14" s="45"/>
      <c r="G14" s="26"/>
      <c r="H14" s="26"/>
      <c r="I14" s="26"/>
    </row>
    <row r="15" spans="1:9" ht="13.5" thickBo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26"/>
      <c r="B16" s="1" t="s">
        <v>74</v>
      </c>
      <c r="C16" s="77"/>
      <c r="D16" s="77"/>
      <c r="E16" s="77"/>
      <c r="F16" s="47">
        <v>40</v>
      </c>
      <c r="G16" s="26"/>
      <c r="H16" s="26"/>
      <c r="I16" s="26"/>
    </row>
    <row r="17" spans="1:9" ht="12.75">
      <c r="A17" s="26"/>
      <c r="B17" s="2" t="s">
        <v>72</v>
      </c>
      <c r="C17" s="60"/>
      <c r="D17" s="60"/>
      <c r="E17" s="60"/>
      <c r="F17" s="51">
        <v>10</v>
      </c>
      <c r="G17" s="26"/>
      <c r="H17" s="26"/>
      <c r="I17" s="26"/>
    </row>
    <row r="18" spans="1:9" ht="12.75">
      <c r="A18" s="26"/>
      <c r="B18" s="2" t="s">
        <v>71</v>
      </c>
      <c r="C18" s="60"/>
      <c r="D18" s="60"/>
      <c r="E18" s="60"/>
      <c r="F18" s="51">
        <v>100</v>
      </c>
      <c r="G18" s="26"/>
      <c r="H18" s="26"/>
      <c r="I18" s="26"/>
    </row>
    <row r="19" spans="1:9" ht="13.5" thickBot="1">
      <c r="A19" s="26"/>
      <c r="B19" s="3" t="s">
        <v>68</v>
      </c>
      <c r="C19" s="24"/>
      <c r="D19" s="24"/>
      <c r="E19" s="24"/>
      <c r="F19" s="86">
        <v>0.95</v>
      </c>
      <c r="G19" s="26"/>
      <c r="H19" s="26"/>
      <c r="I19" s="26"/>
    </row>
    <row r="20" spans="1:9" ht="13.5" thickBot="1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 thickBot="1">
      <c r="A21" s="26"/>
      <c r="B21" s="78" t="s">
        <v>69</v>
      </c>
      <c r="C21" s="53">
        <f>ROUNDUP(NORMSINV((1+F19)/2)^2*F18*F16*F16/(F17*F17*(F18-1)+NORMSINV((1+F19)/2)^2*F16*F16),0)</f>
        <v>39</v>
      </c>
      <c r="D21" s="26"/>
      <c r="E21" s="26"/>
      <c r="F21" s="26"/>
      <c r="G21" s="26"/>
      <c r="H21" s="26"/>
      <c r="I21" s="26"/>
    </row>
    <row r="22" spans="1:9" ht="12.7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</sheetData>
  <sheetProtection password="EA44" sheet="1" objects="1" scenarios="1" selectLockedCells="1"/>
  <printOptions/>
  <pageMargins left="0.787401575" right="0.787401575" top="0.984251969" bottom="0.984251969" header="0.492125985" footer="0.492125985"/>
  <pageSetup horizontalDpi="200" verticalDpi="200" orientation="portrait" r:id="rId4"/>
  <legacyDrawing r:id="rId3"/>
  <oleObjects>
    <oleObject progId="Equation.3" shapeId="3030228" r:id="rId1"/>
    <oleObject progId="Equation.3" shapeId="30302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140625" style="0" customWidth="1"/>
    <col min="2" max="2" width="10.00390625" style="0" customWidth="1"/>
    <col min="6" max="7" width="10.8515625" style="0" customWidth="1"/>
    <col min="9" max="9" width="6.28125" style="0" customWidth="1"/>
  </cols>
  <sheetData>
    <row r="1" spans="1:9" ht="13.5" thickBot="1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6"/>
      <c r="B2" s="43" t="s">
        <v>54</v>
      </c>
      <c r="C2" s="44"/>
      <c r="D2" s="44"/>
      <c r="E2" s="44"/>
      <c r="F2" s="44"/>
      <c r="G2" s="45"/>
      <c r="H2" s="26"/>
      <c r="I2" s="26"/>
    </row>
    <row r="3" spans="1:9" ht="13.5" thickBot="1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>
      <c r="A4" s="26"/>
      <c r="B4" s="43" t="s">
        <v>53</v>
      </c>
      <c r="C4" s="44"/>
      <c r="D4" s="44"/>
      <c r="E4" s="44"/>
      <c r="F4" s="45"/>
      <c r="G4" s="26"/>
      <c r="H4" s="26"/>
      <c r="I4" s="26"/>
    </row>
    <row r="5" spans="1:9" ht="8.25" customHeight="1" thickBot="1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6"/>
      <c r="B6" s="1" t="s">
        <v>55</v>
      </c>
      <c r="C6" s="22"/>
      <c r="D6" s="22"/>
      <c r="E6" s="22"/>
      <c r="F6" s="47">
        <v>9.4</v>
      </c>
      <c r="G6" s="26"/>
      <c r="H6" s="26"/>
      <c r="I6" s="26"/>
    </row>
    <row r="7" spans="1:9" ht="12.75">
      <c r="A7" s="26"/>
      <c r="B7" s="2" t="s">
        <v>56</v>
      </c>
      <c r="C7" s="16"/>
      <c r="D7" s="16"/>
      <c r="E7" s="16"/>
      <c r="F7" s="51">
        <v>10.1</v>
      </c>
      <c r="G7" s="26"/>
      <c r="H7" s="26"/>
      <c r="I7" s="26"/>
    </row>
    <row r="8" spans="1:9" ht="13.5" thickBot="1">
      <c r="A8" s="26"/>
      <c r="B8" s="3" t="s">
        <v>57</v>
      </c>
      <c r="C8" s="54"/>
      <c r="D8" s="54"/>
      <c r="E8" s="54"/>
      <c r="F8" s="55">
        <f>ABS(F6-F7)</f>
        <v>0.6999999999999993</v>
      </c>
      <c r="G8" s="26"/>
      <c r="H8" s="26"/>
      <c r="I8" s="26"/>
    </row>
    <row r="9" spans="1:9" ht="8.25" customHeight="1" thickBot="1">
      <c r="A9" s="26"/>
      <c r="B9" s="26"/>
      <c r="C9" s="26"/>
      <c r="D9" s="26"/>
      <c r="E9" s="26"/>
      <c r="F9" s="26"/>
      <c r="G9" s="26"/>
      <c r="H9" s="26"/>
      <c r="I9" s="26"/>
    </row>
    <row r="10" spans="1:9" ht="13.5" thickBot="1">
      <c r="A10" s="26"/>
      <c r="B10" s="67" t="s">
        <v>61</v>
      </c>
      <c r="C10" s="68"/>
      <c r="D10" s="68"/>
      <c r="E10" s="68"/>
      <c r="F10" s="76">
        <v>1.6</v>
      </c>
      <c r="G10" s="59">
        <f>IF(F10&lt;=0,"A variância deve ser maior que zero","")</f>
      </c>
      <c r="H10" s="26"/>
      <c r="I10" s="26"/>
    </row>
    <row r="11" spans="1:9" ht="7.5" customHeight="1" thickBo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3.5" thickBot="1">
      <c r="A12" s="26"/>
      <c r="B12" s="67" t="s">
        <v>58</v>
      </c>
      <c r="C12" s="68"/>
      <c r="D12" s="68"/>
      <c r="E12" s="68"/>
      <c r="F12" s="76">
        <v>1</v>
      </c>
      <c r="G12" s="59">
        <f>IF(F12=0,"Erro!","")</f>
      </c>
      <c r="H12" s="26"/>
      <c r="I12" s="26"/>
    </row>
    <row r="13" spans="1:9" ht="13.5" thickBo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3.5" thickBot="1">
      <c r="A14" s="26"/>
      <c r="B14" s="70" t="s">
        <v>59</v>
      </c>
      <c r="C14" s="26"/>
      <c r="D14" s="26"/>
      <c r="E14" s="26"/>
      <c r="F14" s="26"/>
      <c r="G14" s="26"/>
      <c r="H14" s="26"/>
      <c r="I14" s="26"/>
    </row>
    <row r="15" spans="1:9" ht="13.5" thickBot="1">
      <c r="A15" s="26"/>
      <c r="B15" s="61"/>
      <c r="C15" s="39"/>
      <c r="D15" s="39"/>
      <c r="E15" s="62" t="s">
        <v>47</v>
      </c>
      <c r="F15" s="39"/>
      <c r="G15" s="39"/>
      <c r="H15" s="39"/>
      <c r="I15" s="26"/>
    </row>
    <row r="16" spans="1:9" ht="13.5" thickBot="1">
      <c r="A16" s="26"/>
      <c r="B16" s="66" t="s">
        <v>44</v>
      </c>
      <c r="C16" s="39">
        <v>0.001</v>
      </c>
      <c r="D16" s="64">
        <v>0.01</v>
      </c>
      <c r="E16" s="64">
        <v>0.02</v>
      </c>
      <c r="F16" s="64">
        <v>0.05</v>
      </c>
      <c r="G16" s="64">
        <v>0.1</v>
      </c>
      <c r="H16" s="71">
        <v>0.15</v>
      </c>
      <c r="I16" s="26"/>
    </row>
    <row r="17" spans="1:9" ht="12.75">
      <c r="A17" s="26"/>
      <c r="B17" s="61">
        <v>0.001</v>
      </c>
      <c r="C17" s="61">
        <f aca="true" t="shared" si="0" ref="C17:H17">ROUNDUP(C43*($F$12+1)/2,0)</f>
        <v>429</v>
      </c>
      <c r="D17" s="61">
        <f t="shared" si="0"/>
        <v>338</v>
      </c>
      <c r="E17" s="61">
        <f t="shared" si="0"/>
        <v>308</v>
      </c>
      <c r="F17" s="61">
        <f t="shared" si="0"/>
        <v>268</v>
      </c>
      <c r="G17" s="61">
        <f t="shared" si="0"/>
        <v>235</v>
      </c>
      <c r="H17" s="61">
        <f t="shared" si="0"/>
        <v>215</v>
      </c>
      <c r="I17" s="26"/>
    </row>
    <row r="18" spans="1:9" ht="12.75">
      <c r="A18" s="26"/>
      <c r="B18" s="63">
        <v>0.01</v>
      </c>
      <c r="C18" s="61">
        <f aca="true" t="shared" si="1" ref="C18:H23">ROUNDUP(C44*($F$12+1)/2,0)</f>
        <v>333</v>
      </c>
      <c r="D18" s="61">
        <f t="shared" si="1"/>
        <v>253</v>
      </c>
      <c r="E18" s="61">
        <f t="shared" si="1"/>
        <v>228</v>
      </c>
      <c r="F18" s="61">
        <f t="shared" si="1"/>
        <v>193</v>
      </c>
      <c r="G18" s="61">
        <f t="shared" si="1"/>
        <v>166</v>
      </c>
      <c r="H18" s="61">
        <f t="shared" si="1"/>
        <v>149</v>
      </c>
      <c r="I18" s="26"/>
    </row>
    <row r="19" spans="1:9" ht="12.75">
      <c r="A19" s="26"/>
      <c r="B19" s="63">
        <v>0.02</v>
      </c>
      <c r="C19" s="61">
        <f t="shared" si="1"/>
        <v>302</v>
      </c>
      <c r="D19" s="61">
        <f t="shared" si="1"/>
        <v>226</v>
      </c>
      <c r="E19" s="61">
        <f t="shared" si="1"/>
        <v>202</v>
      </c>
      <c r="F19" s="61">
        <f t="shared" si="1"/>
        <v>170</v>
      </c>
      <c r="G19" s="61">
        <f t="shared" si="1"/>
        <v>144</v>
      </c>
      <c r="H19" s="61">
        <f t="shared" si="1"/>
        <v>129</v>
      </c>
      <c r="I19" s="26"/>
    </row>
    <row r="20" spans="1:9" ht="12.75">
      <c r="A20" s="26"/>
      <c r="B20" s="63">
        <v>0.05</v>
      </c>
      <c r="C20" s="61">
        <f t="shared" si="1"/>
        <v>258</v>
      </c>
      <c r="D20" s="61">
        <f t="shared" si="1"/>
        <v>188</v>
      </c>
      <c r="E20" s="61">
        <f t="shared" si="1"/>
        <v>167</v>
      </c>
      <c r="F20" s="61">
        <f t="shared" si="1"/>
        <v>137</v>
      </c>
      <c r="G20" s="61">
        <f t="shared" si="1"/>
        <v>114</v>
      </c>
      <c r="H20" s="61">
        <f t="shared" si="1"/>
        <v>100</v>
      </c>
      <c r="I20" s="26"/>
    </row>
    <row r="21" spans="1:9" ht="12.75">
      <c r="A21" s="26"/>
      <c r="B21" s="63">
        <v>0.1</v>
      </c>
      <c r="C21" s="61">
        <f t="shared" si="1"/>
        <v>222</v>
      </c>
      <c r="D21" s="61">
        <f t="shared" si="1"/>
        <v>158</v>
      </c>
      <c r="E21" s="61">
        <f t="shared" si="1"/>
        <v>138</v>
      </c>
      <c r="F21" s="61">
        <f t="shared" si="1"/>
        <v>111</v>
      </c>
      <c r="G21" s="61">
        <f t="shared" si="1"/>
        <v>91</v>
      </c>
      <c r="H21" s="61">
        <f t="shared" si="1"/>
        <v>78</v>
      </c>
      <c r="I21" s="26"/>
    </row>
    <row r="22" spans="1:9" ht="12.75">
      <c r="A22" s="26"/>
      <c r="B22" s="63">
        <v>0.2</v>
      </c>
      <c r="C22" s="61">
        <f t="shared" si="1"/>
        <v>182</v>
      </c>
      <c r="D22" s="61">
        <f t="shared" si="1"/>
        <v>124</v>
      </c>
      <c r="E22" s="61">
        <f t="shared" si="1"/>
        <v>107</v>
      </c>
      <c r="F22" s="61">
        <f t="shared" si="1"/>
        <v>83</v>
      </c>
      <c r="G22" s="61">
        <f t="shared" si="1"/>
        <v>66</v>
      </c>
      <c r="H22" s="61">
        <f t="shared" si="1"/>
        <v>55</v>
      </c>
      <c r="I22" s="26"/>
    </row>
    <row r="23" spans="1:9" ht="12.75">
      <c r="A23" s="26"/>
      <c r="B23" s="72">
        <v>0.25</v>
      </c>
      <c r="C23" s="61">
        <f t="shared" si="1"/>
        <v>167</v>
      </c>
      <c r="D23" s="61">
        <f t="shared" si="1"/>
        <v>113</v>
      </c>
      <c r="E23" s="61">
        <f t="shared" si="1"/>
        <v>96</v>
      </c>
      <c r="F23" s="61">
        <f t="shared" si="1"/>
        <v>74</v>
      </c>
      <c r="G23" s="61">
        <f t="shared" si="1"/>
        <v>57</v>
      </c>
      <c r="H23" s="61">
        <f t="shared" si="1"/>
        <v>48</v>
      </c>
      <c r="I23" s="26"/>
    </row>
    <row r="24" spans="1:9" ht="13.5" thickBot="1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3.5" thickBot="1">
      <c r="A25" s="26"/>
      <c r="B25" s="70" t="s">
        <v>60</v>
      </c>
      <c r="C25" s="61"/>
      <c r="D25" s="61"/>
      <c r="E25" s="61"/>
      <c r="F25" s="61"/>
      <c r="G25" s="61"/>
      <c r="H25" s="61"/>
      <c r="I25" s="26"/>
    </row>
    <row r="26" spans="1:9" ht="13.5" thickBot="1">
      <c r="A26" s="26"/>
      <c r="B26" s="61"/>
      <c r="C26" s="39"/>
      <c r="D26" s="39"/>
      <c r="E26" s="62" t="s">
        <v>47</v>
      </c>
      <c r="F26" s="39"/>
      <c r="G26" s="39"/>
      <c r="H26" s="39"/>
      <c r="I26" s="26"/>
    </row>
    <row r="27" spans="1:9" ht="13.5" thickBot="1">
      <c r="A27" s="26"/>
      <c r="B27" s="66" t="s">
        <v>44</v>
      </c>
      <c r="C27" s="39">
        <v>0.001</v>
      </c>
      <c r="D27" s="64">
        <v>0.01</v>
      </c>
      <c r="E27" s="64">
        <v>0.02</v>
      </c>
      <c r="F27" s="64">
        <v>0.05</v>
      </c>
      <c r="G27" s="64">
        <v>0.1</v>
      </c>
      <c r="H27" s="39">
        <f>H16</f>
        <v>0.15</v>
      </c>
      <c r="I27" s="26"/>
    </row>
    <row r="28" spans="1:9" ht="12.75">
      <c r="A28" s="26"/>
      <c r="B28" s="61">
        <v>0.001</v>
      </c>
      <c r="C28" s="61">
        <f aca="true" t="shared" si="2" ref="C28:H32">ROUNDUP(C43*($F$12+1)/(2*$F$12),0)</f>
        <v>429</v>
      </c>
      <c r="D28" s="61">
        <f t="shared" si="2"/>
        <v>338</v>
      </c>
      <c r="E28" s="61">
        <f t="shared" si="2"/>
        <v>308</v>
      </c>
      <c r="F28" s="61">
        <f t="shared" si="2"/>
        <v>268</v>
      </c>
      <c r="G28" s="61">
        <f t="shared" si="2"/>
        <v>235</v>
      </c>
      <c r="H28" s="61">
        <f t="shared" si="2"/>
        <v>215</v>
      </c>
      <c r="I28" s="26"/>
    </row>
    <row r="29" spans="1:9" ht="12.75">
      <c r="A29" s="26"/>
      <c r="B29" s="63">
        <v>0.01</v>
      </c>
      <c r="C29" s="61">
        <f t="shared" si="2"/>
        <v>333</v>
      </c>
      <c r="D29" s="61">
        <f t="shared" si="2"/>
        <v>253</v>
      </c>
      <c r="E29" s="61">
        <f t="shared" si="2"/>
        <v>228</v>
      </c>
      <c r="F29" s="61">
        <f t="shared" si="2"/>
        <v>193</v>
      </c>
      <c r="G29" s="61">
        <f t="shared" si="2"/>
        <v>166</v>
      </c>
      <c r="H29" s="61">
        <f t="shared" si="2"/>
        <v>149</v>
      </c>
      <c r="I29" s="26"/>
    </row>
    <row r="30" spans="1:9" ht="12.75">
      <c r="A30" s="26"/>
      <c r="B30" s="63">
        <v>0.02</v>
      </c>
      <c r="C30" s="61">
        <f t="shared" si="2"/>
        <v>302</v>
      </c>
      <c r="D30" s="61">
        <f t="shared" si="2"/>
        <v>226</v>
      </c>
      <c r="E30" s="61">
        <f t="shared" si="2"/>
        <v>202</v>
      </c>
      <c r="F30" s="61">
        <f t="shared" si="2"/>
        <v>170</v>
      </c>
      <c r="G30" s="61">
        <f t="shared" si="2"/>
        <v>144</v>
      </c>
      <c r="H30" s="61">
        <f t="shared" si="2"/>
        <v>129</v>
      </c>
      <c r="I30" s="26"/>
    </row>
    <row r="31" spans="1:9" ht="12.75">
      <c r="A31" s="26"/>
      <c r="B31" s="63">
        <v>0.05</v>
      </c>
      <c r="C31" s="61">
        <f t="shared" si="2"/>
        <v>258</v>
      </c>
      <c r="D31" s="61">
        <f t="shared" si="2"/>
        <v>188</v>
      </c>
      <c r="E31" s="61">
        <f t="shared" si="2"/>
        <v>167</v>
      </c>
      <c r="F31" s="61">
        <f t="shared" si="2"/>
        <v>137</v>
      </c>
      <c r="G31" s="61">
        <f t="shared" si="2"/>
        <v>114</v>
      </c>
      <c r="H31" s="61">
        <f t="shared" si="2"/>
        <v>100</v>
      </c>
      <c r="I31" s="26"/>
    </row>
    <row r="32" spans="1:9" ht="12.75">
      <c r="A32" s="26"/>
      <c r="B32" s="63">
        <v>0.1</v>
      </c>
      <c r="C32" s="61">
        <f t="shared" si="2"/>
        <v>222</v>
      </c>
      <c r="D32" s="61">
        <f t="shared" si="2"/>
        <v>158</v>
      </c>
      <c r="E32" s="61">
        <f t="shared" si="2"/>
        <v>138</v>
      </c>
      <c r="F32" s="61">
        <f t="shared" si="2"/>
        <v>111</v>
      </c>
      <c r="G32" s="61">
        <f t="shared" si="2"/>
        <v>91</v>
      </c>
      <c r="H32" s="61">
        <f t="shared" si="2"/>
        <v>78</v>
      </c>
      <c r="I32" s="26"/>
    </row>
    <row r="33" spans="1:9" ht="12.75">
      <c r="A33" s="26"/>
      <c r="B33" s="63">
        <v>0.2</v>
      </c>
      <c r="C33" s="61">
        <f aca="true" t="shared" si="3" ref="C33:H33">ROUNDUP(C48*($F$12+1)/(2*$F$12),0)</f>
        <v>182</v>
      </c>
      <c r="D33" s="61">
        <f t="shared" si="3"/>
        <v>124</v>
      </c>
      <c r="E33" s="61">
        <f t="shared" si="3"/>
        <v>107</v>
      </c>
      <c r="F33" s="61">
        <f t="shared" si="3"/>
        <v>83</v>
      </c>
      <c r="G33" s="61">
        <f t="shared" si="3"/>
        <v>66</v>
      </c>
      <c r="H33" s="61">
        <f t="shared" si="3"/>
        <v>55</v>
      </c>
      <c r="I33" s="26"/>
    </row>
    <row r="34" spans="1:9" ht="12.75">
      <c r="A34" s="26"/>
      <c r="B34" s="61">
        <f>B23</f>
        <v>0.25</v>
      </c>
      <c r="C34" s="61">
        <f aca="true" t="shared" si="4" ref="C34:H34">ROUNDUP(C49*($F$12+1)/(2*$F$12),0)</f>
        <v>167</v>
      </c>
      <c r="D34" s="61">
        <f t="shared" si="4"/>
        <v>113</v>
      </c>
      <c r="E34" s="61">
        <f t="shared" si="4"/>
        <v>96</v>
      </c>
      <c r="F34" s="61">
        <f t="shared" si="4"/>
        <v>74</v>
      </c>
      <c r="G34" s="61">
        <f t="shared" si="4"/>
        <v>57</v>
      </c>
      <c r="H34" s="61">
        <f t="shared" si="4"/>
        <v>48</v>
      </c>
      <c r="I34" s="26"/>
    </row>
    <row r="35" spans="1:9" ht="13.5" thickBo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10" t="s">
        <v>41</v>
      </c>
      <c r="C36" s="38"/>
      <c r="D36" s="38"/>
      <c r="E36" s="38"/>
      <c r="F36" s="38"/>
      <c r="G36" s="38"/>
      <c r="H36" s="4"/>
      <c r="I36" s="26"/>
    </row>
    <row r="37" spans="1:9" ht="12.75">
      <c r="A37" s="26"/>
      <c r="B37" s="56" t="s">
        <v>62</v>
      </c>
      <c r="C37" s="57"/>
      <c r="D37" s="57"/>
      <c r="E37" s="57"/>
      <c r="F37" s="57"/>
      <c r="G37" s="57"/>
      <c r="H37" s="11"/>
      <c r="I37" s="26"/>
    </row>
    <row r="38" spans="1:9" ht="12.75">
      <c r="A38" s="26"/>
      <c r="B38" s="56" t="s">
        <v>63</v>
      </c>
      <c r="C38" s="57"/>
      <c r="D38" s="57"/>
      <c r="E38" s="57"/>
      <c r="F38" s="57"/>
      <c r="G38" s="57"/>
      <c r="H38" s="11"/>
      <c r="I38" s="26"/>
    </row>
    <row r="39" spans="1:9" ht="13.5" thickBot="1">
      <c r="A39" s="26"/>
      <c r="B39" s="75" t="s">
        <v>64</v>
      </c>
      <c r="C39" s="39"/>
      <c r="D39" s="39"/>
      <c r="E39" s="39"/>
      <c r="F39" s="39"/>
      <c r="G39" s="39"/>
      <c r="H39" s="5"/>
      <c r="I39" s="26"/>
    </row>
    <row r="40" spans="1:11" ht="12.75">
      <c r="A40" s="26"/>
      <c r="B40" s="26"/>
      <c r="C40" s="26"/>
      <c r="D40" s="26"/>
      <c r="E40" s="26"/>
      <c r="F40" s="26"/>
      <c r="G40" s="26"/>
      <c r="H40" s="26"/>
      <c r="I40" s="26"/>
      <c r="J40" s="74"/>
      <c r="K40" s="74"/>
    </row>
    <row r="41" spans="1:11" ht="12.75">
      <c r="A41" s="79"/>
      <c r="B41" s="79"/>
      <c r="C41" s="79"/>
      <c r="D41" s="79"/>
      <c r="E41" s="79"/>
      <c r="F41" s="79"/>
      <c r="G41" s="79"/>
      <c r="H41" s="79"/>
      <c r="I41" s="79"/>
      <c r="J41" s="74"/>
      <c r="K41" s="74"/>
    </row>
    <row r="42" spans="1:11" ht="12.75">
      <c r="A42" s="80"/>
      <c r="B42" s="81" t="s">
        <v>44</v>
      </c>
      <c r="C42" s="80">
        <v>0.001</v>
      </c>
      <c r="D42" s="82">
        <v>0.01</v>
      </c>
      <c r="E42" s="82">
        <v>0.02</v>
      </c>
      <c r="F42" s="82">
        <v>0.05</v>
      </c>
      <c r="G42" s="82">
        <v>0.1</v>
      </c>
      <c r="H42" s="80">
        <v>0.15</v>
      </c>
      <c r="I42" s="80"/>
      <c r="J42" s="74"/>
      <c r="K42" s="74"/>
    </row>
    <row r="43" spans="1:11" ht="12.75">
      <c r="A43" s="80"/>
      <c r="B43" s="80">
        <v>0.001</v>
      </c>
      <c r="C43" s="80">
        <f aca="true" t="shared" si="5" ref="C43:H43">2*$F$10*$F$10*(NORMSINV(1-C$42/2)+NORMSINV(1-$B43))*(NORMSINV(1-C$16/2)+NORMSINV(1-$B43))/($F$8*$F$8)+NORMSINV(1-C$16/2)*NORMSINV(1-C$16/2)/4</f>
        <v>428.1275441772871</v>
      </c>
      <c r="D43" s="80">
        <f t="shared" si="5"/>
        <v>337.1154207325813</v>
      </c>
      <c r="E43" s="80">
        <f t="shared" si="5"/>
        <v>307.9191473730295</v>
      </c>
      <c r="F43" s="80">
        <f t="shared" si="5"/>
        <v>267.4561826283528</v>
      </c>
      <c r="G43" s="80">
        <f t="shared" si="5"/>
        <v>234.95336265005946</v>
      </c>
      <c r="H43" s="80">
        <f t="shared" si="5"/>
        <v>214.91816591208885</v>
      </c>
      <c r="I43" s="80"/>
      <c r="J43" s="74"/>
      <c r="K43" s="74"/>
    </row>
    <row r="44" spans="1:11" ht="12.75">
      <c r="A44" s="80"/>
      <c r="B44" s="82">
        <v>0.01</v>
      </c>
      <c r="C44" s="80">
        <f aca="true" t="shared" si="6" ref="C44:C49">2*$F$10*$F$10*(NORMSINV(1-C$42/2)+NORMSINV(1-$B44))*(NORMSINV(1-C$42/2)+NORMSINV(1-$B44))/($F$8*$F$8)+NORMSINV(1-C$16/2)*NORMSINV(1-C$16/2)/4</f>
        <v>332.3646778926508</v>
      </c>
      <c r="D44" s="80">
        <f aca="true" t="shared" si="7" ref="D44:H49">2*$F$10*$F$10*(NORMSINV(1-D$42/2)+NORMSINV(1-$B44))*(NORMSINV(1-D$42/2)+NORMSINV(1-$B44))/($F$8*$F$8)+NORMSINV(1-D$16/2)*NORMSINV(1-D$16/2)/4</f>
        <v>252.76171666467806</v>
      </c>
      <c r="E44" s="80">
        <f t="shared" si="7"/>
        <v>227.54807146081058</v>
      </c>
      <c r="F44" s="80">
        <f t="shared" si="7"/>
        <v>192.9339219846379</v>
      </c>
      <c r="G44" s="80">
        <f t="shared" si="7"/>
        <v>165.4614058039242</v>
      </c>
      <c r="H44" s="80">
        <f t="shared" si="7"/>
        <v>148.7038951091018</v>
      </c>
      <c r="I44" s="80"/>
      <c r="J44" s="74"/>
      <c r="K44" s="74"/>
    </row>
    <row r="45" spans="1:11" ht="12.75">
      <c r="A45" s="80"/>
      <c r="B45" s="82">
        <v>0.02</v>
      </c>
      <c r="C45" s="80">
        <f t="shared" si="6"/>
        <v>301.14314572970886</v>
      </c>
      <c r="D45" s="80">
        <f t="shared" si="7"/>
        <v>225.6116456584808</v>
      </c>
      <c r="E45" s="80">
        <f t="shared" si="7"/>
        <v>201.8192367846433</v>
      </c>
      <c r="F45" s="80">
        <f t="shared" si="7"/>
        <v>169.2922891315601</v>
      </c>
      <c r="G45" s="80">
        <f t="shared" si="7"/>
        <v>143.61488166517717</v>
      </c>
      <c r="H45" s="80">
        <f t="shared" si="7"/>
        <v>128.0270424287121</v>
      </c>
      <c r="I45" s="80"/>
      <c r="J45" s="74"/>
      <c r="K45" s="74"/>
    </row>
    <row r="46" spans="1:11" ht="12.75">
      <c r="A46" s="80"/>
      <c r="B46" s="82">
        <v>0.05</v>
      </c>
      <c r="C46" s="80">
        <f t="shared" si="6"/>
        <v>257.2229199639559</v>
      </c>
      <c r="D46" s="80">
        <f t="shared" si="7"/>
        <v>187.79856440957118</v>
      </c>
      <c r="E46" s="80">
        <f t="shared" si="7"/>
        <v>166.13799354816393</v>
      </c>
      <c r="F46" s="80">
        <f t="shared" si="7"/>
        <v>136.7418244236467</v>
      </c>
      <c r="G46" s="80">
        <f t="shared" si="7"/>
        <v>113.75705921020587</v>
      </c>
      <c r="H46" s="80">
        <f t="shared" si="7"/>
        <v>99.92371359615495</v>
      </c>
      <c r="I46" s="80"/>
      <c r="J46" s="74"/>
      <c r="K46" s="74"/>
    </row>
    <row r="47" spans="1:11" ht="12.75">
      <c r="A47" s="80"/>
      <c r="B47" s="82">
        <v>0.1</v>
      </c>
      <c r="C47" s="80">
        <f t="shared" si="6"/>
        <v>221.13131555421194</v>
      </c>
      <c r="D47" s="80">
        <f t="shared" si="7"/>
        <v>157.13313702077176</v>
      </c>
      <c r="E47" s="80">
        <f t="shared" si="7"/>
        <v>137.36669694397608</v>
      </c>
      <c r="F47" s="80">
        <f t="shared" si="7"/>
        <v>110.75221383696149</v>
      </c>
      <c r="G47" s="80">
        <f t="shared" si="7"/>
        <v>90.15985205825882</v>
      </c>
      <c r="H47" s="80">
        <f t="shared" si="7"/>
        <v>77.88536802855077</v>
      </c>
      <c r="I47" s="80"/>
      <c r="J47" s="74"/>
      <c r="K47" s="74"/>
    </row>
    <row r="48" spans="1:11" ht="12.75">
      <c r="A48" s="80"/>
      <c r="B48" s="82">
        <v>0.2</v>
      </c>
      <c r="C48" s="80">
        <f t="shared" si="6"/>
        <v>181.11952754788823</v>
      </c>
      <c r="D48" s="80">
        <f t="shared" si="7"/>
        <v>123.69202425068853</v>
      </c>
      <c r="E48" s="80">
        <f t="shared" si="7"/>
        <v>106.21922815060228</v>
      </c>
      <c r="F48" s="80">
        <f t="shared" si="7"/>
        <v>82.97314886816828</v>
      </c>
      <c r="G48" s="80">
        <f t="shared" si="7"/>
        <v>65.27780020626116</v>
      </c>
      <c r="H48" s="80">
        <f t="shared" si="7"/>
        <v>54.89097541977948</v>
      </c>
      <c r="I48" s="80"/>
      <c r="J48" s="74"/>
      <c r="K48" s="74"/>
    </row>
    <row r="49" spans="1:11" ht="12.75">
      <c r="A49" s="80"/>
      <c r="B49" s="80">
        <v>0.25</v>
      </c>
      <c r="C49" s="80">
        <f t="shared" si="6"/>
        <v>166.97901640855113</v>
      </c>
      <c r="D49" s="80">
        <f t="shared" si="7"/>
        <v>112.04774176214377</v>
      </c>
      <c r="E49" s="80">
        <f t="shared" si="7"/>
        <v>95.4463111767919</v>
      </c>
      <c r="F49" s="80">
        <f t="shared" si="7"/>
        <v>73.4799034398302</v>
      </c>
      <c r="G49" s="80">
        <f t="shared" si="7"/>
        <v>56.88514290377968</v>
      </c>
      <c r="H49" s="80">
        <f t="shared" si="7"/>
        <v>47.21544823200604</v>
      </c>
      <c r="I49" s="80"/>
      <c r="J49" s="74"/>
      <c r="K49" s="74"/>
    </row>
    <row r="50" spans="1:11" ht="12.75">
      <c r="A50" s="80"/>
      <c r="B50" s="80"/>
      <c r="C50" s="80"/>
      <c r="D50" s="80"/>
      <c r="E50" s="80"/>
      <c r="F50" s="80"/>
      <c r="G50" s="80"/>
      <c r="H50" s="80"/>
      <c r="I50" s="80"/>
      <c r="J50" s="74"/>
      <c r="K50" s="74"/>
    </row>
    <row r="51" spans="1:11" ht="12.75">
      <c r="A51" s="80"/>
      <c r="B51" s="80"/>
      <c r="C51" s="80"/>
      <c r="D51" s="80"/>
      <c r="E51" s="80"/>
      <c r="F51" s="80"/>
      <c r="G51" s="80"/>
      <c r="H51" s="80"/>
      <c r="I51" s="80"/>
      <c r="J51" s="74"/>
      <c r="K51" s="74"/>
    </row>
    <row r="52" spans="1:11" ht="12.75">
      <c r="A52" s="83"/>
      <c r="B52" s="84"/>
      <c r="C52" s="84"/>
      <c r="D52" s="84"/>
      <c r="E52" s="84"/>
      <c r="F52" s="84"/>
      <c r="G52" s="84"/>
      <c r="H52" s="84"/>
      <c r="I52" s="84"/>
      <c r="J52" s="74"/>
      <c r="K52" s="74"/>
    </row>
    <row r="53" spans="1:11" ht="12.75">
      <c r="A53" s="83"/>
      <c r="B53" s="83"/>
      <c r="C53" s="83"/>
      <c r="D53" s="83"/>
      <c r="E53" s="83"/>
      <c r="F53" s="83"/>
      <c r="G53" s="83"/>
      <c r="H53" s="83"/>
      <c r="I53" s="83"/>
      <c r="J53" s="74"/>
      <c r="K53" s="74"/>
    </row>
    <row r="54" spans="1:11" ht="12.75">
      <c r="A54" s="83"/>
      <c r="B54" s="83"/>
      <c r="C54" s="83"/>
      <c r="D54" s="83"/>
      <c r="E54" s="83"/>
      <c r="F54" s="83"/>
      <c r="G54" s="83"/>
      <c r="H54" s="83"/>
      <c r="I54" s="83"/>
      <c r="J54" s="74"/>
      <c r="K54" s="74"/>
    </row>
    <row r="55" spans="1:9" ht="12.75">
      <c r="A55" s="85"/>
      <c r="B55" s="85"/>
      <c r="C55" s="85"/>
      <c r="D55" s="85"/>
      <c r="E55" s="85"/>
      <c r="F55" s="85"/>
      <c r="G55" s="85"/>
      <c r="H55" s="85"/>
      <c r="I55" s="85"/>
    </row>
    <row r="56" spans="1:9" ht="12.75">
      <c r="A56" s="85"/>
      <c r="B56" s="85"/>
      <c r="C56" s="85"/>
      <c r="D56" s="85"/>
      <c r="E56" s="85"/>
      <c r="F56" s="85"/>
      <c r="G56" s="85"/>
      <c r="H56" s="85"/>
      <c r="I56" s="85"/>
    </row>
    <row r="57" spans="1:9" ht="12.75">
      <c r="A57" s="85"/>
      <c r="B57" s="85"/>
      <c r="C57" s="85"/>
      <c r="D57" s="85"/>
      <c r="E57" s="85"/>
      <c r="F57" s="85"/>
      <c r="G57" s="85"/>
      <c r="H57" s="85"/>
      <c r="I57" s="85"/>
    </row>
    <row r="58" spans="1:9" ht="12.75">
      <c r="A58" s="85"/>
      <c r="B58" s="85"/>
      <c r="C58" s="85"/>
      <c r="D58" s="85"/>
      <c r="E58" s="85"/>
      <c r="F58" s="85"/>
      <c r="G58" s="85"/>
      <c r="H58" s="85"/>
      <c r="I58" s="85"/>
    </row>
  </sheetData>
  <sheetProtection password="EA44" sheet="1" objects="1" scenarios="1" selectLockedCells="1"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Martinez</dc:creator>
  <cp:keywords/>
  <dc:description/>
  <cp:lastModifiedBy>HCRP</cp:lastModifiedBy>
  <cp:lastPrinted>2010-06-07T00:17:37Z</cp:lastPrinted>
  <dcterms:created xsi:type="dcterms:W3CDTF">2010-06-06T19:09:43Z</dcterms:created>
  <dcterms:modified xsi:type="dcterms:W3CDTF">2012-02-24T16:18:13Z</dcterms:modified>
  <cp:category/>
  <cp:version/>
  <cp:contentType/>
  <cp:contentStatus/>
</cp:coreProperties>
</file>