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Margarete\disciplinas\2016_1\les667\FINANCEIRO\"/>
    </mc:Choice>
  </mc:AlternateContent>
  <bookViews>
    <workbookView xWindow="480" yWindow="45" windowWidth="22995" windowHeight="10035" activeTab="3"/>
  </bookViews>
  <sheets>
    <sheet name="Exercio1_Avista(aula)" sheetId="5" r:id="rId1"/>
    <sheet name="Exerc2_APrazo(aula)" sheetId="4" r:id="rId2"/>
    <sheet name="Exercicio_CASA(tarefa)" sheetId="6" r:id="rId3"/>
    <sheet name="MELHOR" sheetId="7" r:id="rId4"/>
  </sheets>
  <calcPr calcId="152511"/>
</workbook>
</file>

<file path=xl/calcChain.xml><?xml version="1.0" encoding="utf-8"?>
<calcChain xmlns="http://schemas.openxmlformats.org/spreadsheetml/2006/main">
  <c r="D23" i="4" l="1"/>
  <c r="C4" i="7" l="1"/>
  <c r="N44" i="6" l="1"/>
  <c r="L44" i="6"/>
  <c r="N43" i="6"/>
  <c r="L43" i="6"/>
  <c r="N42" i="6"/>
  <c r="L42" i="6"/>
  <c r="N41" i="6"/>
  <c r="L41" i="6"/>
  <c r="N40" i="6"/>
  <c r="L40" i="6"/>
  <c r="N39" i="6"/>
  <c r="L39" i="6"/>
  <c r="N38" i="6"/>
  <c r="L38" i="6"/>
  <c r="N37" i="6"/>
  <c r="L37" i="6"/>
  <c r="N36" i="6"/>
  <c r="L36" i="6"/>
  <c r="N35" i="6"/>
  <c r="L35" i="6"/>
  <c r="N34" i="6"/>
  <c r="L34" i="6"/>
  <c r="N33" i="6"/>
  <c r="L33" i="6"/>
  <c r="N32" i="6"/>
  <c r="L32" i="6"/>
  <c r="N31" i="6"/>
  <c r="L31" i="6"/>
  <c r="N30" i="6"/>
  <c r="L30" i="6"/>
  <c r="N29" i="6"/>
  <c r="L29" i="6"/>
  <c r="N28" i="6"/>
  <c r="L28" i="6"/>
  <c r="N27" i="6"/>
  <c r="L27" i="6"/>
  <c r="N26" i="6"/>
  <c r="L26" i="6"/>
  <c r="N25" i="6"/>
  <c r="L25" i="6"/>
  <c r="N24" i="6"/>
  <c r="L24" i="6"/>
  <c r="N23" i="6"/>
  <c r="L23" i="6"/>
  <c r="N22" i="6"/>
  <c r="L22" i="6"/>
  <c r="N21" i="6"/>
  <c r="L21" i="6"/>
  <c r="C21" i="6"/>
  <c r="C22" i="6" s="1"/>
  <c r="F20" i="6"/>
  <c r="B18" i="6"/>
  <c r="D17" i="6"/>
  <c r="D13" i="6"/>
  <c r="D9" i="6"/>
  <c r="D20" i="6"/>
  <c r="D21" i="6" l="1"/>
  <c r="G20" i="6"/>
  <c r="J22" i="6"/>
  <c r="I22" i="6"/>
  <c r="J21" i="6"/>
  <c r="J18" i="6" s="1"/>
  <c r="J17" i="6" s="1"/>
  <c r="F21" i="6"/>
  <c r="I21" i="6"/>
  <c r="I18" i="6" s="1"/>
  <c r="I17" i="6" s="1"/>
  <c r="E21" i="6"/>
  <c r="F22" i="6" s="1"/>
  <c r="D22" i="6"/>
  <c r="E22" i="6" s="1"/>
  <c r="E20" i="6"/>
  <c r="C23" i="6"/>
  <c r="N44" i="5"/>
  <c r="L44" i="5"/>
  <c r="N43" i="5"/>
  <c r="L43" i="5"/>
  <c r="N42" i="5"/>
  <c r="L42" i="5"/>
  <c r="N41" i="5"/>
  <c r="L41" i="5"/>
  <c r="N40" i="5"/>
  <c r="L40" i="5"/>
  <c r="N39" i="5"/>
  <c r="L39" i="5"/>
  <c r="N38" i="5"/>
  <c r="L38" i="5"/>
  <c r="N37" i="5"/>
  <c r="L37" i="5"/>
  <c r="N36" i="5"/>
  <c r="L36" i="5"/>
  <c r="N35" i="5"/>
  <c r="L35" i="5"/>
  <c r="N34" i="5"/>
  <c r="L34" i="5"/>
  <c r="N33" i="5"/>
  <c r="L33" i="5"/>
  <c r="N32" i="5"/>
  <c r="L32" i="5"/>
  <c r="N31" i="5"/>
  <c r="L31" i="5"/>
  <c r="N30" i="5"/>
  <c r="L30" i="5"/>
  <c r="N29" i="5"/>
  <c r="L29" i="5"/>
  <c r="N28" i="5"/>
  <c r="L28" i="5"/>
  <c r="N27" i="5"/>
  <c r="L27" i="5"/>
  <c r="N26" i="5"/>
  <c r="L26" i="5"/>
  <c r="N25" i="5"/>
  <c r="L25" i="5"/>
  <c r="N24" i="5"/>
  <c r="L24" i="5"/>
  <c r="N23" i="5"/>
  <c r="L23" i="5"/>
  <c r="N22" i="5"/>
  <c r="L22" i="5"/>
  <c r="N21" i="5"/>
  <c r="L21" i="5"/>
  <c r="J21" i="5"/>
  <c r="J18" i="5" s="1"/>
  <c r="J17" i="5" s="1"/>
  <c r="C21" i="5"/>
  <c r="C22" i="5" s="1"/>
  <c r="I22" i="5" s="1"/>
  <c r="F20" i="5"/>
  <c r="B18" i="5"/>
  <c r="D17" i="5"/>
  <c r="D13" i="5"/>
  <c r="D9" i="5"/>
  <c r="B6" i="5"/>
  <c r="I21" i="5" l="1"/>
  <c r="I18" i="5" s="1"/>
  <c r="I17" i="5" s="1"/>
  <c r="F21" i="5"/>
  <c r="G21" i="6"/>
  <c r="K21" i="6" s="1"/>
  <c r="G22" i="6"/>
  <c r="K22" i="6" s="1"/>
  <c r="J23" i="6"/>
  <c r="F23" i="6"/>
  <c r="I23" i="6"/>
  <c r="C24" i="6"/>
  <c r="D23" i="6"/>
  <c r="E23" i="6" s="1"/>
  <c r="H20" i="6"/>
  <c r="E20" i="5"/>
  <c r="D20" i="5"/>
  <c r="J22" i="5"/>
  <c r="C23" i="5"/>
  <c r="L44" i="4"/>
  <c r="L43" i="4"/>
  <c r="L42" i="4"/>
  <c r="L41" i="4"/>
  <c r="L40" i="4"/>
  <c r="L39" i="4"/>
  <c r="L38" i="4"/>
  <c r="L37" i="4"/>
  <c r="L36" i="4"/>
  <c r="L35" i="4"/>
  <c r="L34" i="4"/>
  <c r="N33" i="4"/>
  <c r="L32" i="4"/>
  <c r="N31" i="4"/>
  <c r="C21" i="4"/>
  <c r="C22" i="4" s="1"/>
  <c r="F20" i="4"/>
  <c r="B18" i="4"/>
  <c r="D17" i="4"/>
  <c r="D13" i="4"/>
  <c r="D9" i="4"/>
  <c r="E20" i="4"/>
  <c r="H21" i="6" l="1"/>
  <c r="M21" i="6"/>
  <c r="M22" i="6" s="1"/>
  <c r="H22" i="6"/>
  <c r="J24" i="6"/>
  <c r="F24" i="6"/>
  <c r="I24" i="6"/>
  <c r="D24" i="6"/>
  <c r="E24" i="6" s="1"/>
  <c r="C25" i="6"/>
  <c r="G23" i="6"/>
  <c r="D21" i="5"/>
  <c r="G20" i="5"/>
  <c r="J23" i="5"/>
  <c r="C24" i="5"/>
  <c r="I23" i="5"/>
  <c r="N32" i="4"/>
  <c r="J21" i="4"/>
  <c r="N40" i="4"/>
  <c r="N39" i="4"/>
  <c r="D20" i="4"/>
  <c r="D21" i="4" s="1"/>
  <c r="N36" i="4"/>
  <c r="N44" i="4"/>
  <c r="N35" i="4"/>
  <c r="N43" i="4"/>
  <c r="N37" i="4"/>
  <c r="N41" i="4"/>
  <c r="N34" i="4"/>
  <c r="N38" i="4"/>
  <c r="N42" i="4"/>
  <c r="J22" i="4"/>
  <c r="E21" i="4"/>
  <c r="F22" i="4" s="1"/>
  <c r="L31" i="4"/>
  <c r="F21" i="4"/>
  <c r="C23" i="4"/>
  <c r="L33" i="4"/>
  <c r="G21" i="5" l="1"/>
  <c r="E21" i="5"/>
  <c r="F22" i="5" s="1"/>
  <c r="D22" i="5"/>
  <c r="D23" i="5" s="1"/>
  <c r="G24" i="6"/>
  <c r="K24" i="6" s="1"/>
  <c r="M23" i="6"/>
  <c r="H23" i="6"/>
  <c r="K23" i="6"/>
  <c r="J25" i="6"/>
  <c r="F25" i="6"/>
  <c r="I25" i="6"/>
  <c r="D25" i="6"/>
  <c r="E25" i="6" s="1"/>
  <c r="C26" i="6"/>
  <c r="H21" i="5"/>
  <c r="M21" i="5"/>
  <c r="K21" i="5"/>
  <c r="H20" i="5"/>
  <c r="J24" i="5"/>
  <c r="C25" i="5"/>
  <c r="I24" i="5"/>
  <c r="D22" i="4"/>
  <c r="E22" i="4" s="1"/>
  <c r="F23" i="4" s="1"/>
  <c r="G20" i="4"/>
  <c r="H20" i="4" s="1"/>
  <c r="J23" i="4"/>
  <c r="C24" i="4"/>
  <c r="G21" i="4"/>
  <c r="E23" i="5" l="1"/>
  <c r="F24" i="5" s="1"/>
  <c r="E22" i="5"/>
  <c r="F23" i="5" s="1"/>
  <c r="G23" i="5" s="1"/>
  <c r="K23" i="5" s="1"/>
  <c r="G22" i="5"/>
  <c r="D24" i="5"/>
  <c r="E24" i="5" s="1"/>
  <c r="F25" i="5" s="1"/>
  <c r="H24" i="6"/>
  <c r="M24" i="6"/>
  <c r="J26" i="6"/>
  <c r="F26" i="6"/>
  <c r="I26" i="6"/>
  <c r="C27" i="6"/>
  <c r="D26" i="6"/>
  <c r="E26" i="6" s="1"/>
  <c r="G25" i="6"/>
  <c r="J25" i="5"/>
  <c r="C26" i="5"/>
  <c r="I25" i="5"/>
  <c r="E23" i="4"/>
  <c r="F24" i="4" s="1"/>
  <c r="G22" i="4"/>
  <c r="H22" i="4" s="1"/>
  <c r="M21" i="4"/>
  <c r="H21" i="4"/>
  <c r="C25" i="4"/>
  <c r="J24" i="4"/>
  <c r="M22" i="4" l="1"/>
  <c r="D25" i="5"/>
  <c r="D26" i="5" s="1"/>
  <c r="G24" i="5"/>
  <c r="H24" i="5" s="1"/>
  <c r="H23" i="5"/>
  <c r="M22" i="5"/>
  <c r="M23" i="5" s="1"/>
  <c r="K22" i="5"/>
  <c r="H22" i="5"/>
  <c r="J27" i="6"/>
  <c r="F27" i="6"/>
  <c r="I27" i="6"/>
  <c r="C28" i="6"/>
  <c r="D27" i="6"/>
  <c r="E27" i="6" s="1"/>
  <c r="M25" i="6"/>
  <c r="H25" i="6"/>
  <c r="K25" i="6"/>
  <c r="G26" i="6"/>
  <c r="G25" i="5"/>
  <c r="K24" i="5"/>
  <c r="J26" i="5"/>
  <c r="C27" i="5"/>
  <c r="I26" i="5"/>
  <c r="G23" i="4"/>
  <c r="M23" i="4" s="1"/>
  <c r="D24" i="4"/>
  <c r="E24" i="4" s="1"/>
  <c r="F25" i="4" s="1"/>
  <c r="C26" i="4"/>
  <c r="J25" i="4"/>
  <c r="M24" i="5" l="1"/>
  <c r="H23" i="4"/>
  <c r="E25" i="5"/>
  <c r="F26" i="5" s="1"/>
  <c r="G26" i="5" s="1"/>
  <c r="M26" i="6"/>
  <c r="H26" i="6"/>
  <c r="K26" i="6"/>
  <c r="J28" i="6"/>
  <c r="F28" i="6"/>
  <c r="I28" i="6"/>
  <c r="D28" i="6"/>
  <c r="E28" i="6" s="1"/>
  <c r="C29" i="6"/>
  <c r="G27" i="6"/>
  <c r="J27" i="5"/>
  <c r="C28" i="5"/>
  <c r="D27" i="5"/>
  <c r="I27" i="5"/>
  <c r="M25" i="5"/>
  <c r="H25" i="5"/>
  <c r="K25" i="5"/>
  <c r="G24" i="4"/>
  <c r="M24" i="4" s="1"/>
  <c r="D25" i="4"/>
  <c r="E25" i="4" s="1"/>
  <c r="F26" i="4" s="1"/>
  <c r="C27" i="4"/>
  <c r="J26" i="4"/>
  <c r="H26" i="5" l="1"/>
  <c r="K26" i="5"/>
  <c r="E27" i="5"/>
  <c r="M26" i="5"/>
  <c r="E26" i="5"/>
  <c r="F27" i="5" s="1"/>
  <c r="H24" i="4"/>
  <c r="M27" i="6"/>
  <c r="H27" i="6"/>
  <c r="K27" i="6"/>
  <c r="J29" i="6"/>
  <c r="F29" i="6"/>
  <c r="I29" i="6"/>
  <c r="D29" i="6"/>
  <c r="E29" i="6" s="1"/>
  <c r="C30" i="6"/>
  <c r="G28" i="6"/>
  <c r="J28" i="5"/>
  <c r="F28" i="5"/>
  <c r="C29" i="5"/>
  <c r="D28" i="5"/>
  <c r="E28" i="5" s="1"/>
  <c r="I28" i="5"/>
  <c r="G27" i="5"/>
  <c r="D26" i="4"/>
  <c r="E26" i="4" s="1"/>
  <c r="F27" i="4" s="1"/>
  <c r="G25" i="4"/>
  <c r="H25" i="4" s="1"/>
  <c r="C28" i="4"/>
  <c r="J27" i="4"/>
  <c r="M28" i="6" l="1"/>
  <c r="H28" i="6"/>
  <c r="K28" i="6"/>
  <c r="J30" i="6"/>
  <c r="F30" i="6"/>
  <c r="I30" i="6"/>
  <c r="C31" i="6"/>
  <c r="D30" i="6"/>
  <c r="E30" i="6" s="1"/>
  <c r="G29" i="6"/>
  <c r="M27" i="5"/>
  <c r="H27" i="5"/>
  <c r="K27" i="5"/>
  <c r="J29" i="5"/>
  <c r="F29" i="5"/>
  <c r="C30" i="5"/>
  <c r="I29" i="5"/>
  <c r="D29" i="5"/>
  <c r="E29" i="5" s="1"/>
  <c r="G28" i="5"/>
  <c r="M25" i="4"/>
  <c r="G26" i="4"/>
  <c r="H26" i="4" s="1"/>
  <c r="D27" i="4"/>
  <c r="E27" i="4" s="1"/>
  <c r="F28" i="4" s="1"/>
  <c r="C29" i="4"/>
  <c r="J28" i="4"/>
  <c r="M26" i="4" l="1"/>
  <c r="G30" i="6"/>
  <c r="J31" i="6"/>
  <c r="F31" i="6"/>
  <c r="I31" i="6"/>
  <c r="C32" i="6"/>
  <c r="D31" i="6"/>
  <c r="E31" i="6" s="1"/>
  <c r="M29" i="6"/>
  <c r="H29" i="6"/>
  <c r="K29" i="6"/>
  <c r="H28" i="5"/>
  <c r="M28" i="5"/>
  <c r="K28" i="5"/>
  <c r="J30" i="5"/>
  <c r="F30" i="5"/>
  <c r="C31" i="5"/>
  <c r="D30" i="5"/>
  <c r="E30" i="5" s="1"/>
  <c r="I30" i="5"/>
  <c r="G29" i="5"/>
  <c r="G27" i="4"/>
  <c r="H27" i="4" s="1"/>
  <c r="D28" i="4"/>
  <c r="E28" i="4" s="1"/>
  <c r="F29" i="4" s="1"/>
  <c r="C30" i="4"/>
  <c r="J29" i="4"/>
  <c r="G30" i="5" l="1"/>
  <c r="M30" i="6"/>
  <c r="H30" i="6"/>
  <c r="K30" i="6"/>
  <c r="J32" i="6"/>
  <c r="F32" i="6"/>
  <c r="I32" i="6"/>
  <c r="D32" i="6"/>
  <c r="E32" i="6" s="1"/>
  <c r="C33" i="6"/>
  <c r="G31" i="6"/>
  <c r="H29" i="5"/>
  <c r="M29" i="5"/>
  <c r="K29" i="5"/>
  <c r="J31" i="5"/>
  <c r="F31" i="5"/>
  <c r="C32" i="5"/>
  <c r="D31" i="5"/>
  <c r="E31" i="5" s="1"/>
  <c r="I31" i="5"/>
  <c r="M27" i="4"/>
  <c r="G28" i="4"/>
  <c r="D29" i="4"/>
  <c r="E29" i="4" s="1"/>
  <c r="F30" i="4" s="1"/>
  <c r="C31" i="4"/>
  <c r="J30" i="4"/>
  <c r="M30" i="5" l="1"/>
  <c r="K30" i="5"/>
  <c r="H30" i="5"/>
  <c r="M31" i="6"/>
  <c r="H31" i="6"/>
  <c r="K31" i="6"/>
  <c r="J33" i="6"/>
  <c r="F33" i="6"/>
  <c r="I33" i="6"/>
  <c r="D33" i="6"/>
  <c r="E33" i="6" s="1"/>
  <c r="C34" i="6"/>
  <c r="G32" i="6"/>
  <c r="J32" i="5"/>
  <c r="F32" i="5"/>
  <c r="C33" i="5"/>
  <c r="I32" i="5"/>
  <c r="D32" i="5"/>
  <c r="E32" i="5" s="1"/>
  <c r="G31" i="5"/>
  <c r="G29" i="4"/>
  <c r="H29" i="4" s="1"/>
  <c r="D30" i="4"/>
  <c r="E30" i="4" s="1"/>
  <c r="F31" i="4" s="1"/>
  <c r="H28" i="4"/>
  <c r="M28" i="4"/>
  <c r="I31" i="4"/>
  <c r="C32" i="4"/>
  <c r="J31" i="4"/>
  <c r="G33" i="6" l="1"/>
  <c r="K33" i="6" s="1"/>
  <c r="M32" i="6"/>
  <c r="H32" i="6"/>
  <c r="K32" i="6"/>
  <c r="J34" i="6"/>
  <c r="F34" i="6"/>
  <c r="I34" i="6"/>
  <c r="C35" i="6"/>
  <c r="D34" i="6"/>
  <c r="E34" i="6" s="1"/>
  <c r="M31" i="5"/>
  <c r="H31" i="5"/>
  <c r="K31" i="5"/>
  <c r="J33" i="5"/>
  <c r="F33" i="5"/>
  <c r="C34" i="5"/>
  <c r="I33" i="5"/>
  <c r="D33" i="5"/>
  <c r="E33" i="5" s="1"/>
  <c r="G32" i="5"/>
  <c r="M29" i="4"/>
  <c r="G30" i="4"/>
  <c r="H30" i="4" s="1"/>
  <c r="D31" i="4"/>
  <c r="E31" i="4" s="1"/>
  <c r="F32" i="4" s="1"/>
  <c r="C33" i="4"/>
  <c r="J32" i="4"/>
  <c r="I32" i="4"/>
  <c r="G31" i="4" l="1"/>
  <c r="K31" i="4" s="1"/>
  <c r="H33" i="6"/>
  <c r="M33" i="6"/>
  <c r="G34" i="6"/>
  <c r="J35" i="6"/>
  <c r="F35" i="6"/>
  <c r="I35" i="6"/>
  <c r="C36" i="6"/>
  <c r="D35" i="6"/>
  <c r="E35" i="6" s="1"/>
  <c r="G33" i="5"/>
  <c r="H32" i="5"/>
  <c r="M32" i="5"/>
  <c r="K32" i="5"/>
  <c r="J34" i="5"/>
  <c r="F34" i="5"/>
  <c r="C35" i="5"/>
  <c r="D34" i="5"/>
  <c r="E34" i="5" s="1"/>
  <c r="I34" i="5"/>
  <c r="M30" i="4"/>
  <c r="D32" i="4"/>
  <c r="E32" i="4" s="1"/>
  <c r="F33" i="4" s="1"/>
  <c r="I33" i="4"/>
  <c r="C34" i="4"/>
  <c r="J33" i="4"/>
  <c r="H31" i="4" l="1"/>
  <c r="M31" i="4"/>
  <c r="J36" i="6"/>
  <c r="F36" i="6"/>
  <c r="I36" i="6"/>
  <c r="D36" i="6"/>
  <c r="E36" i="6" s="1"/>
  <c r="C37" i="6"/>
  <c r="G35" i="6"/>
  <c r="M34" i="6"/>
  <c r="H34" i="6"/>
  <c r="K34" i="6"/>
  <c r="J35" i="5"/>
  <c r="F35" i="5"/>
  <c r="C36" i="5"/>
  <c r="D35" i="5"/>
  <c r="E35" i="5" s="1"/>
  <c r="I35" i="5"/>
  <c r="G34" i="5"/>
  <c r="H33" i="5"/>
  <c r="M33" i="5"/>
  <c r="K33" i="5"/>
  <c r="D33" i="4"/>
  <c r="E33" i="4" s="1"/>
  <c r="F34" i="4" s="1"/>
  <c r="G32" i="4"/>
  <c r="K32" i="4" s="1"/>
  <c r="I34" i="4"/>
  <c r="C35" i="4"/>
  <c r="J34" i="4"/>
  <c r="M32" i="4" l="1"/>
  <c r="M35" i="6"/>
  <c r="H35" i="6"/>
  <c r="K35" i="6"/>
  <c r="J37" i="6"/>
  <c r="F37" i="6"/>
  <c r="I37" i="6"/>
  <c r="D37" i="6"/>
  <c r="E37" i="6" s="1"/>
  <c r="C38" i="6"/>
  <c r="G36" i="6"/>
  <c r="J36" i="5"/>
  <c r="F36" i="5"/>
  <c r="C37" i="5"/>
  <c r="D36" i="5"/>
  <c r="E36" i="5" s="1"/>
  <c r="I36" i="5"/>
  <c r="G35" i="5"/>
  <c r="H34" i="5"/>
  <c r="M34" i="5"/>
  <c r="K34" i="5"/>
  <c r="H32" i="4"/>
  <c r="D34" i="4"/>
  <c r="E34" i="4" s="1"/>
  <c r="F35" i="4" s="1"/>
  <c r="G33" i="4"/>
  <c r="M33" i="4" s="1"/>
  <c r="C36" i="4"/>
  <c r="I35" i="4"/>
  <c r="J35" i="4"/>
  <c r="G34" i="4" l="1"/>
  <c r="M34" i="4" s="1"/>
  <c r="M36" i="6"/>
  <c r="H36" i="6"/>
  <c r="K36" i="6"/>
  <c r="J38" i="6"/>
  <c r="F38" i="6"/>
  <c r="I38" i="6"/>
  <c r="C39" i="6"/>
  <c r="D38" i="6"/>
  <c r="E38" i="6" s="1"/>
  <c r="G37" i="6"/>
  <c r="J37" i="5"/>
  <c r="F37" i="5"/>
  <c r="C38" i="5"/>
  <c r="I37" i="5"/>
  <c r="D37" i="5"/>
  <c r="E37" i="5" s="1"/>
  <c r="G36" i="5"/>
  <c r="M35" i="5"/>
  <c r="H35" i="5"/>
  <c r="K35" i="5"/>
  <c r="D35" i="4"/>
  <c r="E35" i="4" s="1"/>
  <c r="F36" i="4" s="1"/>
  <c r="K33" i="4"/>
  <c r="H33" i="4"/>
  <c r="H34" i="4"/>
  <c r="K34" i="4"/>
  <c r="I36" i="4"/>
  <c r="C37" i="4"/>
  <c r="J36" i="4"/>
  <c r="J39" i="6" l="1"/>
  <c r="F39" i="6"/>
  <c r="I39" i="6"/>
  <c r="C40" i="6"/>
  <c r="D39" i="6"/>
  <c r="E39" i="6" s="1"/>
  <c r="M37" i="6"/>
  <c r="H37" i="6"/>
  <c r="K37" i="6"/>
  <c r="G38" i="6"/>
  <c r="J38" i="5"/>
  <c r="F38" i="5"/>
  <c r="I38" i="5"/>
  <c r="C39" i="5"/>
  <c r="D38" i="5"/>
  <c r="E38" i="5" s="1"/>
  <c r="G37" i="5"/>
  <c r="H36" i="5"/>
  <c r="M36" i="5"/>
  <c r="K36" i="5"/>
  <c r="D36" i="4"/>
  <c r="E36" i="4" s="1"/>
  <c r="F37" i="4" s="1"/>
  <c r="G35" i="4"/>
  <c r="H35" i="4" s="1"/>
  <c r="C38" i="4"/>
  <c r="I37" i="4"/>
  <c r="J37" i="4"/>
  <c r="M38" i="6" l="1"/>
  <c r="H38" i="6"/>
  <c r="K38" i="6"/>
  <c r="J40" i="6"/>
  <c r="F40" i="6"/>
  <c r="I40" i="6"/>
  <c r="D40" i="6"/>
  <c r="E40" i="6" s="1"/>
  <c r="C41" i="6"/>
  <c r="G39" i="6"/>
  <c r="G38" i="5"/>
  <c r="H37" i="5"/>
  <c r="M37" i="5"/>
  <c r="K37" i="5"/>
  <c r="J39" i="5"/>
  <c r="F39" i="5"/>
  <c r="C40" i="5"/>
  <c r="I39" i="5"/>
  <c r="D39" i="5"/>
  <c r="E39" i="5" s="1"/>
  <c r="D37" i="4"/>
  <c r="E37" i="4" s="1"/>
  <c r="F38" i="4" s="1"/>
  <c r="G36" i="4"/>
  <c r="K36" i="4" s="1"/>
  <c r="K35" i="4"/>
  <c r="M35" i="4"/>
  <c r="I38" i="4"/>
  <c r="C39" i="4"/>
  <c r="J38" i="4"/>
  <c r="D38" i="4"/>
  <c r="E38" i="4" s="1"/>
  <c r="H36" i="4" l="1"/>
  <c r="M39" i="6"/>
  <c r="H39" i="6"/>
  <c r="K39" i="6"/>
  <c r="J41" i="6"/>
  <c r="F41" i="6"/>
  <c r="I41" i="6"/>
  <c r="D41" i="6"/>
  <c r="E41" i="6" s="1"/>
  <c r="C42" i="6"/>
  <c r="G40" i="6"/>
  <c r="J40" i="5"/>
  <c r="F40" i="5"/>
  <c r="I40" i="5"/>
  <c r="C41" i="5"/>
  <c r="D40" i="5"/>
  <c r="E40" i="5" s="1"/>
  <c r="G39" i="5"/>
  <c r="M38" i="5"/>
  <c r="H38" i="5"/>
  <c r="K38" i="5"/>
  <c r="M36" i="4"/>
  <c r="G37" i="4"/>
  <c r="M37" i="4" s="1"/>
  <c r="G38" i="4"/>
  <c r="C40" i="4"/>
  <c r="I39" i="4"/>
  <c r="F39" i="4"/>
  <c r="J39" i="4"/>
  <c r="D39" i="4"/>
  <c r="E39" i="4" s="1"/>
  <c r="K37" i="4" l="1"/>
  <c r="H37" i="4"/>
  <c r="M40" i="6"/>
  <c r="H40" i="6"/>
  <c r="K40" i="6"/>
  <c r="J42" i="6"/>
  <c r="F42" i="6"/>
  <c r="I42" i="6"/>
  <c r="D42" i="6"/>
  <c r="E42" i="6" s="1"/>
  <c r="C43" i="6"/>
  <c r="G41" i="6"/>
  <c r="G40" i="5"/>
  <c r="M39" i="5"/>
  <c r="H39" i="5"/>
  <c r="K39" i="5"/>
  <c r="J41" i="5"/>
  <c r="F41" i="5"/>
  <c r="C42" i="5"/>
  <c r="I41" i="5"/>
  <c r="D41" i="5"/>
  <c r="E41" i="5" s="1"/>
  <c r="G39" i="4"/>
  <c r="J40" i="4"/>
  <c r="D40" i="4"/>
  <c r="E40" i="4" s="1"/>
  <c r="I40" i="4"/>
  <c r="C41" i="4"/>
  <c r="F40" i="4"/>
  <c r="M38" i="4"/>
  <c r="H38" i="4"/>
  <c r="K38" i="4"/>
  <c r="M41" i="6" l="1"/>
  <c r="H41" i="6"/>
  <c r="K41" i="6"/>
  <c r="J43" i="6"/>
  <c r="F43" i="6"/>
  <c r="I43" i="6"/>
  <c r="D43" i="6"/>
  <c r="E43" i="6" s="1"/>
  <c r="C44" i="6"/>
  <c r="G42" i="6"/>
  <c r="G41" i="5"/>
  <c r="J42" i="5"/>
  <c r="F42" i="5"/>
  <c r="I42" i="5"/>
  <c r="C43" i="5"/>
  <c r="D42" i="5"/>
  <c r="E42" i="5" s="1"/>
  <c r="M40" i="5"/>
  <c r="H40" i="5"/>
  <c r="K40" i="5"/>
  <c r="G40" i="4"/>
  <c r="F41" i="4"/>
  <c r="C42" i="4"/>
  <c r="I41" i="4"/>
  <c r="J41" i="4"/>
  <c r="D41" i="4"/>
  <c r="E41" i="4" s="1"/>
  <c r="M39" i="4"/>
  <c r="H39" i="4"/>
  <c r="K39" i="4"/>
  <c r="M42" i="6" l="1"/>
  <c r="H42" i="6"/>
  <c r="K42" i="6"/>
  <c r="J44" i="6"/>
  <c r="F44" i="6"/>
  <c r="I44" i="6"/>
  <c r="D44" i="6"/>
  <c r="E44" i="6" s="1"/>
  <c r="G43" i="6"/>
  <c r="G42" i="5"/>
  <c r="J43" i="5"/>
  <c r="F43" i="5"/>
  <c r="I43" i="5"/>
  <c r="C44" i="5"/>
  <c r="D43" i="5"/>
  <c r="E43" i="5" s="1"/>
  <c r="M41" i="5"/>
  <c r="H41" i="5"/>
  <c r="K41" i="5"/>
  <c r="J42" i="4"/>
  <c r="I42" i="4"/>
  <c r="C43" i="4"/>
  <c r="D42" i="4"/>
  <c r="E42" i="4" s="1"/>
  <c r="F42" i="4"/>
  <c r="G41" i="4"/>
  <c r="M40" i="4"/>
  <c r="H40" i="4"/>
  <c r="K40" i="4"/>
  <c r="M43" i="6" l="1"/>
  <c r="H43" i="6"/>
  <c r="K43" i="6"/>
  <c r="G44" i="6"/>
  <c r="F18" i="6"/>
  <c r="G43" i="5"/>
  <c r="J44" i="5"/>
  <c r="F44" i="5"/>
  <c r="I44" i="5"/>
  <c r="D44" i="5"/>
  <c r="E44" i="5" s="1"/>
  <c r="M42" i="5"/>
  <c r="H42" i="5"/>
  <c r="K42" i="5"/>
  <c r="G42" i="4"/>
  <c r="K42" i="4" s="1"/>
  <c r="F43" i="4"/>
  <c r="C44" i="4"/>
  <c r="I43" i="4"/>
  <c r="J43" i="4"/>
  <c r="D43" i="4"/>
  <c r="E43" i="4" s="1"/>
  <c r="M41" i="4"/>
  <c r="H41" i="4"/>
  <c r="K41" i="4"/>
  <c r="H42" i="4"/>
  <c r="M42" i="4" l="1"/>
  <c r="M44" i="6"/>
  <c r="H44" i="6"/>
  <c r="H18" i="6" s="1"/>
  <c r="H17" i="6" s="1"/>
  <c r="C6" i="7" s="1"/>
  <c r="G18" i="6"/>
  <c r="G17" i="6" s="1"/>
  <c r="K44" i="6"/>
  <c r="G44" i="5"/>
  <c r="F18" i="5"/>
  <c r="M43" i="5"/>
  <c r="H43" i="5"/>
  <c r="K43" i="5"/>
  <c r="I44" i="4"/>
  <c r="J44" i="4"/>
  <c r="J18" i="4" s="1"/>
  <c r="J17" i="4" s="1"/>
  <c r="D44" i="4"/>
  <c r="E44" i="4" s="1"/>
  <c r="F44" i="4"/>
  <c r="G43" i="4"/>
  <c r="M44" i="5" l="1"/>
  <c r="H44" i="5"/>
  <c r="H18" i="5" s="1"/>
  <c r="H17" i="5" s="1"/>
  <c r="G18" i="5"/>
  <c r="G17" i="5" s="1"/>
  <c r="K44" i="5"/>
  <c r="G44" i="4"/>
  <c r="F18" i="4"/>
  <c r="M43" i="4"/>
  <c r="H43" i="4"/>
  <c r="K43" i="4"/>
  <c r="H44" i="4" l="1"/>
  <c r="H18" i="4" s="1"/>
  <c r="M44" i="4"/>
  <c r="G18" i="4"/>
  <c r="G17" i="4" s="1"/>
  <c r="K44" i="4"/>
  <c r="H17" i="4" l="1"/>
  <c r="C5" i="7" s="1"/>
  <c r="K28" i="4" l="1"/>
  <c r="I28" i="4"/>
  <c r="K30" i="4"/>
  <c r="I30" i="4"/>
  <c r="I27" i="4"/>
  <c r="K27" i="4"/>
  <c r="I29" i="4"/>
  <c r="K29" i="4"/>
  <c r="I26" i="4"/>
  <c r="K26" i="4"/>
  <c r="I25" i="4"/>
  <c r="K25" i="4"/>
  <c r="L21" i="4"/>
  <c r="K21" i="4"/>
  <c r="N21" i="4"/>
  <c r="N22" i="4" s="1"/>
  <c r="N23" i="4" s="1"/>
  <c r="N24" i="4" s="1"/>
  <c r="N25" i="4" s="1"/>
  <c r="N26" i="4" s="1"/>
  <c r="N27" i="4" s="1"/>
  <c r="N28" i="4" s="1"/>
  <c r="N29" i="4" s="1"/>
  <c r="N30" i="4" s="1"/>
  <c r="I21" i="4"/>
  <c r="L22" i="4"/>
  <c r="L23" i="4" s="1"/>
  <c r="L24" i="4" s="1"/>
  <c r="L25" i="4" s="1"/>
  <c r="L26" i="4" s="1"/>
  <c r="L27" i="4" s="1"/>
  <c r="L28" i="4" s="1"/>
  <c r="L29" i="4" s="1"/>
  <c r="L30" i="4" s="1"/>
  <c r="I22" i="4"/>
  <c r="K22" i="4"/>
  <c r="K24" i="4"/>
  <c r="I24" i="4"/>
  <c r="K23" i="4"/>
  <c r="I23" i="4"/>
  <c r="I18" i="4" l="1"/>
  <c r="I17" i="4" s="1"/>
</calcChain>
</file>

<file path=xl/comments1.xml><?xml version="1.0" encoding="utf-8"?>
<comments xmlns="http://schemas.openxmlformats.org/spreadsheetml/2006/main">
  <authors>
    <author>Margarete Boteon</author>
    <author>Lucilio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Valor da entrada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Valor total do financiamento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Período que vc não paga as parcelas fixas. Então, você inicia no ano subsequente.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Ano que se inicia o pgto dos juros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Juros nominal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Considerando um juro pré-fixado.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Somente para ter um parâmetro do Custo de Oportunidade e da taxa de juros efetiva anual.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Qto vale essa máquina (estimativa) após a via útil?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Considerar o juros nominal.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Somente para ter um parâmetro do Custo de Oportunidade e da taxa de juros efetiva anual.</t>
        </r>
      </text>
    </comment>
    <comment ref="I18" authorId="1" shapeId="0">
      <text>
        <r>
          <rPr>
            <b/>
            <sz val="8"/>
            <color indexed="81"/>
            <rFont val="Tahoma"/>
            <family val="2"/>
          </rPr>
          <t>Lucilio:</t>
        </r>
        <r>
          <rPr>
            <sz val="8"/>
            <color indexed="81"/>
            <rFont val="Tahoma"/>
            <family val="2"/>
          </rPr>
          <t xml:space="preserve">
SOMA DO CARP INVESTIMENTO CAPITALIZADO</t>
        </r>
      </text>
    </comment>
    <comment ref="J18" authorId="1" shapeId="0">
      <text>
        <r>
          <rPr>
            <b/>
            <sz val="8"/>
            <color indexed="81"/>
            <rFont val="Tahoma"/>
            <family val="2"/>
          </rPr>
          <t>Lucilio:</t>
        </r>
        <r>
          <rPr>
            <sz val="8"/>
            <color indexed="81"/>
            <rFont val="Tahoma"/>
            <family val="2"/>
          </rPr>
          <t xml:space="preserve">
SOMA DO CARP CAPITALIZADO SE FOSSE PAGO TUDO À VISTA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Valor original do financiamento divido por anos de financiamento (descontado o período de carência)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Juros sobre o valor residual do financiamento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Valor da Parcela fixa + Juros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Trata-se de trazer para o presente (jan/2013) o valor do total da parcela a pagar no futuro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Valor Residual do Financiamento x juros (aa)</t>
        </r>
      </text>
    </comment>
  </commentList>
</comments>
</file>

<file path=xl/comments2.xml><?xml version="1.0" encoding="utf-8"?>
<comments xmlns="http://schemas.openxmlformats.org/spreadsheetml/2006/main">
  <authors>
    <author>Margarete Boteon</author>
    <author>Lucilio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Valor da entrada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Valor total do financiamento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Período que vc não paga as parcelas fixas. Então, você inicia no ano subsequente.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Ano que se inicia o pgto dos juros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Juros nominal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Considerando um juro pré-fixado.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Somente para ter um parâmetro do Custo de Oportunidade e da taxa de juros efetiva anual.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Qto vale essa máquina (estimativa) após a via útil?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Considerar o juros nominal.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Somente para ter um parâmetro do Custo de Oportunidade e da taxa de juros efetiva anual.</t>
        </r>
      </text>
    </comment>
    <comment ref="I18" authorId="1" shapeId="0">
      <text>
        <r>
          <rPr>
            <b/>
            <sz val="8"/>
            <color indexed="81"/>
            <rFont val="Tahoma"/>
            <family val="2"/>
          </rPr>
          <t>Lucilio:</t>
        </r>
        <r>
          <rPr>
            <sz val="8"/>
            <color indexed="81"/>
            <rFont val="Tahoma"/>
            <family val="2"/>
          </rPr>
          <t xml:space="preserve">
SOMA DO CARP INVESTIMENTO CAPITALIZADO</t>
        </r>
      </text>
    </comment>
    <comment ref="J18" authorId="1" shapeId="0">
      <text>
        <r>
          <rPr>
            <b/>
            <sz val="8"/>
            <color indexed="81"/>
            <rFont val="Tahoma"/>
            <family val="2"/>
          </rPr>
          <t>Lucilio:</t>
        </r>
        <r>
          <rPr>
            <sz val="8"/>
            <color indexed="81"/>
            <rFont val="Tahoma"/>
            <family val="2"/>
          </rPr>
          <t xml:space="preserve">
SOMA DO CARP CAPITALIZADO SE FOSSE PAGO TUDO À VISTA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Valor original do financiamento divido por anos de financiamento (descontado o período de carência)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Juros sobre o valor residual do financiamento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Valor da Parcela fixa + Juros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Trata-se de trazer para o presente (jan/2013) o valor do total da parcela a pagar no futuro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Valor Residual do Financiamento x juros (aa)</t>
        </r>
      </text>
    </comment>
  </commentList>
</comments>
</file>

<file path=xl/comments3.xml><?xml version="1.0" encoding="utf-8"?>
<comments xmlns="http://schemas.openxmlformats.org/spreadsheetml/2006/main">
  <authors>
    <author>Margarete Boteon</author>
    <author>Lucilio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Valor da entrada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Valor total do financiamento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Período que vc não paga as parcelas fixas. Então, você inicia no ano subsequente.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Ano que se inicia o pgto dos juros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Juros nominal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Considerando um juro pré-fixado.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Somente para ter um parâmetro do Custo de Oportunidade e da taxa de juros efetiva anual.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Qto vale essa máquina (estimativa) após a via útil?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Considerar o juros nominal.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Somente para ter um parâmetro do Custo de Oportunidade e da taxa de juros efetiva anual.</t>
        </r>
      </text>
    </comment>
    <comment ref="I18" authorId="1" shapeId="0">
      <text>
        <r>
          <rPr>
            <b/>
            <sz val="8"/>
            <color indexed="81"/>
            <rFont val="Tahoma"/>
            <family val="2"/>
          </rPr>
          <t>Lucilio:</t>
        </r>
        <r>
          <rPr>
            <sz val="8"/>
            <color indexed="81"/>
            <rFont val="Tahoma"/>
            <family val="2"/>
          </rPr>
          <t xml:space="preserve">
SOMA DO CARP INVESTIMENTO CAPITALIZADO</t>
        </r>
      </text>
    </comment>
    <comment ref="J18" authorId="1" shapeId="0">
      <text>
        <r>
          <rPr>
            <b/>
            <sz val="8"/>
            <color indexed="81"/>
            <rFont val="Tahoma"/>
            <family val="2"/>
          </rPr>
          <t>Lucilio:</t>
        </r>
        <r>
          <rPr>
            <sz val="8"/>
            <color indexed="81"/>
            <rFont val="Tahoma"/>
            <family val="2"/>
          </rPr>
          <t xml:space="preserve">
SOMA DO CARP CAPITALIZADO SE FOSSE PAGO TUDO À VISTA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Valor original do financiamento divido por anos de financiamento (descontado o período de carência)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Juros sobre o valor residual do financiamento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Valor da Parcela fixa + Juros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Trata-se de trazer para o presente (jan/2013) o valor do total da parcela a pagar no futuro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Valor Residual do Financiamento x juros (aa)</t>
        </r>
      </text>
    </comment>
  </commentList>
</comments>
</file>

<file path=xl/sharedStrings.xml><?xml version="1.0" encoding="utf-8"?>
<sst xmlns="http://schemas.openxmlformats.org/spreadsheetml/2006/main" count="115" uniqueCount="45">
  <si>
    <t>Planilha para análise de financiamento de máquinas e equipamentos</t>
  </si>
  <si>
    <t>Variáveis a serem definidas</t>
  </si>
  <si>
    <t>Item Financiado:</t>
  </si>
  <si>
    <t>COLHEDORA KTR JACTO</t>
  </si>
  <si>
    <t>Valor de entrada:</t>
  </si>
  <si>
    <t>Valor financiado:</t>
  </si>
  <si>
    <t>Valor total do ativo financiado:</t>
  </si>
  <si>
    <t>Valor a vista</t>
  </si>
  <si>
    <t>Prazo do financiamento, em anos:</t>
  </si>
  <si>
    <t>Carências, em anos:</t>
  </si>
  <si>
    <t>Ano de pagamento dos juros:</t>
  </si>
  <si>
    <t>Taxa de juro efetiva anual (%):</t>
  </si>
  <si>
    <t>Inflação média esperada anual (%):</t>
  </si>
  <si>
    <t xml:space="preserve">Vida útil do bem, em anos: </t>
  </si>
  <si>
    <t>Valor do financiamento</t>
  </si>
  <si>
    <t>Valor de sucata (%):</t>
  </si>
  <si>
    <t>Total</t>
  </si>
  <si>
    <t>Valor Presente (VP)</t>
  </si>
  <si>
    <t xml:space="preserve">Custo de oportunidade do proprietário (%): </t>
  </si>
  <si>
    <t>Fator de recuperação do capital (frc):</t>
  </si>
  <si>
    <t>Calendário de Pgtos</t>
  </si>
  <si>
    <t>Prazo do 
Financiamento</t>
  </si>
  <si>
    <t>Valor da Parcela Fixa</t>
  </si>
  <si>
    <t>Valor Residual do Financiamento</t>
  </si>
  <si>
    <t>Juros pagos no período</t>
  </si>
  <si>
    <t>Valor total da parcela</t>
  </si>
  <si>
    <t>Valor presente (VP) da parcela</t>
  </si>
  <si>
    <r>
      <t xml:space="preserve">Valor capitalizado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investimento - final</t>
    </r>
  </si>
  <si>
    <r>
      <t xml:space="preserve">Valor capitalizado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com pagto a vista - final</t>
    </r>
  </si>
  <si>
    <r>
      <t>CARP</t>
    </r>
    <r>
      <rPr>
        <b/>
        <sz val="10"/>
        <rFont val="Arial"/>
        <family val="2"/>
      </rPr>
      <t xml:space="preserve"> do bem financiado (-) parcela a pagar</t>
    </r>
  </si>
  <si>
    <r>
      <t xml:space="preserve">Valor acumulado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capitalizado</t>
    </r>
  </si>
  <si>
    <t>Valor acumulado da PARCELA capitalizado</t>
  </si>
  <si>
    <r>
      <t>CARP</t>
    </r>
    <r>
      <rPr>
        <b/>
        <sz val="10"/>
        <rFont val="Arial"/>
        <family val="2"/>
      </rPr>
      <t xml:space="preserve"> Financiado (capitalizado) (-) parcela a pagar</t>
    </r>
  </si>
  <si>
    <t>Total de juros</t>
  </si>
  <si>
    <t>Carência:</t>
  </si>
  <si>
    <t>(olhe o calendário de ptgos abaixo)</t>
  </si>
  <si>
    <t>PLANODE FINANCIAMENTO</t>
  </si>
  <si>
    <t>Parcelas</t>
  </si>
  <si>
    <t>inCLUI A ENTRADA DE 80 MIL</t>
  </si>
  <si>
    <t>opção 1</t>
  </si>
  <si>
    <t>opção 2</t>
  </si>
  <si>
    <t>opção 3</t>
  </si>
  <si>
    <t>A melhor opção é dar uma entrada e pagar o restante financiado.</t>
  </si>
  <si>
    <t>Essa é a segunda melhor opção, se não houver como pagar uma parcela, entrada</t>
  </si>
  <si>
    <t>Vale mais a pena financiar, dado que o custo de oportunidade é mais elevado que os juros do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</si>
</sst>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* #,##0.0000_-;\-* #,##0.0000_-;_-* &quot;-&quot;??_-;_-@_-"/>
    <numFmt numFmtId="167" formatCode="0.00%\ &quot;nominal&quot;"/>
    <numFmt numFmtId="168" formatCode="0.00%\ &quot;real&quot;"/>
    <numFmt numFmtId="169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2"/>
      <color theme="0" tint="-0.49998474074526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16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4" applyNumberFormat="0" applyAlignment="0" applyProtection="0"/>
    <xf numFmtId="0" fontId="6" fillId="22" borderId="5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4" applyNumberFormat="0" applyAlignment="0" applyProtection="0"/>
    <xf numFmtId="0" fontId="13" fillId="0" borderId="9" applyNumberFormat="0" applyFill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23" borderId="0" applyNumberFormat="0" applyBorder="0" applyAlignment="0" applyProtection="0"/>
    <xf numFmtId="0" fontId="14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16" fillId="0" borderId="0" applyNumberFormat="0" applyFill="0" applyBorder="0" applyAlignment="0" applyProtection="0"/>
    <xf numFmtId="0" fontId="16" fillId="24" borderId="10" applyNumberFormat="0" applyFont="0" applyAlignment="0" applyProtection="0"/>
    <xf numFmtId="0" fontId="17" fillId="21" borderId="11" applyNumberForma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0" fillId="2" borderId="0" xfId="0" applyFill="1"/>
    <xf numFmtId="0" fontId="22" fillId="0" borderId="0" xfId="0" applyFont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8" borderId="23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horizontal="center" vertical="center" wrapText="1"/>
    </xf>
    <xf numFmtId="0" fontId="0" fillId="25" borderId="0" xfId="0" applyFill="1"/>
    <xf numFmtId="0" fontId="0" fillId="28" borderId="18" xfId="0" applyFill="1" applyBorder="1"/>
    <xf numFmtId="43" fontId="0" fillId="28" borderId="3" xfId="80" applyFont="1" applyFill="1" applyBorder="1"/>
    <xf numFmtId="43" fontId="0" fillId="28" borderId="15" xfId="80" applyFont="1" applyFill="1" applyBorder="1"/>
    <xf numFmtId="43" fontId="0" fillId="28" borderId="24" xfId="80" applyFont="1" applyFill="1" applyBorder="1"/>
    <xf numFmtId="43" fontId="0" fillId="27" borderId="18" xfId="0" applyNumberFormat="1" applyFill="1" applyBorder="1"/>
    <xf numFmtId="43" fontId="0" fillId="25" borderId="2" xfId="80" applyFont="1" applyFill="1" applyBorder="1"/>
    <xf numFmtId="43" fontId="0" fillId="28" borderId="30" xfId="80" applyFont="1" applyFill="1" applyBorder="1"/>
    <xf numFmtId="43" fontId="0" fillId="28" borderId="34" xfId="80" applyFont="1" applyFill="1" applyBorder="1"/>
    <xf numFmtId="43" fontId="0" fillId="25" borderId="35" xfId="80" applyFont="1" applyFill="1" applyBorder="1"/>
    <xf numFmtId="43" fontId="0" fillId="29" borderId="36" xfId="80" applyFont="1" applyFill="1" applyBorder="1"/>
    <xf numFmtId="43" fontId="0" fillId="28" borderId="12" xfId="80" applyFont="1" applyFill="1" applyBorder="1"/>
    <xf numFmtId="43" fontId="0" fillId="29" borderId="19" xfId="80" applyFont="1" applyFill="1" applyBorder="1"/>
    <xf numFmtId="0" fontId="0" fillId="28" borderId="19" xfId="0" applyFill="1" applyBorder="1"/>
    <xf numFmtId="43" fontId="0" fillId="27" borderId="19" xfId="0" applyNumberFormat="1" applyFill="1" applyBorder="1"/>
    <xf numFmtId="43" fontId="0" fillId="25" borderId="31" xfId="80" applyFont="1" applyFill="1" applyBorder="1"/>
    <xf numFmtId="0" fontId="0" fillId="28" borderId="20" xfId="0" applyFill="1" applyBorder="1"/>
    <xf numFmtId="43" fontId="0" fillId="28" borderId="25" xfId="80" applyFont="1" applyFill="1" applyBorder="1"/>
    <xf numFmtId="43" fontId="0" fillId="28" borderId="26" xfId="80" applyFont="1" applyFill="1" applyBorder="1"/>
    <xf numFmtId="43" fontId="0" fillId="27" borderId="20" xfId="0" applyNumberFormat="1" applyFill="1" applyBorder="1"/>
    <xf numFmtId="43" fontId="0" fillId="25" borderId="13" xfId="80" applyFont="1" applyFill="1" applyBorder="1"/>
    <xf numFmtId="43" fontId="0" fillId="28" borderId="32" xfId="80" applyFont="1" applyFill="1" applyBorder="1"/>
    <xf numFmtId="43" fontId="0" fillId="25" borderId="33" xfId="80" applyFont="1" applyFill="1" applyBorder="1"/>
    <xf numFmtId="43" fontId="0" fillId="29" borderId="20" xfId="80" applyFont="1" applyFill="1" applyBorder="1"/>
    <xf numFmtId="43" fontId="0" fillId="28" borderId="14" xfId="80" applyFont="1" applyFill="1" applyBorder="1"/>
    <xf numFmtId="0" fontId="22" fillId="0" borderId="0" xfId="0" applyFont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43" fontId="0" fillId="2" borderId="0" xfId="0" applyNumberFormat="1" applyFill="1"/>
    <xf numFmtId="0" fontId="22" fillId="2" borderId="0" xfId="0" applyFont="1" applyFill="1" applyAlignment="1">
      <alignment horizontal="center" vertical="center" wrapText="1"/>
    </xf>
    <xf numFmtId="43" fontId="0" fillId="2" borderId="0" xfId="80" applyFont="1" applyFill="1"/>
    <xf numFmtId="17" fontId="0" fillId="2" borderId="0" xfId="0" applyNumberFormat="1" applyFill="1"/>
    <xf numFmtId="0" fontId="29" fillId="25" borderId="27" xfId="0" applyFont="1" applyFill="1" applyBorder="1" applyAlignment="1">
      <alignment vertical="center"/>
    </xf>
    <xf numFmtId="0" fontId="30" fillId="2" borderId="15" xfId="0" applyFont="1" applyFill="1" applyBorder="1"/>
    <xf numFmtId="0" fontId="29" fillId="2" borderId="0" xfId="0" applyFont="1" applyFill="1"/>
    <xf numFmtId="0" fontId="29" fillId="0" borderId="0" xfId="0" applyFont="1"/>
    <xf numFmtId="0" fontId="31" fillId="25" borderId="15" xfId="0" applyFont="1" applyFill="1" applyBorder="1" applyAlignment="1">
      <alignment vertical="center"/>
    </xf>
    <xf numFmtId="9" fontId="30" fillId="2" borderId="15" xfId="0" applyNumberFormat="1" applyFont="1" applyFill="1" applyBorder="1"/>
    <xf numFmtId="7" fontId="29" fillId="2" borderId="0" xfId="0" applyNumberFormat="1" applyFont="1" applyFill="1"/>
    <xf numFmtId="0" fontId="32" fillId="26" borderId="15" xfId="0" applyFont="1" applyFill="1" applyBorder="1" applyAlignment="1">
      <alignment vertical="center"/>
    </xf>
    <xf numFmtId="7" fontId="30" fillId="2" borderId="15" xfId="0" applyNumberFormat="1" applyFont="1" applyFill="1" applyBorder="1"/>
    <xf numFmtId="0" fontId="29" fillId="25" borderId="15" xfId="0" applyFont="1" applyFill="1" applyBorder="1" applyAlignment="1">
      <alignment vertical="center"/>
    </xf>
    <xf numFmtId="0" fontId="33" fillId="2" borderId="0" xfId="77" applyFont="1" applyFill="1" applyAlignment="1" applyProtection="1"/>
    <xf numFmtId="0" fontId="31" fillId="2" borderId="0" xfId="0" applyFont="1" applyFill="1"/>
    <xf numFmtId="0" fontId="31" fillId="2" borderId="0" xfId="0" applyFont="1" applyFill="1" applyAlignment="1">
      <alignment horizontal="center"/>
    </xf>
    <xf numFmtId="0" fontId="31" fillId="30" borderId="0" xfId="0" applyFont="1" applyFill="1"/>
    <xf numFmtId="168" fontId="34" fillId="2" borderId="15" xfId="81" applyNumberFormat="1" applyFont="1" applyFill="1" applyBorder="1" applyAlignment="1">
      <alignment horizontal="left"/>
    </xf>
    <xf numFmtId="43" fontId="31" fillId="0" borderId="15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167" fontId="35" fillId="2" borderId="0" xfId="81" applyNumberFormat="1" applyFont="1" applyFill="1" applyAlignment="1">
      <alignment horizontal="left"/>
    </xf>
    <xf numFmtId="43" fontId="29" fillId="0" borderId="15" xfId="0" applyNumberFormat="1" applyFont="1" applyBorder="1" applyAlignment="1">
      <alignment horizontal="center"/>
    </xf>
    <xf numFmtId="43" fontId="29" fillId="25" borderId="0" xfId="80" applyFont="1" applyFill="1"/>
    <xf numFmtId="43" fontId="23" fillId="26" borderId="37" xfId="0" applyNumberFormat="1" applyFont="1" applyFill="1" applyBorder="1"/>
    <xf numFmtId="43" fontId="23" fillId="26" borderId="16" xfId="0" applyNumberFormat="1" applyFont="1" applyFill="1" applyBorder="1"/>
    <xf numFmtId="0" fontId="37" fillId="2" borderId="15" xfId="0" applyFont="1" applyFill="1" applyBorder="1" applyAlignment="1">
      <alignment vertical="center"/>
    </xf>
    <xf numFmtId="0" fontId="34" fillId="2" borderId="15" xfId="0" applyFont="1" applyFill="1" applyBorder="1" applyAlignment="1">
      <alignment vertical="center"/>
    </xf>
    <xf numFmtId="0" fontId="39" fillId="2" borderId="15" xfId="0" applyFont="1" applyFill="1" applyBorder="1"/>
    <xf numFmtId="7" fontId="39" fillId="2" borderId="15" xfId="0" applyNumberFormat="1" applyFont="1" applyFill="1" applyBorder="1"/>
    <xf numFmtId="0" fontId="22" fillId="31" borderId="15" xfId="0" applyFont="1" applyFill="1" applyBorder="1" applyAlignment="1">
      <alignment horizontal="center" vertical="center" wrapText="1"/>
    </xf>
    <xf numFmtId="17" fontId="0" fillId="31" borderId="15" xfId="0" applyNumberFormat="1" applyFill="1" applyBorder="1"/>
    <xf numFmtId="0" fontId="22" fillId="28" borderId="40" xfId="0" applyFont="1" applyFill="1" applyBorder="1" applyAlignment="1">
      <alignment horizontal="center" vertical="center" wrapText="1"/>
    </xf>
    <xf numFmtId="0" fontId="0" fillId="28" borderId="41" xfId="0" applyFill="1" applyBorder="1"/>
    <xf numFmtId="0" fontId="0" fillId="28" borderId="42" xfId="0" applyFill="1" applyBorder="1"/>
    <xf numFmtId="0" fontId="22" fillId="25" borderId="15" xfId="0" applyFont="1" applyFill="1" applyBorder="1" applyAlignment="1">
      <alignment horizontal="center" vertical="center" wrapText="1"/>
    </xf>
    <xf numFmtId="0" fontId="0" fillId="25" borderId="15" xfId="0" applyFill="1" applyBorder="1"/>
    <xf numFmtId="0" fontId="40" fillId="2" borderId="0" xfId="0" applyFont="1" applyFill="1"/>
    <xf numFmtId="0" fontId="41" fillId="2" borderId="0" xfId="0" applyFont="1" applyFill="1" applyAlignment="1">
      <alignment horizontal="center" vertical="center" wrapText="1"/>
    </xf>
    <xf numFmtId="43" fontId="40" fillId="2" borderId="0" xfId="80" applyFont="1" applyFill="1"/>
    <xf numFmtId="43" fontId="40" fillId="2" borderId="0" xfId="0" applyNumberFormat="1" applyFont="1" applyFill="1"/>
    <xf numFmtId="0" fontId="40" fillId="0" borderId="0" xfId="0" applyFont="1"/>
    <xf numFmtId="0" fontId="36" fillId="2" borderId="15" xfId="0" applyFont="1" applyFill="1" applyBorder="1" applyAlignment="1">
      <alignment horizontal="center"/>
    </xf>
    <xf numFmtId="43" fontId="29" fillId="2" borderId="0" xfId="80" applyFont="1" applyFill="1"/>
    <xf numFmtId="169" fontId="0" fillId="2" borderId="0" xfId="81" applyNumberFormat="1" applyFont="1" applyFill="1"/>
    <xf numFmtId="169" fontId="29" fillId="2" borderId="0" xfId="81" applyNumberFormat="1" applyFont="1" applyFill="1"/>
    <xf numFmtId="43" fontId="29" fillId="32" borderId="15" xfId="0" applyNumberFormat="1" applyFont="1" applyFill="1" applyBorder="1" applyAlignment="1">
      <alignment horizontal="center"/>
    </xf>
    <xf numFmtId="43" fontId="31" fillId="32" borderId="15" xfId="0" applyNumberFormat="1" applyFont="1" applyFill="1" applyBorder="1" applyAlignment="1">
      <alignment horizontal="center"/>
    </xf>
    <xf numFmtId="43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10" fontId="29" fillId="0" borderId="1" xfId="0" applyNumberFormat="1" applyFont="1" applyBorder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/>
    </xf>
    <xf numFmtId="0" fontId="29" fillId="2" borderId="15" xfId="0" applyFont="1" applyFill="1" applyBorder="1" applyAlignment="1">
      <alignment horizontal="center"/>
    </xf>
    <xf numFmtId="10" fontId="36" fillId="0" borderId="1" xfId="0" applyNumberFormat="1" applyFont="1" applyBorder="1" applyAlignment="1">
      <alignment horizontal="center" vertical="center"/>
    </xf>
    <xf numFmtId="10" fontId="36" fillId="0" borderId="3" xfId="0" applyNumberFormat="1" applyFont="1" applyBorder="1" applyAlignment="1">
      <alignment horizontal="center" vertical="center"/>
    </xf>
    <xf numFmtId="166" fontId="38" fillId="2" borderId="1" xfId="80" applyNumberFormat="1" applyFont="1" applyFill="1" applyBorder="1" applyAlignment="1">
      <alignment horizontal="center" vertical="center"/>
    </xf>
    <xf numFmtId="166" fontId="38" fillId="2" borderId="38" xfId="8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7" fontId="23" fillId="26" borderId="1" xfId="0" applyNumberFormat="1" applyFont="1" applyFill="1" applyBorder="1" applyAlignment="1">
      <alignment horizontal="center" vertical="center"/>
    </xf>
    <xf numFmtId="7" fontId="23" fillId="26" borderId="3" xfId="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wrapText="1"/>
    </xf>
    <xf numFmtId="0" fontId="22" fillId="0" borderId="3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7" fontId="29" fillId="0" borderId="1" xfId="0" applyNumberFormat="1" applyFont="1" applyBorder="1" applyAlignment="1">
      <alignment horizontal="center" vertical="center"/>
    </xf>
    <xf numFmtId="7" fontId="29" fillId="0" borderId="3" xfId="0" applyNumberFormat="1" applyFont="1" applyBorder="1" applyAlignment="1">
      <alignment horizontal="center" vertical="center"/>
    </xf>
    <xf numFmtId="10" fontId="34" fillId="2" borderId="1" xfId="0" applyNumberFormat="1" applyFont="1" applyFill="1" applyBorder="1" applyAlignment="1">
      <alignment horizontal="center" vertical="center"/>
    </xf>
    <xf numFmtId="10" fontId="34" fillId="2" borderId="3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8" fontId="29" fillId="2" borderId="0" xfId="0" applyNumberFormat="1" applyFont="1" applyFill="1"/>
    <xf numFmtId="10" fontId="29" fillId="2" borderId="0" xfId="0" applyNumberFormat="1" applyFont="1" applyFill="1"/>
    <xf numFmtId="8" fontId="0" fillId="2" borderId="0" xfId="0" applyNumberFormat="1" applyFill="1"/>
    <xf numFmtId="43" fontId="29" fillId="0" borderId="0" xfId="80" applyFont="1"/>
    <xf numFmtId="0" fontId="0" fillId="32" borderId="0" xfId="0" applyFill="1"/>
    <xf numFmtId="43" fontId="0" fillId="32" borderId="0" xfId="0" applyNumberFormat="1" applyFill="1"/>
  </cellXfs>
  <cellStyles count="8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3 2" xfId="34"/>
    <cellStyle name="Heading 3 2 2" xfId="35"/>
    <cellStyle name="Heading 3 3" xfId="36"/>
    <cellStyle name="Heading 3 3 2" xfId="37"/>
    <cellStyle name="Heading 3 4" xfId="38"/>
    <cellStyle name="Heading 3 4 2" xfId="73"/>
    <cellStyle name="Heading 3 5" xfId="39"/>
    <cellStyle name="Heading 4" xfId="40"/>
    <cellStyle name="Hiperlink" xfId="77" builtinId="8"/>
    <cellStyle name="Hiperlink 2" xfId="74"/>
    <cellStyle name="Input" xfId="41"/>
    <cellStyle name="Linked Cell" xfId="42"/>
    <cellStyle name="Moeda 2" xfId="43"/>
    <cellStyle name="Moeda 2 2" xfId="44"/>
    <cellStyle name="Moeda 2 2 2" xfId="75"/>
    <cellStyle name="Moeda 3" xfId="45"/>
    <cellStyle name="Moeda 4" xfId="1"/>
    <cellStyle name="Moeda 4 2" xfId="46"/>
    <cellStyle name="Moeda 5" xfId="47"/>
    <cellStyle name="Moeda 6" xfId="48"/>
    <cellStyle name="Neutral" xfId="49"/>
    <cellStyle name="Normal" xfId="0" builtinId="0"/>
    <cellStyle name="Normal 2" xfId="50"/>
    <cellStyle name="Normal 2 2" xfId="51"/>
    <cellStyle name="Normal 2 3" xfId="78"/>
    <cellStyle name="Normal 2_CT1" xfId="52"/>
    <cellStyle name="Normal 3" xfId="53"/>
    <cellStyle name="Normal 4" xfId="54"/>
    <cellStyle name="Normal 4 2" xfId="55"/>
    <cellStyle name="Note" xfId="56"/>
    <cellStyle name="Output" xfId="57"/>
    <cellStyle name="Porcentagem" xfId="81" builtinId="5"/>
    <cellStyle name="Porcentagem 2" xfId="58"/>
    <cellStyle name="Porcentagem 2 2" xfId="59"/>
    <cellStyle name="Porcentagem 2 2 2" xfId="76"/>
    <cellStyle name="Porcentagem 3" xfId="60"/>
    <cellStyle name="Porcentagem 4" xfId="61"/>
    <cellStyle name="Porcentagem 5" xfId="62"/>
    <cellStyle name="Separador de milhares 2" xfId="63"/>
    <cellStyle name="Separador de milhares 2 2" xfId="64"/>
    <cellStyle name="Separador de milhares 3" xfId="65"/>
    <cellStyle name="Separador de milhares 4" xfId="66"/>
    <cellStyle name="Separador de milhares 5" xfId="67"/>
    <cellStyle name="Title" xfId="68"/>
    <cellStyle name="Vírgula" xfId="80" builtinId="3"/>
    <cellStyle name="Vírgula 2" xfId="69"/>
    <cellStyle name="Vírgula 3" xfId="70"/>
    <cellStyle name="Vírgula 4" xfId="71"/>
    <cellStyle name="Vírgula 5" xfId="79"/>
    <cellStyle name="Warning Text" xfId="72"/>
  </cellStyles>
  <dxfs count="6"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0</xdr:row>
      <xdr:rowOff>104776</xdr:rowOff>
    </xdr:from>
    <xdr:to>
      <xdr:col>14</xdr:col>
      <xdr:colOff>152400</xdr:colOff>
      <xdr:row>13</xdr:row>
      <xdr:rowOff>10183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04776"/>
          <a:ext cx="2743200" cy="2524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66676</xdr:rowOff>
    </xdr:from>
    <xdr:to>
      <xdr:col>14</xdr:col>
      <xdr:colOff>28575</xdr:colOff>
      <xdr:row>13</xdr:row>
      <xdr:rowOff>114958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66676"/>
          <a:ext cx="2219325" cy="2372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933449</xdr:colOff>
      <xdr:row>2</xdr:row>
      <xdr:rowOff>85726</xdr:rowOff>
    </xdr:from>
    <xdr:to>
      <xdr:col>7</xdr:col>
      <xdr:colOff>1295399</xdr:colOff>
      <xdr:row>13</xdr:row>
      <xdr:rowOff>19708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4" y="561976"/>
          <a:ext cx="3362325" cy="2381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7"/>
  <sheetViews>
    <sheetView topLeftCell="A5" workbookViewId="0">
      <selection activeCell="P6" sqref="P6:Q13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4" width="14.5703125" style="1" customWidth="1"/>
    <col min="5" max="5" width="14.5703125" style="1" hidden="1" customWidth="1"/>
    <col min="6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x14ac:dyDescent="0.25">
      <c r="A1" s="104" t="s">
        <v>0</v>
      </c>
      <c r="B1" s="104"/>
      <c r="C1" s="104"/>
      <c r="D1" s="40"/>
      <c r="E1" s="2"/>
      <c r="F1" s="2"/>
    </row>
    <row r="2" spans="1:40" x14ac:dyDescent="0.25">
      <c r="A2" s="104"/>
      <c r="B2" s="104"/>
      <c r="C2" s="104"/>
      <c r="D2" s="2"/>
      <c r="E2" s="2"/>
      <c r="F2" s="2"/>
    </row>
    <row r="3" spans="1:40" ht="15.75" thickBot="1" x14ac:dyDescent="0.3">
      <c r="D3" s="41"/>
      <c r="E3" s="41"/>
      <c r="F3" s="2"/>
    </row>
    <row r="4" spans="1:40" ht="15.75" thickBot="1" x14ac:dyDescent="0.3">
      <c r="A4" s="105" t="s">
        <v>1</v>
      </c>
      <c r="B4" s="106"/>
      <c r="C4" s="107"/>
      <c r="D4" s="2"/>
      <c r="E4" s="2"/>
      <c r="F4" s="2"/>
    </row>
    <row r="5" spans="1:40" s="49" customFormat="1" ht="15.75" x14ac:dyDescent="0.25">
      <c r="A5" s="46" t="s">
        <v>2</v>
      </c>
      <c r="B5" s="108" t="s">
        <v>3</v>
      </c>
      <c r="C5" s="108"/>
      <c r="D5" s="47"/>
      <c r="E5" s="48"/>
      <c r="F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49" customFormat="1" ht="15.75" x14ac:dyDescent="0.25">
      <c r="A6" s="50" t="s">
        <v>4</v>
      </c>
      <c r="B6" s="109">
        <f>B8*D6</f>
        <v>0</v>
      </c>
      <c r="C6" s="110"/>
      <c r="D6" s="51">
        <v>0</v>
      </c>
      <c r="E6" s="48"/>
      <c r="F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49" customFormat="1" ht="15.75" x14ac:dyDescent="0.25">
      <c r="A7" s="50" t="s">
        <v>5</v>
      </c>
      <c r="B7" s="109">
        <v>400000</v>
      </c>
      <c r="C7" s="110"/>
      <c r="D7" s="51">
        <v>1</v>
      </c>
      <c r="E7" s="52"/>
      <c r="F7" s="48"/>
      <c r="O7" s="48"/>
      <c r="P7" s="115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49" customFormat="1" ht="15.75" x14ac:dyDescent="0.25">
      <c r="A8" s="53" t="s">
        <v>6</v>
      </c>
      <c r="B8" s="102">
        <v>400000</v>
      </c>
      <c r="C8" s="103"/>
      <c r="D8" s="47"/>
      <c r="E8" s="48"/>
      <c r="F8" s="48"/>
      <c r="O8" s="48"/>
      <c r="P8" s="115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9" customFormat="1" ht="15.75" x14ac:dyDescent="0.25">
      <c r="A9" s="50" t="s">
        <v>7</v>
      </c>
      <c r="B9" s="109">
        <v>400000</v>
      </c>
      <c r="C9" s="110"/>
      <c r="D9" s="54">
        <f>B8-B9</f>
        <v>0</v>
      </c>
      <c r="E9" s="48"/>
      <c r="F9" s="48"/>
      <c r="O9" s="48"/>
      <c r="P9" s="115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9" customFormat="1" ht="15.75" x14ac:dyDescent="0.25">
      <c r="A10" s="55" t="s">
        <v>8</v>
      </c>
      <c r="B10" s="100">
        <v>10</v>
      </c>
      <c r="C10" s="101"/>
      <c r="D10" s="48"/>
      <c r="E10" s="48"/>
      <c r="F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ht="15.75" x14ac:dyDescent="0.25">
      <c r="A11" s="55" t="s">
        <v>9</v>
      </c>
      <c r="B11" s="100">
        <v>0</v>
      </c>
      <c r="C11" s="101"/>
      <c r="D11" s="48"/>
      <c r="E11" s="56"/>
      <c r="F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ht="15.75" x14ac:dyDescent="0.25">
      <c r="A12" s="55" t="s">
        <v>10</v>
      </c>
      <c r="B12" s="100">
        <v>1</v>
      </c>
      <c r="C12" s="101"/>
      <c r="D12" s="48"/>
      <c r="E12" s="57"/>
      <c r="F12" s="58"/>
      <c r="G12" s="59"/>
      <c r="H12" s="59"/>
      <c r="O12" s="48"/>
      <c r="P12" s="116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ht="18.75" x14ac:dyDescent="0.25">
      <c r="A13" s="55" t="s">
        <v>11</v>
      </c>
      <c r="B13" s="96">
        <v>8.5000000000000006E-2</v>
      </c>
      <c r="C13" s="97"/>
      <c r="D13" s="60">
        <f>(1+$B$13)/(1+$B$14)-1</f>
        <v>-2.2522522522522626E-2</v>
      </c>
      <c r="E13" s="48"/>
      <c r="F13" s="48"/>
      <c r="O13" s="48"/>
      <c r="P13" s="116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ht="15.75" x14ac:dyDescent="0.25">
      <c r="A14" s="55" t="s">
        <v>12</v>
      </c>
      <c r="B14" s="93">
        <v>0.11</v>
      </c>
      <c r="C14" s="94"/>
      <c r="D14" s="48"/>
      <c r="E14" s="48"/>
      <c r="F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ht="15.75" x14ac:dyDescent="0.25">
      <c r="A15" s="55" t="s">
        <v>13</v>
      </c>
      <c r="B15" s="100">
        <v>10</v>
      </c>
      <c r="C15" s="101"/>
      <c r="D15" s="48"/>
      <c r="E15" s="48"/>
      <c r="F15" s="48"/>
      <c r="G15" s="91" t="s">
        <v>14</v>
      </c>
      <c r="H15" s="92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ht="15.75" x14ac:dyDescent="0.25">
      <c r="A16" s="55" t="s">
        <v>15</v>
      </c>
      <c r="B16" s="93">
        <v>0</v>
      </c>
      <c r="C16" s="94"/>
      <c r="D16" s="52"/>
      <c r="E16" s="48"/>
      <c r="F16" s="95" t="s">
        <v>33</v>
      </c>
      <c r="G16" s="61" t="s">
        <v>16</v>
      </c>
      <c r="H16" s="62" t="s">
        <v>17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9.5" thickBot="1" x14ac:dyDescent="0.3">
      <c r="A17" s="55" t="s">
        <v>18</v>
      </c>
      <c r="B17" s="96">
        <v>2.5000000000000001E-2</v>
      </c>
      <c r="C17" s="97"/>
      <c r="D17" s="63">
        <f>(1+$B$17)*(1+$B$14)-1</f>
        <v>0.13775000000000004</v>
      </c>
      <c r="E17" s="48"/>
      <c r="F17" s="95"/>
      <c r="G17" s="64">
        <f>G18+B6</f>
        <v>587000</v>
      </c>
      <c r="H17" s="61">
        <f>H18+B6</f>
        <v>519801.86262679042</v>
      </c>
      <c r="I17" s="65" t="e">
        <f>I18/((1+$B$17)^$B$15)</f>
        <v>#REF!</v>
      </c>
      <c r="J17" s="65" t="e">
        <f>J18/((1+$B$17)^$B$15)</f>
        <v>#REF!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6.5" thickBot="1" x14ac:dyDescent="0.3">
      <c r="A18" s="68" t="s">
        <v>19</v>
      </c>
      <c r="B18" s="98">
        <f>(((1+$B$17)^$B$15)*$B$17)/(((1+$B$17)^$B$15)-1)</f>
        <v>0.11425876317714058</v>
      </c>
      <c r="C18" s="99"/>
      <c r="F18" s="66">
        <f>SUM(F20:F44)</f>
        <v>187000</v>
      </c>
      <c r="G18" s="66">
        <f>SUM(G20:G44)</f>
        <v>587000</v>
      </c>
      <c r="H18" s="66">
        <f>SUM(H20:H44)</f>
        <v>519801.86262679042</v>
      </c>
      <c r="I18" s="67" t="e">
        <f>SUM(I20:I44)</f>
        <v>#REF!</v>
      </c>
      <c r="J18" s="67" t="e">
        <f>SUM(J20:J44)</f>
        <v>#REF!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51.75" thickBot="1" x14ac:dyDescent="0.3">
      <c r="A19" s="43" t="s">
        <v>20</v>
      </c>
      <c r="B19" s="4"/>
      <c r="C19" s="5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25">
      <c r="A20" s="45">
        <v>41671</v>
      </c>
      <c r="B20" s="14">
        <v>0</v>
      </c>
      <c r="C20" s="1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400000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  <c r="O20" s="44"/>
    </row>
    <row r="21" spans="1:40" x14ac:dyDescent="0.25">
      <c r="A21" s="45">
        <v>42036</v>
      </c>
      <c r="B21" s="14">
        <v>1</v>
      </c>
      <c r="C21" s="27">
        <f>IF(C20&lt;($B$10),C20+1,IF(C20=0,0))</f>
        <v>1</v>
      </c>
      <c r="D21" s="16">
        <f>IF(C21=($B$11+1),$B$7/($B$10-$B$11),IF(AND($C21&gt;($B$11+1),SUM($D$19:D20)&lt;$B$7),$B$7/($B$10-$B$11),0))</f>
        <v>40000</v>
      </c>
      <c r="E21" s="17">
        <f t="shared" si="0"/>
        <v>360000</v>
      </c>
      <c r="F21" s="18">
        <f t="shared" si="1"/>
        <v>34000</v>
      </c>
      <c r="G21" s="28">
        <f t="shared" si="2"/>
        <v>74000</v>
      </c>
      <c r="H21" s="20">
        <f>G21/((1+$B$17)^C21)</f>
        <v>72195.121951219524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74000</v>
      </c>
      <c r="N21" s="26" t="e">
        <f>IF(#REF!&gt;0,(#REF!-G21)+(N20*(1+$B$17)),0)</f>
        <v>#REF!</v>
      </c>
      <c r="O21" s="44"/>
      <c r="P21" s="44"/>
    </row>
    <row r="22" spans="1:40" x14ac:dyDescent="0.25">
      <c r="A22" s="45">
        <v>42401</v>
      </c>
      <c r="B22" s="14">
        <v>2</v>
      </c>
      <c r="C22" s="27">
        <f t="shared" ref="C22:C44" si="5">IF(C21&lt;($B$10),C21+1,IF(C21=0,0))</f>
        <v>2</v>
      </c>
      <c r="D22" s="16">
        <f>IF(C22=($B$11+1),$B$7/($B$10-$B$11),IF(AND($C22&gt;($B$11+1),SUM($D$19:D21)&lt;$B$7),$B$7/($B$10-$B$11),0))</f>
        <v>40000</v>
      </c>
      <c r="E22" s="17">
        <f t="shared" si="0"/>
        <v>320000</v>
      </c>
      <c r="F22" s="18">
        <f t="shared" si="1"/>
        <v>30600.000000000004</v>
      </c>
      <c r="G22" s="28">
        <f>F22+D22</f>
        <v>70600</v>
      </c>
      <c r="H22" s="20">
        <f t="shared" si="3"/>
        <v>67198.096371207619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146450</v>
      </c>
      <c r="N22" s="26" t="e">
        <f>IF(#REF!&gt;0,(#REF!-G22)+(N21*(1+$B$17)),0)</f>
        <v>#REF!</v>
      </c>
      <c r="O22" s="44"/>
      <c r="P22" s="42"/>
    </row>
    <row r="23" spans="1:40" x14ac:dyDescent="0.25">
      <c r="A23" s="45">
        <v>42767</v>
      </c>
      <c r="B23" s="14">
        <v>3</v>
      </c>
      <c r="C23" s="27">
        <f t="shared" si="5"/>
        <v>3</v>
      </c>
      <c r="D23" s="16">
        <f>IF(C23=($B$11+1),$B$7/($B$10-$B$11),IF(AND($C23&gt;($B$11+1),SUM($D$19:D22)&lt;$B$7),$B$7/($B$10-$B$11),0))</f>
        <v>40000</v>
      </c>
      <c r="E23" s="17">
        <f t="shared" si="0"/>
        <v>280000</v>
      </c>
      <c r="F23" s="18">
        <f t="shared" si="1"/>
        <v>27200.000000000004</v>
      </c>
      <c r="G23" s="28">
        <f t="shared" si="2"/>
        <v>67200</v>
      </c>
      <c r="H23" s="20">
        <f t="shared" si="3"/>
        <v>62401.880413807121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217311.25</v>
      </c>
      <c r="N23" s="26" t="e">
        <f>IF(#REF!&gt;0,(#REF!-G23)+(N22*(1+$B$17)),0)</f>
        <v>#REF!</v>
      </c>
      <c r="O23" s="44"/>
    </row>
    <row r="24" spans="1:40" x14ac:dyDescent="0.25">
      <c r="A24" s="45">
        <v>43132</v>
      </c>
      <c r="B24" s="14">
        <v>4</v>
      </c>
      <c r="C24" s="27">
        <f t="shared" si="5"/>
        <v>4</v>
      </c>
      <c r="D24" s="16">
        <f>IF(C24=($B$11+1),$B$7/($B$10-$B$11),IF(AND($C24&gt;($B$11+1),SUM($D$19:D23)&lt;$B$7),$B$7/($B$10-$B$11),0))</f>
        <v>40000</v>
      </c>
      <c r="E24" s="17">
        <f t="shared" si="0"/>
        <v>240000</v>
      </c>
      <c r="F24" s="18">
        <f t="shared" si="1"/>
        <v>23800</v>
      </c>
      <c r="G24" s="28">
        <f t="shared" si="2"/>
        <v>63800</v>
      </c>
      <c r="H24" s="20">
        <f t="shared" si="3"/>
        <v>57799.65113822437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286544.03125</v>
      </c>
      <c r="N24" s="26" t="e">
        <f>IF(#REF!&gt;0,(#REF!-G24)+(N23*(1+$B$17)),0)</f>
        <v>#REF!</v>
      </c>
      <c r="O24" s="44"/>
    </row>
    <row r="25" spans="1:40" x14ac:dyDescent="0.25">
      <c r="A25" s="45">
        <v>43497</v>
      </c>
      <c r="B25" s="14">
        <v>5</v>
      </c>
      <c r="C25" s="27">
        <f t="shared" si="5"/>
        <v>5</v>
      </c>
      <c r="D25" s="16">
        <f>IF(C25=($B$11+1),$B$7/($B$10-$B$11),IF(AND($C25&gt;($B$11+1),SUM($D$19:D24)&lt;$B$7),$B$7/($B$10-$B$11),0))</f>
        <v>40000</v>
      </c>
      <c r="E25" s="17">
        <f t="shared" si="0"/>
        <v>200000</v>
      </c>
      <c r="F25" s="18">
        <f t="shared" si="1"/>
        <v>20400</v>
      </c>
      <c r="G25" s="28">
        <f t="shared" si="2"/>
        <v>60400</v>
      </c>
      <c r="H25" s="20">
        <f t="shared" si="3"/>
        <v>53384.798971614837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354107.63203124999</v>
      </c>
      <c r="N25" s="26" t="e">
        <f>IF(#REF!&gt;0,(#REF!-G25)+(N24*(1+$B$17)),0)</f>
        <v>#REF!</v>
      </c>
      <c r="O25" s="44"/>
    </row>
    <row r="26" spans="1:40" x14ac:dyDescent="0.25">
      <c r="A26" s="45">
        <v>43862</v>
      </c>
      <c r="B26" s="14">
        <v>6</v>
      </c>
      <c r="C26" s="27">
        <f t="shared" si="5"/>
        <v>6</v>
      </c>
      <c r="D26" s="16">
        <f>IF(C26=($B$11+1),$B$7/($B$10-$B$11),IF(AND($C26&gt;($B$11+1),SUM($D$19:D25)&lt;$B$7),$B$7/($B$10-$B$11),0))</f>
        <v>40000</v>
      </c>
      <c r="E26" s="17">
        <f t="shared" si="0"/>
        <v>160000</v>
      </c>
      <c r="F26" s="18">
        <f t="shared" si="1"/>
        <v>17000</v>
      </c>
      <c r="G26" s="28">
        <f t="shared" si="2"/>
        <v>57000</v>
      </c>
      <c r="H26" s="20">
        <f t="shared" si="3"/>
        <v>49150.921359748761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419960.32283203123</v>
      </c>
      <c r="N26" s="26" t="e">
        <f>IF(#REF!&gt;0,(#REF!-G26)+(N25*(1+$B$17)),0)</f>
        <v>#REF!</v>
      </c>
      <c r="O26" s="44"/>
    </row>
    <row r="27" spans="1:40" x14ac:dyDescent="0.25">
      <c r="A27" s="45">
        <v>44228</v>
      </c>
      <c r="B27" s="14">
        <v>7</v>
      </c>
      <c r="C27" s="27">
        <f t="shared" si="5"/>
        <v>7</v>
      </c>
      <c r="D27" s="16">
        <f>IF(C27=($B$11+1),$B$7/($B$10-$B$11),IF(AND($C27&gt;($B$11+1),SUM($D$19:D26)&lt;$B$7),$B$7/($B$10-$B$11),0))</f>
        <v>40000</v>
      </c>
      <c r="E27" s="17">
        <f t="shared" si="0"/>
        <v>120000</v>
      </c>
      <c r="F27" s="18">
        <f t="shared" si="1"/>
        <v>13600.000000000002</v>
      </c>
      <c r="G27" s="28">
        <f t="shared" si="2"/>
        <v>53600</v>
      </c>
      <c r="H27" s="20">
        <f t="shared" si="3"/>
        <v>45091.816600471262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484059.33090283198</v>
      </c>
      <c r="N27" s="26" t="e">
        <f>IF(#REF!&gt;0,(#REF!-G27)+(N26*(1+$B$17)),0)</f>
        <v>#REF!</v>
      </c>
      <c r="O27" s="44"/>
    </row>
    <row r="28" spans="1:40" x14ac:dyDescent="0.25">
      <c r="A28" s="45">
        <v>44593</v>
      </c>
      <c r="B28" s="14">
        <v>8</v>
      </c>
      <c r="C28" s="27">
        <f t="shared" si="5"/>
        <v>8</v>
      </c>
      <c r="D28" s="16">
        <f>IF(C28=($B$11+1),$B$7/($B$10-$B$11),IF(AND($C28&gt;($B$11+1),SUM($D$19:D27)&lt;$B$7),$B$7/($B$10-$B$11),0))</f>
        <v>40000</v>
      </c>
      <c r="E28" s="17">
        <f t="shared" si="0"/>
        <v>80000</v>
      </c>
      <c r="F28" s="18">
        <f t="shared" si="1"/>
        <v>10200</v>
      </c>
      <c r="G28" s="28">
        <f t="shared" si="2"/>
        <v>50200</v>
      </c>
      <c r="H28" s="20">
        <f t="shared" si="3"/>
        <v>41201.477854817211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546360.81417540275</v>
      </c>
      <c r="N28" s="26" t="e">
        <f>IF(#REF!&gt;0,(#REF!-G28)+(N27*(1+$B$17)),0)</f>
        <v>#REF!</v>
      </c>
      <c r="O28" s="44"/>
    </row>
    <row r="29" spans="1:40" x14ac:dyDescent="0.25">
      <c r="A29" s="45">
        <v>44958</v>
      </c>
      <c r="B29" s="14">
        <v>9</v>
      </c>
      <c r="C29" s="27">
        <f t="shared" si="5"/>
        <v>9</v>
      </c>
      <c r="D29" s="16">
        <f>IF(C29=($B$11+1),$B$7/($B$10-$B$11),IF(AND($C29&gt;($B$11+1),SUM($D$19:D28)&lt;$B$7),$B$7/($B$10-$B$11),0))</f>
        <v>40000</v>
      </c>
      <c r="E29" s="17">
        <f t="shared" si="0"/>
        <v>40000</v>
      </c>
      <c r="F29" s="18">
        <f t="shared" si="1"/>
        <v>6800.0000000000009</v>
      </c>
      <c r="G29" s="28">
        <f t="shared" si="2"/>
        <v>46800</v>
      </c>
      <c r="H29" s="20">
        <f t="shared" si="3"/>
        <v>37474.087330783128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606819.83452978777</v>
      </c>
      <c r="N29" s="26" t="e">
        <f>IF(#REF!&gt;0,(#REF!-G29)+(N28*(1+$B$17)),0)</f>
        <v>#REF!</v>
      </c>
      <c r="O29" s="44"/>
    </row>
    <row r="30" spans="1:40" x14ac:dyDescent="0.25">
      <c r="A30" s="45">
        <v>45323</v>
      </c>
      <c r="B30" s="14">
        <v>10</v>
      </c>
      <c r="C30" s="27">
        <f t="shared" si="5"/>
        <v>10</v>
      </c>
      <c r="D30" s="16">
        <f>IF(C30=($B$11+1),$B$7/($B$10-$B$11),IF(AND($C30&gt;($B$11+1),SUM($D$19:D29)&lt;$B$7),$B$7/($B$10-$B$11),0))</f>
        <v>40000</v>
      </c>
      <c r="E30" s="17">
        <f t="shared" si="0"/>
        <v>0</v>
      </c>
      <c r="F30" s="18">
        <f t="shared" si="1"/>
        <v>3400.0000000000005</v>
      </c>
      <c r="G30" s="28">
        <f t="shared" si="2"/>
        <v>43400</v>
      </c>
      <c r="H30" s="20">
        <f t="shared" si="3"/>
        <v>33904.010634896556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665390.3303930324</v>
      </c>
      <c r="N30" s="26" t="e">
        <f>IF(#REF!&gt;0,(#REF!-G30)+(N29*(1+$B$17)),0)</f>
        <v>#REF!</v>
      </c>
      <c r="O30" s="44"/>
    </row>
    <row r="31" spans="1:40" x14ac:dyDescent="0.25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  <c r="O31" s="44"/>
    </row>
    <row r="32" spans="1:40" x14ac:dyDescent="0.25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  <c r="O32" s="44"/>
    </row>
    <row r="33" spans="1:15" s="1" customFormat="1" x14ac:dyDescent="0.25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44"/>
    </row>
    <row r="34" spans="1:15" s="1" customFormat="1" x14ac:dyDescent="0.25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44"/>
    </row>
    <row r="35" spans="1:15" s="1" customFormat="1" x14ac:dyDescent="0.25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44"/>
    </row>
    <row r="36" spans="1:15" s="1" customFormat="1" x14ac:dyDescent="0.25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2"/>
    </row>
    <row r="37" spans="1:15" s="1" customFormat="1" x14ac:dyDescent="0.25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2"/>
    </row>
    <row r="38" spans="1:15" s="1" customFormat="1" x14ac:dyDescent="0.25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2"/>
    </row>
    <row r="39" spans="1:15" s="1" customFormat="1" x14ac:dyDescent="0.25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2"/>
    </row>
    <row r="40" spans="1:15" s="1" customFormat="1" x14ac:dyDescent="0.25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2"/>
    </row>
    <row r="41" spans="1:15" s="1" customFormat="1" x14ac:dyDescent="0.25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2"/>
    </row>
    <row r="42" spans="1:15" s="1" customFormat="1" x14ac:dyDescent="0.25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2"/>
    </row>
    <row r="43" spans="1:15" s="1" customFormat="1" x14ac:dyDescent="0.25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2"/>
    </row>
    <row r="44" spans="1:15" s="1" customFormat="1" ht="15.75" thickBot="1" x14ac:dyDescent="0.3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2"/>
    </row>
    <row r="47" spans="1:15" s="1" customFormat="1" x14ac:dyDescent="0.25">
      <c r="A47" s="39"/>
      <c r="O47" s="2"/>
    </row>
  </sheetData>
  <mergeCells count="18">
    <mergeCell ref="B14:C14"/>
    <mergeCell ref="B15:C15"/>
    <mergeCell ref="B8:C8"/>
    <mergeCell ref="A1:C2"/>
    <mergeCell ref="A4:C4"/>
    <mergeCell ref="B5:C5"/>
    <mergeCell ref="B6:C6"/>
    <mergeCell ref="B7:C7"/>
    <mergeCell ref="B9:C9"/>
    <mergeCell ref="B10:C10"/>
    <mergeCell ref="B11:C11"/>
    <mergeCell ref="B12:C12"/>
    <mergeCell ref="B13:C13"/>
    <mergeCell ref="G15:H15"/>
    <mergeCell ref="B16:C16"/>
    <mergeCell ref="F16:F17"/>
    <mergeCell ref="B17:C17"/>
    <mergeCell ref="B18:C18"/>
  </mergeCells>
  <conditionalFormatting sqref="N20:N44 K20:K44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7"/>
  <sheetViews>
    <sheetView topLeftCell="A4" workbookViewId="0">
      <selection activeCell="A9" sqref="A9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4" width="17.5703125" style="1" bestFit="1" customWidth="1"/>
    <col min="5" max="5" width="14.5703125" style="1" hidden="1" customWidth="1"/>
    <col min="6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ht="17.25" customHeight="1" x14ac:dyDescent="0.25">
      <c r="A1" s="104" t="s">
        <v>0</v>
      </c>
      <c r="B1" s="104"/>
      <c r="C1" s="104"/>
      <c r="D1" s="40"/>
      <c r="E1" s="2"/>
      <c r="F1" s="2"/>
      <c r="G1" s="2"/>
      <c r="H1" s="2"/>
      <c r="I1" s="2"/>
      <c r="J1" s="2"/>
      <c r="K1" s="2"/>
      <c r="L1" s="2"/>
      <c r="M1" s="2"/>
      <c r="N1" s="2"/>
    </row>
    <row r="2" spans="1:40" ht="17.25" customHeight="1" x14ac:dyDescent="0.25">
      <c r="A2" s="104"/>
      <c r="B2" s="104"/>
      <c r="C2" s="10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</v>
      </c>
    </row>
    <row r="3" spans="1:40" ht="13.5" customHeight="1" thickBot="1" x14ac:dyDescent="0.3">
      <c r="D3" s="41"/>
      <c r="E3" s="41" t="s">
        <v>3</v>
      </c>
      <c r="F3" s="2"/>
      <c r="G3" s="2"/>
      <c r="H3" s="2"/>
      <c r="I3" s="2"/>
      <c r="J3" s="2"/>
      <c r="K3" s="2"/>
      <c r="L3" s="2"/>
      <c r="M3" s="2"/>
      <c r="N3" s="2"/>
      <c r="O3" s="117">
        <v>400000</v>
      </c>
    </row>
    <row r="4" spans="1:40" ht="13.5" customHeight="1" thickBot="1" x14ac:dyDescent="0.3">
      <c r="A4" s="105" t="s">
        <v>1</v>
      </c>
      <c r="B4" s="106"/>
      <c r="C4" s="10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7">
        <v>20000</v>
      </c>
    </row>
    <row r="5" spans="1:40" s="49" customFormat="1" ht="13.5" customHeight="1" x14ac:dyDescent="0.25">
      <c r="A5" s="46" t="s">
        <v>2</v>
      </c>
      <c r="B5" s="108" t="s">
        <v>3</v>
      </c>
      <c r="C5" s="108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115">
        <v>380000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49" customFormat="1" ht="13.5" customHeight="1" x14ac:dyDescent="0.25">
      <c r="A6" s="50" t="s">
        <v>4</v>
      </c>
      <c r="B6" s="109">
        <v>20000</v>
      </c>
      <c r="C6" s="110"/>
      <c r="D6" s="51"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>
        <v>10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49" customFormat="1" ht="13.5" customHeight="1" x14ac:dyDescent="0.25">
      <c r="A7" s="50" t="s">
        <v>5</v>
      </c>
      <c r="B7" s="109">
        <v>380000</v>
      </c>
      <c r="C7" s="110"/>
      <c r="D7" s="51">
        <v>1</v>
      </c>
      <c r="E7" s="52"/>
      <c r="F7" s="48"/>
      <c r="G7" s="48"/>
      <c r="H7" s="48"/>
      <c r="I7" s="48"/>
      <c r="J7" s="48"/>
      <c r="K7" s="48"/>
      <c r="L7" s="48"/>
      <c r="M7" s="48"/>
      <c r="N7" s="48"/>
      <c r="O7" s="48">
        <v>2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49" customFormat="1" ht="13.5" customHeight="1" x14ac:dyDescent="0.25">
      <c r="A8" s="53" t="s">
        <v>5</v>
      </c>
      <c r="B8" s="102">
        <v>380000</v>
      </c>
      <c r="C8" s="103"/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116">
        <v>8.5000000000000006E-2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9" customFormat="1" ht="13.5" customHeight="1" x14ac:dyDescent="0.25">
      <c r="A9" s="50" t="s">
        <v>7</v>
      </c>
      <c r="B9" s="109">
        <v>400000</v>
      </c>
      <c r="C9" s="110"/>
      <c r="D9" s="54">
        <f>B8-B9</f>
        <v>-20000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116">
        <v>2.5000000000000001E-2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9" customFormat="1" ht="13.5" customHeight="1" x14ac:dyDescent="0.25">
      <c r="A10" s="55" t="s">
        <v>8</v>
      </c>
      <c r="B10" s="100">
        <v>10</v>
      </c>
      <c r="C10" s="10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ht="13.5" customHeight="1" x14ac:dyDescent="0.25">
      <c r="A11" s="55" t="s">
        <v>9</v>
      </c>
      <c r="B11" s="100">
        <v>2</v>
      </c>
      <c r="C11" s="101"/>
      <c r="D11" s="48"/>
      <c r="E11" s="56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ht="13.5" customHeight="1" x14ac:dyDescent="0.25">
      <c r="A12" s="55" t="s">
        <v>10</v>
      </c>
      <c r="B12" s="100">
        <v>1</v>
      </c>
      <c r="C12" s="101"/>
      <c r="D12" s="48"/>
      <c r="E12" s="57"/>
      <c r="F12" s="58"/>
      <c r="G12" s="57"/>
      <c r="H12" s="5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ht="13.5" customHeight="1" x14ac:dyDescent="0.25">
      <c r="A13" s="55" t="s">
        <v>11</v>
      </c>
      <c r="B13" s="96">
        <v>8.5000000000000006E-2</v>
      </c>
      <c r="C13" s="97"/>
      <c r="D13" s="60">
        <f>(1+$B$13)/(1+$B$14)-1</f>
        <v>-2.2522522522522626E-2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ht="13.5" customHeight="1" x14ac:dyDescent="0.25">
      <c r="A14" s="55" t="s">
        <v>12</v>
      </c>
      <c r="B14" s="93">
        <v>0.11</v>
      </c>
      <c r="C14" s="94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ht="13.5" customHeight="1" x14ac:dyDescent="0.25">
      <c r="A15" s="55" t="s">
        <v>13</v>
      </c>
      <c r="B15" s="100">
        <v>10</v>
      </c>
      <c r="C15" s="101"/>
      <c r="D15" s="48"/>
      <c r="E15" s="48"/>
      <c r="F15" s="48"/>
      <c r="G15" s="91" t="s">
        <v>14</v>
      </c>
      <c r="H15" s="92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ht="13.5" customHeight="1" x14ac:dyDescent="0.25">
      <c r="A16" s="55" t="s">
        <v>15</v>
      </c>
      <c r="B16" s="93">
        <v>0</v>
      </c>
      <c r="C16" s="94"/>
      <c r="D16" s="52"/>
      <c r="E16" s="48"/>
      <c r="F16" s="95" t="s">
        <v>33</v>
      </c>
      <c r="G16" s="61" t="s">
        <v>16</v>
      </c>
      <c r="H16" s="62" t="s">
        <v>17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3.5" customHeight="1" thickBot="1" x14ac:dyDescent="0.3">
      <c r="A17" s="55" t="s">
        <v>18</v>
      </c>
      <c r="B17" s="96">
        <v>2.5000000000000001E-2</v>
      </c>
      <c r="C17" s="97"/>
      <c r="D17" s="63">
        <f>(1+$B$17)*(1+$B$14)-1</f>
        <v>0.13775000000000004</v>
      </c>
      <c r="E17" s="48"/>
      <c r="F17" s="95"/>
      <c r="G17" s="88">
        <f>G18+B6</f>
        <v>609950</v>
      </c>
      <c r="H17" s="89">
        <f>H18+B6</f>
        <v>533991.06523040822</v>
      </c>
      <c r="I17" s="65" t="e">
        <f>I18/((1+$B$17)^$B$15)</f>
        <v>#REF!</v>
      </c>
      <c r="J17" s="65" t="e">
        <f>J18/((1+$B$17)^$B$15)</f>
        <v>#REF!</v>
      </c>
      <c r="O17" s="48" t="s">
        <v>38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3.5" customHeight="1" thickBot="1" x14ac:dyDescent="0.3">
      <c r="A18" s="68" t="s">
        <v>19</v>
      </c>
      <c r="B18" s="98">
        <f>(((1+$B$17)^$B$15)*$B$17)/(((1+$B$17)^$B$15)-1)</f>
        <v>0.11425876317714058</v>
      </c>
      <c r="C18" s="99"/>
      <c r="F18" s="66">
        <f>SUM(F20:F44)</f>
        <v>209950</v>
      </c>
      <c r="G18" s="66">
        <f>SUM(G20:G44)</f>
        <v>589950</v>
      </c>
      <c r="H18" s="66">
        <f>SUM(H20:H44)</f>
        <v>513991.06523040816</v>
      </c>
      <c r="I18" s="67" t="e">
        <f>SUM(I20:I44)</f>
        <v>#REF!</v>
      </c>
      <c r="J18" s="67" t="e">
        <f>SUM(J20:J44)</f>
        <v>#REF!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57.75" customHeight="1" thickBot="1" x14ac:dyDescent="0.3">
      <c r="A19" s="43" t="s">
        <v>20</v>
      </c>
      <c r="B19" s="4"/>
      <c r="C19" s="5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25">
      <c r="A20" s="45">
        <v>41671</v>
      </c>
      <c r="B20" s="14">
        <v>0</v>
      </c>
      <c r="C20" s="1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380000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  <c r="O20" s="44"/>
    </row>
    <row r="21" spans="1:40" x14ac:dyDescent="0.25">
      <c r="A21" s="45">
        <v>42036</v>
      </c>
      <c r="B21" s="14">
        <v>1</v>
      </c>
      <c r="C21" s="27">
        <f>IF(C20&lt;($B$10),C20+1,IF(C20=0,0))</f>
        <v>1</v>
      </c>
      <c r="D21" s="16">
        <f>IF(C21=($B$11+1),$B$7/($B$10-$B$11),IF(AND($C21&gt;($B$11+1),SUM($D$19:D20)&lt;$B$7),$B$7/($B$10-$B$11),0))</f>
        <v>0</v>
      </c>
      <c r="E21" s="17">
        <f t="shared" si="0"/>
        <v>380000</v>
      </c>
      <c r="F21" s="18">
        <f t="shared" si="1"/>
        <v>32300.000000000004</v>
      </c>
      <c r="G21" s="28">
        <f t="shared" si="2"/>
        <v>32300.000000000004</v>
      </c>
      <c r="H21" s="20">
        <f>G21/((1+$B$17)^C21)</f>
        <v>31512.195121951227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32300.000000000004</v>
      </c>
      <c r="N21" s="26" t="e">
        <f>IF(#REF!&gt;0,(#REF!-G21)+(N20*(1+$B$17)),0)</f>
        <v>#REF!</v>
      </c>
      <c r="O21" s="44"/>
      <c r="P21" s="44"/>
    </row>
    <row r="22" spans="1:40" x14ac:dyDescent="0.25">
      <c r="A22" s="45">
        <v>42401</v>
      </c>
      <c r="B22" s="14">
        <v>2</v>
      </c>
      <c r="C22" s="27">
        <f t="shared" ref="C22:C44" si="5">IF(C21&lt;($B$10),C21+1,IF(C21=0,0))</f>
        <v>2</v>
      </c>
      <c r="D22" s="16">
        <f>IF(C22=($B$11+1),$B$7/($B$10-$B$11),IF(AND($C22&gt;($B$11+1),SUM($D$19:D21)&lt;$B$7),$B$7/($B$10-$B$11),0))</f>
        <v>0</v>
      </c>
      <c r="E22" s="17">
        <f t="shared" si="0"/>
        <v>380000</v>
      </c>
      <c r="F22" s="18">
        <f t="shared" si="1"/>
        <v>32300.000000000004</v>
      </c>
      <c r="G22" s="28">
        <f>F22+D22</f>
        <v>32300.000000000004</v>
      </c>
      <c r="H22" s="20">
        <f t="shared" si="3"/>
        <v>30743.604997025584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65407.5</v>
      </c>
      <c r="N22" s="26" t="e">
        <f>IF(#REF!&gt;0,(#REF!-G22)+(N21*(1+$B$17)),0)</f>
        <v>#REF!</v>
      </c>
      <c r="O22" s="44"/>
      <c r="P22" s="42"/>
    </row>
    <row r="23" spans="1:40" x14ac:dyDescent="0.25">
      <c r="A23" s="45">
        <v>42767</v>
      </c>
      <c r="B23" s="14">
        <v>3</v>
      </c>
      <c r="C23" s="27">
        <f t="shared" si="5"/>
        <v>3</v>
      </c>
      <c r="D23" s="16">
        <f>IF(C23=($B$11+1),$B$7/($B$10-$B$11),IF(AND($C23&gt;($B$11+1),SUM($D$19:D22)&lt;$B$7),$B$7/($B$10-$B$11),0))</f>
        <v>47500</v>
      </c>
      <c r="E23" s="17">
        <f t="shared" si="0"/>
        <v>332500</v>
      </c>
      <c r="F23" s="18">
        <f t="shared" si="1"/>
        <v>32300.000000000004</v>
      </c>
      <c r="G23" s="28">
        <f t="shared" si="2"/>
        <v>79800</v>
      </c>
      <c r="H23" s="20">
        <f t="shared" si="3"/>
        <v>74102.232991395955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146842.6875</v>
      </c>
      <c r="N23" s="26" t="e">
        <f>IF(#REF!&gt;0,(#REF!-G23)+(N22*(1+$B$17)),0)</f>
        <v>#REF!</v>
      </c>
      <c r="O23" s="44"/>
    </row>
    <row r="24" spans="1:40" x14ac:dyDescent="0.25">
      <c r="A24" s="45">
        <v>43132</v>
      </c>
      <c r="B24" s="14">
        <v>4</v>
      </c>
      <c r="C24" s="27">
        <f t="shared" si="5"/>
        <v>4</v>
      </c>
      <c r="D24" s="16">
        <f>IF(C24=($B$11+1),$B$7/($B$10-$B$11),IF(AND($C24&gt;($B$11+1),SUM($D$19:D23)&lt;$B$7),$B$7/($B$10-$B$11),0))</f>
        <v>47500</v>
      </c>
      <c r="E24" s="17">
        <f t="shared" si="0"/>
        <v>285000</v>
      </c>
      <c r="F24" s="18">
        <f t="shared" si="1"/>
        <v>28262.500000000004</v>
      </c>
      <c r="G24" s="28">
        <f t="shared" si="2"/>
        <v>75762.5</v>
      </c>
      <c r="H24" s="20">
        <f t="shared" si="3"/>
        <v>68637.085726641439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226276.25468749998</v>
      </c>
      <c r="N24" s="26" t="e">
        <f>IF(#REF!&gt;0,(#REF!-G24)+(N23*(1+$B$17)),0)</f>
        <v>#REF!</v>
      </c>
      <c r="O24" s="44"/>
    </row>
    <row r="25" spans="1:40" x14ac:dyDescent="0.25">
      <c r="A25" s="45">
        <v>43497</v>
      </c>
      <c r="B25" s="14">
        <v>5</v>
      </c>
      <c r="C25" s="27">
        <f t="shared" si="5"/>
        <v>5</v>
      </c>
      <c r="D25" s="16">
        <f>IF(C25=($B$11+1),$B$7/($B$10-$B$11),IF(AND($C25&gt;($B$11+1),SUM($D$19:D24)&lt;$B$7),$B$7/($B$10-$B$11),0))</f>
        <v>47500</v>
      </c>
      <c r="E25" s="17">
        <f t="shared" si="0"/>
        <v>237500</v>
      </c>
      <c r="F25" s="18">
        <f t="shared" si="1"/>
        <v>24225</v>
      </c>
      <c r="G25" s="28">
        <f t="shared" si="2"/>
        <v>71725</v>
      </c>
      <c r="H25" s="20">
        <f t="shared" si="3"/>
        <v>63394.448778792619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303658.16105468746</v>
      </c>
      <c r="N25" s="26" t="e">
        <f>IF(#REF!&gt;0,(#REF!-G25)+(N24*(1+$B$17)),0)</f>
        <v>#REF!</v>
      </c>
      <c r="O25" s="44"/>
    </row>
    <row r="26" spans="1:40" x14ac:dyDescent="0.25">
      <c r="A26" s="45">
        <v>43862</v>
      </c>
      <c r="B26" s="14">
        <v>6</v>
      </c>
      <c r="C26" s="27">
        <f t="shared" si="5"/>
        <v>6</v>
      </c>
      <c r="D26" s="16">
        <f>IF(C26=($B$11+1),$B$7/($B$10-$B$11),IF(AND($C26&gt;($B$11+1),SUM($D$19:D25)&lt;$B$7),$B$7/($B$10-$B$11),0))</f>
        <v>47500</v>
      </c>
      <c r="E26" s="17">
        <f t="shared" si="0"/>
        <v>190000</v>
      </c>
      <c r="F26" s="18">
        <f t="shared" si="1"/>
        <v>20187.5</v>
      </c>
      <c r="G26" s="28">
        <f t="shared" si="2"/>
        <v>67687.5</v>
      </c>
      <c r="H26" s="20">
        <f t="shared" si="3"/>
        <v>58366.719114701657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378937.11508105462</v>
      </c>
      <c r="N26" s="26" t="e">
        <f>IF(#REF!&gt;0,(#REF!-G26)+(N25*(1+$B$17)),0)</f>
        <v>#REF!</v>
      </c>
      <c r="O26" s="44"/>
    </row>
    <row r="27" spans="1:40" x14ac:dyDescent="0.25">
      <c r="A27" s="45">
        <v>44228</v>
      </c>
      <c r="B27" s="14">
        <v>7</v>
      </c>
      <c r="C27" s="27">
        <f t="shared" si="5"/>
        <v>7</v>
      </c>
      <c r="D27" s="16">
        <f>IF(C27=($B$11+1),$B$7/($B$10-$B$11),IF(AND($C27&gt;($B$11+1),SUM($D$19:D26)&lt;$B$7),$B$7/($B$10-$B$11),0))</f>
        <v>47500</v>
      </c>
      <c r="E27" s="17">
        <f t="shared" si="0"/>
        <v>142500</v>
      </c>
      <c r="F27" s="18">
        <f t="shared" si="1"/>
        <v>16150.000000000002</v>
      </c>
      <c r="G27" s="28">
        <f t="shared" si="2"/>
        <v>63650</v>
      </c>
      <c r="H27" s="20">
        <f t="shared" si="3"/>
        <v>53546.532213059625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452060.54295808094</v>
      </c>
      <c r="N27" s="26" t="e">
        <f>IF(#REF!&gt;0,(#REF!-G27)+(N26*(1+$B$17)),0)</f>
        <v>#REF!</v>
      </c>
      <c r="O27" s="44"/>
    </row>
    <row r="28" spans="1:40" x14ac:dyDescent="0.25">
      <c r="A28" s="45">
        <v>44593</v>
      </c>
      <c r="B28" s="14">
        <v>8</v>
      </c>
      <c r="C28" s="27">
        <f t="shared" si="5"/>
        <v>8</v>
      </c>
      <c r="D28" s="16">
        <f>IF(C28=($B$11+1),$B$7/($B$10-$B$11),IF(AND($C28&gt;($B$11+1),SUM($D$19:D27)&lt;$B$7),$B$7/($B$10-$B$11),0))</f>
        <v>47500</v>
      </c>
      <c r="E28" s="17">
        <f t="shared" si="0"/>
        <v>95000</v>
      </c>
      <c r="F28" s="18">
        <f t="shared" si="1"/>
        <v>12112.5</v>
      </c>
      <c r="G28" s="28">
        <f t="shared" si="2"/>
        <v>59612.5</v>
      </c>
      <c r="H28" s="20">
        <f t="shared" si="3"/>
        <v>48926.754952595438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522974.5565320329</v>
      </c>
      <c r="N28" s="26" t="e">
        <f>IF(#REF!&gt;0,(#REF!-G28)+(N27*(1+$B$17)),0)</f>
        <v>#REF!</v>
      </c>
      <c r="O28" s="44"/>
    </row>
    <row r="29" spans="1:40" x14ac:dyDescent="0.25">
      <c r="A29" s="45">
        <v>44958</v>
      </c>
      <c r="B29" s="14">
        <v>9</v>
      </c>
      <c r="C29" s="27">
        <f t="shared" si="5"/>
        <v>9</v>
      </c>
      <c r="D29" s="16">
        <f>IF(C29=($B$11+1),$B$7/($B$10-$B$11),IF(AND($C29&gt;($B$11+1),SUM($D$19:D28)&lt;$B$7),$B$7/($B$10-$B$11),0))</f>
        <v>47500</v>
      </c>
      <c r="E29" s="17">
        <f t="shared" si="0"/>
        <v>47500</v>
      </c>
      <c r="F29" s="18">
        <f t="shared" si="1"/>
        <v>8075.0000000000009</v>
      </c>
      <c r="G29" s="28">
        <f t="shared" si="2"/>
        <v>55575</v>
      </c>
      <c r="H29" s="20">
        <f t="shared" si="3"/>
        <v>44500.478705304966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591623.9204453337</v>
      </c>
      <c r="N29" s="26" t="e">
        <f>IF(#REF!&gt;0,(#REF!-G29)+(N28*(1+$B$17)),0)</f>
        <v>#REF!</v>
      </c>
      <c r="O29" s="44"/>
    </row>
    <row r="30" spans="1:40" x14ac:dyDescent="0.25">
      <c r="A30" s="45">
        <v>45323</v>
      </c>
      <c r="B30" s="14">
        <v>10</v>
      </c>
      <c r="C30" s="27">
        <f t="shared" si="5"/>
        <v>10</v>
      </c>
      <c r="D30" s="16">
        <f>IF(C30=($B$11+1),$B$7/($B$10-$B$11),IF(AND($C30&gt;($B$11+1),SUM($D$19:D29)&lt;$B$7),$B$7/($B$10-$B$11),0))</f>
        <v>47500</v>
      </c>
      <c r="E30" s="17">
        <f t="shared" si="0"/>
        <v>0</v>
      </c>
      <c r="F30" s="18">
        <f t="shared" si="1"/>
        <v>4037.5000000000005</v>
      </c>
      <c r="G30" s="28">
        <f t="shared" si="2"/>
        <v>51537.5</v>
      </c>
      <c r="H30" s="20">
        <f t="shared" si="3"/>
        <v>40261.012628939658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657952.01845646696</v>
      </c>
      <c r="N30" s="26" t="e">
        <f>IF(#REF!&gt;0,(#REF!-G30)+(N29*(1+$B$17)),0)</f>
        <v>#REF!</v>
      </c>
      <c r="O30" s="44"/>
    </row>
    <row r="31" spans="1:40" x14ac:dyDescent="0.25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  <c r="O31" s="44"/>
    </row>
    <row r="32" spans="1:40" x14ac:dyDescent="0.25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  <c r="O32" s="44"/>
    </row>
    <row r="33" spans="1:15" s="1" customFormat="1" x14ac:dyDescent="0.25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44"/>
    </row>
    <row r="34" spans="1:15" s="1" customFormat="1" x14ac:dyDescent="0.25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44"/>
    </row>
    <row r="35" spans="1:15" s="1" customFormat="1" x14ac:dyDescent="0.25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44"/>
    </row>
    <row r="36" spans="1:15" s="1" customFormat="1" x14ac:dyDescent="0.25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2"/>
    </row>
    <row r="37" spans="1:15" s="1" customFormat="1" x14ac:dyDescent="0.25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2"/>
    </row>
    <row r="38" spans="1:15" s="1" customFormat="1" x14ac:dyDescent="0.25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2"/>
    </row>
    <row r="39" spans="1:15" s="1" customFormat="1" x14ac:dyDescent="0.25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2"/>
    </row>
    <row r="40" spans="1:15" s="1" customFormat="1" x14ac:dyDescent="0.25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2"/>
    </row>
    <row r="41" spans="1:15" s="1" customFormat="1" x14ac:dyDescent="0.25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2"/>
    </row>
    <row r="42" spans="1:15" s="1" customFormat="1" x14ac:dyDescent="0.25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2"/>
    </row>
    <row r="43" spans="1:15" s="1" customFormat="1" x14ac:dyDescent="0.25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2"/>
    </row>
    <row r="44" spans="1:15" s="1" customFormat="1" ht="15.75" thickBot="1" x14ac:dyDescent="0.3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2"/>
    </row>
    <row r="47" spans="1:15" s="1" customFormat="1" x14ac:dyDescent="0.25">
      <c r="A47" s="39"/>
      <c r="O47" s="2"/>
    </row>
  </sheetData>
  <mergeCells count="18">
    <mergeCell ref="B15:C15"/>
    <mergeCell ref="G15:H15"/>
    <mergeCell ref="B16:C16"/>
    <mergeCell ref="B17:C17"/>
    <mergeCell ref="B18:C18"/>
    <mergeCell ref="F16:F17"/>
    <mergeCell ref="B14:C14"/>
    <mergeCell ref="A1:C2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conditionalFormatting sqref="N20:N44 K20:K44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47"/>
  <sheetViews>
    <sheetView workbookViewId="0">
      <selection activeCell="B15" sqref="B15:C15"/>
    </sheetView>
  </sheetViews>
  <sheetFormatPr defaultRowHeight="18.75" x14ac:dyDescent="0.3"/>
  <cols>
    <col min="1" max="1" width="42.85546875" style="1" customWidth="1"/>
    <col min="2" max="2" width="14.7109375" style="1" bestFit="1" customWidth="1"/>
    <col min="3" max="3" width="15.5703125" style="1" customWidth="1"/>
    <col min="4" max="4" width="17.5703125" style="1" bestFit="1" customWidth="1"/>
    <col min="5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5" width="13.5703125" style="86" bestFit="1" customWidth="1"/>
    <col min="16" max="16" width="60.5703125" style="79" customWidth="1"/>
    <col min="17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x14ac:dyDescent="0.3">
      <c r="A1" s="104" t="s">
        <v>0</v>
      </c>
      <c r="B1" s="104"/>
      <c r="C1" s="104"/>
      <c r="D1" s="40"/>
      <c r="E1" s="2"/>
      <c r="F1" s="2"/>
    </row>
    <row r="2" spans="1:40" x14ac:dyDescent="0.3">
      <c r="A2" s="104"/>
      <c r="B2" s="104"/>
      <c r="C2" s="104"/>
      <c r="D2" s="2"/>
      <c r="E2" s="2"/>
      <c r="F2" s="2"/>
    </row>
    <row r="3" spans="1:40" ht="19.5" thickBot="1" x14ac:dyDescent="0.35">
      <c r="D3" s="41"/>
      <c r="E3" s="41"/>
      <c r="F3" s="2"/>
      <c r="P3" s="84" t="s">
        <v>36</v>
      </c>
    </row>
    <row r="4" spans="1:40" ht="19.5" thickBot="1" x14ac:dyDescent="0.35">
      <c r="A4" s="105" t="s">
        <v>1</v>
      </c>
      <c r="B4" s="106"/>
      <c r="C4" s="107"/>
      <c r="D4" s="2"/>
      <c r="E4" s="2"/>
      <c r="F4" s="2"/>
    </row>
    <row r="5" spans="1:40" s="49" customFormat="1" ht="15.75" x14ac:dyDescent="0.25">
      <c r="A5" s="46" t="s">
        <v>2</v>
      </c>
      <c r="B5" s="108" t="s">
        <v>3</v>
      </c>
      <c r="C5" s="108"/>
      <c r="D5" s="47"/>
      <c r="E5" s="48"/>
      <c r="F5" s="48"/>
      <c r="O5" s="87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</row>
    <row r="6" spans="1:40" s="49" customFormat="1" ht="15.75" x14ac:dyDescent="0.25">
      <c r="A6" s="50" t="s">
        <v>4</v>
      </c>
      <c r="B6" s="109">
        <v>80000</v>
      </c>
      <c r="C6" s="110"/>
      <c r="D6" s="51">
        <v>0</v>
      </c>
      <c r="E6" s="48"/>
      <c r="F6" s="48"/>
      <c r="O6" s="85">
        <v>400000</v>
      </c>
      <c r="P6" s="85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1:40" s="49" customFormat="1" ht="15.75" x14ac:dyDescent="0.25">
      <c r="A7" s="50" t="s">
        <v>5</v>
      </c>
      <c r="B7" s="109">
        <v>320000</v>
      </c>
      <c r="C7" s="110"/>
      <c r="D7" s="51">
        <v>1</v>
      </c>
      <c r="E7" s="52"/>
      <c r="F7" s="48"/>
      <c r="O7" s="85">
        <v>80000</v>
      </c>
      <c r="P7" s="85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</row>
    <row r="8" spans="1:40" s="49" customFormat="1" ht="15.75" x14ac:dyDescent="0.25">
      <c r="A8" s="53" t="s">
        <v>6</v>
      </c>
      <c r="B8" s="102">
        <v>320000</v>
      </c>
      <c r="C8" s="103"/>
      <c r="D8" s="70"/>
      <c r="E8" s="48"/>
      <c r="F8" s="48"/>
      <c r="O8" s="85">
        <v>320000</v>
      </c>
      <c r="P8" s="85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</row>
    <row r="9" spans="1:40" s="49" customFormat="1" ht="15.75" x14ac:dyDescent="0.25">
      <c r="A9" s="50" t="s">
        <v>7</v>
      </c>
      <c r="B9" s="109">
        <v>400000</v>
      </c>
      <c r="C9" s="110"/>
      <c r="D9" s="71">
        <f>B8-B9</f>
        <v>-80000</v>
      </c>
      <c r="E9" s="48"/>
      <c r="F9" s="48"/>
      <c r="O9" s="85">
        <v>10</v>
      </c>
      <c r="P9" s="85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</row>
    <row r="10" spans="1:40" s="49" customFormat="1" x14ac:dyDescent="0.3">
      <c r="A10" s="55" t="s">
        <v>8</v>
      </c>
      <c r="B10" s="100">
        <v>10</v>
      </c>
      <c r="C10" s="101"/>
      <c r="D10" s="48"/>
      <c r="E10" s="48"/>
      <c r="F10" s="48"/>
      <c r="O10" s="85">
        <v>2</v>
      </c>
      <c r="P10" s="81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x14ac:dyDescent="0.3">
      <c r="A11" s="55" t="s">
        <v>34</v>
      </c>
      <c r="B11" s="100">
        <v>2</v>
      </c>
      <c r="C11" s="101"/>
      <c r="D11" s="48" t="s">
        <v>35</v>
      </c>
      <c r="E11" s="56"/>
      <c r="F11" s="48"/>
      <c r="O11" s="85">
        <v>8.5000000000000006E-2</v>
      </c>
      <c r="P11" s="81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x14ac:dyDescent="0.3">
      <c r="A12" s="55" t="s">
        <v>10</v>
      </c>
      <c r="B12" s="100">
        <v>1</v>
      </c>
      <c r="C12" s="101"/>
      <c r="D12" s="48" t="s">
        <v>35</v>
      </c>
      <c r="E12" s="57"/>
      <c r="F12" s="58"/>
      <c r="G12" s="59"/>
      <c r="H12" s="59"/>
      <c r="O12" s="118">
        <v>0.1</v>
      </c>
      <c r="P12" s="81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x14ac:dyDescent="0.3">
      <c r="A13" s="55" t="s">
        <v>11</v>
      </c>
      <c r="B13" s="96">
        <v>8.5000000000000006E-2</v>
      </c>
      <c r="C13" s="97"/>
      <c r="D13" s="60">
        <f>(1+$B$13)/(1+$B$14)-1</f>
        <v>2.3584905660377187E-2</v>
      </c>
      <c r="E13" s="48"/>
      <c r="F13" s="48"/>
      <c r="O13" s="87"/>
      <c r="P13" s="79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x14ac:dyDescent="0.3">
      <c r="A14" s="69" t="s">
        <v>12</v>
      </c>
      <c r="B14" s="111">
        <v>0.06</v>
      </c>
      <c r="C14" s="112"/>
      <c r="D14" s="48"/>
      <c r="E14" s="48"/>
      <c r="F14" s="48"/>
      <c r="O14" s="87"/>
      <c r="P14" s="79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x14ac:dyDescent="0.3">
      <c r="A15" s="69" t="s">
        <v>13</v>
      </c>
      <c r="B15" s="113">
        <v>10</v>
      </c>
      <c r="C15" s="114"/>
      <c r="D15" s="48"/>
      <c r="E15" s="48"/>
      <c r="F15" s="48"/>
      <c r="G15" s="91" t="s">
        <v>14</v>
      </c>
      <c r="H15" s="92"/>
      <c r="O15" s="87"/>
      <c r="P15" s="79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x14ac:dyDescent="0.3">
      <c r="A16" s="69" t="s">
        <v>15</v>
      </c>
      <c r="B16" s="111">
        <v>0</v>
      </c>
      <c r="C16" s="112"/>
      <c r="D16" s="52"/>
      <c r="E16" s="48"/>
      <c r="F16" s="95" t="s">
        <v>33</v>
      </c>
      <c r="G16" s="61" t="s">
        <v>16</v>
      </c>
      <c r="H16" s="62" t="s">
        <v>17</v>
      </c>
      <c r="O16" s="87"/>
      <c r="P16" s="79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9.5" thickBot="1" x14ac:dyDescent="0.35">
      <c r="A17" s="55" t="s">
        <v>18</v>
      </c>
      <c r="B17" s="96">
        <v>0.1</v>
      </c>
      <c r="C17" s="97"/>
      <c r="D17" s="63">
        <f>(1+$B$17)*(1+$B$14)-1</f>
        <v>0.16600000000000015</v>
      </c>
      <c r="E17" s="48"/>
      <c r="F17" s="95"/>
      <c r="G17" s="64">
        <f>G18+B6</f>
        <v>576800</v>
      </c>
      <c r="H17" s="61">
        <f>H18+B6</f>
        <v>378454.17949373211</v>
      </c>
      <c r="I17" s="65" t="e">
        <f>I18/((1+$B$17)^$B$15)</f>
        <v>#REF!</v>
      </c>
      <c r="J17" s="65" t="e">
        <f>J18/((1+$B$17)^$B$15)</f>
        <v>#REF!</v>
      </c>
      <c r="O17" s="87"/>
      <c r="P17" s="79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9.5" thickBot="1" x14ac:dyDescent="0.35">
      <c r="A18" s="68" t="s">
        <v>19</v>
      </c>
      <c r="B18" s="98">
        <f>(((1+$B$17)^$B$15)*$B$17)/(((1+$B$17)^$B$15)-1)</f>
        <v>0.16274539488251155</v>
      </c>
      <c r="C18" s="99"/>
      <c r="F18" s="66">
        <f>SUM(F20:F44)</f>
        <v>176800</v>
      </c>
      <c r="G18" s="66">
        <f>SUM(G20:G44)</f>
        <v>496800</v>
      </c>
      <c r="H18" s="66">
        <f>SUM(H20:H44)</f>
        <v>298454.17949373211</v>
      </c>
      <c r="I18" s="67" t="e">
        <f>SUM(I20:I44)</f>
        <v>#REF!</v>
      </c>
      <c r="J18" s="67" t="e">
        <f>SUM(J20:J44)</f>
        <v>#REF!</v>
      </c>
      <c r="O18" s="87"/>
      <c r="P18" s="79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51.75" thickBot="1" x14ac:dyDescent="0.3">
      <c r="A19" s="72" t="s">
        <v>20</v>
      </c>
      <c r="B19" s="77" t="s">
        <v>37</v>
      </c>
      <c r="C19" s="74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86"/>
      <c r="P19" s="80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3">
      <c r="A20" s="73">
        <v>41791</v>
      </c>
      <c r="B20" s="78">
        <v>0</v>
      </c>
      <c r="C20" s="7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320000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</row>
    <row r="21" spans="1:40" x14ac:dyDescent="0.3">
      <c r="A21" s="73">
        <v>42156</v>
      </c>
      <c r="B21" s="78">
        <v>1</v>
      </c>
      <c r="C21" s="76">
        <f>IF(C20&lt;($B$10),C20+1,IF(C20=0,0))</f>
        <v>1</v>
      </c>
      <c r="D21" s="16">
        <f>IF(C21=($B$11+1),$B$7/($B$10-$B$11),IF(AND($C21&gt;($B$11+1),SUM($D$19:D20)&lt;$B$7),$B$7/($B$10-$B$11),0))</f>
        <v>0</v>
      </c>
      <c r="E21" s="17">
        <f t="shared" si="0"/>
        <v>320000</v>
      </c>
      <c r="F21" s="18">
        <f t="shared" si="1"/>
        <v>27200.000000000004</v>
      </c>
      <c r="G21" s="28">
        <f t="shared" si="2"/>
        <v>27200.000000000004</v>
      </c>
      <c r="H21" s="20">
        <f>G21/((1+$B$17)^C21)</f>
        <v>24727.272727272728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27200.000000000004</v>
      </c>
      <c r="N21" s="26" t="e">
        <f>IF(#REF!&gt;0,(#REF!-G21)+(N20*(1+$B$17)),0)</f>
        <v>#REF!</v>
      </c>
      <c r="P21" s="81"/>
    </row>
    <row r="22" spans="1:40" x14ac:dyDescent="0.3">
      <c r="A22" s="73">
        <v>42522</v>
      </c>
      <c r="B22" s="78">
        <v>2</v>
      </c>
      <c r="C22" s="76">
        <f t="shared" ref="C22:C44" si="5">IF(C21&lt;($B$10),C21+1,IF(C21=0,0))</f>
        <v>2</v>
      </c>
      <c r="D22" s="16">
        <f>IF(C22=($B$11+1),$B$7/($B$10-$B$11),IF(AND($C22&gt;($B$11+1),SUM($D$19:D21)&lt;$B$7),$B$7/($B$10-$B$11),0))</f>
        <v>0</v>
      </c>
      <c r="E22" s="17">
        <f t="shared" si="0"/>
        <v>320000</v>
      </c>
      <c r="F22" s="18">
        <f t="shared" si="1"/>
        <v>27200.000000000004</v>
      </c>
      <c r="G22" s="28">
        <f>F22+D22</f>
        <v>27200.000000000004</v>
      </c>
      <c r="H22" s="20">
        <f t="shared" si="3"/>
        <v>22479.338842975205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57120.000000000015</v>
      </c>
      <c r="N22" s="26" t="e">
        <f>IF(#REF!&gt;0,(#REF!-G22)+(N21*(1+$B$17)),0)</f>
        <v>#REF!</v>
      </c>
      <c r="P22" s="82"/>
    </row>
    <row r="23" spans="1:40" x14ac:dyDescent="0.3">
      <c r="A23" s="73">
        <v>42887</v>
      </c>
      <c r="B23" s="78">
        <v>3</v>
      </c>
      <c r="C23" s="76">
        <f t="shared" si="5"/>
        <v>3</v>
      </c>
      <c r="D23" s="16">
        <f>IF(C23=($B$11+1),$B$7/($B$10-$B$11),IF(AND($C23&gt;($B$11+1),SUM($D$19:D22)&lt;$B$7),$B$7/($B$10-$B$11),0))</f>
        <v>40000</v>
      </c>
      <c r="E23" s="17">
        <f t="shared" si="0"/>
        <v>280000</v>
      </c>
      <c r="F23" s="18">
        <f t="shared" si="1"/>
        <v>27200.000000000004</v>
      </c>
      <c r="G23" s="28">
        <f t="shared" si="2"/>
        <v>67200</v>
      </c>
      <c r="H23" s="20">
        <f t="shared" si="3"/>
        <v>50488.354620586011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130032.00000000003</v>
      </c>
      <c r="N23" s="26" t="e">
        <f>IF(#REF!&gt;0,(#REF!-G23)+(N22*(1+$B$17)),0)</f>
        <v>#REF!</v>
      </c>
    </row>
    <row r="24" spans="1:40" x14ac:dyDescent="0.3">
      <c r="A24" s="73">
        <v>43252</v>
      </c>
      <c r="B24" s="78">
        <v>4</v>
      </c>
      <c r="C24" s="76">
        <f t="shared" si="5"/>
        <v>4</v>
      </c>
      <c r="D24" s="16">
        <f>IF(C24=($B$11+1),$B$7/($B$10-$B$11),IF(AND($C24&gt;($B$11+1),SUM($D$19:D23)&lt;$B$7),$B$7/($B$10-$B$11),0))</f>
        <v>40000</v>
      </c>
      <c r="E24" s="17">
        <f t="shared" si="0"/>
        <v>240000</v>
      </c>
      <c r="F24" s="18">
        <f t="shared" si="1"/>
        <v>23800</v>
      </c>
      <c r="G24" s="28">
        <f t="shared" si="2"/>
        <v>63800</v>
      </c>
      <c r="H24" s="20">
        <f t="shared" si="3"/>
        <v>43576.258452291499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206835.20000000004</v>
      </c>
      <c r="N24" s="26" t="e">
        <f>IF(#REF!&gt;0,(#REF!-G24)+(N23*(1+$B$17)),0)</f>
        <v>#REF!</v>
      </c>
    </row>
    <row r="25" spans="1:40" x14ac:dyDescent="0.3">
      <c r="A25" s="73">
        <v>43617</v>
      </c>
      <c r="B25" s="78">
        <v>5</v>
      </c>
      <c r="C25" s="76">
        <f t="shared" si="5"/>
        <v>5</v>
      </c>
      <c r="D25" s="16">
        <f>IF(C25=($B$11+1),$B$7/($B$10-$B$11),IF(AND($C25&gt;($B$11+1),SUM($D$19:D24)&lt;$B$7),$B$7/($B$10-$B$11),0))</f>
        <v>40000</v>
      </c>
      <c r="E25" s="17">
        <f t="shared" si="0"/>
        <v>200000</v>
      </c>
      <c r="F25" s="18">
        <f t="shared" si="1"/>
        <v>20400</v>
      </c>
      <c r="G25" s="28">
        <f t="shared" si="2"/>
        <v>60400</v>
      </c>
      <c r="H25" s="20">
        <f t="shared" si="3"/>
        <v>37503.647912772962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287918.72000000009</v>
      </c>
      <c r="N25" s="26" t="e">
        <f>IF(#REF!&gt;0,(#REF!-G25)+(N24*(1+$B$17)),0)</f>
        <v>#REF!</v>
      </c>
    </row>
    <row r="26" spans="1:40" x14ac:dyDescent="0.3">
      <c r="A26" s="73">
        <v>43983</v>
      </c>
      <c r="B26" s="78">
        <v>6</v>
      </c>
      <c r="C26" s="76">
        <f t="shared" si="5"/>
        <v>6</v>
      </c>
      <c r="D26" s="16">
        <f>IF(C26=($B$11+1),$B$7/($B$10-$B$11),IF(AND($C26&gt;($B$11+1),SUM($D$19:D25)&lt;$B$7),$B$7/($B$10-$B$11),0))</f>
        <v>40000</v>
      </c>
      <c r="E26" s="17">
        <f t="shared" si="0"/>
        <v>160000</v>
      </c>
      <c r="F26" s="18">
        <f t="shared" si="1"/>
        <v>17000</v>
      </c>
      <c r="G26" s="28">
        <f t="shared" si="2"/>
        <v>57000</v>
      </c>
      <c r="H26" s="20">
        <f t="shared" si="3"/>
        <v>32175.014013065298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373710.59200000012</v>
      </c>
      <c r="N26" s="26" t="e">
        <f>IF(#REF!&gt;0,(#REF!-G26)+(N25*(1+$B$17)),0)</f>
        <v>#REF!</v>
      </c>
    </row>
    <row r="27" spans="1:40" x14ac:dyDescent="0.3">
      <c r="A27" s="73">
        <v>44348</v>
      </c>
      <c r="B27" s="78">
        <v>7</v>
      </c>
      <c r="C27" s="76">
        <f t="shared" si="5"/>
        <v>7</v>
      </c>
      <c r="D27" s="16">
        <f>IF(C27=($B$11+1),$B$7/($B$10-$B$11),IF(AND($C27&gt;($B$11+1),SUM($D$19:D26)&lt;$B$7),$B$7/($B$10-$B$11),0))</f>
        <v>40000</v>
      </c>
      <c r="E27" s="17">
        <f t="shared" si="0"/>
        <v>120000</v>
      </c>
      <c r="F27" s="18">
        <f t="shared" si="1"/>
        <v>13600.000000000002</v>
      </c>
      <c r="G27" s="28">
        <f t="shared" si="2"/>
        <v>53600</v>
      </c>
      <c r="H27" s="20">
        <f t="shared" si="3"/>
        <v>27505.275137165867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464681.65120000014</v>
      </c>
      <c r="N27" s="26" t="e">
        <f>IF(#REF!&gt;0,(#REF!-G27)+(N26*(1+$B$17)),0)</f>
        <v>#REF!</v>
      </c>
    </row>
    <row r="28" spans="1:40" x14ac:dyDescent="0.3">
      <c r="A28" s="73">
        <v>44713</v>
      </c>
      <c r="B28" s="78">
        <v>8</v>
      </c>
      <c r="C28" s="76">
        <f t="shared" si="5"/>
        <v>8</v>
      </c>
      <c r="D28" s="16">
        <f>IF(C28=($B$11+1),$B$7/($B$10-$B$11),IF(AND($C28&gt;($B$11+1),SUM($D$19:D27)&lt;$B$7),$B$7/($B$10-$B$11),0))</f>
        <v>40000</v>
      </c>
      <c r="E28" s="17">
        <f t="shared" si="0"/>
        <v>80000</v>
      </c>
      <c r="F28" s="18">
        <f t="shared" si="1"/>
        <v>10200</v>
      </c>
      <c r="G28" s="28">
        <f t="shared" si="2"/>
        <v>50200</v>
      </c>
      <c r="H28" s="20">
        <f t="shared" si="3"/>
        <v>23418.670486528605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561349.81632000022</v>
      </c>
      <c r="N28" s="26" t="e">
        <f>IF(#REF!&gt;0,(#REF!-G28)+(N27*(1+$B$17)),0)</f>
        <v>#REF!</v>
      </c>
    </row>
    <row r="29" spans="1:40" x14ac:dyDescent="0.3">
      <c r="A29" s="73">
        <v>45078</v>
      </c>
      <c r="B29" s="78">
        <v>9</v>
      </c>
      <c r="C29" s="76">
        <f t="shared" si="5"/>
        <v>9</v>
      </c>
      <c r="D29" s="16">
        <f>IF(C29=($B$11+1),$B$7/($B$10-$B$11),IF(AND($C29&gt;($B$11+1),SUM($D$19:D28)&lt;$B$7),$B$7/($B$10-$B$11),0))</f>
        <v>40000</v>
      </c>
      <c r="E29" s="17">
        <f t="shared" si="0"/>
        <v>40000</v>
      </c>
      <c r="F29" s="18">
        <f t="shared" si="1"/>
        <v>6800.0000000000009</v>
      </c>
      <c r="G29" s="28">
        <f t="shared" si="2"/>
        <v>46800</v>
      </c>
      <c r="H29" s="20">
        <f t="shared" si="3"/>
        <v>19847.768539832283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664284.79795200028</v>
      </c>
      <c r="N29" s="26" t="e">
        <f>IF(#REF!&gt;0,(#REF!-G29)+(N28*(1+$B$17)),0)</f>
        <v>#REF!</v>
      </c>
    </row>
    <row r="30" spans="1:40" x14ac:dyDescent="0.3">
      <c r="A30" s="73">
        <v>45444</v>
      </c>
      <c r="B30" s="78">
        <v>10</v>
      </c>
      <c r="C30" s="76">
        <f t="shared" si="5"/>
        <v>10</v>
      </c>
      <c r="D30" s="16">
        <f>IF(C30=($B$11+1),$B$7/($B$10-$B$11),IF(AND($C30&gt;($B$11+1),SUM($D$19:D29)&lt;$B$7),$B$7/($B$10-$B$11),0))</f>
        <v>40000</v>
      </c>
      <c r="E30" s="17">
        <f t="shared" si="0"/>
        <v>0</v>
      </c>
      <c r="F30" s="18">
        <f t="shared" si="1"/>
        <v>3400.0000000000005</v>
      </c>
      <c r="G30" s="28">
        <f t="shared" si="2"/>
        <v>43400</v>
      </c>
      <c r="H30" s="20">
        <f t="shared" si="3"/>
        <v>16732.578761241664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774113.27774720034</v>
      </c>
      <c r="N30" s="26" t="e">
        <f>IF(#REF!&gt;0,(#REF!-G30)+(N29*(1+$B$17)),0)</f>
        <v>#REF!</v>
      </c>
    </row>
    <row r="31" spans="1:40" x14ac:dyDescent="0.3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</row>
    <row r="32" spans="1:40" x14ac:dyDescent="0.3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</row>
    <row r="33" spans="1:16" s="1" customFormat="1" x14ac:dyDescent="0.3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86"/>
      <c r="P33" s="83"/>
    </row>
    <row r="34" spans="1:16" s="1" customFormat="1" x14ac:dyDescent="0.3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86"/>
      <c r="P34" s="83"/>
    </row>
    <row r="35" spans="1:16" s="1" customFormat="1" x14ac:dyDescent="0.3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86"/>
      <c r="P35" s="83"/>
    </row>
    <row r="36" spans="1:16" s="1" customFormat="1" x14ac:dyDescent="0.3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86"/>
      <c r="P36" s="83"/>
    </row>
    <row r="37" spans="1:16" s="1" customFormat="1" x14ac:dyDescent="0.3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86"/>
      <c r="P37" s="83"/>
    </row>
    <row r="38" spans="1:16" s="1" customFormat="1" x14ac:dyDescent="0.3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86"/>
      <c r="P38" s="83"/>
    </row>
    <row r="39" spans="1:16" s="1" customFormat="1" x14ac:dyDescent="0.3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86"/>
      <c r="P39" s="83"/>
    </row>
    <row r="40" spans="1:16" s="1" customFormat="1" x14ac:dyDescent="0.3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86"/>
      <c r="P40" s="83"/>
    </row>
    <row r="41" spans="1:16" s="1" customFormat="1" x14ac:dyDescent="0.3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86"/>
      <c r="P41" s="83"/>
    </row>
    <row r="42" spans="1:16" s="1" customFormat="1" x14ac:dyDescent="0.3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86"/>
      <c r="P42" s="83"/>
    </row>
    <row r="43" spans="1:16" s="1" customFormat="1" x14ac:dyDescent="0.3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86"/>
      <c r="P43" s="83"/>
    </row>
    <row r="44" spans="1:16" s="1" customFormat="1" ht="19.5" thickBot="1" x14ac:dyDescent="0.35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86"/>
      <c r="P44" s="83"/>
    </row>
    <row r="47" spans="1:16" s="1" customFormat="1" x14ac:dyDescent="0.3">
      <c r="A47" s="39"/>
      <c r="O47" s="86"/>
      <c r="P47" s="83"/>
    </row>
  </sheetData>
  <mergeCells count="18">
    <mergeCell ref="G15:H15"/>
    <mergeCell ref="B16:C16"/>
    <mergeCell ref="F16:F17"/>
    <mergeCell ref="B17:C17"/>
    <mergeCell ref="B18:C18"/>
    <mergeCell ref="B14:C14"/>
    <mergeCell ref="B15:C15"/>
    <mergeCell ref="B8:C8"/>
    <mergeCell ref="A1:C2"/>
    <mergeCell ref="A4:C4"/>
    <mergeCell ref="B5:C5"/>
    <mergeCell ref="B6:C6"/>
    <mergeCell ref="B7:C7"/>
    <mergeCell ref="B9:C9"/>
    <mergeCell ref="B10:C10"/>
    <mergeCell ref="B11:C11"/>
    <mergeCell ref="B12:C12"/>
    <mergeCell ref="B13:C13"/>
  </mergeCells>
  <conditionalFormatting sqref="N20:N44 K20:K44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6"/>
  <sheetViews>
    <sheetView tabSelected="1" workbookViewId="0">
      <selection activeCell="D7" sqref="D7"/>
    </sheetView>
  </sheetViews>
  <sheetFormatPr defaultRowHeight="15" x14ac:dyDescent="0.25"/>
  <cols>
    <col min="3" max="3" width="11.5703125" bestFit="1" customWidth="1"/>
  </cols>
  <sheetData>
    <row r="4" spans="2:11" x14ac:dyDescent="0.25">
      <c r="B4" t="s">
        <v>39</v>
      </c>
      <c r="C4" s="90">
        <f>'Exercio1_Avista(aula)'!H17</f>
        <v>519801.86262679042</v>
      </c>
      <c r="D4" t="s">
        <v>43</v>
      </c>
    </row>
    <row r="5" spans="2:11" x14ac:dyDescent="0.25">
      <c r="B5" s="2" t="s">
        <v>40</v>
      </c>
      <c r="C5" s="42">
        <f>'Exerc2_APrazo(aula)'!H17</f>
        <v>533991.06523040822</v>
      </c>
      <c r="D5" s="2" t="s">
        <v>42</v>
      </c>
      <c r="E5" s="2"/>
      <c r="F5" s="2"/>
      <c r="G5" s="2"/>
      <c r="H5" s="2"/>
      <c r="I5" s="2"/>
      <c r="J5" s="2"/>
      <c r="K5" s="2"/>
    </row>
    <row r="6" spans="2:11" x14ac:dyDescent="0.25">
      <c r="B6" s="119" t="s">
        <v>41</v>
      </c>
      <c r="C6" s="120">
        <f>'Exercicio_CASA(tarefa)'!H17</f>
        <v>378454.17949373211</v>
      </c>
      <c r="D6" s="119" t="s">
        <v>44</v>
      </c>
      <c r="E6" s="119"/>
      <c r="F6" s="119"/>
      <c r="G6" s="119"/>
      <c r="H6" s="119"/>
      <c r="I6" s="119"/>
      <c r="J6" s="119"/>
      <c r="K6" s="11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Exercio1_Avista(aula)</vt:lpstr>
      <vt:lpstr>Exerc2_APrazo(aula)</vt:lpstr>
      <vt:lpstr>Exercicio_CASA(tarefa)</vt:lpstr>
      <vt:lpstr>MELHOR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Margarete Boteon</dc:creator>
  <cp:lastModifiedBy>Margarete Boteon</cp:lastModifiedBy>
  <dcterms:created xsi:type="dcterms:W3CDTF">2014-05-08T21:44:14Z</dcterms:created>
  <dcterms:modified xsi:type="dcterms:W3CDTF">2016-06-30T15:00:13Z</dcterms:modified>
</cp:coreProperties>
</file>