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7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EstaPasta_de_trabalho" defaultThemeVersion="124226"/>
  <workbookProtection workbookPassword="EA44" lockStructure="1"/>
  <bookViews>
    <workbookView showHorizontalScroll="0" showVerticalScroll="0" xWindow="120" yWindow="255" windowWidth="10665" windowHeight="9165" tabRatio="741" firstSheet="9" activeTab="11"/>
  </bookViews>
  <sheets>
    <sheet name="Estudos caso-controle" sheetId="1" r:id="rId1"/>
    <sheet name="n, caso-controle, 1.1" sheetId="3" r:id="rId2"/>
    <sheet name="n, caso-controle, 1.c" sheetId="4" r:id="rId3"/>
    <sheet name="n, caso-controle, OR" sheetId="13" r:id="rId4"/>
    <sheet name="Estudos transversais" sheetId="2" r:id="rId5"/>
    <sheet name="n, prevalência" sheetId="7" r:id="rId6"/>
    <sheet name="n, média" sheetId="8" r:id="rId7"/>
    <sheet name="n, médias, AAE" sheetId="15" r:id="rId8"/>
    <sheet name="n, proporções, AAE" sheetId="16" r:id="rId9"/>
    <sheet name="n, coorte, RR" sheetId="14" r:id="rId10"/>
    <sheet name="n, comparação entre 2 médias" sheetId="6" r:id="rId11"/>
    <sheet name="n, comparação 2 proporções" sheetId="17" r:id="rId12"/>
    <sheet name="n, não inferioridade" sheetId="18" r:id="rId13"/>
    <sheet name="n, CCI" sheetId="25" r:id="rId14"/>
    <sheet name="teste t, 2 médias" sheetId="9" r:id="rId15"/>
    <sheet name="teste t pareado" sheetId="19" r:id="rId16"/>
    <sheet name="Teste de Wilcoxon" sheetId="21" r:id="rId17"/>
    <sheet name="Mann-Whitney" sheetId="23" r:id="rId18"/>
    <sheet name="Kruskal-Wallis" sheetId="22" r:id="rId19"/>
    <sheet name="tabelas 2x2" sheetId="26" r:id="rId20"/>
    <sheet name="kappa 2x2" sheetId="10" r:id="rId21"/>
    <sheet name="kappa 3x3" sheetId="12" r:id="rId22"/>
    <sheet name="kappa 4x4" sheetId="20" r:id="rId23"/>
    <sheet name="McNemar" sheetId="11" r:id="rId24"/>
    <sheet name="Aleatorização" sheetId="24" r:id="rId25"/>
  </sheets>
  <calcPr calcId="145621"/>
</workbook>
</file>

<file path=xl/calcChain.xml><?xml version="1.0" encoding="utf-8"?>
<calcChain xmlns="http://schemas.openxmlformats.org/spreadsheetml/2006/main">
  <c r="Q32" i="20" l="1"/>
  <c r="P32" i="20"/>
  <c r="O32" i="20"/>
  <c r="R31" i="20"/>
  <c r="P31" i="20"/>
  <c r="O31" i="20"/>
  <c r="R30" i="20"/>
  <c r="Q30" i="20"/>
  <c r="O30" i="20"/>
  <c r="R29" i="20"/>
  <c r="Q29" i="20"/>
  <c r="P29" i="20"/>
  <c r="X1101" i="26" l="1"/>
  <c r="X1100" i="26"/>
  <c r="X1099" i="26"/>
  <c r="X1098" i="26"/>
  <c r="X1097" i="26"/>
  <c r="X1096" i="26"/>
  <c r="X1095" i="26"/>
  <c r="X1094" i="26"/>
  <c r="X1093" i="26"/>
  <c r="X1092" i="26"/>
  <c r="X1091" i="26"/>
  <c r="X1090" i="26"/>
  <c r="X1089" i="26"/>
  <c r="X1088" i="26"/>
  <c r="X1087" i="26"/>
  <c r="X1086" i="26"/>
  <c r="X1085" i="26"/>
  <c r="X1084" i="26"/>
  <c r="X1083" i="26"/>
  <c r="X1082" i="26"/>
  <c r="X1081" i="26"/>
  <c r="X1080" i="26"/>
  <c r="X1079" i="26"/>
  <c r="X1078" i="26"/>
  <c r="X1077" i="26"/>
  <c r="X1076" i="26"/>
  <c r="X1075" i="26"/>
  <c r="X1074" i="26"/>
  <c r="X1073" i="26"/>
  <c r="X1072" i="26"/>
  <c r="X1071" i="26"/>
  <c r="X1070" i="26"/>
  <c r="X1069" i="26"/>
  <c r="X1068" i="26"/>
  <c r="X1067" i="26"/>
  <c r="X1066" i="26"/>
  <c r="X1065" i="26"/>
  <c r="X1064" i="26"/>
  <c r="X1063" i="26"/>
  <c r="X1062" i="26"/>
  <c r="X1061" i="26"/>
  <c r="X1060" i="26"/>
  <c r="X1059" i="26"/>
  <c r="X1058" i="26"/>
  <c r="X1057" i="26"/>
  <c r="X1056" i="26"/>
  <c r="X1055" i="26"/>
  <c r="X1054" i="26"/>
  <c r="X1053" i="26"/>
  <c r="X1052" i="26"/>
  <c r="X1051" i="26"/>
  <c r="X1050" i="26"/>
  <c r="X1049" i="26"/>
  <c r="X1048" i="26"/>
  <c r="X1047" i="26"/>
  <c r="X1046" i="26"/>
  <c r="X1045" i="26"/>
  <c r="X1044" i="26"/>
  <c r="X1043" i="26"/>
  <c r="X1042" i="26"/>
  <c r="X1041" i="26"/>
  <c r="X1040" i="26"/>
  <c r="X1039" i="26"/>
  <c r="X1038" i="26"/>
  <c r="X1037" i="26"/>
  <c r="X1036" i="26"/>
  <c r="X1035" i="26"/>
  <c r="X1034" i="26"/>
  <c r="X1033" i="26"/>
  <c r="X1032" i="26"/>
  <c r="X1031" i="26"/>
  <c r="X1030" i="26"/>
  <c r="X1029" i="26"/>
  <c r="X1028" i="26"/>
  <c r="X1027" i="26"/>
  <c r="X1026" i="26"/>
  <c r="X1025" i="26"/>
  <c r="X1024" i="26"/>
  <c r="X1023" i="26"/>
  <c r="X1022" i="26"/>
  <c r="X1021" i="26"/>
  <c r="X1020" i="26"/>
  <c r="X1019" i="26"/>
  <c r="X1018" i="26"/>
  <c r="X1017" i="26"/>
  <c r="X1016" i="26"/>
  <c r="X1015" i="26"/>
  <c r="X1014" i="26"/>
  <c r="X1013" i="26"/>
  <c r="X1012" i="26"/>
  <c r="X1011" i="26"/>
  <c r="X1010" i="26"/>
  <c r="X1009" i="26"/>
  <c r="X1008" i="26"/>
  <c r="X1007" i="26"/>
  <c r="X1006" i="26"/>
  <c r="X1005" i="26"/>
  <c r="X1004" i="26"/>
  <c r="X1003" i="26"/>
  <c r="X1002" i="26"/>
  <c r="X1001" i="26"/>
  <c r="X1000" i="26"/>
  <c r="X999" i="26"/>
  <c r="X998" i="26"/>
  <c r="X997" i="26"/>
  <c r="X996" i="26"/>
  <c r="X995" i="26"/>
  <c r="X994" i="26"/>
  <c r="X993" i="26"/>
  <c r="X992" i="26"/>
  <c r="X991" i="26"/>
  <c r="X990" i="26"/>
  <c r="X989" i="26"/>
  <c r="X988" i="26"/>
  <c r="X987" i="26"/>
  <c r="X986" i="26"/>
  <c r="X985" i="26"/>
  <c r="X984" i="26"/>
  <c r="X983" i="26"/>
  <c r="X982" i="26"/>
  <c r="X981" i="26"/>
  <c r="X980" i="26"/>
  <c r="X979" i="26"/>
  <c r="X978" i="26"/>
  <c r="X977" i="26"/>
  <c r="X976" i="26"/>
  <c r="X975" i="26"/>
  <c r="X974" i="26"/>
  <c r="X973" i="26"/>
  <c r="X972" i="26"/>
  <c r="X971" i="26"/>
  <c r="X970" i="26"/>
  <c r="X969" i="26"/>
  <c r="X968" i="26"/>
  <c r="X967" i="26"/>
  <c r="X966" i="26"/>
  <c r="X965" i="26"/>
  <c r="X964" i="26"/>
  <c r="X963" i="26"/>
  <c r="X962" i="26"/>
  <c r="X961" i="26"/>
  <c r="X960" i="26"/>
  <c r="X959" i="26"/>
  <c r="X958" i="26"/>
  <c r="X957" i="26"/>
  <c r="X956" i="26"/>
  <c r="X955" i="26"/>
  <c r="X954" i="26"/>
  <c r="X953" i="26"/>
  <c r="X952" i="26"/>
  <c r="X951" i="26"/>
  <c r="X950" i="26"/>
  <c r="X949" i="26"/>
  <c r="X948" i="26"/>
  <c r="X947" i="26"/>
  <c r="X946" i="26"/>
  <c r="X945" i="26"/>
  <c r="X944" i="26"/>
  <c r="X943" i="26"/>
  <c r="X942" i="26"/>
  <c r="X941" i="26"/>
  <c r="X940" i="26"/>
  <c r="X939" i="26"/>
  <c r="X938" i="26"/>
  <c r="X937" i="26"/>
  <c r="X936" i="26"/>
  <c r="X935" i="26"/>
  <c r="X934" i="26"/>
  <c r="X933" i="26"/>
  <c r="X932" i="26"/>
  <c r="X931" i="26"/>
  <c r="X930" i="26"/>
  <c r="X929" i="26"/>
  <c r="X928" i="26"/>
  <c r="X927" i="26"/>
  <c r="X926" i="26"/>
  <c r="X925" i="26"/>
  <c r="X924" i="26"/>
  <c r="X923" i="26"/>
  <c r="X922" i="26"/>
  <c r="X921" i="26"/>
  <c r="X920" i="26"/>
  <c r="X919" i="26"/>
  <c r="X918" i="26"/>
  <c r="X917" i="26"/>
  <c r="X916" i="26"/>
  <c r="X915" i="26"/>
  <c r="X914" i="26"/>
  <c r="X913" i="26"/>
  <c r="X912" i="26"/>
  <c r="X911" i="26"/>
  <c r="X910" i="26"/>
  <c r="X909" i="26"/>
  <c r="X908" i="26"/>
  <c r="X907" i="26"/>
  <c r="X906" i="26"/>
  <c r="X905" i="26"/>
  <c r="X904" i="26"/>
  <c r="X903" i="26"/>
  <c r="X902" i="26"/>
  <c r="X901" i="26"/>
  <c r="X900" i="26"/>
  <c r="X899" i="26"/>
  <c r="X898" i="26"/>
  <c r="X897" i="26"/>
  <c r="X896" i="26"/>
  <c r="X895" i="26"/>
  <c r="X894" i="26"/>
  <c r="X893" i="26"/>
  <c r="X892" i="26"/>
  <c r="X891" i="26"/>
  <c r="X890" i="26"/>
  <c r="X889" i="26"/>
  <c r="X888" i="26"/>
  <c r="X887" i="26"/>
  <c r="X886" i="26"/>
  <c r="X885" i="26"/>
  <c r="X884" i="26"/>
  <c r="X883" i="26"/>
  <c r="X882" i="26"/>
  <c r="X881" i="26"/>
  <c r="X880" i="26"/>
  <c r="X879" i="26"/>
  <c r="X878" i="26"/>
  <c r="X877" i="26"/>
  <c r="X876" i="26"/>
  <c r="X875" i="26"/>
  <c r="X874" i="26"/>
  <c r="X873" i="26"/>
  <c r="X872" i="26"/>
  <c r="X871" i="26"/>
  <c r="X870" i="26"/>
  <c r="X869" i="26"/>
  <c r="X868" i="26"/>
  <c r="X867" i="26"/>
  <c r="X866" i="26"/>
  <c r="X865" i="26"/>
  <c r="X864" i="26"/>
  <c r="X863" i="26"/>
  <c r="X862" i="26"/>
  <c r="X861" i="26"/>
  <c r="X860" i="26"/>
  <c r="X859" i="26"/>
  <c r="X858" i="26"/>
  <c r="X857" i="26"/>
  <c r="X856" i="26"/>
  <c r="X855" i="26"/>
  <c r="X854" i="26"/>
  <c r="X853" i="26"/>
  <c r="X852" i="26"/>
  <c r="X851" i="26"/>
  <c r="X850" i="26"/>
  <c r="X849" i="26"/>
  <c r="X848" i="26"/>
  <c r="X847" i="26"/>
  <c r="X846" i="26"/>
  <c r="X845" i="26"/>
  <c r="X844" i="26"/>
  <c r="X843" i="26"/>
  <c r="X842" i="26"/>
  <c r="X841" i="26"/>
  <c r="X840" i="26"/>
  <c r="X839" i="26"/>
  <c r="X838" i="26"/>
  <c r="X837" i="26"/>
  <c r="X836" i="26"/>
  <c r="X835" i="26"/>
  <c r="X834" i="26"/>
  <c r="X833" i="26"/>
  <c r="X832" i="26"/>
  <c r="X831" i="26"/>
  <c r="X830" i="26"/>
  <c r="X829" i="26"/>
  <c r="X828" i="26"/>
  <c r="X827" i="26"/>
  <c r="X826" i="26"/>
  <c r="X825" i="26"/>
  <c r="X824" i="26"/>
  <c r="X823" i="26"/>
  <c r="X822" i="26"/>
  <c r="X821" i="26"/>
  <c r="X820" i="26"/>
  <c r="X819" i="26"/>
  <c r="X818" i="26"/>
  <c r="X817" i="26"/>
  <c r="X816" i="26"/>
  <c r="X815" i="26"/>
  <c r="X814" i="26"/>
  <c r="X813" i="26"/>
  <c r="X812" i="26"/>
  <c r="X811" i="26"/>
  <c r="X810" i="26"/>
  <c r="X809" i="26"/>
  <c r="X808" i="26"/>
  <c r="X807" i="26"/>
  <c r="X806" i="26"/>
  <c r="X805" i="26"/>
  <c r="X804" i="26"/>
  <c r="X803" i="26"/>
  <c r="X802" i="26"/>
  <c r="X801" i="26"/>
  <c r="X800" i="26"/>
  <c r="X799" i="26"/>
  <c r="X798" i="26"/>
  <c r="X797" i="26"/>
  <c r="X796" i="26"/>
  <c r="X795" i="26"/>
  <c r="X794" i="26"/>
  <c r="X793" i="26"/>
  <c r="X792" i="26"/>
  <c r="X791" i="26"/>
  <c r="X790" i="26"/>
  <c r="X789" i="26"/>
  <c r="X788" i="26"/>
  <c r="X787" i="26"/>
  <c r="X786" i="26"/>
  <c r="X785" i="26"/>
  <c r="X784" i="26"/>
  <c r="X783" i="26"/>
  <c r="X782" i="26"/>
  <c r="X781" i="26"/>
  <c r="X780" i="26"/>
  <c r="X779" i="26"/>
  <c r="X778" i="26"/>
  <c r="X777" i="26"/>
  <c r="X776" i="26"/>
  <c r="X775" i="26"/>
  <c r="X774" i="26"/>
  <c r="X773" i="26"/>
  <c r="X772" i="26"/>
  <c r="X771" i="26"/>
  <c r="X770" i="26"/>
  <c r="X769" i="26"/>
  <c r="X768" i="26"/>
  <c r="X767" i="26"/>
  <c r="X766" i="26"/>
  <c r="X765" i="26"/>
  <c r="X764" i="26"/>
  <c r="X763" i="26"/>
  <c r="X762" i="26"/>
  <c r="X761" i="26"/>
  <c r="X760" i="26"/>
  <c r="X759" i="26"/>
  <c r="X758" i="26"/>
  <c r="X757" i="26"/>
  <c r="X756" i="26"/>
  <c r="X755" i="26"/>
  <c r="X754" i="26"/>
  <c r="X753" i="26"/>
  <c r="X752" i="26"/>
  <c r="X751" i="26"/>
  <c r="X750" i="26"/>
  <c r="X749" i="26"/>
  <c r="X748" i="26"/>
  <c r="X747" i="26"/>
  <c r="X746" i="26"/>
  <c r="X745" i="26"/>
  <c r="X744" i="26"/>
  <c r="X743" i="26"/>
  <c r="X742" i="26"/>
  <c r="X741" i="26"/>
  <c r="X740" i="26"/>
  <c r="X739" i="26"/>
  <c r="X738" i="26"/>
  <c r="X737" i="26"/>
  <c r="X736" i="26"/>
  <c r="X735" i="26"/>
  <c r="X734" i="26"/>
  <c r="X733" i="26"/>
  <c r="X732" i="26"/>
  <c r="X731" i="26"/>
  <c r="X730" i="26"/>
  <c r="X729" i="26"/>
  <c r="X728" i="26"/>
  <c r="X727" i="26"/>
  <c r="X726" i="26"/>
  <c r="X725" i="26"/>
  <c r="X724" i="26"/>
  <c r="X723" i="26"/>
  <c r="X722" i="26"/>
  <c r="X721" i="26"/>
  <c r="X720" i="26"/>
  <c r="X719" i="26"/>
  <c r="X718" i="26"/>
  <c r="X717" i="26"/>
  <c r="X716" i="26"/>
  <c r="X715" i="26"/>
  <c r="X714" i="26"/>
  <c r="X713" i="26"/>
  <c r="X712" i="26"/>
  <c r="X711" i="26"/>
  <c r="X710" i="26"/>
  <c r="X709" i="26"/>
  <c r="X708" i="26"/>
  <c r="X707" i="26"/>
  <c r="X706" i="26"/>
  <c r="X705" i="26"/>
  <c r="X704" i="26"/>
  <c r="X703" i="26"/>
  <c r="X702" i="26"/>
  <c r="X701" i="26"/>
  <c r="X700" i="26"/>
  <c r="X699" i="26"/>
  <c r="X698" i="26"/>
  <c r="X697" i="26"/>
  <c r="X696" i="26"/>
  <c r="X695" i="26"/>
  <c r="X694" i="26"/>
  <c r="X693" i="26"/>
  <c r="X692" i="26"/>
  <c r="X691" i="26"/>
  <c r="X690" i="26"/>
  <c r="X689" i="26"/>
  <c r="X688" i="26"/>
  <c r="X687" i="26"/>
  <c r="X686" i="26"/>
  <c r="X685" i="26"/>
  <c r="X684" i="26"/>
  <c r="X683" i="26"/>
  <c r="X682" i="26"/>
  <c r="X681" i="26"/>
  <c r="X680" i="26"/>
  <c r="X679" i="26"/>
  <c r="X678" i="26"/>
  <c r="X677" i="26"/>
  <c r="X676" i="26"/>
  <c r="X675" i="26"/>
  <c r="X674" i="26"/>
  <c r="X673" i="26"/>
  <c r="X672" i="26"/>
  <c r="X671" i="26"/>
  <c r="X670" i="26"/>
  <c r="X669" i="26"/>
  <c r="X668" i="26"/>
  <c r="X667" i="26"/>
  <c r="X666" i="26"/>
  <c r="X665" i="26"/>
  <c r="X664" i="26"/>
  <c r="X663" i="26"/>
  <c r="X662" i="26"/>
  <c r="X661" i="26"/>
  <c r="X660" i="26"/>
  <c r="X659" i="26"/>
  <c r="X658" i="26"/>
  <c r="X657" i="26"/>
  <c r="X656" i="26"/>
  <c r="X655" i="26"/>
  <c r="X654" i="26"/>
  <c r="X653" i="26"/>
  <c r="X652" i="26"/>
  <c r="X651" i="26"/>
  <c r="X650" i="26"/>
  <c r="X649" i="26"/>
  <c r="X648" i="26"/>
  <c r="X647" i="26"/>
  <c r="X646" i="26"/>
  <c r="X645" i="26"/>
  <c r="X644" i="26"/>
  <c r="X643" i="26"/>
  <c r="X642" i="26"/>
  <c r="X641" i="26"/>
  <c r="X640" i="26"/>
  <c r="X639" i="26"/>
  <c r="X638" i="26"/>
  <c r="X637" i="26"/>
  <c r="X636" i="26"/>
  <c r="X635" i="26"/>
  <c r="X634" i="26"/>
  <c r="X633" i="26"/>
  <c r="X632" i="26"/>
  <c r="X631" i="26"/>
  <c r="X630" i="26"/>
  <c r="X629" i="26"/>
  <c r="X628" i="26"/>
  <c r="X627" i="26"/>
  <c r="X626" i="26"/>
  <c r="X625" i="26"/>
  <c r="X624" i="26"/>
  <c r="X623" i="26"/>
  <c r="X622" i="26"/>
  <c r="X621" i="26"/>
  <c r="X620" i="26"/>
  <c r="X619" i="26"/>
  <c r="X618" i="26"/>
  <c r="X617" i="26"/>
  <c r="X616" i="26"/>
  <c r="X615" i="26"/>
  <c r="X614" i="26"/>
  <c r="X613" i="26"/>
  <c r="X612" i="26"/>
  <c r="X611" i="26"/>
  <c r="X610" i="26"/>
  <c r="X609" i="26"/>
  <c r="X608" i="26"/>
  <c r="X607" i="26"/>
  <c r="X606" i="26"/>
  <c r="X605" i="26"/>
  <c r="X604" i="26"/>
  <c r="X603" i="26"/>
  <c r="X602" i="26"/>
  <c r="X601" i="26"/>
  <c r="X600" i="26"/>
  <c r="X599" i="26"/>
  <c r="X598" i="26"/>
  <c r="X597" i="26"/>
  <c r="X596" i="26"/>
  <c r="X595" i="26"/>
  <c r="X594" i="26"/>
  <c r="X593" i="26"/>
  <c r="X592" i="26"/>
  <c r="X591" i="26"/>
  <c r="X590" i="26"/>
  <c r="X589" i="26"/>
  <c r="X588" i="26"/>
  <c r="X587" i="26"/>
  <c r="X586" i="26"/>
  <c r="X585" i="26"/>
  <c r="X584" i="26"/>
  <c r="X583" i="26"/>
  <c r="X582" i="26"/>
  <c r="X581" i="26"/>
  <c r="X580" i="26"/>
  <c r="X579" i="26"/>
  <c r="X578" i="26"/>
  <c r="X577" i="26"/>
  <c r="X576" i="26"/>
  <c r="X575" i="26"/>
  <c r="X574" i="26"/>
  <c r="X573" i="26"/>
  <c r="X572" i="26"/>
  <c r="X571" i="26"/>
  <c r="X570" i="26"/>
  <c r="X569" i="26"/>
  <c r="X568" i="26"/>
  <c r="X567" i="26"/>
  <c r="X566" i="26"/>
  <c r="X565" i="26"/>
  <c r="X564" i="26"/>
  <c r="X563" i="26"/>
  <c r="X562" i="26"/>
  <c r="X561" i="26"/>
  <c r="X560" i="26"/>
  <c r="X559" i="26"/>
  <c r="X558" i="26"/>
  <c r="X557" i="26"/>
  <c r="X556" i="26"/>
  <c r="X555" i="26"/>
  <c r="X554" i="26"/>
  <c r="X553" i="26"/>
  <c r="X552" i="26"/>
  <c r="X551" i="26"/>
  <c r="X550" i="26"/>
  <c r="X549" i="26"/>
  <c r="X548" i="26"/>
  <c r="X547" i="26"/>
  <c r="X546" i="26"/>
  <c r="X545" i="26"/>
  <c r="X544" i="26"/>
  <c r="X543" i="26"/>
  <c r="X542" i="26"/>
  <c r="X541" i="26"/>
  <c r="X540" i="26"/>
  <c r="X539" i="26"/>
  <c r="X538" i="26"/>
  <c r="X537" i="26"/>
  <c r="X536" i="26"/>
  <c r="X535" i="26"/>
  <c r="X534" i="26"/>
  <c r="X533" i="26"/>
  <c r="X532" i="26"/>
  <c r="X531" i="26"/>
  <c r="X530" i="26"/>
  <c r="X529" i="26"/>
  <c r="X528" i="26"/>
  <c r="X527" i="26"/>
  <c r="X526" i="26"/>
  <c r="X525" i="26"/>
  <c r="X524" i="26"/>
  <c r="X523" i="26"/>
  <c r="X522" i="26"/>
  <c r="X521" i="26"/>
  <c r="X520" i="26"/>
  <c r="X519" i="26"/>
  <c r="X518" i="26"/>
  <c r="X517" i="26"/>
  <c r="X516" i="26"/>
  <c r="X515" i="26"/>
  <c r="X514" i="26"/>
  <c r="X513" i="26"/>
  <c r="X512" i="26"/>
  <c r="X511" i="26"/>
  <c r="X510" i="26"/>
  <c r="X509" i="26"/>
  <c r="X508" i="26"/>
  <c r="X507" i="26"/>
  <c r="X506" i="26"/>
  <c r="X505" i="26"/>
  <c r="X504" i="26"/>
  <c r="X503" i="26"/>
  <c r="X502" i="26"/>
  <c r="X501" i="26"/>
  <c r="X500" i="26"/>
  <c r="X499" i="26"/>
  <c r="X498" i="26"/>
  <c r="X497" i="26"/>
  <c r="X496" i="26"/>
  <c r="X495" i="26"/>
  <c r="X494" i="26"/>
  <c r="X493" i="26"/>
  <c r="X492" i="26"/>
  <c r="X491" i="26"/>
  <c r="X490" i="26"/>
  <c r="X489" i="26"/>
  <c r="X488" i="26"/>
  <c r="X487" i="26"/>
  <c r="X486" i="26"/>
  <c r="X485" i="26"/>
  <c r="X484" i="26"/>
  <c r="X483" i="26"/>
  <c r="X482" i="26"/>
  <c r="X481" i="26"/>
  <c r="X480" i="26"/>
  <c r="X479" i="26"/>
  <c r="X478" i="26"/>
  <c r="X477" i="26"/>
  <c r="X476" i="26"/>
  <c r="X475" i="26"/>
  <c r="X474" i="26"/>
  <c r="X473" i="26"/>
  <c r="X472" i="26"/>
  <c r="X471" i="26"/>
  <c r="X470" i="26"/>
  <c r="X469" i="26"/>
  <c r="X468" i="26"/>
  <c r="X467" i="26"/>
  <c r="X466" i="26"/>
  <c r="X465" i="26"/>
  <c r="X464" i="26"/>
  <c r="X463" i="26"/>
  <c r="X462" i="26"/>
  <c r="X461" i="26"/>
  <c r="X460" i="26"/>
  <c r="X459" i="26"/>
  <c r="X458" i="26"/>
  <c r="X457" i="26"/>
  <c r="X456" i="26"/>
  <c r="X455" i="26"/>
  <c r="X454" i="26"/>
  <c r="X453" i="26"/>
  <c r="X452" i="26"/>
  <c r="X451" i="26"/>
  <c r="X450" i="26"/>
  <c r="X449" i="26"/>
  <c r="X448" i="26"/>
  <c r="X447" i="26"/>
  <c r="X446" i="26"/>
  <c r="X445" i="26"/>
  <c r="X444" i="26"/>
  <c r="X443" i="26"/>
  <c r="X442" i="26"/>
  <c r="X441" i="26"/>
  <c r="X440" i="26"/>
  <c r="X439" i="26"/>
  <c r="X438" i="26"/>
  <c r="X437" i="26"/>
  <c r="X436" i="26"/>
  <c r="X435" i="26"/>
  <c r="X434" i="26"/>
  <c r="X433" i="26"/>
  <c r="X432" i="26"/>
  <c r="X431" i="26"/>
  <c r="X430" i="26"/>
  <c r="X429" i="26"/>
  <c r="X428" i="26"/>
  <c r="X427" i="26"/>
  <c r="X426" i="26"/>
  <c r="X425" i="26"/>
  <c r="X424" i="26"/>
  <c r="X423" i="26"/>
  <c r="X422" i="26"/>
  <c r="X421" i="26"/>
  <c r="X420" i="26"/>
  <c r="X419" i="26"/>
  <c r="X418" i="26"/>
  <c r="X417" i="26"/>
  <c r="X416" i="26"/>
  <c r="X415" i="26"/>
  <c r="X414" i="26"/>
  <c r="X413" i="26"/>
  <c r="X412" i="26"/>
  <c r="X411" i="26"/>
  <c r="X410" i="26"/>
  <c r="X409" i="26"/>
  <c r="X408" i="26"/>
  <c r="X407" i="26"/>
  <c r="X406" i="26"/>
  <c r="X405" i="26"/>
  <c r="X404" i="26"/>
  <c r="X403" i="26"/>
  <c r="X402" i="26"/>
  <c r="X401" i="26"/>
  <c r="X400" i="26"/>
  <c r="X399" i="26"/>
  <c r="X398" i="26"/>
  <c r="X397" i="26"/>
  <c r="X396" i="26"/>
  <c r="X395" i="26"/>
  <c r="X394" i="26"/>
  <c r="X393" i="26"/>
  <c r="X392" i="26"/>
  <c r="X391" i="26"/>
  <c r="X390" i="26"/>
  <c r="X389" i="26"/>
  <c r="X388" i="26"/>
  <c r="X387" i="26"/>
  <c r="X386" i="26"/>
  <c r="X385" i="26"/>
  <c r="X384" i="26"/>
  <c r="X383" i="26"/>
  <c r="X382" i="26"/>
  <c r="X381" i="26"/>
  <c r="X380" i="26"/>
  <c r="X379" i="26"/>
  <c r="X378" i="26"/>
  <c r="X377" i="26"/>
  <c r="X376" i="26"/>
  <c r="X375" i="26"/>
  <c r="X374" i="26"/>
  <c r="X373" i="26"/>
  <c r="X372" i="26"/>
  <c r="X371" i="26"/>
  <c r="X370" i="26"/>
  <c r="X369" i="26"/>
  <c r="X368" i="26"/>
  <c r="X367" i="26"/>
  <c r="X366" i="26"/>
  <c r="X365" i="26"/>
  <c r="X364" i="26"/>
  <c r="X363" i="26"/>
  <c r="X362" i="26"/>
  <c r="X361" i="26"/>
  <c r="X360" i="26"/>
  <c r="X359" i="26"/>
  <c r="X358" i="26"/>
  <c r="X357" i="26"/>
  <c r="X356" i="26"/>
  <c r="X355" i="26"/>
  <c r="X354" i="26"/>
  <c r="X353" i="26"/>
  <c r="X352" i="26"/>
  <c r="X351" i="26"/>
  <c r="X350" i="26"/>
  <c r="X349" i="26"/>
  <c r="X348" i="26"/>
  <c r="X347" i="26"/>
  <c r="X346" i="26"/>
  <c r="X345" i="26"/>
  <c r="X344" i="26"/>
  <c r="X343" i="26"/>
  <c r="X342" i="26"/>
  <c r="X341" i="26"/>
  <c r="X340" i="26"/>
  <c r="X339" i="26"/>
  <c r="X338" i="26"/>
  <c r="X337" i="26"/>
  <c r="X336" i="26"/>
  <c r="X335" i="26"/>
  <c r="X334" i="26"/>
  <c r="X333" i="26"/>
  <c r="X332" i="26"/>
  <c r="X331" i="26"/>
  <c r="X330" i="26"/>
  <c r="X329" i="26"/>
  <c r="X328" i="26"/>
  <c r="X327" i="26"/>
  <c r="X326" i="26"/>
  <c r="X325" i="26"/>
  <c r="X324" i="26"/>
  <c r="X323" i="26"/>
  <c r="X322" i="26"/>
  <c r="X321" i="26"/>
  <c r="X320" i="26"/>
  <c r="X319" i="26"/>
  <c r="X318" i="26"/>
  <c r="X317" i="26"/>
  <c r="X316" i="26"/>
  <c r="X315" i="26"/>
  <c r="X314" i="26"/>
  <c r="X313" i="26"/>
  <c r="X312" i="26"/>
  <c r="X311" i="26"/>
  <c r="X310" i="26"/>
  <c r="X309" i="26"/>
  <c r="X308" i="26"/>
  <c r="X307" i="26"/>
  <c r="X306" i="26"/>
  <c r="X305" i="26"/>
  <c r="X304" i="26"/>
  <c r="X303" i="26"/>
  <c r="X302" i="26"/>
  <c r="X301" i="26"/>
  <c r="X300" i="26"/>
  <c r="X299" i="26"/>
  <c r="X298" i="26"/>
  <c r="X297" i="26"/>
  <c r="X296" i="26"/>
  <c r="X295" i="26"/>
  <c r="X294" i="26"/>
  <c r="X293" i="26"/>
  <c r="X292" i="26"/>
  <c r="X291" i="26"/>
  <c r="X290" i="26"/>
  <c r="X289" i="26"/>
  <c r="X288" i="26"/>
  <c r="X287" i="26"/>
  <c r="X286" i="26"/>
  <c r="X285" i="26"/>
  <c r="X284" i="26"/>
  <c r="X283" i="26"/>
  <c r="X282" i="26"/>
  <c r="X281" i="26"/>
  <c r="X280" i="26"/>
  <c r="X279" i="26"/>
  <c r="X278" i="26"/>
  <c r="X277" i="26"/>
  <c r="X276" i="26"/>
  <c r="X275" i="26"/>
  <c r="X274" i="26"/>
  <c r="X273" i="26"/>
  <c r="X272" i="26"/>
  <c r="X271" i="26"/>
  <c r="X270" i="26"/>
  <c r="X269" i="26"/>
  <c r="X268" i="26"/>
  <c r="X267" i="26"/>
  <c r="X266" i="26"/>
  <c r="X265" i="26"/>
  <c r="X264" i="26"/>
  <c r="X263" i="26"/>
  <c r="X262" i="26"/>
  <c r="X261" i="26"/>
  <c r="X260" i="26"/>
  <c r="X259" i="26"/>
  <c r="X258" i="26"/>
  <c r="X257" i="26"/>
  <c r="X256" i="26"/>
  <c r="X255" i="26"/>
  <c r="X254" i="26"/>
  <c r="X253" i="26"/>
  <c r="X252" i="26"/>
  <c r="X251" i="26"/>
  <c r="X250" i="26"/>
  <c r="X249" i="26"/>
  <c r="X248" i="26"/>
  <c r="X247" i="26"/>
  <c r="X246" i="26"/>
  <c r="X245" i="26"/>
  <c r="X244" i="26"/>
  <c r="X243" i="26"/>
  <c r="X242" i="26"/>
  <c r="X241" i="26"/>
  <c r="X240" i="26"/>
  <c r="X239" i="26"/>
  <c r="X238" i="26"/>
  <c r="X237" i="26"/>
  <c r="X236" i="26"/>
  <c r="X235" i="26"/>
  <c r="X234" i="26"/>
  <c r="X233" i="26"/>
  <c r="X232" i="26"/>
  <c r="X231" i="26"/>
  <c r="X230" i="26"/>
  <c r="X229" i="26"/>
  <c r="X228" i="26"/>
  <c r="X227" i="26"/>
  <c r="X226" i="26"/>
  <c r="X225" i="26"/>
  <c r="X224" i="26"/>
  <c r="X223" i="26"/>
  <c r="X222" i="26"/>
  <c r="X221" i="26"/>
  <c r="X220" i="26"/>
  <c r="X219" i="26"/>
  <c r="X218" i="26"/>
  <c r="X217" i="26"/>
  <c r="X216" i="26"/>
  <c r="X215" i="26"/>
  <c r="X214" i="26"/>
  <c r="X213" i="26"/>
  <c r="X212" i="26"/>
  <c r="X211" i="26"/>
  <c r="X210" i="26"/>
  <c r="X209" i="26"/>
  <c r="X208" i="26"/>
  <c r="X207" i="26"/>
  <c r="X206" i="26"/>
  <c r="X205" i="26"/>
  <c r="X204" i="26"/>
  <c r="X203" i="26"/>
  <c r="X202" i="26"/>
  <c r="X201" i="26"/>
  <c r="X200" i="26"/>
  <c r="X199" i="26"/>
  <c r="X198" i="26"/>
  <c r="X197" i="26"/>
  <c r="X196" i="26"/>
  <c r="X195" i="26"/>
  <c r="X194" i="26"/>
  <c r="X193" i="26"/>
  <c r="X192" i="26"/>
  <c r="X191" i="26"/>
  <c r="X190" i="26"/>
  <c r="X189" i="26"/>
  <c r="X188" i="26"/>
  <c r="X187" i="26"/>
  <c r="X186" i="26"/>
  <c r="X185" i="26"/>
  <c r="X184" i="26"/>
  <c r="X183" i="26"/>
  <c r="X182" i="26"/>
  <c r="X181" i="26"/>
  <c r="X180" i="26"/>
  <c r="X179" i="26"/>
  <c r="X178" i="26"/>
  <c r="X177" i="26"/>
  <c r="X176" i="26"/>
  <c r="X175" i="26"/>
  <c r="X174" i="26"/>
  <c r="X173" i="26"/>
  <c r="X172" i="26"/>
  <c r="X171" i="26"/>
  <c r="X170" i="26"/>
  <c r="X169" i="26"/>
  <c r="X168" i="26"/>
  <c r="X167" i="26"/>
  <c r="X166" i="26"/>
  <c r="X165" i="26"/>
  <c r="X164" i="26"/>
  <c r="X163" i="26"/>
  <c r="X162" i="26"/>
  <c r="X161" i="26"/>
  <c r="X160" i="26"/>
  <c r="X159" i="26"/>
  <c r="X158" i="26"/>
  <c r="X157" i="26"/>
  <c r="X156" i="26"/>
  <c r="X155" i="26"/>
  <c r="X154" i="26"/>
  <c r="X153" i="26"/>
  <c r="X152" i="26"/>
  <c r="X151" i="26"/>
  <c r="X150" i="26"/>
  <c r="X149" i="26"/>
  <c r="X148" i="26"/>
  <c r="X147" i="26"/>
  <c r="X146" i="26"/>
  <c r="X145" i="26"/>
  <c r="X144" i="26"/>
  <c r="X143" i="26"/>
  <c r="X142" i="26"/>
  <c r="X141" i="26"/>
  <c r="X140" i="26"/>
  <c r="X139" i="26"/>
  <c r="X138" i="26"/>
  <c r="X137" i="26"/>
  <c r="X136" i="26"/>
  <c r="X135" i="26"/>
  <c r="X134" i="26"/>
  <c r="X133" i="26"/>
  <c r="X132" i="26"/>
  <c r="X131" i="26"/>
  <c r="X130" i="26"/>
  <c r="X129" i="26"/>
  <c r="X128" i="26"/>
  <c r="X127" i="26"/>
  <c r="X126" i="26"/>
  <c r="X125" i="26"/>
  <c r="X124" i="26"/>
  <c r="X123" i="26"/>
  <c r="X122" i="26"/>
  <c r="X121" i="26"/>
  <c r="X120" i="26"/>
  <c r="X119" i="26"/>
  <c r="X118" i="26"/>
  <c r="X117" i="26"/>
  <c r="X116" i="26"/>
  <c r="X115" i="26"/>
  <c r="X114" i="26"/>
  <c r="X113" i="26"/>
  <c r="X112" i="26"/>
  <c r="X111" i="26"/>
  <c r="X110" i="26"/>
  <c r="X109" i="26"/>
  <c r="X108" i="26"/>
  <c r="X107" i="26"/>
  <c r="X106" i="26"/>
  <c r="X105" i="26"/>
  <c r="X104" i="26"/>
  <c r="X103" i="26"/>
  <c r="X102" i="26"/>
  <c r="X101" i="26"/>
  <c r="X100" i="26"/>
  <c r="X99" i="26"/>
  <c r="X98" i="26"/>
  <c r="X97" i="26"/>
  <c r="X96" i="26"/>
  <c r="X95" i="26"/>
  <c r="X94" i="26"/>
  <c r="X93" i="26"/>
  <c r="X92" i="26"/>
  <c r="X91" i="26"/>
  <c r="X90" i="26"/>
  <c r="X89" i="26"/>
  <c r="X88" i="26"/>
  <c r="X87" i="26"/>
  <c r="X86" i="26"/>
  <c r="X85" i="26"/>
  <c r="X84" i="26"/>
  <c r="X83" i="26"/>
  <c r="X82" i="26"/>
  <c r="X81" i="26"/>
  <c r="X80" i="26"/>
  <c r="X79" i="26"/>
  <c r="X78" i="26"/>
  <c r="X77" i="26"/>
  <c r="X76" i="26"/>
  <c r="X75" i="26"/>
  <c r="X74" i="26"/>
  <c r="X73" i="26"/>
  <c r="X72" i="26"/>
  <c r="X71" i="26"/>
  <c r="X70" i="26"/>
  <c r="X69" i="26"/>
  <c r="X65" i="26"/>
  <c r="X64" i="26"/>
  <c r="X63" i="26"/>
  <c r="X62" i="26"/>
  <c r="X61" i="26"/>
  <c r="X60" i="26"/>
  <c r="X59" i="26"/>
  <c r="X58" i="26"/>
  <c r="X57" i="26"/>
  <c r="X56" i="26"/>
  <c r="X55" i="26"/>
  <c r="X54" i="26"/>
  <c r="X53" i="26"/>
  <c r="X52" i="26"/>
  <c r="X51" i="26"/>
  <c r="X50" i="26"/>
  <c r="X49" i="26"/>
  <c r="X48" i="26"/>
  <c r="X47" i="26"/>
  <c r="X46" i="26"/>
  <c r="X45" i="26"/>
  <c r="X44" i="26"/>
  <c r="X43" i="26"/>
  <c r="X42" i="26"/>
  <c r="X41" i="26"/>
  <c r="X40" i="26"/>
  <c r="X39" i="26"/>
  <c r="X38" i="26"/>
  <c r="X37" i="26"/>
  <c r="X36" i="26"/>
  <c r="X35" i="26"/>
  <c r="X34" i="26"/>
  <c r="X33" i="26"/>
  <c r="X32" i="26"/>
  <c r="H32" i="26"/>
  <c r="G32" i="26"/>
  <c r="X31" i="26"/>
  <c r="H31" i="26"/>
  <c r="G31" i="26"/>
  <c r="X30" i="26"/>
  <c r="X29" i="26"/>
  <c r="H29" i="26"/>
  <c r="G29" i="26"/>
  <c r="X28" i="26"/>
  <c r="H28" i="26"/>
  <c r="G28" i="26"/>
  <c r="X27" i="26"/>
  <c r="X26" i="26"/>
  <c r="G26" i="26"/>
  <c r="X25" i="26"/>
  <c r="X24" i="26"/>
  <c r="F24" i="26"/>
  <c r="X23" i="26"/>
  <c r="D23" i="26"/>
  <c r="X22" i="26"/>
  <c r="X21" i="26"/>
  <c r="D20" i="26"/>
  <c r="D22" i="26" s="1"/>
  <c r="X19" i="26"/>
  <c r="G19" i="26"/>
  <c r="X18" i="26"/>
  <c r="X17" i="26"/>
  <c r="X16" i="26"/>
  <c r="X15" i="26"/>
  <c r="X14" i="26"/>
  <c r="X12" i="26"/>
  <c r="X10" i="26"/>
  <c r="X9" i="26"/>
  <c r="C9" i="26"/>
  <c r="B9" i="26"/>
  <c r="T153" i="26" s="1"/>
  <c r="X8" i="26"/>
  <c r="D8" i="26"/>
  <c r="X7" i="26"/>
  <c r="D7" i="26"/>
  <c r="S717" i="26" s="1"/>
  <c r="V717" i="26" s="1"/>
  <c r="X6" i="26"/>
  <c r="X5" i="26"/>
  <c r="X4" i="26"/>
  <c r="X2" i="26"/>
  <c r="X1" i="26"/>
  <c r="S202" i="26" l="1"/>
  <c r="V202" i="26" s="1"/>
  <c r="S237" i="26"/>
  <c r="V237" i="26" s="1"/>
  <c r="S269" i="26"/>
  <c r="V269" i="26" s="1"/>
  <c r="S298" i="26"/>
  <c r="V298" i="26" s="1"/>
  <c r="S330" i="26"/>
  <c r="V330" i="26" s="1"/>
  <c r="S362" i="26"/>
  <c r="V362" i="26" s="1"/>
  <c r="S365" i="26"/>
  <c r="V365" i="26" s="1"/>
  <c r="S397" i="26"/>
  <c r="V397" i="26" s="1"/>
  <c r="S404" i="26"/>
  <c r="V404" i="26" s="1"/>
  <c r="S20" i="26"/>
  <c r="S72" i="26"/>
  <c r="S138" i="26"/>
  <c r="V138" i="26" s="1"/>
  <c r="S214" i="26"/>
  <c r="V214" i="26" s="1"/>
  <c r="S217" i="26"/>
  <c r="V217" i="26" s="1"/>
  <c r="S246" i="26"/>
  <c r="V246" i="26" s="1"/>
  <c r="S249" i="26"/>
  <c r="V249" i="26" s="1"/>
  <c r="S278" i="26"/>
  <c r="V278" i="26" s="1"/>
  <c r="S281" i="26"/>
  <c r="V281" i="26" s="1"/>
  <c r="S310" i="26"/>
  <c r="V310" i="26" s="1"/>
  <c r="S313" i="26"/>
  <c r="V313" i="26" s="1"/>
  <c r="S342" i="26"/>
  <c r="V342" i="26" s="1"/>
  <c r="S345" i="26"/>
  <c r="V345" i="26" s="1"/>
  <c r="S374" i="26"/>
  <c r="V374" i="26" s="1"/>
  <c r="S377" i="26"/>
  <c r="V377" i="26" s="1"/>
  <c r="S205" i="26"/>
  <c r="V205" i="26" s="1"/>
  <c r="S234" i="26"/>
  <c r="V234" i="26" s="1"/>
  <c r="S266" i="26"/>
  <c r="V266" i="26" s="1"/>
  <c r="S301" i="26"/>
  <c r="V301" i="26" s="1"/>
  <c r="S333" i="26"/>
  <c r="V333" i="26" s="1"/>
  <c r="S394" i="26"/>
  <c r="V394" i="26" s="1"/>
  <c r="S1023" i="26"/>
  <c r="V1023" i="26" s="1"/>
  <c r="S52" i="26"/>
  <c r="S96" i="26"/>
  <c r="S186" i="26"/>
  <c r="V186" i="26" s="1"/>
  <c r="D21" i="26"/>
  <c r="S4" i="26"/>
  <c r="S23" i="26"/>
  <c r="S36" i="26"/>
  <c r="S154" i="26"/>
  <c r="V154" i="26" s="1"/>
  <c r="S194" i="26"/>
  <c r="V194" i="26" s="1"/>
  <c r="S209" i="26"/>
  <c r="V209" i="26" s="1"/>
  <c r="S226" i="26"/>
  <c r="V226" i="26" s="1"/>
  <c r="S273" i="26"/>
  <c r="V273" i="26" s="1"/>
  <c r="S290" i="26"/>
  <c r="V290" i="26" s="1"/>
  <c r="S305" i="26"/>
  <c r="V305" i="26" s="1"/>
  <c r="S337" i="26"/>
  <c r="V337" i="26" s="1"/>
  <c r="S354" i="26"/>
  <c r="V354" i="26" s="1"/>
  <c r="S386" i="26"/>
  <c r="V386" i="26" s="1"/>
  <c r="S7" i="26"/>
  <c r="S14" i="26"/>
  <c r="S40" i="26"/>
  <c r="S64" i="26"/>
  <c r="S84" i="26"/>
  <c r="S104" i="26"/>
  <c r="S122" i="26"/>
  <c r="V122" i="26" s="1"/>
  <c r="S162" i="26"/>
  <c r="V162" i="26" s="1"/>
  <c r="S198" i="26"/>
  <c r="V198" i="26" s="1"/>
  <c r="S201" i="26"/>
  <c r="V201" i="26" s="1"/>
  <c r="S218" i="26"/>
  <c r="V218" i="26" s="1"/>
  <c r="S221" i="26"/>
  <c r="V221" i="26" s="1"/>
  <c r="S230" i="26"/>
  <c r="V230" i="26" s="1"/>
  <c r="S233" i="26"/>
  <c r="V233" i="26" s="1"/>
  <c r="S250" i="26"/>
  <c r="V250" i="26" s="1"/>
  <c r="S253" i="26"/>
  <c r="V253" i="26" s="1"/>
  <c r="S262" i="26"/>
  <c r="V262" i="26" s="1"/>
  <c r="S265" i="26"/>
  <c r="V265" i="26" s="1"/>
  <c r="S282" i="26"/>
  <c r="V282" i="26" s="1"/>
  <c r="S285" i="26"/>
  <c r="V285" i="26" s="1"/>
  <c r="S294" i="26"/>
  <c r="V294" i="26" s="1"/>
  <c r="S297" i="26"/>
  <c r="V297" i="26" s="1"/>
  <c r="S314" i="26"/>
  <c r="V314" i="26" s="1"/>
  <c r="S317" i="26"/>
  <c r="V317" i="26" s="1"/>
  <c r="S326" i="26"/>
  <c r="V326" i="26" s="1"/>
  <c r="S329" i="26"/>
  <c r="V329" i="26" s="1"/>
  <c r="S346" i="26"/>
  <c r="V346" i="26" s="1"/>
  <c r="S349" i="26"/>
  <c r="V349" i="26" s="1"/>
  <c r="S358" i="26"/>
  <c r="V358" i="26" s="1"/>
  <c r="S361" i="26"/>
  <c r="V361" i="26" s="1"/>
  <c r="S378" i="26"/>
  <c r="V378" i="26" s="1"/>
  <c r="S381" i="26"/>
  <c r="V381" i="26" s="1"/>
  <c r="S390" i="26"/>
  <c r="V390" i="26" s="1"/>
  <c r="S393" i="26"/>
  <c r="V393" i="26" s="1"/>
  <c r="S612" i="26"/>
  <c r="V612" i="26" s="1"/>
  <c r="S10" i="26"/>
  <c r="S19" i="26"/>
  <c r="S56" i="26"/>
  <c r="S76" i="26"/>
  <c r="S100" i="26"/>
  <c r="S241" i="26"/>
  <c r="V241" i="26" s="1"/>
  <c r="S258" i="26"/>
  <c r="V258" i="26" s="1"/>
  <c r="S322" i="26"/>
  <c r="V322" i="26" s="1"/>
  <c r="S369" i="26"/>
  <c r="V369" i="26" s="1"/>
  <c r="S653" i="26"/>
  <c r="V653" i="26" s="1"/>
  <c r="S3" i="26"/>
  <c r="S11" i="26"/>
  <c r="S44" i="26"/>
  <c r="S68" i="26"/>
  <c r="S88" i="26"/>
  <c r="S108" i="26"/>
  <c r="S130" i="26"/>
  <c r="V130" i="26" s="1"/>
  <c r="S178" i="26"/>
  <c r="V178" i="26" s="1"/>
  <c r="S210" i="26"/>
  <c r="V210" i="26" s="1"/>
  <c r="S225" i="26"/>
  <c r="V225" i="26" s="1"/>
  <c r="S242" i="26"/>
  <c r="V242" i="26" s="1"/>
  <c r="S257" i="26"/>
  <c r="V257" i="26" s="1"/>
  <c r="S274" i="26"/>
  <c r="V274" i="26" s="1"/>
  <c r="S289" i="26"/>
  <c r="V289" i="26" s="1"/>
  <c r="S306" i="26"/>
  <c r="V306" i="26" s="1"/>
  <c r="S321" i="26"/>
  <c r="V321" i="26" s="1"/>
  <c r="S338" i="26"/>
  <c r="V338" i="26" s="1"/>
  <c r="S353" i="26"/>
  <c r="V353" i="26" s="1"/>
  <c r="S370" i="26"/>
  <c r="V370" i="26" s="1"/>
  <c r="S385" i="26"/>
  <c r="V385" i="26" s="1"/>
  <c r="S426" i="26"/>
  <c r="V426" i="26" s="1"/>
  <c r="S628" i="26"/>
  <c r="V628" i="26" s="1"/>
  <c r="T7" i="26"/>
  <c r="T16" i="26"/>
  <c r="T53" i="26"/>
  <c r="T85" i="26"/>
  <c r="T151" i="26"/>
  <c r="T4" i="26"/>
  <c r="T14" i="26"/>
  <c r="T93" i="26"/>
  <c r="T24" i="26"/>
  <c r="T37" i="26"/>
  <c r="T69" i="26"/>
  <c r="T1" i="26"/>
  <c r="T5" i="26"/>
  <c r="T783" i="26"/>
  <c r="T780" i="26"/>
  <c r="T454" i="26"/>
  <c r="T417" i="26"/>
  <c r="T391" i="26"/>
  <c r="T375" i="26"/>
  <c r="T359" i="26"/>
  <c r="T343" i="26"/>
  <c r="T327" i="26"/>
  <c r="T311" i="26"/>
  <c r="T295" i="26"/>
  <c r="T279" i="26"/>
  <c r="T263" i="26"/>
  <c r="T247" i="26"/>
  <c r="T231" i="26"/>
  <c r="T215" i="26"/>
  <c r="T199" i="26"/>
  <c r="T183" i="26"/>
  <c r="T177" i="26"/>
  <c r="T137" i="26"/>
  <c r="T119" i="26"/>
  <c r="T109" i="26"/>
  <c r="T77" i="26"/>
  <c r="T45" i="26"/>
  <c r="T25" i="26"/>
  <c r="T11" i="26"/>
  <c r="T643" i="26"/>
  <c r="T550" i="26"/>
  <c r="T395" i="26"/>
  <c r="T379" i="26"/>
  <c r="T363" i="26"/>
  <c r="T347" i="26"/>
  <c r="T331" i="26"/>
  <c r="T315" i="26"/>
  <c r="T299" i="26"/>
  <c r="T283" i="26"/>
  <c r="T267" i="26"/>
  <c r="T251" i="26"/>
  <c r="T235" i="26"/>
  <c r="T219" i="26"/>
  <c r="T203" i="26"/>
  <c r="T185" i="26"/>
  <c r="T167" i="26"/>
  <c r="T161" i="26"/>
  <c r="T121" i="26"/>
  <c r="T13" i="26"/>
  <c r="T61" i="26"/>
  <c r="T101" i="26"/>
  <c r="T129" i="26"/>
  <c r="T135" i="26"/>
  <c r="T145" i="26"/>
  <c r="T193" i="26"/>
  <c r="T195" i="26"/>
  <c r="T211" i="26"/>
  <c r="T227" i="26"/>
  <c r="T243" i="26"/>
  <c r="T259" i="26"/>
  <c r="T275" i="26"/>
  <c r="T291" i="26"/>
  <c r="T307" i="26"/>
  <c r="T323" i="26"/>
  <c r="T339" i="26"/>
  <c r="T355" i="26"/>
  <c r="T371" i="26"/>
  <c r="T387" i="26"/>
  <c r="T401" i="26"/>
  <c r="T486" i="26"/>
  <c r="T169" i="26"/>
  <c r="T207" i="26"/>
  <c r="T223" i="26"/>
  <c r="T239" i="26"/>
  <c r="T255" i="26"/>
  <c r="T271" i="26"/>
  <c r="T287" i="26"/>
  <c r="T303" i="26"/>
  <c r="T319" i="26"/>
  <c r="T335" i="26"/>
  <c r="T351" i="26"/>
  <c r="T367" i="26"/>
  <c r="T383" i="26"/>
  <c r="T399" i="26"/>
  <c r="T518" i="26"/>
  <c r="S18" i="26"/>
  <c r="S27" i="26"/>
  <c r="S30" i="26"/>
  <c r="S48" i="26"/>
  <c r="S60" i="26"/>
  <c r="S80" i="26"/>
  <c r="S92" i="26"/>
  <c r="S112" i="26"/>
  <c r="S146" i="26"/>
  <c r="V146" i="26" s="1"/>
  <c r="S170" i="26"/>
  <c r="V170" i="26" s="1"/>
  <c r="S197" i="26"/>
  <c r="V197" i="26" s="1"/>
  <c r="S206" i="26"/>
  <c r="V206" i="26" s="1"/>
  <c r="S213" i="26"/>
  <c r="V213" i="26" s="1"/>
  <c r="S222" i="26"/>
  <c r="V222" i="26" s="1"/>
  <c r="S229" i="26"/>
  <c r="V229" i="26" s="1"/>
  <c r="S238" i="26"/>
  <c r="V238" i="26" s="1"/>
  <c r="S245" i="26"/>
  <c r="V245" i="26" s="1"/>
  <c r="S254" i="26"/>
  <c r="V254" i="26" s="1"/>
  <c r="S261" i="26"/>
  <c r="V261" i="26" s="1"/>
  <c r="S270" i="26"/>
  <c r="V270" i="26" s="1"/>
  <c r="S277" i="26"/>
  <c r="V277" i="26" s="1"/>
  <c r="S286" i="26"/>
  <c r="V286" i="26" s="1"/>
  <c r="S293" i="26"/>
  <c r="V293" i="26" s="1"/>
  <c r="S302" i="26"/>
  <c r="V302" i="26" s="1"/>
  <c r="S309" i="26"/>
  <c r="V309" i="26" s="1"/>
  <c r="S318" i="26"/>
  <c r="V318" i="26" s="1"/>
  <c r="S325" i="26"/>
  <c r="V325" i="26" s="1"/>
  <c r="S334" i="26"/>
  <c r="V334" i="26" s="1"/>
  <c r="S341" i="26"/>
  <c r="V341" i="26" s="1"/>
  <c r="S350" i="26"/>
  <c r="V350" i="26" s="1"/>
  <c r="S357" i="26"/>
  <c r="V357" i="26" s="1"/>
  <c r="S366" i="26"/>
  <c r="V366" i="26" s="1"/>
  <c r="S373" i="26"/>
  <c r="V373" i="26" s="1"/>
  <c r="S382" i="26"/>
  <c r="V382" i="26" s="1"/>
  <c r="S389" i="26"/>
  <c r="V389" i="26" s="1"/>
  <c r="S398" i="26"/>
  <c r="V398" i="26" s="1"/>
  <c r="S410" i="26"/>
  <c r="V410" i="26" s="1"/>
  <c r="S420" i="26"/>
  <c r="V420" i="26" s="1"/>
  <c r="S662" i="26"/>
  <c r="V662" i="26" s="1"/>
  <c r="H34" i="26"/>
  <c r="G34" i="26"/>
  <c r="S1099" i="26"/>
  <c r="V1099" i="26" s="1"/>
  <c r="S1095" i="26"/>
  <c r="V1095" i="26" s="1"/>
  <c r="S1100" i="26"/>
  <c r="V1100" i="26" s="1"/>
  <c r="S1096" i="26"/>
  <c r="V1096" i="26" s="1"/>
  <c r="S1092" i="26"/>
  <c r="V1092" i="26" s="1"/>
  <c r="S1088" i="26"/>
  <c r="V1088" i="26" s="1"/>
  <c r="S1084" i="26"/>
  <c r="V1084" i="26" s="1"/>
  <c r="S1080" i="26"/>
  <c r="V1080" i="26" s="1"/>
  <c r="S1076" i="26"/>
  <c r="V1076" i="26" s="1"/>
  <c r="S1072" i="26"/>
  <c r="V1072" i="26" s="1"/>
  <c r="S1068" i="26"/>
  <c r="V1068" i="26" s="1"/>
  <c r="S1064" i="26"/>
  <c r="V1064" i="26" s="1"/>
  <c r="S1060" i="26"/>
  <c r="V1060" i="26" s="1"/>
  <c r="S1056" i="26"/>
  <c r="V1056" i="26" s="1"/>
  <c r="S1052" i="26"/>
  <c r="V1052" i="26" s="1"/>
  <c r="S1048" i="26"/>
  <c r="V1048" i="26" s="1"/>
  <c r="S1094" i="26"/>
  <c r="V1094" i="26" s="1"/>
  <c r="S1089" i="26"/>
  <c r="V1089" i="26" s="1"/>
  <c r="S1086" i="26"/>
  <c r="V1086" i="26" s="1"/>
  <c r="S1081" i="26"/>
  <c r="V1081" i="26" s="1"/>
  <c r="S1078" i="26"/>
  <c r="V1078" i="26" s="1"/>
  <c r="S1073" i="26"/>
  <c r="V1073" i="26" s="1"/>
  <c r="S1070" i="26"/>
  <c r="V1070" i="26" s="1"/>
  <c r="S1065" i="26"/>
  <c r="V1065" i="26" s="1"/>
  <c r="S1062" i="26"/>
  <c r="V1062" i="26" s="1"/>
  <c r="S1057" i="26"/>
  <c r="V1057" i="26" s="1"/>
  <c r="S1054" i="26"/>
  <c r="V1054" i="26" s="1"/>
  <c r="S1091" i="26"/>
  <c r="V1091" i="26" s="1"/>
  <c r="S1083" i="26"/>
  <c r="V1083" i="26" s="1"/>
  <c r="S1075" i="26"/>
  <c r="V1075" i="26" s="1"/>
  <c r="S1067" i="26"/>
  <c r="V1067" i="26" s="1"/>
  <c r="S1059" i="26"/>
  <c r="V1059" i="26" s="1"/>
  <c r="S1051" i="26"/>
  <c r="V1051" i="26" s="1"/>
  <c r="S1044" i="26"/>
  <c r="V1044" i="26" s="1"/>
  <c r="S1040" i="26"/>
  <c r="V1040" i="26" s="1"/>
  <c r="S1036" i="26"/>
  <c r="V1036" i="26" s="1"/>
  <c r="S1032" i="26"/>
  <c r="V1032" i="26" s="1"/>
  <c r="S1028" i="26"/>
  <c r="V1028" i="26" s="1"/>
  <c r="S1024" i="26"/>
  <c r="V1024" i="26" s="1"/>
  <c r="S1020" i="26"/>
  <c r="V1020" i="26" s="1"/>
  <c r="S1016" i="26"/>
  <c r="V1016" i="26" s="1"/>
  <c r="S1012" i="26"/>
  <c r="V1012" i="26" s="1"/>
  <c r="S1008" i="26"/>
  <c r="V1008" i="26" s="1"/>
  <c r="S1004" i="26"/>
  <c r="V1004" i="26" s="1"/>
  <c r="S1000" i="26"/>
  <c r="V1000" i="26" s="1"/>
  <c r="S996" i="26"/>
  <c r="V996" i="26" s="1"/>
  <c r="S992" i="26"/>
  <c r="V992" i="26" s="1"/>
  <c r="S988" i="26"/>
  <c r="V988" i="26" s="1"/>
  <c r="S984" i="26"/>
  <c r="V984" i="26" s="1"/>
  <c r="S980" i="26"/>
  <c r="V980" i="26" s="1"/>
  <c r="S976" i="26"/>
  <c r="V976" i="26" s="1"/>
  <c r="S1098" i="26"/>
  <c r="V1098" i="26" s="1"/>
  <c r="S1050" i="26"/>
  <c r="V1050" i="26" s="1"/>
  <c r="S1043" i="26"/>
  <c r="V1043" i="26" s="1"/>
  <c r="S1035" i="26"/>
  <c r="V1035" i="26" s="1"/>
  <c r="S1027" i="26"/>
  <c r="V1027" i="26" s="1"/>
  <c r="S1019" i="26"/>
  <c r="V1019" i="26" s="1"/>
  <c r="S1011" i="26"/>
  <c r="V1011" i="26" s="1"/>
  <c r="S1097" i="26"/>
  <c r="V1097" i="26" s="1"/>
  <c r="S1077" i="26"/>
  <c r="V1077" i="26" s="1"/>
  <c r="S1074" i="26"/>
  <c r="V1074" i="26" s="1"/>
  <c r="S1071" i="26"/>
  <c r="V1071" i="26" s="1"/>
  <c r="S1046" i="26"/>
  <c r="V1046" i="26" s="1"/>
  <c r="S1042" i="26"/>
  <c r="V1042" i="26" s="1"/>
  <c r="S1026" i="26"/>
  <c r="V1026" i="26" s="1"/>
  <c r="S1085" i="26"/>
  <c r="V1085" i="26" s="1"/>
  <c r="S1082" i="26"/>
  <c r="V1082" i="26" s="1"/>
  <c r="S1079" i="26"/>
  <c r="V1079" i="26" s="1"/>
  <c r="S1053" i="26"/>
  <c r="V1053" i="26" s="1"/>
  <c r="S1049" i="26"/>
  <c r="V1049" i="26" s="1"/>
  <c r="S1045" i="26"/>
  <c r="V1045" i="26" s="1"/>
  <c r="S1033" i="26"/>
  <c r="V1033" i="26" s="1"/>
  <c r="S1031" i="26"/>
  <c r="V1031" i="26" s="1"/>
  <c r="S1030" i="26"/>
  <c r="V1030" i="26" s="1"/>
  <c r="S1029" i="26"/>
  <c r="V1029" i="26" s="1"/>
  <c r="S1017" i="26"/>
  <c r="V1017" i="26" s="1"/>
  <c r="S1015" i="26"/>
  <c r="V1015" i="26" s="1"/>
  <c r="S1014" i="26"/>
  <c r="V1014" i="26" s="1"/>
  <c r="S1013" i="26"/>
  <c r="V1013" i="26" s="1"/>
  <c r="S1005" i="26"/>
  <c r="V1005" i="26" s="1"/>
  <c r="S1002" i="26"/>
  <c r="V1002" i="26" s="1"/>
  <c r="S997" i="26"/>
  <c r="V997" i="26" s="1"/>
  <c r="S994" i="26"/>
  <c r="V994" i="26" s="1"/>
  <c r="S989" i="26"/>
  <c r="V989" i="26" s="1"/>
  <c r="S986" i="26"/>
  <c r="V986" i="26" s="1"/>
  <c r="S981" i="26"/>
  <c r="V981" i="26" s="1"/>
  <c r="S978" i="26"/>
  <c r="V978" i="26" s="1"/>
  <c r="S973" i="26"/>
  <c r="V973" i="26" s="1"/>
  <c r="S969" i="26"/>
  <c r="V969" i="26" s="1"/>
  <c r="S965" i="26"/>
  <c r="V965" i="26" s="1"/>
  <c r="S961" i="26"/>
  <c r="V961" i="26" s="1"/>
  <c r="S957" i="26"/>
  <c r="V957" i="26" s="1"/>
  <c r="S953" i="26"/>
  <c r="V953" i="26" s="1"/>
  <c r="S949" i="26"/>
  <c r="V949" i="26" s="1"/>
  <c r="S945" i="26"/>
  <c r="V945" i="26" s="1"/>
  <c r="S941" i="26"/>
  <c r="V941" i="26" s="1"/>
  <c r="S937" i="26"/>
  <c r="V937" i="26" s="1"/>
  <c r="S933" i="26"/>
  <c r="V933" i="26" s="1"/>
  <c r="S929" i="26"/>
  <c r="V929" i="26" s="1"/>
  <c r="S925" i="26"/>
  <c r="V925" i="26" s="1"/>
  <c r="S1093" i="26"/>
  <c r="V1093" i="26" s="1"/>
  <c r="S1047" i="26"/>
  <c r="V1047" i="26" s="1"/>
  <c r="S1041" i="26"/>
  <c r="V1041" i="26" s="1"/>
  <c r="S1039" i="26"/>
  <c r="V1039" i="26" s="1"/>
  <c r="S1037" i="26"/>
  <c r="V1037" i="26" s="1"/>
  <c r="S1022" i="26"/>
  <c r="V1022" i="26" s="1"/>
  <c r="S1018" i="26"/>
  <c r="V1018" i="26" s="1"/>
  <c r="S1003" i="26"/>
  <c r="V1003" i="26" s="1"/>
  <c r="S995" i="26"/>
  <c r="V995" i="26" s="1"/>
  <c r="S987" i="26"/>
  <c r="V987" i="26" s="1"/>
  <c r="S979" i="26"/>
  <c r="V979" i="26" s="1"/>
  <c r="S972" i="26"/>
  <c r="V972" i="26" s="1"/>
  <c r="S964" i="26"/>
  <c r="V964" i="26" s="1"/>
  <c r="S956" i="26"/>
  <c r="V956" i="26" s="1"/>
  <c r="S1087" i="26"/>
  <c r="V1087" i="26" s="1"/>
  <c r="S1069" i="26"/>
  <c r="V1069" i="26" s="1"/>
  <c r="S1058" i="26"/>
  <c r="V1058" i="26" s="1"/>
  <c r="S1007" i="26"/>
  <c r="V1007" i="26" s="1"/>
  <c r="S975" i="26"/>
  <c r="V975" i="26" s="1"/>
  <c r="S970" i="26"/>
  <c r="V970" i="26" s="1"/>
  <c r="S967" i="26"/>
  <c r="V967" i="26" s="1"/>
  <c r="S962" i="26"/>
  <c r="V962" i="26" s="1"/>
  <c r="S959" i="26"/>
  <c r="V959" i="26" s="1"/>
  <c r="S954" i="26"/>
  <c r="V954" i="26" s="1"/>
  <c r="S951" i="26"/>
  <c r="V951" i="26" s="1"/>
  <c r="S946" i="26"/>
  <c r="V946" i="26" s="1"/>
  <c r="S943" i="26"/>
  <c r="V943" i="26" s="1"/>
  <c r="S938" i="26"/>
  <c r="V938" i="26" s="1"/>
  <c r="S935" i="26"/>
  <c r="V935" i="26" s="1"/>
  <c r="S930" i="26"/>
  <c r="V930" i="26" s="1"/>
  <c r="S927" i="26"/>
  <c r="V927" i="26" s="1"/>
  <c r="S921" i="26"/>
  <c r="V921" i="26" s="1"/>
  <c r="S917" i="26"/>
  <c r="V917" i="26" s="1"/>
  <c r="S913" i="26"/>
  <c r="V913" i="26" s="1"/>
  <c r="S909" i="26"/>
  <c r="V909" i="26" s="1"/>
  <c r="S905" i="26"/>
  <c r="V905" i="26" s="1"/>
  <c r="S901" i="26"/>
  <c r="V901" i="26" s="1"/>
  <c r="S897" i="26"/>
  <c r="V897" i="26" s="1"/>
  <c r="S893" i="26"/>
  <c r="V893" i="26" s="1"/>
  <c r="S889" i="26"/>
  <c r="V889" i="26" s="1"/>
  <c r="S885" i="26"/>
  <c r="V885" i="26" s="1"/>
  <c r="S881" i="26"/>
  <c r="V881" i="26" s="1"/>
  <c r="S877" i="26"/>
  <c r="V877" i="26" s="1"/>
  <c r="S873" i="26"/>
  <c r="V873" i="26" s="1"/>
  <c r="S869" i="26"/>
  <c r="V869" i="26" s="1"/>
  <c r="S865" i="26"/>
  <c r="V865" i="26" s="1"/>
  <c r="S861" i="26"/>
  <c r="V861" i="26" s="1"/>
  <c r="S857" i="26"/>
  <c r="V857" i="26" s="1"/>
  <c r="S1090" i="26"/>
  <c r="V1090" i="26" s="1"/>
  <c r="S1010" i="26"/>
  <c r="V1010" i="26" s="1"/>
  <c r="S999" i="26"/>
  <c r="V999" i="26" s="1"/>
  <c r="S983" i="26"/>
  <c r="V983" i="26" s="1"/>
  <c r="S920" i="26"/>
  <c r="V920" i="26" s="1"/>
  <c r="S912" i="26"/>
  <c r="V912" i="26" s="1"/>
  <c r="S904" i="26"/>
  <c r="V904" i="26" s="1"/>
  <c r="S896" i="26"/>
  <c r="V896" i="26" s="1"/>
  <c r="S888" i="26"/>
  <c r="V888" i="26" s="1"/>
  <c r="S880" i="26"/>
  <c r="V880" i="26" s="1"/>
  <c r="S872" i="26"/>
  <c r="V872" i="26" s="1"/>
  <c r="S864" i="26"/>
  <c r="V864" i="26" s="1"/>
  <c r="S856" i="26"/>
  <c r="V856" i="26" s="1"/>
  <c r="S854" i="26"/>
  <c r="V854" i="26" s="1"/>
  <c r="S850" i="26"/>
  <c r="V850" i="26" s="1"/>
  <c r="S846" i="26"/>
  <c r="V846" i="26" s="1"/>
  <c r="S1038" i="26"/>
  <c r="V1038" i="26" s="1"/>
  <c r="S1034" i="26"/>
  <c r="V1034" i="26" s="1"/>
  <c r="S1025" i="26"/>
  <c r="V1025" i="26" s="1"/>
  <c r="S1009" i="26"/>
  <c r="V1009" i="26" s="1"/>
  <c r="S998" i="26"/>
  <c r="V998" i="26" s="1"/>
  <c r="S993" i="26"/>
  <c r="V993" i="26" s="1"/>
  <c r="S982" i="26"/>
  <c r="V982" i="26" s="1"/>
  <c r="S977" i="26"/>
  <c r="V977" i="26" s="1"/>
  <c r="S971" i="26"/>
  <c r="V971" i="26" s="1"/>
  <c r="S966" i="26"/>
  <c r="V966" i="26" s="1"/>
  <c r="S960" i="26"/>
  <c r="V960" i="26" s="1"/>
  <c r="S955" i="26"/>
  <c r="V955" i="26" s="1"/>
  <c r="S948" i="26"/>
  <c r="V948" i="26" s="1"/>
  <c r="S947" i="26"/>
  <c r="V947" i="26" s="1"/>
  <c r="S940" i="26"/>
  <c r="V940" i="26" s="1"/>
  <c r="S939" i="26"/>
  <c r="V939" i="26" s="1"/>
  <c r="S932" i="26"/>
  <c r="V932" i="26" s="1"/>
  <c r="S931" i="26"/>
  <c r="V931" i="26" s="1"/>
  <c r="S924" i="26"/>
  <c r="V924" i="26" s="1"/>
  <c r="S923" i="26"/>
  <c r="V923" i="26" s="1"/>
  <c r="S918" i="26"/>
  <c r="V918" i="26" s="1"/>
  <c r="S915" i="26"/>
  <c r="V915" i="26" s="1"/>
  <c r="S910" i="26"/>
  <c r="V910" i="26" s="1"/>
  <c r="S907" i="26"/>
  <c r="V907" i="26" s="1"/>
  <c r="S902" i="26"/>
  <c r="V902" i="26" s="1"/>
  <c r="S899" i="26"/>
  <c r="V899" i="26" s="1"/>
  <c r="S894" i="26"/>
  <c r="V894" i="26" s="1"/>
  <c r="S891" i="26"/>
  <c r="V891" i="26" s="1"/>
  <c r="S886" i="26"/>
  <c r="V886" i="26" s="1"/>
  <c r="S883" i="26"/>
  <c r="V883" i="26" s="1"/>
  <c r="S878" i="26"/>
  <c r="V878" i="26" s="1"/>
  <c r="S875" i="26"/>
  <c r="V875" i="26" s="1"/>
  <c r="S870" i="26"/>
  <c r="V870" i="26" s="1"/>
  <c r="S867" i="26"/>
  <c r="V867" i="26" s="1"/>
  <c r="S862" i="26"/>
  <c r="V862" i="26" s="1"/>
  <c r="S859" i="26"/>
  <c r="V859" i="26" s="1"/>
  <c r="S853" i="26"/>
  <c r="V853" i="26" s="1"/>
  <c r="S849" i="26"/>
  <c r="V849" i="26" s="1"/>
  <c r="S845" i="26"/>
  <c r="V845" i="26" s="1"/>
  <c r="S841" i="26"/>
  <c r="V841" i="26" s="1"/>
  <c r="S837" i="26"/>
  <c r="V837" i="26" s="1"/>
  <c r="S833" i="26"/>
  <c r="V833" i="26" s="1"/>
  <c r="S829" i="26"/>
  <c r="V829" i="26" s="1"/>
  <c r="S825" i="26"/>
  <c r="V825" i="26" s="1"/>
  <c r="S821" i="26"/>
  <c r="V821" i="26" s="1"/>
  <c r="S817" i="26"/>
  <c r="V817" i="26" s="1"/>
  <c r="S813" i="26"/>
  <c r="V813" i="26" s="1"/>
  <c r="S809" i="26"/>
  <c r="V809" i="26" s="1"/>
  <c r="S805" i="26"/>
  <c r="V805" i="26" s="1"/>
  <c r="S801" i="26"/>
  <c r="V801" i="26" s="1"/>
  <c r="S797" i="26"/>
  <c r="V797" i="26" s="1"/>
  <c r="S793" i="26"/>
  <c r="V793" i="26" s="1"/>
  <c r="S789" i="26"/>
  <c r="V789" i="26" s="1"/>
  <c r="S785" i="26"/>
  <c r="V785" i="26" s="1"/>
  <c r="S781" i="26"/>
  <c r="V781" i="26" s="1"/>
  <c r="S777" i="26"/>
  <c r="V777" i="26" s="1"/>
  <c r="S990" i="26"/>
  <c r="V990" i="26" s="1"/>
  <c r="S985" i="26"/>
  <c r="V985" i="26" s="1"/>
  <c r="S958" i="26"/>
  <c r="V958" i="26" s="1"/>
  <c r="S844" i="26"/>
  <c r="V844" i="26" s="1"/>
  <c r="S836" i="26"/>
  <c r="V836" i="26" s="1"/>
  <c r="S828" i="26"/>
  <c r="V828" i="26" s="1"/>
  <c r="S820" i="26"/>
  <c r="V820" i="26" s="1"/>
  <c r="S812" i="26"/>
  <c r="V812" i="26" s="1"/>
  <c r="S804" i="26"/>
  <c r="V804" i="26" s="1"/>
  <c r="S796" i="26"/>
  <c r="V796" i="26" s="1"/>
  <c r="S788" i="26"/>
  <c r="V788" i="26" s="1"/>
  <c r="S780" i="26"/>
  <c r="V780" i="26" s="1"/>
  <c r="S770" i="26"/>
  <c r="V770" i="26" s="1"/>
  <c r="S766" i="26"/>
  <c r="V766" i="26" s="1"/>
  <c r="S762" i="26"/>
  <c r="V762" i="26" s="1"/>
  <c r="S758" i="26"/>
  <c r="V758" i="26" s="1"/>
  <c r="S754" i="26"/>
  <c r="V754" i="26" s="1"/>
  <c r="S750" i="26"/>
  <c r="V750" i="26" s="1"/>
  <c r="S746" i="26"/>
  <c r="V746" i="26" s="1"/>
  <c r="S963" i="26"/>
  <c r="V963" i="26" s="1"/>
  <c r="S952" i="26"/>
  <c r="V952" i="26" s="1"/>
  <c r="S942" i="26"/>
  <c r="V942" i="26" s="1"/>
  <c r="S936" i="26"/>
  <c r="V936" i="26" s="1"/>
  <c r="S926" i="26"/>
  <c r="V926" i="26" s="1"/>
  <c r="S922" i="26"/>
  <c r="V922" i="26" s="1"/>
  <c r="S916" i="26"/>
  <c r="V916" i="26" s="1"/>
  <c r="S911" i="26"/>
  <c r="V911" i="26" s="1"/>
  <c r="S906" i="26"/>
  <c r="V906" i="26" s="1"/>
  <c r="S900" i="26"/>
  <c r="V900" i="26" s="1"/>
  <c r="S895" i="26"/>
  <c r="V895" i="26" s="1"/>
  <c r="S890" i="26"/>
  <c r="V890" i="26" s="1"/>
  <c r="S884" i="26"/>
  <c r="V884" i="26" s="1"/>
  <c r="S879" i="26"/>
  <c r="V879" i="26" s="1"/>
  <c r="S874" i="26"/>
  <c r="V874" i="26" s="1"/>
  <c r="S868" i="26"/>
  <c r="V868" i="26" s="1"/>
  <c r="S863" i="26"/>
  <c r="V863" i="26" s="1"/>
  <c r="S858" i="26"/>
  <c r="V858" i="26" s="1"/>
  <c r="S843" i="26"/>
  <c r="V843" i="26" s="1"/>
  <c r="S838" i="26"/>
  <c r="V838" i="26" s="1"/>
  <c r="S835" i="26"/>
  <c r="V835" i="26" s="1"/>
  <c r="S830" i="26"/>
  <c r="V830" i="26" s="1"/>
  <c r="S827" i="26"/>
  <c r="V827" i="26" s="1"/>
  <c r="S822" i="26"/>
  <c r="V822" i="26" s="1"/>
  <c r="S819" i="26"/>
  <c r="V819" i="26" s="1"/>
  <c r="S814" i="26"/>
  <c r="V814" i="26" s="1"/>
  <c r="S811" i="26"/>
  <c r="V811" i="26" s="1"/>
  <c r="S806" i="26"/>
  <c r="V806" i="26" s="1"/>
  <c r="S803" i="26"/>
  <c r="V803" i="26" s="1"/>
  <c r="S798" i="26"/>
  <c r="V798" i="26" s="1"/>
  <c r="S795" i="26"/>
  <c r="V795" i="26" s="1"/>
  <c r="S790" i="26"/>
  <c r="V790" i="26" s="1"/>
  <c r="S787" i="26"/>
  <c r="V787" i="26" s="1"/>
  <c r="S782" i="26"/>
  <c r="V782" i="26" s="1"/>
  <c r="S779" i="26"/>
  <c r="V779" i="26" s="1"/>
  <c r="S774" i="26"/>
  <c r="V774" i="26" s="1"/>
  <c r="S771" i="26"/>
  <c r="V771" i="26" s="1"/>
  <c r="S767" i="26"/>
  <c r="V767" i="26" s="1"/>
  <c r="S763" i="26"/>
  <c r="V763" i="26" s="1"/>
  <c r="S759" i="26"/>
  <c r="V759" i="26" s="1"/>
  <c r="S755" i="26"/>
  <c r="V755" i="26" s="1"/>
  <c r="S751" i="26"/>
  <c r="V751" i="26" s="1"/>
  <c r="S747" i="26"/>
  <c r="V747" i="26" s="1"/>
  <c r="S743" i="26"/>
  <c r="V743" i="26" s="1"/>
  <c r="S739" i="26"/>
  <c r="V739" i="26" s="1"/>
  <c r="S735" i="26"/>
  <c r="V735" i="26" s="1"/>
  <c r="S731" i="26"/>
  <c r="V731" i="26" s="1"/>
  <c r="S727" i="26"/>
  <c r="V727" i="26" s="1"/>
  <c r="S723" i="26"/>
  <c r="V723" i="26" s="1"/>
  <c r="S719" i="26"/>
  <c r="V719" i="26" s="1"/>
  <c r="S715" i="26"/>
  <c r="V715" i="26" s="1"/>
  <c r="S711" i="26"/>
  <c r="V711" i="26" s="1"/>
  <c r="S707" i="26"/>
  <c r="V707" i="26" s="1"/>
  <c r="S703" i="26"/>
  <c r="V703" i="26" s="1"/>
  <c r="S699" i="26"/>
  <c r="V699" i="26" s="1"/>
  <c r="S695" i="26"/>
  <c r="V695" i="26" s="1"/>
  <c r="S691" i="26"/>
  <c r="V691" i="26" s="1"/>
  <c r="S687" i="26"/>
  <c r="V687" i="26" s="1"/>
  <c r="S683" i="26"/>
  <c r="V683" i="26" s="1"/>
  <c r="S679" i="26"/>
  <c r="V679" i="26" s="1"/>
  <c r="S675" i="26"/>
  <c r="V675" i="26" s="1"/>
  <c r="S671" i="26"/>
  <c r="V671" i="26" s="1"/>
  <c r="S667" i="26"/>
  <c r="V667" i="26" s="1"/>
  <c r="S663" i="26"/>
  <c r="V663" i="26" s="1"/>
  <c r="S659" i="26"/>
  <c r="V659" i="26" s="1"/>
  <c r="S655" i="26"/>
  <c r="V655" i="26" s="1"/>
  <c r="S651" i="26"/>
  <c r="V651" i="26" s="1"/>
  <c r="S647" i="26"/>
  <c r="V647" i="26" s="1"/>
  <c r="S643" i="26"/>
  <c r="V643" i="26" s="1"/>
  <c r="S968" i="26"/>
  <c r="V968" i="26" s="1"/>
  <c r="S934" i="26"/>
  <c r="V934" i="26" s="1"/>
  <c r="S914" i="26"/>
  <c r="V914" i="26" s="1"/>
  <c r="S882" i="26"/>
  <c r="V882" i="26" s="1"/>
  <c r="S831" i="26"/>
  <c r="V831" i="26" s="1"/>
  <c r="S815" i="26"/>
  <c r="V815" i="26" s="1"/>
  <c r="S799" i="26"/>
  <c r="V799" i="26" s="1"/>
  <c r="S783" i="26"/>
  <c r="V783" i="26" s="1"/>
  <c r="S738" i="26"/>
  <c r="V738" i="26" s="1"/>
  <c r="S730" i="26"/>
  <c r="V730" i="26" s="1"/>
  <c r="S722" i="26"/>
  <c r="V722" i="26" s="1"/>
  <c r="S714" i="26"/>
  <c r="V714" i="26" s="1"/>
  <c r="S706" i="26"/>
  <c r="V706" i="26" s="1"/>
  <c r="S698" i="26"/>
  <c r="V698" i="26" s="1"/>
  <c r="S690" i="26"/>
  <c r="V690" i="26" s="1"/>
  <c r="S682" i="26"/>
  <c r="V682" i="26" s="1"/>
  <c r="S674" i="26"/>
  <c r="V674" i="26" s="1"/>
  <c r="S666" i="26"/>
  <c r="V666" i="26" s="1"/>
  <c r="S658" i="26"/>
  <c r="V658" i="26" s="1"/>
  <c r="S650" i="26"/>
  <c r="V650" i="26" s="1"/>
  <c r="S642" i="26"/>
  <c r="V642" i="26" s="1"/>
  <c r="S638" i="26"/>
  <c r="V638" i="26" s="1"/>
  <c r="S634" i="26"/>
  <c r="V634" i="26" s="1"/>
  <c r="S630" i="26"/>
  <c r="V630" i="26" s="1"/>
  <c r="S626" i="26"/>
  <c r="V626" i="26" s="1"/>
  <c r="S622" i="26"/>
  <c r="V622" i="26" s="1"/>
  <c r="S618" i="26"/>
  <c r="V618" i="26" s="1"/>
  <c r="S614" i="26"/>
  <c r="V614" i="26" s="1"/>
  <c r="S610" i="26"/>
  <c r="V610" i="26" s="1"/>
  <c r="S606" i="26"/>
  <c r="V606" i="26" s="1"/>
  <c r="S602" i="26"/>
  <c r="V602" i="26" s="1"/>
  <c r="S598" i="26"/>
  <c r="V598" i="26" s="1"/>
  <c r="S594" i="26"/>
  <c r="V594" i="26" s="1"/>
  <c r="S590" i="26"/>
  <c r="V590" i="26" s="1"/>
  <c r="S586" i="26"/>
  <c r="V586" i="26" s="1"/>
  <c r="S582" i="26"/>
  <c r="V582" i="26" s="1"/>
  <c r="S578" i="26"/>
  <c r="V578" i="26" s="1"/>
  <c r="S574" i="26"/>
  <c r="V574" i="26" s="1"/>
  <c r="S1101" i="26"/>
  <c r="V1101" i="26" s="1"/>
  <c r="S1061" i="26"/>
  <c r="V1061" i="26" s="1"/>
  <c r="S1055" i="26"/>
  <c r="V1055" i="26" s="1"/>
  <c r="S1006" i="26"/>
  <c r="V1006" i="26" s="1"/>
  <c r="S944" i="26"/>
  <c r="V944" i="26" s="1"/>
  <c r="S919" i="26"/>
  <c r="V919" i="26" s="1"/>
  <c r="S908" i="26"/>
  <c r="V908" i="26" s="1"/>
  <c r="S887" i="26"/>
  <c r="V887" i="26" s="1"/>
  <c r="S876" i="26"/>
  <c r="V876" i="26" s="1"/>
  <c r="S855" i="26"/>
  <c r="V855" i="26" s="1"/>
  <c r="S851" i="26"/>
  <c r="V851" i="26" s="1"/>
  <c r="S847" i="26"/>
  <c r="V847" i="26" s="1"/>
  <c r="S842" i="26"/>
  <c r="V842" i="26" s="1"/>
  <c r="S832" i="26"/>
  <c r="V832" i="26" s="1"/>
  <c r="S826" i="26"/>
  <c r="V826" i="26" s="1"/>
  <c r="S816" i="26"/>
  <c r="V816" i="26" s="1"/>
  <c r="S810" i="26"/>
  <c r="V810" i="26" s="1"/>
  <c r="S800" i="26"/>
  <c r="V800" i="26" s="1"/>
  <c r="S794" i="26"/>
  <c r="V794" i="26" s="1"/>
  <c r="S784" i="26"/>
  <c r="V784" i="26" s="1"/>
  <c r="S778" i="26"/>
  <c r="V778" i="26" s="1"/>
  <c r="S773" i="26"/>
  <c r="V773" i="26" s="1"/>
  <c r="S772" i="26"/>
  <c r="V772" i="26" s="1"/>
  <c r="S769" i="26"/>
  <c r="V769" i="26" s="1"/>
  <c r="S768" i="26"/>
  <c r="V768" i="26" s="1"/>
  <c r="S765" i="26"/>
  <c r="V765" i="26" s="1"/>
  <c r="S764" i="26"/>
  <c r="V764" i="26" s="1"/>
  <c r="S761" i="26"/>
  <c r="V761" i="26" s="1"/>
  <c r="S760" i="26"/>
  <c r="V760" i="26" s="1"/>
  <c r="S757" i="26"/>
  <c r="V757" i="26" s="1"/>
  <c r="S756" i="26"/>
  <c r="V756" i="26" s="1"/>
  <c r="S753" i="26"/>
  <c r="V753" i="26" s="1"/>
  <c r="S752" i="26"/>
  <c r="V752" i="26" s="1"/>
  <c r="S749" i="26"/>
  <c r="V749" i="26" s="1"/>
  <c r="S748" i="26"/>
  <c r="V748" i="26" s="1"/>
  <c r="S745" i="26"/>
  <c r="V745" i="26" s="1"/>
  <c r="S744" i="26"/>
  <c r="V744" i="26" s="1"/>
  <c r="S740" i="26"/>
  <c r="V740" i="26" s="1"/>
  <c r="S737" i="26"/>
  <c r="V737" i="26" s="1"/>
  <c r="S732" i="26"/>
  <c r="V732" i="26" s="1"/>
  <c r="S729" i="26"/>
  <c r="V729" i="26" s="1"/>
  <c r="S724" i="26"/>
  <c r="V724" i="26" s="1"/>
  <c r="S721" i="26"/>
  <c r="V721" i="26" s="1"/>
  <c r="S716" i="26"/>
  <c r="V716" i="26" s="1"/>
  <c r="S713" i="26"/>
  <c r="V713" i="26" s="1"/>
  <c r="S708" i="26"/>
  <c r="V708" i="26" s="1"/>
  <c r="S705" i="26"/>
  <c r="V705" i="26" s="1"/>
  <c r="S700" i="26"/>
  <c r="V700" i="26" s="1"/>
  <c r="S697" i="26"/>
  <c r="V697" i="26" s="1"/>
  <c r="S692" i="26"/>
  <c r="V692" i="26" s="1"/>
  <c r="S689" i="26"/>
  <c r="V689" i="26" s="1"/>
  <c r="S684" i="26"/>
  <c r="V684" i="26" s="1"/>
  <c r="S681" i="26"/>
  <c r="V681" i="26" s="1"/>
  <c r="S676" i="26"/>
  <c r="V676" i="26" s="1"/>
  <c r="S673" i="26"/>
  <c r="V673" i="26" s="1"/>
  <c r="S668" i="26"/>
  <c r="V668" i="26" s="1"/>
  <c r="S665" i="26"/>
  <c r="V665" i="26" s="1"/>
  <c r="S660" i="26"/>
  <c r="V660" i="26" s="1"/>
  <c r="S657" i="26"/>
  <c r="V657" i="26" s="1"/>
  <c r="S652" i="26"/>
  <c r="V652" i="26" s="1"/>
  <c r="S649" i="26"/>
  <c r="V649" i="26" s="1"/>
  <c r="S644" i="26"/>
  <c r="V644" i="26" s="1"/>
  <c r="S641" i="26"/>
  <c r="V641" i="26" s="1"/>
  <c r="S639" i="26"/>
  <c r="V639" i="26" s="1"/>
  <c r="S635" i="26"/>
  <c r="V635" i="26" s="1"/>
  <c r="S631" i="26"/>
  <c r="V631" i="26" s="1"/>
  <c r="S627" i="26"/>
  <c r="V627" i="26" s="1"/>
  <c r="S623" i="26"/>
  <c r="V623" i="26" s="1"/>
  <c r="S619" i="26"/>
  <c r="V619" i="26" s="1"/>
  <c r="S615" i="26"/>
  <c r="V615" i="26" s="1"/>
  <c r="S611" i="26"/>
  <c r="V611" i="26" s="1"/>
  <c r="S607" i="26"/>
  <c r="V607" i="26" s="1"/>
  <c r="S603" i="26"/>
  <c r="V603" i="26" s="1"/>
  <c r="S599" i="26"/>
  <c r="V599" i="26" s="1"/>
  <c r="S595" i="26"/>
  <c r="V595" i="26" s="1"/>
  <c r="S591" i="26"/>
  <c r="V591" i="26" s="1"/>
  <c r="S587" i="26"/>
  <c r="V587" i="26" s="1"/>
  <c r="S583" i="26"/>
  <c r="V583" i="26" s="1"/>
  <c r="S579" i="26"/>
  <c r="V579" i="26" s="1"/>
  <c r="S575" i="26"/>
  <c r="V575" i="26" s="1"/>
  <c r="S571" i="26"/>
  <c r="V571" i="26" s="1"/>
  <c r="S567" i="26"/>
  <c r="V567" i="26" s="1"/>
  <c r="S563" i="26"/>
  <c r="V563" i="26" s="1"/>
  <c r="S559" i="26"/>
  <c r="V559" i="26" s="1"/>
  <c r="S555" i="26"/>
  <c r="V555" i="26" s="1"/>
  <c r="S551" i="26"/>
  <c r="V551" i="26" s="1"/>
  <c r="S547" i="26"/>
  <c r="V547" i="26" s="1"/>
  <c r="S543" i="26"/>
  <c r="V543" i="26" s="1"/>
  <c r="S539" i="26"/>
  <c r="V539" i="26" s="1"/>
  <c r="S535" i="26"/>
  <c r="V535" i="26" s="1"/>
  <c r="S531" i="26"/>
  <c r="V531" i="26" s="1"/>
  <c r="S527" i="26"/>
  <c r="V527" i="26" s="1"/>
  <c r="S523" i="26"/>
  <c r="V523" i="26" s="1"/>
  <c r="S519" i="26"/>
  <c r="V519" i="26" s="1"/>
  <c r="S515" i="26"/>
  <c r="V515" i="26" s="1"/>
  <c r="S511" i="26"/>
  <c r="V511" i="26" s="1"/>
  <c r="S507" i="26"/>
  <c r="V507" i="26" s="1"/>
  <c r="S503" i="26"/>
  <c r="V503" i="26" s="1"/>
  <c r="S499" i="26"/>
  <c r="V499" i="26" s="1"/>
  <c r="S495" i="26"/>
  <c r="V495" i="26" s="1"/>
  <c r="S491" i="26"/>
  <c r="V491" i="26" s="1"/>
  <c r="S487" i="26"/>
  <c r="V487" i="26" s="1"/>
  <c r="S483" i="26"/>
  <c r="V483" i="26" s="1"/>
  <c r="S479" i="26"/>
  <c r="V479" i="26" s="1"/>
  <c r="S475" i="26"/>
  <c r="V475" i="26" s="1"/>
  <c r="S471" i="26"/>
  <c r="V471" i="26" s="1"/>
  <c r="S467" i="26"/>
  <c r="V467" i="26" s="1"/>
  <c r="S463" i="26"/>
  <c r="V463" i="26" s="1"/>
  <c r="S459" i="26"/>
  <c r="V459" i="26" s="1"/>
  <c r="S455" i="26"/>
  <c r="V455" i="26" s="1"/>
  <c r="S451" i="26"/>
  <c r="V451" i="26" s="1"/>
  <c r="S447" i="26"/>
  <c r="V447" i="26" s="1"/>
  <c r="S443" i="26"/>
  <c r="V443" i="26" s="1"/>
  <c r="S439" i="26"/>
  <c r="V439" i="26" s="1"/>
  <c r="S435" i="26"/>
  <c r="V435" i="26" s="1"/>
  <c r="S431" i="26"/>
  <c r="V431" i="26" s="1"/>
  <c r="S427" i="26"/>
  <c r="V427" i="26" s="1"/>
  <c r="S423" i="26"/>
  <c r="V423" i="26" s="1"/>
  <c r="S419" i="26"/>
  <c r="V419" i="26" s="1"/>
  <c r="S415" i="26"/>
  <c r="V415" i="26" s="1"/>
  <c r="S411" i="26"/>
  <c r="V411" i="26" s="1"/>
  <c r="S407" i="26"/>
  <c r="V407" i="26" s="1"/>
  <c r="S403" i="26"/>
  <c r="V403" i="26" s="1"/>
  <c r="S1066" i="26"/>
  <c r="V1066" i="26" s="1"/>
  <c r="S1063" i="26"/>
  <c r="V1063" i="26" s="1"/>
  <c r="S1021" i="26"/>
  <c r="V1021" i="26" s="1"/>
  <c r="S903" i="26"/>
  <c r="V903" i="26" s="1"/>
  <c r="S898" i="26"/>
  <c r="V898" i="26" s="1"/>
  <c r="S818" i="26"/>
  <c r="V818" i="26" s="1"/>
  <c r="S786" i="26"/>
  <c r="V786" i="26" s="1"/>
  <c r="S741" i="26"/>
  <c r="V741" i="26" s="1"/>
  <c r="S725" i="26"/>
  <c r="V725" i="26" s="1"/>
  <c r="S860" i="26"/>
  <c r="V860" i="26" s="1"/>
  <c r="S839" i="26"/>
  <c r="V839" i="26" s="1"/>
  <c r="S824" i="26"/>
  <c r="V824" i="26" s="1"/>
  <c r="S807" i="26"/>
  <c r="V807" i="26" s="1"/>
  <c r="S792" i="26"/>
  <c r="V792" i="26" s="1"/>
  <c r="S775" i="26"/>
  <c r="V775" i="26" s="1"/>
  <c r="S734" i="26"/>
  <c r="V734" i="26" s="1"/>
  <c r="S728" i="26"/>
  <c r="V728" i="26" s="1"/>
  <c r="S718" i="26"/>
  <c r="V718" i="26" s="1"/>
  <c r="S712" i="26"/>
  <c r="V712" i="26" s="1"/>
  <c r="S702" i="26"/>
  <c r="V702" i="26" s="1"/>
  <c r="S696" i="26"/>
  <c r="V696" i="26" s="1"/>
  <c r="S686" i="26"/>
  <c r="V686" i="26" s="1"/>
  <c r="S680" i="26"/>
  <c r="V680" i="26" s="1"/>
  <c r="S670" i="26"/>
  <c r="V670" i="26" s="1"/>
  <c r="S664" i="26"/>
  <c r="V664" i="26" s="1"/>
  <c r="S654" i="26"/>
  <c r="V654" i="26" s="1"/>
  <c r="S648" i="26"/>
  <c r="V648" i="26" s="1"/>
  <c r="S566" i="26"/>
  <c r="V566" i="26" s="1"/>
  <c r="S558" i="26"/>
  <c r="V558" i="26" s="1"/>
  <c r="S550" i="26"/>
  <c r="V550" i="26" s="1"/>
  <c r="S542" i="26"/>
  <c r="V542" i="26" s="1"/>
  <c r="S534" i="26"/>
  <c r="V534" i="26" s="1"/>
  <c r="S526" i="26"/>
  <c r="V526" i="26" s="1"/>
  <c r="S518" i="26"/>
  <c r="V518" i="26" s="1"/>
  <c r="S510" i="26"/>
  <c r="V510" i="26" s="1"/>
  <c r="S502" i="26"/>
  <c r="V502" i="26" s="1"/>
  <c r="S494" i="26"/>
  <c r="V494" i="26" s="1"/>
  <c r="S486" i="26"/>
  <c r="V486" i="26" s="1"/>
  <c r="S478" i="26"/>
  <c r="V478" i="26" s="1"/>
  <c r="S470" i="26"/>
  <c r="V470" i="26" s="1"/>
  <c r="S462" i="26"/>
  <c r="V462" i="26" s="1"/>
  <c r="S454" i="26"/>
  <c r="V454" i="26" s="1"/>
  <c r="S446" i="26"/>
  <c r="V446" i="26" s="1"/>
  <c r="S438" i="26"/>
  <c r="V438" i="26" s="1"/>
  <c r="S991" i="26"/>
  <c r="V991" i="26" s="1"/>
  <c r="S974" i="26"/>
  <c r="V974" i="26" s="1"/>
  <c r="S871" i="26"/>
  <c r="V871" i="26" s="1"/>
  <c r="S848" i="26"/>
  <c r="V848" i="26" s="1"/>
  <c r="S840" i="26"/>
  <c r="V840" i="26" s="1"/>
  <c r="S802" i="26"/>
  <c r="V802" i="26" s="1"/>
  <c r="S776" i="26"/>
  <c r="V776" i="26" s="1"/>
  <c r="S736" i="26"/>
  <c r="V736" i="26" s="1"/>
  <c r="S709" i="26"/>
  <c r="V709" i="26" s="1"/>
  <c r="S693" i="26"/>
  <c r="V693" i="26" s="1"/>
  <c r="S677" i="26"/>
  <c r="V677" i="26" s="1"/>
  <c r="S661" i="26"/>
  <c r="V661" i="26" s="1"/>
  <c r="S645" i="26"/>
  <c r="V645" i="26" s="1"/>
  <c r="S557" i="26"/>
  <c r="V557" i="26" s="1"/>
  <c r="S541" i="26"/>
  <c r="V541" i="26" s="1"/>
  <c r="S525" i="26"/>
  <c r="V525" i="26" s="1"/>
  <c r="S509" i="26"/>
  <c r="V509" i="26" s="1"/>
  <c r="S493" i="26"/>
  <c r="V493" i="26" s="1"/>
  <c r="S477" i="26"/>
  <c r="V477" i="26" s="1"/>
  <c r="S461" i="26"/>
  <c r="V461" i="26" s="1"/>
  <c r="S445" i="26"/>
  <c r="V445" i="26" s="1"/>
  <c r="S432" i="26"/>
  <c r="V432" i="26" s="1"/>
  <c r="S429" i="26"/>
  <c r="V429" i="26" s="1"/>
  <c r="S424" i="26"/>
  <c r="V424" i="26" s="1"/>
  <c r="S421" i="26"/>
  <c r="V421" i="26" s="1"/>
  <c r="S416" i="26"/>
  <c r="V416" i="26" s="1"/>
  <c r="S413" i="26"/>
  <c r="V413" i="26" s="1"/>
  <c r="S408" i="26"/>
  <c r="V408" i="26" s="1"/>
  <c r="S405" i="26"/>
  <c r="V405" i="26" s="1"/>
  <c r="S400" i="26"/>
  <c r="V400" i="26" s="1"/>
  <c r="S396" i="26"/>
  <c r="V396" i="26" s="1"/>
  <c r="S392" i="26"/>
  <c r="V392" i="26" s="1"/>
  <c r="S388" i="26"/>
  <c r="V388" i="26" s="1"/>
  <c r="S384" i="26"/>
  <c r="V384" i="26" s="1"/>
  <c r="S380" i="26"/>
  <c r="V380" i="26" s="1"/>
  <c r="S376" i="26"/>
  <c r="V376" i="26" s="1"/>
  <c r="S372" i="26"/>
  <c r="V372" i="26" s="1"/>
  <c r="S368" i="26"/>
  <c r="V368" i="26" s="1"/>
  <c r="S364" i="26"/>
  <c r="V364" i="26" s="1"/>
  <c r="S360" i="26"/>
  <c r="V360" i="26" s="1"/>
  <c r="S356" i="26"/>
  <c r="V356" i="26" s="1"/>
  <c r="S352" i="26"/>
  <c r="V352" i="26" s="1"/>
  <c r="S348" i="26"/>
  <c r="V348" i="26" s="1"/>
  <c r="S344" i="26"/>
  <c r="V344" i="26" s="1"/>
  <c r="S340" i="26"/>
  <c r="V340" i="26" s="1"/>
  <c r="S336" i="26"/>
  <c r="V336" i="26" s="1"/>
  <c r="S332" i="26"/>
  <c r="V332" i="26" s="1"/>
  <c r="S328" i="26"/>
  <c r="V328" i="26" s="1"/>
  <c r="S324" i="26"/>
  <c r="V324" i="26" s="1"/>
  <c r="S320" i="26"/>
  <c r="V320" i="26" s="1"/>
  <c r="S316" i="26"/>
  <c r="V316" i="26" s="1"/>
  <c r="S312" i="26"/>
  <c r="V312" i="26" s="1"/>
  <c r="S308" i="26"/>
  <c r="V308" i="26" s="1"/>
  <c r="S304" i="26"/>
  <c r="V304" i="26" s="1"/>
  <c r="S300" i="26"/>
  <c r="V300" i="26" s="1"/>
  <c r="S296" i="26"/>
  <c r="V296" i="26" s="1"/>
  <c r="S292" i="26"/>
  <c r="V292" i="26" s="1"/>
  <c r="S288" i="26"/>
  <c r="V288" i="26" s="1"/>
  <c r="S284" i="26"/>
  <c r="V284" i="26" s="1"/>
  <c r="S280" i="26"/>
  <c r="V280" i="26" s="1"/>
  <c r="S276" i="26"/>
  <c r="V276" i="26" s="1"/>
  <c r="S272" i="26"/>
  <c r="V272" i="26" s="1"/>
  <c r="S268" i="26"/>
  <c r="V268" i="26" s="1"/>
  <c r="S264" i="26"/>
  <c r="V264" i="26" s="1"/>
  <c r="S260" i="26"/>
  <c r="V260" i="26" s="1"/>
  <c r="S256" i="26"/>
  <c r="V256" i="26" s="1"/>
  <c r="S252" i="26"/>
  <c r="V252" i="26" s="1"/>
  <c r="S248" i="26"/>
  <c r="V248" i="26" s="1"/>
  <c r="S244" i="26"/>
  <c r="V244" i="26" s="1"/>
  <c r="S240" i="26"/>
  <c r="V240" i="26" s="1"/>
  <c r="S236" i="26"/>
  <c r="V236" i="26" s="1"/>
  <c r="S232" i="26"/>
  <c r="V232" i="26" s="1"/>
  <c r="S228" i="26"/>
  <c r="V228" i="26" s="1"/>
  <c r="S224" i="26"/>
  <c r="V224" i="26" s="1"/>
  <c r="S220" i="26"/>
  <c r="V220" i="26" s="1"/>
  <c r="S216" i="26"/>
  <c r="V216" i="26" s="1"/>
  <c r="S212" i="26"/>
  <c r="V212" i="26" s="1"/>
  <c r="S208" i="26"/>
  <c r="V208" i="26" s="1"/>
  <c r="S204" i="26"/>
  <c r="V204" i="26" s="1"/>
  <c r="S200" i="26"/>
  <c r="V200" i="26" s="1"/>
  <c r="S196" i="26"/>
  <c r="V196" i="26" s="1"/>
  <c r="S950" i="26"/>
  <c r="V950" i="26" s="1"/>
  <c r="S928" i="26"/>
  <c r="V928" i="26" s="1"/>
  <c r="S823" i="26"/>
  <c r="V823" i="26" s="1"/>
  <c r="S742" i="26"/>
  <c r="V742" i="26" s="1"/>
  <c r="S720" i="26"/>
  <c r="V720" i="26" s="1"/>
  <c r="S704" i="26"/>
  <c r="V704" i="26" s="1"/>
  <c r="S688" i="26"/>
  <c r="V688" i="26" s="1"/>
  <c r="S672" i="26"/>
  <c r="V672" i="26" s="1"/>
  <c r="S656" i="26"/>
  <c r="V656" i="26" s="1"/>
  <c r="S640" i="26"/>
  <c r="V640" i="26" s="1"/>
  <c r="S637" i="26"/>
  <c r="V637" i="26" s="1"/>
  <c r="S633" i="26"/>
  <c r="V633" i="26" s="1"/>
  <c r="S629" i="26"/>
  <c r="V629" i="26" s="1"/>
  <c r="S625" i="26"/>
  <c r="V625" i="26" s="1"/>
  <c r="S621" i="26"/>
  <c r="V621" i="26" s="1"/>
  <c r="S617" i="26"/>
  <c r="V617" i="26" s="1"/>
  <c r="S613" i="26"/>
  <c r="V613" i="26" s="1"/>
  <c r="S609" i="26"/>
  <c r="V609" i="26" s="1"/>
  <c r="S605" i="26"/>
  <c r="V605" i="26" s="1"/>
  <c r="S601" i="26"/>
  <c r="V601" i="26" s="1"/>
  <c r="S597" i="26"/>
  <c r="V597" i="26" s="1"/>
  <c r="S593" i="26"/>
  <c r="V593" i="26" s="1"/>
  <c r="S589" i="26"/>
  <c r="V589" i="26" s="1"/>
  <c r="S585" i="26"/>
  <c r="V585" i="26" s="1"/>
  <c r="S581" i="26"/>
  <c r="V581" i="26" s="1"/>
  <c r="S577" i="26"/>
  <c r="V577" i="26" s="1"/>
  <c r="S573" i="26"/>
  <c r="V573" i="26" s="1"/>
  <c r="S564" i="26"/>
  <c r="V564" i="26" s="1"/>
  <c r="S562" i="26"/>
  <c r="V562" i="26" s="1"/>
  <c r="S561" i="26"/>
  <c r="V561" i="26" s="1"/>
  <c r="S560" i="26"/>
  <c r="V560" i="26" s="1"/>
  <c r="S548" i="26"/>
  <c r="V548" i="26" s="1"/>
  <c r="S546" i="26"/>
  <c r="V546" i="26" s="1"/>
  <c r="S545" i="26"/>
  <c r="V545" i="26" s="1"/>
  <c r="S544" i="26"/>
  <c r="V544" i="26" s="1"/>
  <c r="S532" i="26"/>
  <c r="V532" i="26" s="1"/>
  <c r="S530" i="26"/>
  <c r="V530" i="26" s="1"/>
  <c r="S529" i="26"/>
  <c r="V529" i="26" s="1"/>
  <c r="S528" i="26"/>
  <c r="V528" i="26" s="1"/>
  <c r="S516" i="26"/>
  <c r="V516" i="26" s="1"/>
  <c r="S514" i="26"/>
  <c r="V514" i="26" s="1"/>
  <c r="S513" i="26"/>
  <c r="V513" i="26" s="1"/>
  <c r="S512" i="26"/>
  <c r="V512" i="26" s="1"/>
  <c r="S500" i="26"/>
  <c r="V500" i="26" s="1"/>
  <c r="S498" i="26"/>
  <c r="V498" i="26" s="1"/>
  <c r="S497" i="26"/>
  <c r="V497" i="26" s="1"/>
  <c r="S496" i="26"/>
  <c r="V496" i="26" s="1"/>
  <c r="S484" i="26"/>
  <c r="V484" i="26" s="1"/>
  <c r="S482" i="26"/>
  <c r="V482" i="26" s="1"/>
  <c r="S481" i="26"/>
  <c r="V481" i="26" s="1"/>
  <c r="S480" i="26"/>
  <c r="V480" i="26" s="1"/>
  <c r="S468" i="26"/>
  <c r="V468" i="26" s="1"/>
  <c r="S466" i="26"/>
  <c r="V466" i="26" s="1"/>
  <c r="S465" i="26"/>
  <c r="V465" i="26" s="1"/>
  <c r="S464" i="26"/>
  <c r="V464" i="26" s="1"/>
  <c r="S452" i="26"/>
  <c r="V452" i="26" s="1"/>
  <c r="S450" i="26"/>
  <c r="V450" i="26" s="1"/>
  <c r="S449" i="26"/>
  <c r="V449" i="26" s="1"/>
  <c r="S448" i="26"/>
  <c r="V448" i="26" s="1"/>
  <c r="S436" i="26"/>
  <c r="V436" i="26" s="1"/>
  <c r="S434" i="26"/>
  <c r="V434" i="26" s="1"/>
  <c r="S433" i="26"/>
  <c r="V433" i="26" s="1"/>
  <c r="S430" i="26"/>
  <c r="V430" i="26" s="1"/>
  <c r="S422" i="26"/>
  <c r="V422" i="26" s="1"/>
  <c r="S414" i="26"/>
  <c r="V414" i="26" s="1"/>
  <c r="S406" i="26"/>
  <c r="V406" i="26" s="1"/>
  <c r="S399" i="26"/>
  <c r="V399" i="26" s="1"/>
  <c r="S395" i="26"/>
  <c r="V395" i="26" s="1"/>
  <c r="S391" i="26"/>
  <c r="V391" i="26" s="1"/>
  <c r="S387" i="26"/>
  <c r="V387" i="26" s="1"/>
  <c r="S383" i="26"/>
  <c r="V383" i="26" s="1"/>
  <c r="S379" i="26"/>
  <c r="V379" i="26" s="1"/>
  <c r="S375" i="26"/>
  <c r="V375" i="26" s="1"/>
  <c r="S371" i="26"/>
  <c r="V371" i="26" s="1"/>
  <c r="S367" i="26"/>
  <c r="V367" i="26" s="1"/>
  <c r="S363" i="26"/>
  <c r="V363" i="26" s="1"/>
  <c r="S359" i="26"/>
  <c r="V359" i="26" s="1"/>
  <c r="S355" i="26"/>
  <c r="V355" i="26" s="1"/>
  <c r="S351" i="26"/>
  <c r="V351" i="26" s="1"/>
  <c r="S347" i="26"/>
  <c r="V347" i="26" s="1"/>
  <c r="S343" i="26"/>
  <c r="V343" i="26" s="1"/>
  <c r="S339" i="26"/>
  <c r="V339" i="26" s="1"/>
  <c r="S335" i="26"/>
  <c r="V335" i="26" s="1"/>
  <c r="S331" i="26"/>
  <c r="V331" i="26" s="1"/>
  <c r="S327" i="26"/>
  <c r="V327" i="26" s="1"/>
  <c r="S323" i="26"/>
  <c r="V323" i="26" s="1"/>
  <c r="S319" i="26"/>
  <c r="V319" i="26" s="1"/>
  <c r="S315" i="26"/>
  <c r="V315" i="26" s="1"/>
  <c r="S311" i="26"/>
  <c r="V311" i="26" s="1"/>
  <c r="S307" i="26"/>
  <c r="V307" i="26" s="1"/>
  <c r="S303" i="26"/>
  <c r="V303" i="26" s="1"/>
  <c r="S299" i="26"/>
  <c r="V299" i="26" s="1"/>
  <c r="S295" i="26"/>
  <c r="V295" i="26" s="1"/>
  <c r="S291" i="26"/>
  <c r="V291" i="26" s="1"/>
  <c r="S287" i="26"/>
  <c r="V287" i="26" s="1"/>
  <c r="S283" i="26"/>
  <c r="V283" i="26" s="1"/>
  <c r="S279" i="26"/>
  <c r="V279" i="26" s="1"/>
  <c r="S275" i="26"/>
  <c r="V275" i="26" s="1"/>
  <c r="S271" i="26"/>
  <c r="V271" i="26" s="1"/>
  <c r="S267" i="26"/>
  <c r="V267" i="26" s="1"/>
  <c r="S263" i="26"/>
  <c r="V263" i="26" s="1"/>
  <c r="S259" i="26"/>
  <c r="V259" i="26" s="1"/>
  <c r="S255" i="26"/>
  <c r="V255" i="26" s="1"/>
  <c r="S251" i="26"/>
  <c r="V251" i="26" s="1"/>
  <c r="S247" i="26"/>
  <c r="V247" i="26" s="1"/>
  <c r="S243" i="26"/>
  <c r="V243" i="26" s="1"/>
  <c r="S239" i="26"/>
  <c r="V239" i="26" s="1"/>
  <c r="S235" i="26"/>
  <c r="V235" i="26" s="1"/>
  <c r="S231" i="26"/>
  <c r="V231" i="26" s="1"/>
  <c r="S227" i="26"/>
  <c r="V227" i="26" s="1"/>
  <c r="S223" i="26"/>
  <c r="V223" i="26" s="1"/>
  <c r="S219" i="26"/>
  <c r="V219" i="26" s="1"/>
  <c r="S215" i="26"/>
  <c r="V215" i="26" s="1"/>
  <c r="S211" i="26"/>
  <c r="V211" i="26" s="1"/>
  <c r="S207" i="26"/>
  <c r="V207" i="26" s="1"/>
  <c r="S203" i="26"/>
  <c r="V203" i="26" s="1"/>
  <c r="S199" i="26"/>
  <c r="V199" i="26" s="1"/>
  <c r="S195" i="26"/>
  <c r="V195" i="26" s="1"/>
  <c r="S191" i="26"/>
  <c r="V191" i="26" s="1"/>
  <c r="S187" i="26"/>
  <c r="V187" i="26" s="1"/>
  <c r="S183" i="26"/>
  <c r="V183" i="26" s="1"/>
  <c r="S179" i="26"/>
  <c r="V179" i="26" s="1"/>
  <c r="S175" i="26"/>
  <c r="V175" i="26" s="1"/>
  <c r="S171" i="26"/>
  <c r="V171" i="26" s="1"/>
  <c r="S167" i="26"/>
  <c r="V167" i="26" s="1"/>
  <c r="S163" i="26"/>
  <c r="V163" i="26" s="1"/>
  <c r="S159" i="26"/>
  <c r="V159" i="26" s="1"/>
  <c r="S155" i="26"/>
  <c r="V155" i="26" s="1"/>
  <c r="S151" i="26"/>
  <c r="V151" i="26" s="1"/>
  <c r="S147" i="26"/>
  <c r="V147" i="26" s="1"/>
  <c r="S143" i="26"/>
  <c r="V143" i="26" s="1"/>
  <c r="S139" i="26"/>
  <c r="V139" i="26" s="1"/>
  <c r="S135" i="26"/>
  <c r="V135" i="26" s="1"/>
  <c r="S131" i="26"/>
  <c r="V131" i="26" s="1"/>
  <c r="S127" i="26"/>
  <c r="V127" i="26" s="1"/>
  <c r="S123" i="26"/>
  <c r="S119" i="26"/>
  <c r="V119" i="26" s="1"/>
  <c r="S866" i="26"/>
  <c r="V866" i="26" s="1"/>
  <c r="S733" i="26"/>
  <c r="V733" i="26" s="1"/>
  <c r="S694" i="26"/>
  <c r="V694" i="26" s="1"/>
  <c r="S685" i="26"/>
  <c r="V685" i="26" s="1"/>
  <c r="S636" i="26"/>
  <c r="V636" i="26" s="1"/>
  <c r="S620" i="26"/>
  <c r="V620" i="26" s="1"/>
  <c r="S604" i="26"/>
  <c r="V604" i="26" s="1"/>
  <c r="S588" i="26"/>
  <c r="V588" i="26" s="1"/>
  <c r="S572" i="26"/>
  <c r="V572" i="26" s="1"/>
  <c r="S428" i="26"/>
  <c r="V428" i="26" s="1"/>
  <c r="S418" i="26"/>
  <c r="V418" i="26" s="1"/>
  <c r="S412" i="26"/>
  <c r="V412" i="26" s="1"/>
  <c r="S402" i="26"/>
  <c r="V402" i="26" s="1"/>
  <c r="S190" i="26"/>
  <c r="V190" i="26" s="1"/>
  <c r="S182" i="26"/>
  <c r="V182" i="26" s="1"/>
  <c r="S174" i="26"/>
  <c r="V174" i="26" s="1"/>
  <c r="S166" i="26"/>
  <c r="V166" i="26" s="1"/>
  <c r="S158" i="26"/>
  <c r="V158" i="26" s="1"/>
  <c r="S150" i="26"/>
  <c r="V150" i="26" s="1"/>
  <c r="S142" i="26"/>
  <c r="V142" i="26" s="1"/>
  <c r="S134" i="26"/>
  <c r="V134" i="26" s="1"/>
  <c r="S118" i="26"/>
  <c r="V118" i="26" s="1"/>
  <c r="S114" i="26"/>
  <c r="S102" i="26"/>
  <c r="S90" i="26"/>
  <c r="S74" i="26"/>
  <c r="S70" i="26"/>
  <c r="S66" i="26"/>
  <c r="S58" i="26"/>
  <c r="S34" i="26"/>
  <c r="S12" i="26"/>
  <c r="S2" i="26"/>
  <c r="S1001" i="26"/>
  <c r="V1001" i="26" s="1"/>
  <c r="S834" i="26"/>
  <c r="V834" i="26" s="1"/>
  <c r="S808" i="26"/>
  <c r="V808" i="26" s="1"/>
  <c r="S710" i="26"/>
  <c r="V710" i="26" s="1"/>
  <c r="S701" i="26"/>
  <c r="V701" i="26" s="1"/>
  <c r="S616" i="26"/>
  <c r="V616" i="26" s="1"/>
  <c r="S553" i="26"/>
  <c r="V553" i="26" s="1"/>
  <c r="S549" i="26"/>
  <c r="V549" i="26" s="1"/>
  <c r="S540" i="26"/>
  <c r="V540" i="26" s="1"/>
  <c r="S536" i="26"/>
  <c r="V536" i="26" s="1"/>
  <c r="S521" i="26"/>
  <c r="V521" i="26" s="1"/>
  <c r="S508" i="26"/>
  <c r="V508" i="26" s="1"/>
  <c r="S489" i="26"/>
  <c r="V489" i="26" s="1"/>
  <c r="S485" i="26"/>
  <c r="V485" i="26" s="1"/>
  <c r="S476" i="26"/>
  <c r="V476" i="26" s="1"/>
  <c r="S457" i="26"/>
  <c r="V457" i="26" s="1"/>
  <c r="S453" i="26"/>
  <c r="V453" i="26" s="1"/>
  <c r="S442" i="26"/>
  <c r="V442" i="26" s="1"/>
  <c r="S409" i="26"/>
  <c r="V409" i="26" s="1"/>
  <c r="S152" i="26"/>
  <c r="V152" i="26" s="1"/>
  <c r="S149" i="26"/>
  <c r="V149" i="26" s="1"/>
  <c r="S136" i="26"/>
  <c r="V136" i="26" s="1"/>
  <c r="S133" i="26"/>
  <c r="V133" i="26" s="1"/>
  <c r="S128" i="26"/>
  <c r="S125" i="26"/>
  <c r="S120" i="26"/>
  <c r="V120" i="26" s="1"/>
  <c r="S111" i="26"/>
  <c r="S107" i="26"/>
  <c r="S103" i="26"/>
  <c r="S99" i="26"/>
  <c r="S67" i="26"/>
  <c r="S63" i="26"/>
  <c r="S59" i="26"/>
  <c r="S47" i="26"/>
  <c r="S31" i="26"/>
  <c r="S892" i="26"/>
  <c r="V892" i="26" s="1"/>
  <c r="S791" i="26"/>
  <c r="V791" i="26" s="1"/>
  <c r="S726" i="26"/>
  <c r="V726" i="26" s="1"/>
  <c r="S678" i="26"/>
  <c r="V678" i="26" s="1"/>
  <c r="S669" i="26"/>
  <c r="V669" i="26" s="1"/>
  <c r="S624" i="26"/>
  <c r="V624" i="26" s="1"/>
  <c r="S608" i="26"/>
  <c r="V608" i="26" s="1"/>
  <c r="S592" i="26"/>
  <c r="V592" i="26" s="1"/>
  <c r="S576" i="26"/>
  <c r="V576" i="26" s="1"/>
  <c r="S569" i="26"/>
  <c r="V569" i="26" s="1"/>
  <c r="S565" i="26"/>
  <c r="V565" i="26" s="1"/>
  <c r="S556" i="26"/>
  <c r="V556" i="26" s="1"/>
  <c r="S554" i="26"/>
  <c r="V554" i="26" s="1"/>
  <c r="S552" i="26"/>
  <c r="V552" i="26" s="1"/>
  <c r="S537" i="26"/>
  <c r="V537" i="26" s="1"/>
  <c r="S533" i="26"/>
  <c r="V533" i="26" s="1"/>
  <c r="S524" i="26"/>
  <c r="V524" i="26" s="1"/>
  <c r="S522" i="26"/>
  <c r="V522" i="26" s="1"/>
  <c r="S520" i="26"/>
  <c r="V520" i="26" s="1"/>
  <c r="S505" i="26"/>
  <c r="V505" i="26" s="1"/>
  <c r="S501" i="26"/>
  <c r="V501" i="26" s="1"/>
  <c r="S492" i="26"/>
  <c r="V492" i="26" s="1"/>
  <c r="S490" i="26"/>
  <c r="V490" i="26" s="1"/>
  <c r="S488" i="26"/>
  <c r="V488" i="26" s="1"/>
  <c r="S473" i="26"/>
  <c r="V473" i="26" s="1"/>
  <c r="S469" i="26"/>
  <c r="V469" i="26" s="1"/>
  <c r="S460" i="26"/>
  <c r="V460" i="26" s="1"/>
  <c r="S458" i="26"/>
  <c r="V458" i="26" s="1"/>
  <c r="S456" i="26"/>
  <c r="V456" i="26" s="1"/>
  <c r="S441" i="26"/>
  <c r="V441" i="26" s="1"/>
  <c r="S437" i="26"/>
  <c r="V437" i="26" s="1"/>
  <c r="S417" i="26"/>
  <c r="V417" i="26" s="1"/>
  <c r="S401" i="26"/>
  <c r="V401" i="26" s="1"/>
  <c r="S193" i="26"/>
  <c r="V193" i="26" s="1"/>
  <c r="S188" i="26"/>
  <c r="V188" i="26" s="1"/>
  <c r="S185" i="26"/>
  <c r="V185" i="26" s="1"/>
  <c r="S180" i="26"/>
  <c r="V180" i="26" s="1"/>
  <c r="S177" i="26"/>
  <c r="V177" i="26" s="1"/>
  <c r="S172" i="26"/>
  <c r="V172" i="26" s="1"/>
  <c r="S169" i="26"/>
  <c r="V169" i="26" s="1"/>
  <c r="S164" i="26"/>
  <c r="V164" i="26" s="1"/>
  <c r="S161" i="26"/>
  <c r="V161" i="26" s="1"/>
  <c r="S156" i="26"/>
  <c r="V156" i="26" s="1"/>
  <c r="S153" i="26"/>
  <c r="V153" i="26" s="1"/>
  <c r="S148" i="26"/>
  <c r="V148" i="26" s="1"/>
  <c r="S145" i="26"/>
  <c r="V145" i="26" s="1"/>
  <c r="S140" i="26"/>
  <c r="V140" i="26" s="1"/>
  <c r="S137" i="26"/>
  <c r="V137" i="26" s="1"/>
  <c r="S132" i="26"/>
  <c r="S129" i="26"/>
  <c r="V129" i="26" s="1"/>
  <c r="S124" i="26"/>
  <c r="V124" i="26" s="1"/>
  <c r="S121" i="26"/>
  <c r="V121" i="26" s="1"/>
  <c r="S116" i="26"/>
  <c r="S113" i="26"/>
  <c r="V113" i="26" s="1"/>
  <c r="S109" i="26"/>
  <c r="V109" i="26" s="1"/>
  <c r="S105" i="26"/>
  <c r="S101" i="26"/>
  <c r="S97" i="26"/>
  <c r="S93" i="26"/>
  <c r="S89" i="26"/>
  <c r="S85" i="26"/>
  <c r="S81" i="26"/>
  <c r="S77" i="26"/>
  <c r="S73" i="26"/>
  <c r="S69" i="26"/>
  <c r="S65" i="26"/>
  <c r="S61" i="26"/>
  <c r="S57" i="26"/>
  <c r="S53" i="26"/>
  <c r="S49" i="26"/>
  <c r="S45" i="26"/>
  <c r="S41" i="26"/>
  <c r="S37" i="26"/>
  <c r="S25" i="26"/>
  <c r="S13" i="26"/>
  <c r="D9" i="26"/>
  <c r="H7" i="26" s="1"/>
  <c r="L23" i="26" s="1"/>
  <c r="S5" i="26"/>
  <c r="S1" i="26"/>
  <c r="S126" i="26"/>
  <c r="V126" i="26" s="1"/>
  <c r="S110" i="26"/>
  <c r="S106" i="26"/>
  <c r="S98" i="26"/>
  <c r="S94" i="26"/>
  <c r="S86" i="26"/>
  <c r="S82" i="26"/>
  <c r="S78" i="26"/>
  <c r="S62" i="26"/>
  <c r="S54" i="26"/>
  <c r="S50" i="26"/>
  <c r="S46" i="26"/>
  <c r="S42" i="26"/>
  <c r="S38" i="26"/>
  <c r="S32" i="26"/>
  <c r="S26" i="26"/>
  <c r="S22" i="26"/>
  <c r="S17" i="26"/>
  <c r="S15" i="26"/>
  <c r="S9" i="26"/>
  <c r="S8" i="26"/>
  <c r="S6" i="26"/>
  <c r="S646" i="26"/>
  <c r="V646" i="26" s="1"/>
  <c r="S632" i="26"/>
  <c r="V632" i="26" s="1"/>
  <c r="S600" i="26"/>
  <c r="V600" i="26" s="1"/>
  <c r="S584" i="26"/>
  <c r="V584" i="26" s="1"/>
  <c r="S570" i="26"/>
  <c r="V570" i="26" s="1"/>
  <c r="S568" i="26"/>
  <c r="V568" i="26" s="1"/>
  <c r="S538" i="26"/>
  <c r="V538" i="26" s="1"/>
  <c r="S517" i="26"/>
  <c r="V517" i="26" s="1"/>
  <c r="S506" i="26"/>
  <c r="V506" i="26" s="1"/>
  <c r="S504" i="26"/>
  <c r="V504" i="26" s="1"/>
  <c r="S474" i="26"/>
  <c r="V474" i="26" s="1"/>
  <c r="S472" i="26"/>
  <c r="V472" i="26" s="1"/>
  <c r="S444" i="26"/>
  <c r="V444" i="26" s="1"/>
  <c r="S440" i="26"/>
  <c r="V440" i="26" s="1"/>
  <c r="S425" i="26"/>
  <c r="V425" i="26" s="1"/>
  <c r="S192" i="26"/>
  <c r="V192" i="26" s="1"/>
  <c r="S189" i="26"/>
  <c r="V189" i="26" s="1"/>
  <c r="S184" i="26"/>
  <c r="V184" i="26" s="1"/>
  <c r="S181" i="26"/>
  <c r="V181" i="26" s="1"/>
  <c r="S176" i="26"/>
  <c r="V176" i="26" s="1"/>
  <c r="S173" i="26"/>
  <c r="V173" i="26" s="1"/>
  <c r="S168" i="26"/>
  <c r="V168" i="26" s="1"/>
  <c r="S165" i="26"/>
  <c r="V165" i="26" s="1"/>
  <c r="S160" i="26"/>
  <c r="V160" i="26" s="1"/>
  <c r="S157" i="26"/>
  <c r="V157" i="26" s="1"/>
  <c r="S144" i="26"/>
  <c r="V144" i="26" s="1"/>
  <c r="S141" i="26"/>
  <c r="V141" i="26" s="1"/>
  <c r="S117" i="26"/>
  <c r="S115" i="26"/>
  <c r="S95" i="26"/>
  <c r="S91" i="26"/>
  <c r="S87" i="26"/>
  <c r="S83" i="26"/>
  <c r="S79" i="26"/>
  <c r="S75" i="26"/>
  <c r="S71" i="26"/>
  <c r="S55" i="26"/>
  <c r="S51" i="26"/>
  <c r="S43" i="26"/>
  <c r="S39" i="26"/>
  <c r="S35" i="26"/>
  <c r="S33" i="26"/>
  <c r="S29" i="26"/>
  <c r="T1100" i="26"/>
  <c r="T1096" i="26"/>
  <c r="T1101" i="26"/>
  <c r="T1097" i="26"/>
  <c r="T1093" i="26"/>
  <c r="T1089" i="26"/>
  <c r="T1085" i="26"/>
  <c r="T1081" i="26"/>
  <c r="T1077" i="26"/>
  <c r="T1073" i="26"/>
  <c r="T1069" i="26"/>
  <c r="T1065" i="26"/>
  <c r="T1061" i="26"/>
  <c r="T1057" i="26"/>
  <c r="T1053" i="26"/>
  <c r="T1049" i="26"/>
  <c r="T1045" i="26"/>
  <c r="T1091" i="26"/>
  <c r="T1083" i="26"/>
  <c r="T1075" i="26"/>
  <c r="T1067" i="26"/>
  <c r="T1059" i="26"/>
  <c r="T1051" i="26"/>
  <c r="T1090" i="26"/>
  <c r="T1088" i="26"/>
  <c r="T1082" i="26"/>
  <c r="T1080" i="26"/>
  <c r="T1074" i="26"/>
  <c r="T1072" i="26"/>
  <c r="T1066" i="26"/>
  <c r="T1064" i="26"/>
  <c r="T1058" i="26"/>
  <c r="T1056" i="26"/>
  <c r="T1050" i="26"/>
  <c r="T1048" i="26"/>
  <c r="T1041" i="26"/>
  <c r="T1037" i="26"/>
  <c r="T1033" i="26"/>
  <c r="T1029" i="26"/>
  <c r="T1025" i="26"/>
  <c r="T1021" i="26"/>
  <c r="T1017" i="26"/>
  <c r="T1013" i="26"/>
  <c r="T1009" i="26"/>
  <c r="T1005" i="26"/>
  <c r="T1001" i="26"/>
  <c r="T997" i="26"/>
  <c r="T993" i="26"/>
  <c r="T989" i="26"/>
  <c r="T985" i="26"/>
  <c r="T981" i="26"/>
  <c r="T977" i="26"/>
  <c r="T1094" i="26"/>
  <c r="T1079" i="26"/>
  <c r="T1078" i="26"/>
  <c r="T1063" i="26"/>
  <c r="T1062" i="26"/>
  <c r="T1047" i="26"/>
  <c r="T1046" i="26"/>
  <c r="T1042" i="26"/>
  <c r="T1040" i="26"/>
  <c r="T1034" i="26"/>
  <c r="T1032" i="26"/>
  <c r="T1026" i="26"/>
  <c r="T1024" i="26"/>
  <c r="T1018" i="26"/>
  <c r="T1016" i="26"/>
  <c r="T1010" i="26"/>
  <c r="T1008" i="26"/>
  <c r="T1068" i="26"/>
  <c r="T1043" i="26"/>
  <c r="T1039" i="26"/>
  <c r="T1038" i="26"/>
  <c r="T1027" i="26"/>
  <c r="T1023" i="26"/>
  <c r="T1022" i="26"/>
  <c r="T1099" i="26"/>
  <c r="T1076" i="26"/>
  <c r="T1071" i="26"/>
  <c r="T1070" i="26"/>
  <c r="T1044" i="26"/>
  <c r="T1028" i="26"/>
  <c r="T1012" i="26"/>
  <c r="T999" i="26"/>
  <c r="T991" i="26"/>
  <c r="T983" i="26"/>
  <c r="T974" i="26"/>
  <c r="T970" i="26"/>
  <c r="T966" i="26"/>
  <c r="T962" i="26"/>
  <c r="T958" i="26"/>
  <c r="T954" i="26"/>
  <c r="T950" i="26"/>
  <c r="T946" i="26"/>
  <c r="T942" i="26"/>
  <c r="T938" i="26"/>
  <c r="T934" i="26"/>
  <c r="T930" i="26"/>
  <c r="T926" i="26"/>
  <c r="T1095" i="26"/>
  <c r="T1084" i="26"/>
  <c r="T1060" i="26"/>
  <c r="T1055" i="26"/>
  <c r="T1014" i="26"/>
  <c r="T1002" i="26"/>
  <c r="T994" i="26"/>
  <c r="T986" i="26"/>
  <c r="T978" i="26"/>
  <c r="T971" i="26"/>
  <c r="T969" i="26"/>
  <c r="T963" i="26"/>
  <c r="T961" i="26"/>
  <c r="T955" i="26"/>
  <c r="T1098" i="26"/>
  <c r="T1054" i="26"/>
  <c r="T1036" i="26"/>
  <c r="T1035" i="26"/>
  <c r="T1031" i="26"/>
  <c r="T1004" i="26"/>
  <c r="T1003" i="26"/>
  <c r="T996" i="26"/>
  <c r="T995" i="26"/>
  <c r="T988" i="26"/>
  <c r="T987" i="26"/>
  <c r="T980" i="26"/>
  <c r="T979" i="26"/>
  <c r="T972" i="26"/>
  <c r="T964" i="26"/>
  <c r="T956" i="26"/>
  <c r="T948" i="26"/>
  <c r="T940" i="26"/>
  <c r="T932" i="26"/>
  <c r="T924" i="26"/>
  <c r="T922" i="26"/>
  <c r="T918" i="26"/>
  <c r="T914" i="26"/>
  <c r="T910" i="26"/>
  <c r="T906" i="26"/>
  <c r="T902" i="26"/>
  <c r="T898" i="26"/>
  <c r="T894" i="26"/>
  <c r="T890" i="26"/>
  <c r="T886" i="26"/>
  <c r="T882" i="26"/>
  <c r="T878" i="26"/>
  <c r="T874" i="26"/>
  <c r="T870" i="26"/>
  <c r="T866" i="26"/>
  <c r="T862" i="26"/>
  <c r="T858" i="26"/>
  <c r="T1087" i="26"/>
  <c r="T1006" i="26"/>
  <c r="T990" i="26"/>
  <c r="T968" i="26"/>
  <c r="T967" i="26"/>
  <c r="T953" i="26"/>
  <c r="T952" i="26"/>
  <c r="T945" i="26"/>
  <c r="T944" i="26"/>
  <c r="T937" i="26"/>
  <c r="T936" i="26"/>
  <c r="T929" i="26"/>
  <c r="T928" i="26"/>
  <c r="T919" i="26"/>
  <c r="T917" i="26"/>
  <c r="T911" i="26"/>
  <c r="T909" i="26"/>
  <c r="T903" i="26"/>
  <c r="T901" i="26"/>
  <c r="T895" i="26"/>
  <c r="T893" i="26"/>
  <c r="T887" i="26"/>
  <c r="T885" i="26"/>
  <c r="T879" i="26"/>
  <c r="T877" i="26"/>
  <c r="T871" i="26"/>
  <c r="T869" i="26"/>
  <c r="T863" i="26"/>
  <c r="T861" i="26"/>
  <c r="T855" i="26"/>
  <c r="T851" i="26"/>
  <c r="T847" i="26"/>
  <c r="T1030" i="26"/>
  <c r="T1020" i="26"/>
  <c r="T992" i="26"/>
  <c r="T976" i="26"/>
  <c r="T965" i="26"/>
  <c r="T949" i="26"/>
  <c r="T941" i="26"/>
  <c r="T933" i="26"/>
  <c r="T925" i="26"/>
  <c r="T920" i="26"/>
  <c r="T912" i="26"/>
  <c r="T904" i="26"/>
  <c r="T896" i="26"/>
  <c r="T888" i="26"/>
  <c r="T880" i="26"/>
  <c r="T872" i="26"/>
  <c r="T864" i="26"/>
  <c r="T856" i="26"/>
  <c r="T854" i="26"/>
  <c r="T850" i="26"/>
  <c r="T846" i="26"/>
  <c r="T842" i="26"/>
  <c r="T838" i="26"/>
  <c r="T834" i="26"/>
  <c r="T830" i="26"/>
  <c r="T826" i="26"/>
  <c r="T822" i="26"/>
  <c r="T818" i="26"/>
  <c r="T814" i="26"/>
  <c r="T810" i="26"/>
  <c r="T806" i="26"/>
  <c r="T802" i="26"/>
  <c r="T798" i="26"/>
  <c r="T794" i="26"/>
  <c r="T790" i="26"/>
  <c r="T786" i="26"/>
  <c r="T782" i="26"/>
  <c r="T778" i="26"/>
  <c r="T774" i="26"/>
  <c r="T1092" i="26"/>
  <c r="T1007" i="26"/>
  <c r="T998" i="26"/>
  <c r="T975" i="26"/>
  <c r="T947" i="26"/>
  <c r="T931" i="26"/>
  <c r="T916" i="26"/>
  <c r="T915" i="26"/>
  <c r="T900" i="26"/>
  <c r="T899" i="26"/>
  <c r="T884" i="26"/>
  <c r="T883" i="26"/>
  <c r="T868" i="26"/>
  <c r="T867" i="26"/>
  <c r="T843" i="26"/>
  <c r="T841" i="26"/>
  <c r="T835" i="26"/>
  <c r="T833" i="26"/>
  <c r="T827" i="26"/>
  <c r="T825" i="26"/>
  <c r="T819" i="26"/>
  <c r="T817" i="26"/>
  <c r="T811" i="26"/>
  <c r="T809" i="26"/>
  <c r="T803" i="26"/>
  <c r="T801" i="26"/>
  <c r="T795" i="26"/>
  <c r="T793" i="26"/>
  <c r="T787" i="26"/>
  <c r="T785" i="26"/>
  <c r="T779" i="26"/>
  <c r="T777" i="26"/>
  <c r="T771" i="26"/>
  <c r="T767" i="26"/>
  <c r="T763" i="26"/>
  <c r="T759" i="26"/>
  <c r="T755" i="26"/>
  <c r="T751" i="26"/>
  <c r="T747" i="26"/>
  <c r="T743" i="26"/>
  <c r="T1019" i="26"/>
  <c r="T1000" i="26"/>
  <c r="T973" i="26"/>
  <c r="T943" i="26"/>
  <c r="T927" i="26"/>
  <c r="T921" i="26"/>
  <c r="T905" i="26"/>
  <c r="T889" i="26"/>
  <c r="T873" i="26"/>
  <c r="T857" i="26"/>
  <c r="T840" i="26"/>
  <c r="T832" i="26"/>
  <c r="T824" i="26"/>
  <c r="T816" i="26"/>
  <c r="T808" i="26"/>
  <c r="T800" i="26"/>
  <c r="T792" i="26"/>
  <c r="T784" i="26"/>
  <c r="T776" i="26"/>
  <c r="T772" i="26"/>
  <c r="T768" i="26"/>
  <c r="T764" i="26"/>
  <c r="T760" i="26"/>
  <c r="T756" i="26"/>
  <c r="T752" i="26"/>
  <c r="T748" i="26"/>
  <c r="T744" i="26"/>
  <c r="T740" i="26"/>
  <c r="T736" i="26"/>
  <c r="T732" i="26"/>
  <c r="T728" i="26"/>
  <c r="T724" i="26"/>
  <c r="T720" i="26"/>
  <c r="T716" i="26"/>
  <c r="T712" i="26"/>
  <c r="T708" i="26"/>
  <c r="T704" i="26"/>
  <c r="T700" i="26"/>
  <c r="T696" i="26"/>
  <c r="T692" i="26"/>
  <c r="T688" i="26"/>
  <c r="T684" i="26"/>
  <c r="T680" i="26"/>
  <c r="T676" i="26"/>
  <c r="T672" i="26"/>
  <c r="T668" i="26"/>
  <c r="T664" i="26"/>
  <c r="T660" i="26"/>
  <c r="T656" i="26"/>
  <c r="T652" i="26"/>
  <c r="T648" i="26"/>
  <c r="T644" i="26"/>
  <c r="T640" i="26"/>
  <c r="T982" i="26"/>
  <c r="T908" i="26"/>
  <c r="T876" i="26"/>
  <c r="T837" i="26"/>
  <c r="T836" i="26"/>
  <c r="T821" i="26"/>
  <c r="T820" i="26"/>
  <c r="T805" i="26"/>
  <c r="T804" i="26"/>
  <c r="T789" i="26"/>
  <c r="T788" i="26"/>
  <c r="T773" i="26"/>
  <c r="T769" i="26"/>
  <c r="T765" i="26"/>
  <c r="T761" i="26"/>
  <c r="T757" i="26"/>
  <c r="T753" i="26"/>
  <c r="T749" i="26"/>
  <c r="T745" i="26"/>
  <c r="T737" i="26"/>
  <c r="T735" i="26"/>
  <c r="T729" i="26"/>
  <c r="T727" i="26"/>
  <c r="T721" i="26"/>
  <c r="T719" i="26"/>
  <c r="T713" i="26"/>
  <c r="T711" i="26"/>
  <c r="T705" i="26"/>
  <c r="T703" i="26"/>
  <c r="T697" i="26"/>
  <c r="T695" i="26"/>
  <c r="T689" i="26"/>
  <c r="T687" i="26"/>
  <c r="T681" i="26"/>
  <c r="T679" i="26"/>
  <c r="T673" i="26"/>
  <c r="T671" i="26"/>
  <c r="T665" i="26"/>
  <c r="T663" i="26"/>
  <c r="T657" i="26"/>
  <c r="T655" i="26"/>
  <c r="T649" i="26"/>
  <c r="T647" i="26"/>
  <c r="T641" i="26"/>
  <c r="T639" i="26"/>
  <c r="T635" i="26"/>
  <c r="T631" i="26"/>
  <c r="T627" i="26"/>
  <c r="T623" i="26"/>
  <c r="T619" i="26"/>
  <c r="T615" i="26"/>
  <c r="T611" i="26"/>
  <c r="T607" i="26"/>
  <c r="T603" i="26"/>
  <c r="T599" i="26"/>
  <c r="T595" i="26"/>
  <c r="T591" i="26"/>
  <c r="T587" i="26"/>
  <c r="T583" i="26"/>
  <c r="T579" i="26"/>
  <c r="T575" i="26"/>
  <c r="T571" i="26"/>
  <c r="T1086" i="26"/>
  <c r="T1052" i="26"/>
  <c r="T1015" i="26"/>
  <c r="T984" i="26"/>
  <c r="T960" i="26"/>
  <c r="T935" i="26"/>
  <c r="T923" i="26"/>
  <c r="T897" i="26"/>
  <c r="T891" i="26"/>
  <c r="T865" i="26"/>
  <c r="T859" i="26"/>
  <c r="T852" i="26"/>
  <c r="T848" i="26"/>
  <c r="T839" i="26"/>
  <c r="T823" i="26"/>
  <c r="T807" i="26"/>
  <c r="T791" i="26"/>
  <c r="T775" i="26"/>
  <c r="T770" i="26"/>
  <c r="T766" i="26"/>
  <c r="T762" i="26"/>
  <c r="T758" i="26"/>
  <c r="T754" i="26"/>
  <c r="T750" i="26"/>
  <c r="T746" i="26"/>
  <c r="T742" i="26"/>
  <c r="T734" i="26"/>
  <c r="T726" i="26"/>
  <c r="T718" i="26"/>
  <c r="T710" i="26"/>
  <c r="T702" i="26"/>
  <c r="T694" i="26"/>
  <c r="T686" i="26"/>
  <c r="T678" i="26"/>
  <c r="T670" i="26"/>
  <c r="T662" i="26"/>
  <c r="T654" i="26"/>
  <c r="T646" i="26"/>
  <c r="T636" i="26"/>
  <c r="T632" i="26"/>
  <c r="T628" i="26"/>
  <c r="T624" i="26"/>
  <c r="T620" i="26"/>
  <c r="T616" i="26"/>
  <c r="T612" i="26"/>
  <c r="T608" i="26"/>
  <c r="T604" i="26"/>
  <c r="T600" i="26"/>
  <c r="T596" i="26"/>
  <c r="T592" i="26"/>
  <c r="T588" i="26"/>
  <c r="T584" i="26"/>
  <c r="T580" i="26"/>
  <c r="T576" i="26"/>
  <c r="T572" i="26"/>
  <c r="T568" i="26"/>
  <c r="T564" i="26"/>
  <c r="T560" i="26"/>
  <c r="T556" i="26"/>
  <c r="T552" i="26"/>
  <c r="T548" i="26"/>
  <c r="T544" i="26"/>
  <c r="T540" i="26"/>
  <c r="T536" i="26"/>
  <c r="T532" i="26"/>
  <c r="T528" i="26"/>
  <c r="T524" i="26"/>
  <c r="T520" i="26"/>
  <c r="T516" i="26"/>
  <c r="T512" i="26"/>
  <c r="T508" i="26"/>
  <c r="T504" i="26"/>
  <c r="T500" i="26"/>
  <c r="T496" i="26"/>
  <c r="T492" i="26"/>
  <c r="T488" i="26"/>
  <c r="T484" i="26"/>
  <c r="T480" i="26"/>
  <c r="T476" i="26"/>
  <c r="T472" i="26"/>
  <c r="T468" i="26"/>
  <c r="T464" i="26"/>
  <c r="T460" i="26"/>
  <c r="T456" i="26"/>
  <c r="T452" i="26"/>
  <c r="T448" i="26"/>
  <c r="T444" i="26"/>
  <c r="T440" i="26"/>
  <c r="T436" i="26"/>
  <c r="T432" i="26"/>
  <c r="T428" i="26"/>
  <c r="T424" i="26"/>
  <c r="T420" i="26"/>
  <c r="T416" i="26"/>
  <c r="T412" i="26"/>
  <c r="T408" i="26"/>
  <c r="T404" i="26"/>
  <c r="T400" i="26"/>
  <c r="T957" i="26"/>
  <c r="T892" i="26"/>
  <c r="T875" i="26"/>
  <c r="T829" i="26"/>
  <c r="T797" i="26"/>
  <c r="T731" i="26"/>
  <c r="T730" i="26"/>
  <c r="T1011" i="26"/>
  <c r="T951" i="26"/>
  <c r="T881" i="26"/>
  <c r="T853" i="26"/>
  <c r="T849" i="26"/>
  <c r="T845" i="26"/>
  <c r="T831" i="26"/>
  <c r="T828" i="26"/>
  <c r="T799" i="26"/>
  <c r="T796" i="26"/>
  <c r="T741" i="26"/>
  <c r="T725" i="26"/>
  <c r="T709" i="26"/>
  <c r="T693" i="26"/>
  <c r="T677" i="26"/>
  <c r="T661" i="26"/>
  <c r="T645" i="26"/>
  <c r="T637" i="26"/>
  <c r="T633" i="26"/>
  <c r="T629" i="26"/>
  <c r="T625" i="26"/>
  <c r="T621" i="26"/>
  <c r="T617" i="26"/>
  <c r="T613" i="26"/>
  <c r="T609" i="26"/>
  <c r="T605" i="26"/>
  <c r="T601" i="26"/>
  <c r="T597" i="26"/>
  <c r="T593" i="26"/>
  <c r="T589" i="26"/>
  <c r="T585" i="26"/>
  <c r="T581" i="26"/>
  <c r="T577" i="26"/>
  <c r="T573" i="26"/>
  <c r="T565" i="26"/>
  <c r="T563" i="26"/>
  <c r="T557" i="26"/>
  <c r="T555" i="26"/>
  <c r="T549" i="26"/>
  <c r="T547" i="26"/>
  <c r="T541" i="26"/>
  <c r="T539" i="26"/>
  <c r="T533" i="26"/>
  <c r="T531" i="26"/>
  <c r="T525" i="26"/>
  <c r="T523" i="26"/>
  <c r="T517" i="26"/>
  <c r="T515" i="26"/>
  <c r="T509" i="26"/>
  <c r="T507" i="26"/>
  <c r="T501" i="26"/>
  <c r="T499" i="26"/>
  <c r="T493" i="26"/>
  <c r="T491" i="26"/>
  <c r="T485" i="26"/>
  <c r="T483" i="26"/>
  <c r="T477" i="26"/>
  <c r="T475" i="26"/>
  <c r="T469" i="26"/>
  <c r="T467" i="26"/>
  <c r="T461" i="26"/>
  <c r="T459" i="26"/>
  <c r="T453" i="26"/>
  <c r="T451" i="26"/>
  <c r="T445" i="26"/>
  <c r="T443" i="26"/>
  <c r="T437" i="26"/>
  <c r="T435" i="26"/>
  <c r="T913" i="26"/>
  <c r="T812" i="26"/>
  <c r="T781" i="26"/>
  <c r="T739" i="26"/>
  <c r="T715" i="26"/>
  <c r="T706" i="26"/>
  <c r="T699" i="26"/>
  <c r="T690" i="26"/>
  <c r="T683" i="26"/>
  <c r="T674" i="26"/>
  <c r="T667" i="26"/>
  <c r="T658" i="26"/>
  <c r="T651" i="26"/>
  <c r="T642" i="26"/>
  <c r="T638" i="26"/>
  <c r="T634" i="26"/>
  <c r="T630" i="26"/>
  <c r="T626" i="26"/>
  <c r="T622" i="26"/>
  <c r="T618" i="26"/>
  <c r="T614" i="26"/>
  <c r="T610" i="26"/>
  <c r="T606" i="26"/>
  <c r="T602" i="26"/>
  <c r="T598" i="26"/>
  <c r="T594" i="26"/>
  <c r="T590" i="26"/>
  <c r="T586" i="26"/>
  <c r="T582" i="26"/>
  <c r="T578" i="26"/>
  <c r="T574" i="26"/>
  <c r="T570" i="26"/>
  <c r="T569" i="26"/>
  <c r="T558" i="26"/>
  <c r="T554" i="26"/>
  <c r="T553" i="26"/>
  <c r="T542" i="26"/>
  <c r="T538" i="26"/>
  <c r="T537" i="26"/>
  <c r="T526" i="26"/>
  <c r="T522" i="26"/>
  <c r="T521" i="26"/>
  <c r="T510" i="26"/>
  <c r="T506" i="26"/>
  <c r="T505" i="26"/>
  <c r="T494" i="26"/>
  <c r="T490" i="26"/>
  <c r="T489" i="26"/>
  <c r="T478" i="26"/>
  <c r="T474" i="26"/>
  <c r="T473" i="26"/>
  <c r="T462" i="26"/>
  <c r="T458" i="26"/>
  <c r="T457" i="26"/>
  <c r="T446" i="26"/>
  <c r="T442" i="26"/>
  <c r="T441" i="26"/>
  <c r="T426" i="26"/>
  <c r="T418" i="26"/>
  <c r="T410" i="26"/>
  <c r="T402" i="26"/>
  <c r="T397" i="26"/>
  <c r="T393" i="26"/>
  <c r="T389" i="26"/>
  <c r="T385" i="26"/>
  <c r="T381" i="26"/>
  <c r="T377" i="26"/>
  <c r="T373" i="26"/>
  <c r="T369" i="26"/>
  <c r="T365" i="26"/>
  <c r="T361" i="26"/>
  <c r="T357" i="26"/>
  <c r="T353" i="26"/>
  <c r="T349" i="26"/>
  <c r="T345" i="26"/>
  <c r="T341" i="26"/>
  <c r="T337" i="26"/>
  <c r="T333" i="26"/>
  <c r="T329" i="26"/>
  <c r="T325" i="26"/>
  <c r="T321" i="26"/>
  <c r="T317" i="26"/>
  <c r="T313" i="26"/>
  <c r="T309" i="26"/>
  <c r="T305" i="26"/>
  <c r="T301" i="26"/>
  <c r="T297" i="26"/>
  <c r="T293" i="26"/>
  <c r="T289" i="26"/>
  <c r="T285" i="26"/>
  <c r="T281" i="26"/>
  <c r="T277" i="26"/>
  <c r="T273" i="26"/>
  <c r="T269" i="26"/>
  <c r="T265" i="26"/>
  <c r="T261" i="26"/>
  <c r="T257" i="26"/>
  <c r="T253" i="26"/>
  <c r="T249" i="26"/>
  <c r="T245" i="26"/>
  <c r="T241" i="26"/>
  <c r="T237" i="26"/>
  <c r="T233" i="26"/>
  <c r="T229" i="26"/>
  <c r="T225" i="26"/>
  <c r="T221" i="26"/>
  <c r="T217" i="26"/>
  <c r="T213" i="26"/>
  <c r="T209" i="26"/>
  <c r="T205" i="26"/>
  <c r="T201" i="26"/>
  <c r="T197" i="26"/>
  <c r="T907" i="26"/>
  <c r="T815" i="26"/>
  <c r="T738" i="26"/>
  <c r="T714" i="26"/>
  <c r="T698" i="26"/>
  <c r="T682" i="26"/>
  <c r="T666" i="26"/>
  <c r="T650" i="26"/>
  <c r="T559" i="26"/>
  <c r="T543" i="26"/>
  <c r="T527" i="26"/>
  <c r="T511" i="26"/>
  <c r="T495" i="26"/>
  <c r="T479" i="26"/>
  <c r="T463" i="26"/>
  <c r="T447" i="26"/>
  <c r="T429" i="26"/>
  <c r="T427" i="26"/>
  <c r="T421" i="26"/>
  <c r="T419" i="26"/>
  <c r="T413" i="26"/>
  <c r="T411" i="26"/>
  <c r="T405" i="26"/>
  <c r="T403" i="26"/>
  <c r="T396" i="26"/>
  <c r="T392" i="26"/>
  <c r="T388" i="26"/>
  <c r="T384" i="26"/>
  <c r="T380" i="26"/>
  <c r="T376" i="26"/>
  <c r="T372" i="26"/>
  <c r="T368" i="26"/>
  <c r="T364" i="26"/>
  <c r="T360" i="26"/>
  <c r="T356" i="26"/>
  <c r="T352" i="26"/>
  <c r="T348" i="26"/>
  <c r="T344" i="26"/>
  <c r="T340" i="26"/>
  <c r="T336" i="26"/>
  <c r="T332" i="26"/>
  <c r="T328" i="26"/>
  <c r="T324" i="26"/>
  <c r="T320" i="26"/>
  <c r="T316" i="26"/>
  <c r="T312" i="26"/>
  <c r="T308" i="26"/>
  <c r="T304" i="26"/>
  <c r="T300" i="26"/>
  <c r="T296" i="26"/>
  <c r="T292" i="26"/>
  <c r="T288" i="26"/>
  <c r="T284" i="26"/>
  <c r="T280" i="26"/>
  <c r="T276" i="26"/>
  <c r="T272" i="26"/>
  <c r="T268" i="26"/>
  <c r="T264" i="26"/>
  <c r="T260" i="26"/>
  <c r="T256" i="26"/>
  <c r="T252" i="26"/>
  <c r="T248" i="26"/>
  <c r="T244" i="26"/>
  <c r="T240" i="26"/>
  <c r="T236" i="26"/>
  <c r="T232" i="26"/>
  <c r="T228" i="26"/>
  <c r="T224" i="26"/>
  <c r="T220" i="26"/>
  <c r="T216" i="26"/>
  <c r="T212" i="26"/>
  <c r="T208" i="26"/>
  <c r="T204" i="26"/>
  <c r="T200" i="26"/>
  <c r="T196" i="26"/>
  <c r="T192" i="26"/>
  <c r="T188" i="26"/>
  <c r="T184" i="26"/>
  <c r="T180" i="26"/>
  <c r="T176" i="26"/>
  <c r="T172" i="26"/>
  <c r="T168" i="26"/>
  <c r="T164" i="26"/>
  <c r="T160" i="26"/>
  <c r="T156" i="26"/>
  <c r="T152" i="26"/>
  <c r="T148" i="26"/>
  <c r="T144" i="26"/>
  <c r="T140" i="26"/>
  <c r="T136" i="26"/>
  <c r="T132" i="26"/>
  <c r="T128" i="26"/>
  <c r="T124" i="26"/>
  <c r="T120" i="26"/>
  <c r="T116" i="26"/>
  <c r="T959" i="26"/>
  <c r="T860" i="26"/>
  <c r="T844" i="26"/>
  <c r="T701" i="26"/>
  <c r="T675" i="26"/>
  <c r="T567" i="26"/>
  <c r="T566" i="26"/>
  <c r="T562" i="26"/>
  <c r="T535" i="26"/>
  <c r="T534" i="26"/>
  <c r="T530" i="26"/>
  <c r="T503" i="26"/>
  <c r="T502" i="26"/>
  <c r="T498" i="26"/>
  <c r="T471" i="26"/>
  <c r="T470" i="26"/>
  <c r="T466" i="26"/>
  <c r="T439" i="26"/>
  <c r="T438" i="26"/>
  <c r="T434" i="26"/>
  <c r="T425" i="26"/>
  <c r="T409" i="26"/>
  <c r="T189" i="26"/>
  <c r="T187" i="26"/>
  <c r="T181" i="26"/>
  <c r="T179" i="26"/>
  <c r="T173" i="26"/>
  <c r="T171" i="26"/>
  <c r="T165" i="26"/>
  <c r="T163" i="26"/>
  <c r="T157" i="26"/>
  <c r="T155" i="26"/>
  <c r="T149" i="26"/>
  <c r="T147" i="26"/>
  <c r="T141" i="26"/>
  <c r="T139" i="26"/>
  <c r="T133" i="26"/>
  <c r="T131" i="26"/>
  <c r="T125" i="26"/>
  <c r="T123" i="26"/>
  <c r="T117" i="26"/>
  <c r="T115" i="26"/>
  <c r="T111" i="26"/>
  <c r="T107" i="26"/>
  <c r="T95" i="26"/>
  <c r="T87" i="26"/>
  <c r="T83" i="26"/>
  <c r="T79" i="26"/>
  <c r="T71" i="26"/>
  <c r="T63" i="26"/>
  <c r="T55" i="26"/>
  <c r="T47" i="26"/>
  <c r="T43" i="26"/>
  <c r="T39" i="26"/>
  <c r="T33" i="26"/>
  <c r="T31" i="26"/>
  <c r="T29" i="26"/>
  <c r="T20" i="26"/>
  <c r="T19" i="26"/>
  <c r="T10" i="26"/>
  <c r="T3" i="26"/>
  <c r="T722" i="26"/>
  <c r="T653" i="26"/>
  <c r="T545" i="26"/>
  <c r="T513" i="26"/>
  <c r="T481" i="26"/>
  <c r="T449" i="26"/>
  <c r="T431" i="26"/>
  <c r="T430" i="26"/>
  <c r="T415" i="26"/>
  <c r="T322" i="26"/>
  <c r="T318" i="26"/>
  <c r="T314" i="26"/>
  <c r="T310" i="26"/>
  <c r="T306" i="26"/>
  <c r="T302" i="26"/>
  <c r="T298" i="26"/>
  <c r="T294" i="26"/>
  <c r="T290" i="26"/>
  <c r="T286" i="26"/>
  <c r="T282" i="26"/>
  <c r="T242" i="26"/>
  <c r="T238" i="26"/>
  <c r="T234" i="26"/>
  <c r="T226" i="26"/>
  <c r="T222" i="26"/>
  <c r="T214" i="26"/>
  <c r="T210" i="26"/>
  <c r="T206" i="26"/>
  <c r="T202" i="26"/>
  <c r="T198" i="26"/>
  <c r="T194" i="26"/>
  <c r="T154" i="26"/>
  <c r="T122" i="26"/>
  <c r="T92" i="26"/>
  <c r="T84" i="26"/>
  <c r="T80" i="26"/>
  <c r="T76" i="26"/>
  <c r="T72" i="26"/>
  <c r="T68" i="26"/>
  <c r="T56" i="26"/>
  <c r="T52" i="26"/>
  <c r="T48" i="26"/>
  <c r="T40" i="26"/>
  <c r="T36" i="26"/>
  <c r="T30" i="26"/>
  <c r="T27" i="26"/>
  <c r="T813" i="26"/>
  <c r="T733" i="26"/>
  <c r="T723" i="26"/>
  <c r="T685" i="26"/>
  <c r="T659" i="26"/>
  <c r="T561" i="26"/>
  <c r="T529" i="26"/>
  <c r="T497" i="26"/>
  <c r="T465" i="26"/>
  <c r="T433" i="26"/>
  <c r="T423" i="26"/>
  <c r="T422" i="26"/>
  <c r="T407" i="26"/>
  <c r="T406" i="26"/>
  <c r="T190" i="26"/>
  <c r="T182" i="26"/>
  <c r="T174" i="26"/>
  <c r="T166" i="26"/>
  <c r="T158" i="26"/>
  <c r="T150" i="26"/>
  <c r="T142" i="26"/>
  <c r="T134" i="26"/>
  <c r="T126" i="26"/>
  <c r="T118" i="26"/>
  <c r="T114" i="26"/>
  <c r="T110" i="26"/>
  <c r="T106" i="26"/>
  <c r="T102" i="26"/>
  <c r="T98" i="26"/>
  <c r="T94" i="26"/>
  <c r="T90" i="26"/>
  <c r="T86" i="26"/>
  <c r="T82" i="26"/>
  <c r="T78" i="26"/>
  <c r="T74" i="26"/>
  <c r="T70" i="26"/>
  <c r="T66" i="26"/>
  <c r="T62" i="26"/>
  <c r="T58" i="26"/>
  <c r="T54" i="26"/>
  <c r="T50" i="26"/>
  <c r="T46" i="26"/>
  <c r="T42" i="26"/>
  <c r="T38" i="26"/>
  <c r="T34" i="26"/>
  <c r="T32" i="26"/>
  <c r="T26" i="26"/>
  <c r="T22" i="26"/>
  <c r="T17" i="26"/>
  <c r="T15" i="26"/>
  <c r="T12" i="26"/>
  <c r="T9" i="26"/>
  <c r="T8" i="26"/>
  <c r="T6" i="26"/>
  <c r="T2" i="26"/>
  <c r="T103" i="26"/>
  <c r="T99" i="26"/>
  <c r="T91" i="26"/>
  <c r="T75" i="26"/>
  <c r="T67" i="26"/>
  <c r="T59" i="26"/>
  <c r="T51" i="26"/>
  <c r="T35" i="26"/>
  <c r="T23" i="26"/>
  <c r="T21" i="26"/>
  <c r="T18" i="26"/>
  <c r="T717" i="26"/>
  <c r="T691" i="26"/>
  <c r="T414" i="26"/>
  <c r="T398" i="26"/>
  <c r="T394" i="26"/>
  <c r="T390" i="26"/>
  <c r="T386" i="26"/>
  <c r="T382" i="26"/>
  <c r="T378" i="26"/>
  <c r="T374" i="26"/>
  <c r="T370" i="26"/>
  <c r="T366" i="26"/>
  <c r="T362" i="26"/>
  <c r="T358" i="26"/>
  <c r="T354" i="26"/>
  <c r="T350" i="26"/>
  <c r="T346" i="26"/>
  <c r="T342" i="26"/>
  <c r="T338" i="26"/>
  <c r="T334" i="26"/>
  <c r="T330" i="26"/>
  <c r="T326" i="26"/>
  <c r="T278" i="26"/>
  <c r="T274" i="26"/>
  <c r="T270" i="26"/>
  <c r="T266" i="26"/>
  <c r="T262" i="26"/>
  <c r="T258" i="26"/>
  <c r="T254" i="26"/>
  <c r="T250" i="26"/>
  <c r="T246" i="26"/>
  <c r="T230" i="26"/>
  <c r="T218" i="26"/>
  <c r="T186" i="26"/>
  <c r="T178" i="26"/>
  <c r="T170" i="26"/>
  <c r="T162" i="26"/>
  <c r="T146" i="26"/>
  <c r="T138" i="26"/>
  <c r="T130" i="26"/>
  <c r="T112" i="26"/>
  <c r="T108" i="26"/>
  <c r="T104" i="26"/>
  <c r="T100" i="26"/>
  <c r="T96" i="26"/>
  <c r="T88" i="26"/>
  <c r="T64" i="26"/>
  <c r="T60" i="26"/>
  <c r="T44" i="26"/>
  <c r="T28" i="26"/>
  <c r="S16" i="26"/>
  <c r="S21" i="26"/>
  <c r="S24" i="26"/>
  <c r="S28" i="26"/>
  <c r="T41" i="26"/>
  <c r="T49" i="26"/>
  <c r="T57" i="26"/>
  <c r="T65" i="26"/>
  <c r="T73" i="26"/>
  <c r="T81" i="26"/>
  <c r="T89" i="26"/>
  <c r="T97" i="26"/>
  <c r="T105" i="26"/>
  <c r="T113" i="26"/>
  <c r="T127" i="26"/>
  <c r="T143" i="26"/>
  <c r="T159" i="26"/>
  <c r="T175" i="26"/>
  <c r="T191" i="26"/>
  <c r="T450" i="26"/>
  <c r="T455" i="26"/>
  <c r="T482" i="26"/>
  <c r="T487" i="26"/>
  <c r="T514" i="26"/>
  <c r="T519" i="26"/>
  <c r="T546" i="26"/>
  <c r="T551" i="26"/>
  <c r="S596" i="26"/>
  <c r="V596" i="26" s="1"/>
  <c r="T707" i="26"/>
  <c r="S852" i="26"/>
  <c r="V852" i="26" s="1"/>
  <c r="T939" i="26"/>
  <c r="S580" i="26"/>
  <c r="V580" i="26" s="1"/>
  <c r="T669" i="26"/>
  <c r="E8" i="25"/>
  <c r="D10" i="25" s="1"/>
  <c r="V93" i="26" l="1"/>
  <c r="V125" i="26"/>
  <c r="V108" i="26"/>
  <c r="V115" i="26"/>
  <c r="V106" i="26"/>
  <c r="V116" i="26"/>
  <c r="V132" i="26"/>
  <c r="V107" i="26"/>
  <c r="V128" i="26"/>
  <c r="V112" i="26"/>
  <c r="V104" i="26"/>
  <c r="V103" i="26"/>
  <c r="V117" i="26"/>
  <c r="V110" i="26"/>
  <c r="V105" i="26"/>
  <c r="V111" i="26"/>
  <c r="V114" i="26"/>
  <c r="V123" i="26"/>
  <c r="V96" i="26"/>
  <c r="G21" i="26"/>
  <c r="U1101" i="26"/>
  <c r="W1101" i="26" s="1"/>
  <c r="U1097" i="26"/>
  <c r="W1097" i="26" s="1"/>
  <c r="U1098" i="26"/>
  <c r="W1098" i="26" s="1"/>
  <c r="U1094" i="26"/>
  <c r="W1094" i="26" s="1"/>
  <c r="U1090" i="26"/>
  <c r="W1090" i="26" s="1"/>
  <c r="U1086" i="26"/>
  <c r="W1086" i="26" s="1"/>
  <c r="U1082" i="26"/>
  <c r="W1082" i="26" s="1"/>
  <c r="U1078" i="26"/>
  <c r="W1078" i="26" s="1"/>
  <c r="U1074" i="26"/>
  <c r="W1074" i="26" s="1"/>
  <c r="U1070" i="26"/>
  <c r="W1070" i="26" s="1"/>
  <c r="U1066" i="26"/>
  <c r="W1066" i="26" s="1"/>
  <c r="U1062" i="26"/>
  <c r="W1062" i="26" s="1"/>
  <c r="U1058" i="26"/>
  <c r="W1058" i="26" s="1"/>
  <c r="U1054" i="26"/>
  <c r="W1054" i="26" s="1"/>
  <c r="U1050" i="26"/>
  <c r="W1050" i="26" s="1"/>
  <c r="U1046" i="26"/>
  <c r="W1046" i="26" s="1"/>
  <c r="U1088" i="26"/>
  <c r="W1088" i="26" s="1"/>
  <c r="U1080" i="26"/>
  <c r="W1080" i="26" s="1"/>
  <c r="U1072" i="26"/>
  <c r="W1072" i="26" s="1"/>
  <c r="U1064" i="26"/>
  <c r="W1064" i="26" s="1"/>
  <c r="U1056" i="26"/>
  <c r="W1056" i="26" s="1"/>
  <c r="U1093" i="26"/>
  <c r="W1093" i="26" s="1"/>
  <c r="U1087" i="26"/>
  <c r="W1087" i="26" s="1"/>
  <c r="U1085" i="26"/>
  <c r="W1085" i="26" s="1"/>
  <c r="U1079" i="26"/>
  <c r="W1079" i="26" s="1"/>
  <c r="U1077" i="26"/>
  <c r="W1077" i="26" s="1"/>
  <c r="U1071" i="26"/>
  <c r="W1071" i="26" s="1"/>
  <c r="U1069" i="26"/>
  <c r="W1069" i="26" s="1"/>
  <c r="U1063" i="26"/>
  <c r="W1063" i="26" s="1"/>
  <c r="U1061" i="26"/>
  <c r="W1061" i="26" s="1"/>
  <c r="U1055" i="26"/>
  <c r="W1055" i="26" s="1"/>
  <c r="U1053" i="26"/>
  <c r="W1053" i="26" s="1"/>
  <c r="U1047" i="26"/>
  <c r="W1047" i="26" s="1"/>
  <c r="U1045" i="26"/>
  <c r="W1045" i="26" s="1"/>
  <c r="U1042" i="26"/>
  <c r="W1042" i="26" s="1"/>
  <c r="U1038" i="26"/>
  <c r="W1038" i="26" s="1"/>
  <c r="U1034" i="26"/>
  <c r="W1034" i="26" s="1"/>
  <c r="U1030" i="26"/>
  <c r="W1030" i="26" s="1"/>
  <c r="U1026" i="26"/>
  <c r="W1026" i="26" s="1"/>
  <c r="U1022" i="26"/>
  <c r="W1022" i="26" s="1"/>
  <c r="U1018" i="26"/>
  <c r="W1018" i="26" s="1"/>
  <c r="U1014" i="26"/>
  <c r="W1014" i="26" s="1"/>
  <c r="U1010" i="26"/>
  <c r="W1010" i="26" s="1"/>
  <c r="U1006" i="26"/>
  <c r="W1006" i="26" s="1"/>
  <c r="U1002" i="26"/>
  <c r="W1002" i="26" s="1"/>
  <c r="U998" i="26"/>
  <c r="W998" i="26" s="1"/>
  <c r="U994" i="26"/>
  <c r="W994" i="26" s="1"/>
  <c r="U990" i="26"/>
  <c r="W990" i="26" s="1"/>
  <c r="U986" i="26"/>
  <c r="W986" i="26" s="1"/>
  <c r="U982" i="26"/>
  <c r="W982" i="26" s="1"/>
  <c r="U978" i="26"/>
  <c r="W978" i="26" s="1"/>
  <c r="U1099" i="26"/>
  <c r="W1099" i="26" s="1"/>
  <c r="U1095" i="26"/>
  <c r="W1095" i="26" s="1"/>
  <c r="U1084" i="26"/>
  <c r="W1084" i="26" s="1"/>
  <c r="U1083" i="26"/>
  <c r="W1083" i="26" s="1"/>
  <c r="U1068" i="26"/>
  <c r="W1068" i="26" s="1"/>
  <c r="U1067" i="26"/>
  <c r="W1067" i="26" s="1"/>
  <c r="U1052" i="26"/>
  <c r="W1052" i="26" s="1"/>
  <c r="U1051" i="26"/>
  <c r="W1051" i="26" s="1"/>
  <c r="U1049" i="26"/>
  <c r="W1049" i="26" s="1"/>
  <c r="U1048" i="26"/>
  <c r="W1048" i="26" s="1"/>
  <c r="U1039" i="26"/>
  <c r="W1039" i="26" s="1"/>
  <c r="U1037" i="26"/>
  <c r="W1037" i="26" s="1"/>
  <c r="U1031" i="26"/>
  <c r="W1031" i="26" s="1"/>
  <c r="U1029" i="26"/>
  <c r="W1029" i="26" s="1"/>
  <c r="U1023" i="26"/>
  <c r="W1023" i="26" s="1"/>
  <c r="U1021" i="26"/>
  <c r="W1021" i="26" s="1"/>
  <c r="U1015" i="26"/>
  <c r="W1015" i="26" s="1"/>
  <c r="U1013" i="26"/>
  <c r="W1013" i="26" s="1"/>
  <c r="U1007" i="26"/>
  <c r="W1007" i="26" s="1"/>
  <c r="U1092" i="26"/>
  <c r="W1092" i="26" s="1"/>
  <c r="U1091" i="26"/>
  <c r="W1091" i="26" s="1"/>
  <c r="U1065" i="26"/>
  <c r="W1065" i="26" s="1"/>
  <c r="U1060" i="26"/>
  <c r="W1060" i="26" s="1"/>
  <c r="U1059" i="26"/>
  <c r="W1059" i="26" s="1"/>
  <c r="U1041" i="26"/>
  <c r="W1041" i="26" s="1"/>
  <c r="U1040" i="26"/>
  <c r="W1040" i="26" s="1"/>
  <c r="U1036" i="26"/>
  <c r="W1036" i="26" s="1"/>
  <c r="U1025" i="26"/>
  <c r="W1025" i="26" s="1"/>
  <c r="U1024" i="26"/>
  <c r="W1024" i="26" s="1"/>
  <c r="U1020" i="26"/>
  <c r="W1020" i="26" s="1"/>
  <c r="U1096" i="26"/>
  <c r="W1096" i="26" s="1"/>
  <c r="U1073" i="26"/>
  <c r="W1073" i="26" s="1"/>
  <c r="U1043" i="26"/>
  <c r="W1043" i="26" s="1"/>
  <c r="U1027" i="26"/>
  <c r="W1027" i="26" s="1"/>
  <c r="U1011" i="26"/>
  <c r="W1011" i="26" s="1"/>
  <c r="U1004" i="26"/>
  <c r="W1004" i="26" s="1"/>
  <c r="U996" i="26"/>
  <c r="W996" i="26" s="1"/>
  <c r="U988" i="26"/>
  <c r="W988" i="26" s="1"/>
  <c r="U980" i="26"/>
  <c r="W980" i="26" s="1"/>
  <c r="U975" i="26"/>
  <c r="W975" i="26" s="1"/>
  <c r="U971" i="26"/>
  <c r="W971" i="26" s="1"/>
  <c r="U967" i="26"/>
  <c r="W967" i="26" s="1"/>
  <c r="U963" i="26"/>
  <c r="W963" i="26" s="1"/>
  <c r="U959" i="26"/>
  <c r="W959" i="26" s="1"/>
  <c r="U955" i="26"/>
  <c r="W955" i="26" s="1"/>
  <c r="U951" i="26"/>
  <c r="W951" i="26" s="1"/>
  <c r="U947" i="26"/>
  <c r="W947" i="26" s="1"/>
  <c r="U943" i="26"/>
  <c r="W943" i="26" s="1"/>
  <c r="U939" i="26"/>
  <c r="W939" i="26" s="1"/>
  <c r="U935" i="26"/>
  <c r="W935" i="26" s="1"/>
  <c r="U931" i="26"/>
  <c r="W931" i="26" s="1"/>
  <c r="U927" i="26"/>
  <c r="W927" i="26" s="1"/>
  <c r="U923" i="26"/>
  <c r="W923" i="26" s="1"/>
  <c r="U1100" i="26"/>
  <c r="W1100" i="26" s="1"/>
  <c r="U1032" i="26"/>
  <c r="W1032" i="26" s="1"/>
  <c r="U1019" i="26"/>
  <c r="W1019" i="26" s="1"/>
  <c r="U1009" i="26"/>
  <c r="W1009" i="26" s="1"/>
  <c r="U1001" i="26"/>
  <c r="W1001" i="26" s="1"/>
  <c r="U993" i="26"/>
  <c r="W993" i="26" s="1"/>
  <c r="U985" i="26"/>
  <c r="W985" i="26" s="1"/>
  <c r="U977" i="26"/>
  <c r="W977" i="26" s="1"/>
  <c r="U974" i="26"/>
  <c r="W974" i="26" s="1"/>
  <c r="U968" i="26"/>
  <c r="W968" i="26" s="1"/>
  <c r="U966" i="26"/>
  <c r="W966" i="26" s="1"/>
  <c r="U960" i="26"/>
  <c r="W960" i="26" s="1"/>
  <c r="U958" i="26"/>
  <c r="W958" i="26" s="1"/>
  <c r="U1089" i="26"/>
  <c r="W1089" i="26" s="1"/>
  <c r="U1028" i="26"/>
  <c r="W1028" i="26" s="1"/>
  <c r="U1017" i="26"/>
  <c r="W1017" i="26" s="1"/>
  <c r="U1008" i="26"/>
  <c r="W1008" i="26" s="1"/>
  <c r="U1005" i="26"/>
  <c r="W1005" i="26" s="1"/>
  <c r="U997" i="26"/>
  <c r="W997" i="26" s="1"/>
  <c r="U989" i="26"/>
  <c r="W989" i="26" s="1"/>
  <c r="U981" i="26"/>
  <c r="W981" i="26" s="1"/>
  <c r="U969" i="26"/>
  <c r="W969" i="26" s="1"/>
  <c r="U961" i="26"/>
  <c r="W961" i="26" s="1"/>
  <c r="U953" i="26"/>
  <c r="W953" i="26" s="1"/>
  <c r="U945" i="26"/>
  <c r="W945" i="26" s="1"/>
  <c r="U937" i="26"/>
  <c r="W937" i="26" s="1"/>
  <c r="U929" i="26"/>
  <c r="W929" i="26" s="1"/>
  <c r="U919" i="26"/>
  <c r="W919" i="26" s="1"/>
  <c r="U915" i="26"/>
  <c r="W915" i="26" s="1"/>
  <c r="U911" i="26"/>
  <c r="W911" i="26" s="1"/>
  <c r="U907" i="26"/>
  <c r="W907" i="26" s="1"/>
  <c r="U903" i="26"/>
  <c r="W903" i="26" s="1"/>
  <c r="U899" i="26"/>
  <c r="W899" i="26" s="1"/>
  <c r="U895" i="26"/>
  <c r="W895" i="26" s="1"/>
  <c r="U891" i="26"/>
  <c r="W891" i="26" s="1"/>
  <c r="U887" i="26"/>
  <c r="W887" i="26" s="1"/>
  <c r="U883" i="26"/>
  <c r="W883" i="26" s="1"/>
  <c r="U879" i="26"/>
  <c r="W879" i="26" s="1"/>
  <c r="U875" i="26"/>
  <c r="W875" i="26" s="1"/>
  <c r="U871" i="26"/>
  <c r="W871" i="26" s="1"/>
  <c r="U867" i="26"/>
  <c r="W867" i="26" s="1"/>
  <c r="U863" i="26"/>
  <c r="W863" i="26" s="1"/>
  <c r="U859" i="26"/>
  <c r="W859" i="26" s="1"/>
  <c r="U855" i="26"/>
  <c r="W855" i="26" s="1"/>
  <c r="U1035" i="26"/>
  <c r="W1035" i="26" s="1"/>
  <c r="U1016" i="26"/>
  <c r="W1016" i="26" s="1"/>
  <c r="U1003" i="26"/>
  <c r="W1003" i="26" s="1"/>
  <c r="U1000" i="26"/>
  <c r="W1000" i="26" s="1"/>
  <c r="U987" i="26"/>
  <c r="W987" i="26" s="1"/>
  <c r="U984" i="26"/>
  <c r="W984" i="26" s="1"/>
  <c r="U973" i="26"/>
  <c r="W973" i="26" s="1"/>
  <c r="U972" i="26"/>
  <c r="W972" i="26" s="1"/>
  <c r="U957" i="26"/>
  <c r="W957" i="26" s="1"/>
  <c r="U956" i="26"/>
  <c r="W956" i="26" s="1"/>
  <c r="U954" i="26"/>
  <c r="W954" i="26" s="1"/>
  <c r="U946" i="26"/>
  <c r="W946" i="26" s="1"/>
  <c r="U938" i="26"/>
  <c r="W938" i="26" s="1"/>
  <c r="U930" i="26"/>
  <c r="W930" i="26" s="1"/>
  <c r="U922" i="26"/>
  <c r="W922" i="26" s="1"/>
  <c r="U916" i="26"/>
  <c r="W916" i="26" s="1"/>
  <c r="U914" i="26"/>
  <c r="W914" i="26" s="1"/>
  <c r="U908" i="26"/>
  <c r="W908" i="26" s="1"/>
  <c r="U906" i="26"/>
  <c r="W906" i="26" s="1"/>
  <c r="U900" i="26"/>
  <c r="W900" i="26" s="1"/>
  <c r="U898" i="26"/>
  <c r="W898" i="26" s="1"/>
  <c r="U892" i="26"/>
  <c r="W892" i="26" s="1"/>
  <c r="U890" i="26"/>
  <c r="W890" i="26" s="1"/>
  <c r="U884" i="26"/>
  <c r="W884" i="26" s="1"/>
  <c r="U882" i="26"/>
  <c r="W882" i="26" s="1"/>
  <c r="U876" i="26"/>
  <c r="W876" i="26" s="1"/>
  <c r="U874" i="26"/>
  <c r="W874" i="26" s="1"/>
  <c r="U868" i="26"/>
  <c r="W868" i="26" s="1"/>
  <c r="U866" i="26"/>
  <c r="W866" i="26" s="1"/>
  <c r="U860" i="26"/>
  <c r="W860" i="26" s="1"/>
  <c r="U858" i="26"/>
  <c r="W858" i="26" s="1"/>
  <c r="U852" i="26"/>
  <c r="W852" i="26" s="1"/>
  <c r="U848" i="26"/>
  <c r="W848" i="26" s="1"/>
  <c r="U1076" i="26"/>
  <c r="W1076" i="26" s="1"/>
  <c r="U1012" i="26"/>
  <c r="W1012" i="26" s="1"/>
  <c r="U999" i="26"/>
  <c r="W999" i="26" s="1"/>
  <c r="U983" i="26"/>
  <c r="W983" i="26" s="1"/>
  <c r="U970" i="26"/>
  <c r="W970" i="26" s="1"/>
  <c r="U952" i="26"/>
  <c r="W952" i="26" s="1"/>
  <c r="U944" i="26"/>
  <c r="W944" i="26" s="1"/>
  <c r="U936" i="26"/>
  <c r="W936" i="26" s="1"/>
  <c r="U928" i="26"/>
  <c r="W928" i="26" s="1"/>
  <c r="U917" i="26"/>
  <c r="W917" i="26" s="1"/>
  <c r="U909" i="26"/>
  <c r="W909" i="26" s="1"/>
  <c r="U901" i="26"/>
  <c r="W901" i="26" s="1"/>
  <c r="U893" i="26"/>
  <c r="W893" i="26" s="1"/>
  <c r="U885" i="26"/>
  <c r="W885" i="26" s="1"/>
  <c r="U877" i="26"/>
  <c r="W877" i="26" s="1"/>
  <c r="U869" i="26"/>
  <c r="W869" i="26" s="1"/>
  <c r="U861" i="26"/>
  <c r="W861" i="26" s="1"/>
  <c r="U851" i="26"/>
  <c r="W851" i="26" s="1"/>
  <c r="U847" i="26"/>
  <c r="W847" i="26" s="1"/>
  <c r="U843" i="26"/>
  <c r="W843" i="26" s="1"/>
  <c r="U839" i="26"/>
  <c r="W839" i="26" s="1"/>
  <c r="U835" i="26"/>
  <c r="W835" i="26" s="1"/>
  <c r="U831" i="26"/>
  <c r="W831" i="26" s="1"/>
  <c r="U827" i="26"/>
  <c r="W827" i="26" s="1"/>
  <c r="U823" i="26"/>
  <c r="W823" i="26" s="1"/>
  <c r="U819" i="26"/>
  <c r="W819" i="26" s="1"/>
  <c r="U815" i="26"/>
  <c r="W815" i="26" s="1"/>
  <c r="U811" i="26"/>
  <c r="W811" i="26" s="1"/>
  <c r="U807" i="26"/>
  <c r="W807" i="26" s="1"/>
  <c r="U803" i="26"/>
  <c r="W803" i="26" s="1"/>
  <c r="U799" i="26"/>
  <c r="W799" i="26" s="1"/>
  <c r="U795" i="26"/>
  <c r="W795" i="26" s="1"/>
  <c r="U791" i="26"/>
  <c r="W791" i="26" s="1"/>
  <c r="U787" i="26"/>
  <c r="W787" i="26" s="1"/>
  <c r="U783" i="26"/>
  <c r="W783" i="26" s="1"/>
  <c r="U779" i="26"/>
  <c r="W779" i="26" s="1"/>
  <c r="U775" i="26"/>
  <c r="W775" i="26" s="1"/>
  <c r="U1075" i="26"/>
  <c r="W1075" i="26" s="1"/>
  <c r="U979" i="26"/>
  <c r="W979" i="26" s="1"/>
  <c r="U965" i="26"/>
  <c r="W965" i="26" s="1"/>
  <c r="U962" i="26"/>
  <c r="W962" i="26" s="1"/>
  <c r="U942" i="26"/>
  <c r="W942" i="26" s="1"/>
  <c r="U941" i="26"/>
  <c r="W941" i="26" s="1"/>
  <c r="U926" i="26"/>
  <c r="W926" i="26" s="1"/>
  <c r="U925" i="26"/>
  <c r="W925" i="26" s="1"/>
  <c r="U921" i="26"/>
  <c r="W921" i="26" s="1"/>
  <c r="U920" i="26"/>
  <c r="W920" i="26" s="1"/>
  <c r="U905" i="26"/>
  <c r="W905" i="26" s="1"/>
  <c r="U904" i="26"/>
  <c r="W904" i="26" s="1"/>
  <c r="U889" i="26"/>
  <c r="W889" i="26" s="1"/>
  <c r="U888" i="26"/>
  <c r="W888" i="26" s="1"/>
  <c r="U873" i="26"/>
  <c r="W873" i="26" s="1"/>
  <c r="U872" i="26"/>
  <c r="W872" i="26" s="1"/>
  <c r="U857" i="26"/>
  <c r="W857" i="26" s="1"/>
  <c r="U856" i="26"/>
  <c r="W856" i="26" s="1"/>
  <c r="U840" i="26"/>
  <c r="W840" i="26" s="1"/>
  <c r="U838" i="26"/>
  <c r="W838" i="26" s="1"/>
  <c r="U832" i="26"/>
  <c r="W832" i="26" s="1"/>
  <c r="U830" i="26"/>
  <c r="W830" i="26" s="1"/>
  <c r="U824" i="26"/>
  <c r="W824" i="26" s="1"/>
  <c r="U822" i="26"/>
  <c r="W822" i="26" s="1"/>
  <c r="U816" i="26"/>
  <c r="W816" i="26" s="1"/>
  <c r="U814" i="26"/>
  <c r="W814" i="26" s="1"/>
  <c r="U808" i="26"/>
  <c r="W808" i="26" s="1"/>
  <c r="U806" i="26"/>
  <c r="W806" i="26" s="1"/>
  <c r="U800" i="26"/>
  <c r="W800" i="26" s="1"/>
  <c r="U798" i="26"/>
  <c r="W798" i="26" s="1"/>
  <c r="U792" i="26"/>
  <c r="W792" i="26" s="1"/>
  <c r="U790" i="26"/>
  <c r="W790" i="26" s="1"/>
  <c r="U784" i="26"/>
  <c r="W784" i="26" s="1"/>
  <c r="U782" i="26"/>
  <c r="W782" i="26" s="1"/>
  <c r="U776" i="26"/>
  <c r="W776" i="26" s="1"/>
  <c r="U774" i="26"/>
  <c r="W774" i="26" s="1"/>
  <c r="U772" i="26"/>
  <c r="W772" i="26" s="1"/>
  <c r="U768" i="26"/>
  <c r="W768" i="26" s="1"/>
  <c r="U764" i="26"/>
  <c r="W764" i="26" s="1"/>
  <c r="U760" i="26"/>
  <c r="W760" i="26" s="1"/>
  <c r="U756" i="26"/>
  <c r="W756" i="26" s="1"/>
  <c r="U752" i="26"/>
  <c r="W752" i="26" s="1"/>
  <c r="U748" i="26"/>
  <c r="W748" i="26" s="1"/>
  <c r="U744" i="26"/>
  <c r="W744" i="26" s="1"/>
  <c r="U1081" i="26"/>
  <c r="W1081" i="26" s="1"/>
  <c r="U991" i="26"/>
  <c r="W991" i="26" s="1"/>
  <c r="U976" i="26"/>
  <c r="W976" i="26" s="1"/>
  <c r="U948" i="26"/>
  <c r="W948" i="26" s="1"/>
  <c r="U932" i="26"/>
  <c r="W932" i="26" s="1"/>
  <c r="U910" i="26"/>
  <c r="W910" i="26" s="1"/>
  <c r="U894" i="26"/>
  <c r="W894" i="26" s="1"/>
  <c r="U878" i="26"/>
  <c r="W878" i="26" s="1"/>
  <c r="U862" i="26"/>
  <c r="W862" i="26" s="1"/>
  <c r="U837" i="26"/>
  <c r="W837" i="26" s="1"/>
  <c r="U829" i="26"/>
  <c r="W829" i="26" s="1"/>
  <c r="U821" i="26"/>
  <c r="W821" i="26" s="1"/>
  <c r="U813" i="26"/>
  <c r="W813" i="26" s="1"/>
  <c r="U805" i="26"/>
  <c r="W805" i="26" s="1"/>
  <c r="U797" i="26"/>
  <c r="W797" i="26" s="1"/>
  <c r="U789" i="26"/>
  <c r="W789" i="26" s="1"/>
  <c r="U781" i="26"/>
  <c r="W781" i="26" s="1"/>
  <c r="U773" i="26"/>
  <c r="W773" i="26" s="1"/>
  <c r="U769" i="26"/>
  <c r="W769" i="26" s="1"/>
  <c r="U765" i="26"/>
  <c r="W765" i="26" s="1"/>
  <c r="U761" i="26"/>
  <c r="W761" i="26" s="1"/>
  <c r="U757" i="26"/>
  <c r="W757" i="26" s="1"/>
  <c r="U753" i="26"/>
  <c r="W753" i="26" s="1"/>
  <c r="U749" i="26"/>
  <c r="W749" i="26" s="1"/>
  <c r="U745" i="26"/>
  <c r="W745" i="26" s="1"/>
  <c r="U741" i="26"/>
  <c r="W741" i="26" s="1"/>
  <c r="U737" i="26"/>
  <c r="W737" i="26" s="1"/>
  <c r="U733" i="26"/>
  <c r="W733" i="26" s="1"/>
  <c r="U729" i="26"/>
  <c r="W729" i="26" s="1"/>
  <c r="U725" i="26"/>
  <c r="W725" i="26" s="1"/>
  <c r="U721" i="26"/>
  <c r="W721" i="26" s="1"/>
  <c r="U717" i="26"/>
  <c r="W717" i="26" s="1"/>
  <c r="U713" i="26"/>
  <c r="W713" i="26" s="1"/>
  <c r="U709" i="26"/>
  <c r="W709" i="26" s="1"/>
  <c r="U705" i="26"/>
  <c r="W705" i="26" s="1"/>
  <c r="U701" i="26"/>
  <c r="W701" i="26" s="1"/>
  <c r="U697" i="26"/>
  <c r="W697" i="26" s="1"/>
  <c r="U693" i="26"/>
  <c r="W693" i="26" s="1"/>
  <c r="U689" i="26"/>
  <c r="W689" i="26" s="1"/>
  <c r="U685" i="26"/>
  <c r="W685" i="26" s="1"/>
  <c r="U681" i="26"/>
  <c r="W681" i="26" s="1"/>
  <c r="U677" i="26"/>
  <c r="W677" i="26" s="1"/>
  <c r="U673" i="26"/>
  <c r="W673" i="26" s="1"/>
  <c r="U669" i="26"/>
  <c r="W669" i="26" s="1"/>
  <c r="U665" i="26"/>
  <c r="W665" i="26" s="1"/>
  <c r="U661" i="26"/>
  <c r="W661" i="26" s="1"/>
  <c r="U657" i="26"/>
  <c r="W657" i="26" s="1"/>
  <c r="U653" i="26"/>
  <c r="W653" i="26" s="1"/>
  <c r="U649" i="26"/>
  <c r="W649" i="26" s="1"/>
  <c r="U645" i="26"/>
  <c r="W645" i="26" s="1"/>
  <c r="U641" i="26"/>
  <c r="W641" i="26" s="1"/>
  <c r="U949" i="26"/>
  <c r="W949" i="26" s="1"/>
  <c r="U918" i="26"/>
  <c r="W918" i="26" s="1"/>
  <c r="U897" i="26"/>
  <c r="W897" i="26" s="1"/>
  <c r="U886" i="26"/>
  <c r="W886" i="26" s="1"/>
  <c r="U865" i="26"/>
  <c r="W865" i="26" s="1"/>
  <c r="U854" i="26"/>
  <c r="W854" i="26" s="1"/>
  <c r="U850" i="26"/>
  <c r="W850" i="26" s="1"/>
  <c r="U846" i="26"/>
  <c r="W846" i="26" s="1"/>
  <c r="U842" i="26"/>
  <c r="W842" i="26" s="1"/>
  <c r="U841" i="26"/>
  <c r="W841" i="26" s="1"/>
  <c r="U826" i="26"/>
  <c r="W826" i="26" s="1"/>
  <c r="U825" i="26"/>
  <c r="W825" i="26" s="1"/>
  <c r="U810" i="26"/>
  <c r="W810" i="26" s="1"/>
  <c r="U809" i="26"/>
  <c r="W809" i="26" s="1"/>
  <c r="U794" i="26"/>
  <c r="W794" i="26" s="1"/>
  <c r="U793" i="26"/>
  <c r="W793" i="26" s="1"/>
  <c r="U778" i="26"/>
  <c r="W778" i="26" s="1"/>
  <c r="U777" i="26"/>
  <c r="W777" i="26" s="1"/>
  <c r="U770" i="26"/>
  <c r="W770" i="26" s="1"/>
  <c r="U766" i="26"/>
  <c r="W766" i="26" s="1"/>
  <c r="U762" i="26"/>
  <c r="W762" i="26" s="1"/>
  <c r="U758" i="26"/>
  <c r="W758" i="26" s="1"/>
  <c r="U754" i="26"/>
  <c r="W754" i="26" s="1"/>
  <c r="U750" i="26"/>
  <c r="W750" i="26" s="1"/>
  <c r="U746" i="26"/>
  <c r="W746" i="26" s="1"/>
  <c r="U742" i="26"/>
  <c r="W742" i="26" s="1"/>
  <c r="U740" i="26"/>
  <c r="W740" i="26" s="1"/>
  <c r="U734" i="26"/>
  <c r="W734" i="26" s="1"/>
  <c r="U732" i="26"/>
  <c r="W732" i="26" s="1"/>
  <c r="U726" i="26"/>
  <c r="W726" i="26" s="1"/>
  <c r="U724" i="26"/>
  <c r="W724" i="26" s="1"/>
  <c r="U718" i="26"/>
  <c r="W718" i="26" s="1"/>
  <c r="U716" i="26"/>
  <c r="W716" i="26" s="1"/>
  <c r="U710" i="26"/>
  <c r="W710" i="26" s="1"/>
  <c r="U708" i="26"/>
  <c r="W708" i="26" s="1"/>
  <c r="U702" i="26"/>
  <c r="W702" i="26" s="1"/>
  <c r="U700" i="26"/>
  <c r="W700" i="26" s="1"/>
  <c r="U694" i="26"/>
  <c r="W694" i="26" s="1"/>
  <c r="U692" i="26"/>
  <c r="W692" i="26" s="1"/>
  <c r="U686" i="26"/>
  <c r="W686" i="26" s="1"/>
  <c r="U684" i="26"/>
  <c r="W684" i="26" s="1"/>
  <c r="U678" i="26"/>
  <c r="W678" i="26" s="1"/>
  <c r="U676" i="26"/>
  <c r="W676" i="26" s="1"/>
  <c r="U670" i="26"/>
  <c r="W670" i="26" s="1"/>
  <c r="U668" i="26"/>
  <c r="W668" i="26" s="1"/>
  <c r="U662" i="26"/>
  <c r="W662" i="26" s="1"/>
  <c r="U660" i="26"/>
  <c r="W660" i="26" s="1"/>
  <c r="U654" i="26"/>
  <c r="W654" i="26" s="1"/>
  <c r="U652" i="26"/>
  <c r="W652" i="26" s="1"/>
  <c r="U646" i="26"/>
  <c r="W646" i="26" s="1"/>
  <c r="U644" i="26"/>
  <c r="W644" i="26" s="1"/>
  <c r="U636" i="26"/>
  <c r="W636" i="26" s="1"/>
  <c r="U632" i="26"/>
  <c r="W632" i="26" s="1"/>
  <c r="U628" i="26"/>
  <c r="W628" i="26" s="1"/>
  <c r="U624" i="26"/>
  <c r="W624" i="26" s="1"/>
  <c r="U620" i="26"/>
  <c r="W620" i="26" s="1"/>
  <c r="U616" i="26"/>
  <c r="W616" i="26" s="1"/>
  <c r="U612" i="26"/>
  <c r="W612" i="26" s="1"/>
  <c r="U608" i="26"/>
  <c r="W608" i="26" s="1"/>
  <c r="U604" i="26"/>
  <c r="W604" i="26" s="1"/>
  <c r="U600" i="26"/>
  <c r="W600" i="26" s="1"/>
  <c r="U596" i="26"/>
  <c r="W596" i="26" s="1"/>
  <c r="U592" i="26"/>
  <c r="W592" i="26" s="1"/>
  <c r="U588" i="26"/>
  <c r="W588" i="26" s="1"/>
  <c r="U584" i="26"/>
  <c r="W584" i="26" s="1"/>
  <c r="U580" i="26"/>
  <c r="W580" i="26" s="1"/>
  <c r="U576" i="26"/>
  <c r="W576" i="26" s="1"/>
  <c r="U572" i="26"/>
  <c r="W572" i="26" s="1"/>
  <c r="U995" i="26"/>
  <c r="W995" i="26" s="1"/>
  <c r="U992" i="26"/>
  <c r="W992" i="26" s="1"/>
  <c r="U950" i="26"/>
  <c r="W950" i="26" s="1"/>
  <c r="U940" i="26"/>
  <c r="W940" i="26" s="1"/>
  <c r="U912" i="26"/>
  <c r="W912" i="26" s="1"/>
  <c r="U880" i="26"/>
  <c r="W880" i="26" s="1"/>
  <c r="U844" i="26"/>
  <c r="W844" i="26" s="1"/>
  <c r="U828" i="26"/>
  <c r="W828" i="26" s="1"/>
  <c r="U812" i="26"/>
  <c r="W812" i="26" s="1"/>
  <c r="U796" i="26"/>
  <c r="W796" i="26" s="1"/>
  <c r="U780" i="26"/>
  <c r="W780" i="26" s="1"/>
  <c r="U771" i="26"/>
  <c r="W771" i="26" s="1"/>
  <c r="U767" i="26"/>
  <c r="W767" i="26" s="1"/>
  <c r="U763" i="26"/>
  <c r="W763" i="26" s="1"/>
  <c r="U759" i="26"/>
  <c r="W759" i="26" s="1"/>
  <c r="U755" i="26"/>
  <c r="W755" i="26" s="1"/>
  <c r="U751" i="26"/>
  <c r="W751" i="26" s="1"/>
  <c r="U747" i="26"/>
  <c r="W747" i="26" s="1"/>
  <c r="U743" i="26"/>
  <c r="W743" i="26" s="1"/>
  <c r="U739" i="26"/>
  <c r="W739" i="26" s="1"/>
  <c r="U731" i="26"/>
  <c r="W731" i="26" s="1"/>
  <c r="U723" i="26"/>
  <c r="W723" i="26" s="1"/>
  <c r="U715" i="26"/>
  <c r="W715" i="26" s="1"/>
  <c r="U707" i="26"/>
  <c r="W707" i="26" s="1"/>
  <c r="U699" i="26"/>
  <c r="W699" i="26" s="1"/>
  <c r="U691" i="26"/>
  <c r="W691" i="26" s="1"/>
  <c r="U683" i="26"/>
  <c r="W683" i="26" s="1"/>
  <c r="U675" i="26"/>
  <c r="W675" i="26" s="1"/>
  <c r="U667" i="26"/>
  <c r="W667" i="26" s="1"/>
  <c r="U659" i="26"/>
  <c r="W659" i="26" s="1"/>
  <c r="U651" i="26"/>
  <c r="W651" i="26" s="1"/>
  <c r="U643" i="26"/>
  <c r="W643" i="26" s="1"/>
  <c r="U637" i="26"/>
  <c r="W637" i="26" s="1"/>
  <c r="U633" i="26"/>
  <c r="W633" i="26" s="1"/>
  <c r="U629" i="26"/>
  <c r="W629" i="26" s="1"/>
  <c r="U625" i="26"/>
  <c r="W625" i="26" s="1"/>
  <c r="U621" i="26"/>
  <c r="W621" i="26" s="1"/>
  <c r="U617" i="26"/>
  <c r="W617" i="26" s="1"/>
  <c r="U613" i="26"/>
  <c r="W613" i="26" s="1"/>
  <c r="U609" i="26"/>
  <c r="W609" i="26" s="1"/>
  <c r="U605" i="26"/>
  <c r="W605" i="26" s="1"/>
  <c r="U601" i="26"/>
  <c r="W601" i="26" s="1"/>
  <c r="U597" i="26"/>
  <c r="W597" i="26" s="1"/>
  <c r="U593" i="26"/>
  <c r="W593" i="26" s="1"/>
  <c r="U589" i="26"/>
  <c r="W589" i="26" s="1"/>
  <c r="U585" i="26"/>
  <c r="W585" i="26" s="1"/>
  <c r="U581" i="26"/>
  <c r="W581" i="26" s="1"/>
  <c r="U577" i="26"/>
  <c r="W577" i="26" s="1"/>
  <c r="U573" i="26"/>
  <c r="W573" i="26" s="1"/>
  <c r="U569" i="26"/>
  <c r="W569" i="26" s="1"/>
  <c r="U565" i="26"/>
  <c r="W565" i="26" s="1"/>
  <c r="U561" i="26"/>
  <c r="W561" i="26" s="1"/>
  <c r="U557" i="26"/>
  <c r="W557" i="26" s="1"/>
  <c r="U553" i="26"/>
  <c r="W553" i="26" s="1"/>
  <c r="U549" i="26"/>
  <c r="W549" i="26" s="1"/>
  <c r="U545" i="26"/>
  <c r="W545" i="26" s="1"/>
  <c r="U541" i="26"/>
  <c r="W541" i="26" s="1"/>
  <c r="U537" i="26"/>
  <c r="W537" i="26" s="1"/>
  <c r="U533" i="26"/>
  <c r="W533" i="26" s="1"/>
  <c r="U529" i="26"/>
  <c r="W529" i="26" s="1"/>
  <c r="U525" i="26"/>
  <c r="W525" i="26" s="1"/>
  <c r="U521" i="26"/>
  <c r="W521" i="26" s="1"/>
  <c r="U517" i="26"/>
  <c r="W517" i="26" s="1"/>
  <c r="U513" i="26"/>
  <c r="W513" i="26" s="1"/>
  <c r="U509" i="26"/>
  <c r="W509" i="26" s="1"/>
  <c r="U505" i="26"/>
  <c r="W505" i="26" s="1"/>
  <c r="U501" i="26"/>
  <c r="W501" i="26" s="1"/>
  <c r="U497" i="26"/>
  <c r="W497" i="26" s="1"/>
  <c r="U493" i="26"/>
  <c r="W493" i="26" s="1"/>
  <c r="U489" i="26"/>
  <c r="W489" i="26" s="1"/>
  <c r="U485" i="26"/>
  <c r="W485" i="26" s="1"/>
  <c r="U481" i="26"/>
  <c r="W481" i="26" s="1"/>
  <c r="U477" i="26"/>
  <c r="W477" i="26" s="1"/>
  <c r="U473" i="26"/>
  <c r="W473" i="26" s="1"/>
  <c r="U469" i="26"/>
  <c r="W469" i="26" s="1"/>
  <c r="U465" i="26"/>
  <c r="W465" i="26" s="1"/>
  <c r="U461" i="26"/>
  <c r="W461" i="26" s="1"/>
  <c r="U457" i="26"/>
  <c r="W457" i="26" s="1"/>
  <c r="U453" i="26"/>
  <c r="W453" i="26" s="1"/>
  <c r="U449" i="26"/>
  <c r="W449" i="26" s="1"/>
  <c r="U445" i="26"/>
  <c r="W445" i="26" s="1"/>
  <c r="U441" i="26"/>
  <c r="W441" i="26" s="1"/>
  <c r="U437" i="26"/>
  <c r="W437" i="26" s="1"/>
  <c r="U433" i="26"/>
  <c r="W433" i="26" s="1"/>
  <c r="U429" i="26"/>
  <c r="W429" i="26" s="1"/>
  <c r="U425" i="26"/>
  <c r="W425" i="26" s="1"/>
  <c r="U421" i="26"/>
  <c r="W421" i="26" s="1"/>
  <c r="U417" i="26"/>
  <c r="W417" i="26" s="1"/>
  <c r="U413" i="26"/>
  <c r="W413" i="26" s="1"/>
  <c r="U409" i="26"/>
  <c r="W409" i="26" s="1"/>
  <c r="U405" i="26"/>
  <c r="W405" i="26" s="1"/>
  <c r="U401" i="26"/>
  <c r="W401" i="26" s="1"/>
  <c r="U934" i="26"/>
  <c r="W934" i="26" s="1"/>
  <c r="U913" i="26"/>
  <c r="W913" i="26" s="1"/>
  <c r="U870" i="26"/>
  <c r="W870" i="26" s="1"/>
  <c r="U836" i="26"/>
  <c r="W836" i="26" s="1"/>
  <c r="U833" i="26"/>
  <c r="W833" i="26" s="1"/>
  <c r="U804" i="26"/>
  <c r="W804" i="26" s="1"/>
  <c r="U801" i="26"/>
  <c r="W801" i="26" s="1"/>
  <c r="U736" i="26"/>
  <c r="W736" i="26" s="1"/>
  <c r="U735" i="26"/>
  <c r="W735" i="26" s="1"/>
  <c r="U1057" i="26"/>
  <c r="W1057" i="26" s="1"/>
  <c r="U964" i="26"/>
  <c r="W964" i="26" s="1"/>
  <c r="U924" i="26"/>
  <c r="W924" i="26" s="1"/>
  <c r="U896" i="26"/>
  <c r="W896" i="26" s="1"/>
  <c r="U818" i="26"/>
  <c r="W818" i="26" s="1"/>
  <c r="U786" i="26"/>
  <c r="W786" i="26" s="1"/>
  <c r="U730" i="26"/>
  <c r="W730" i="26" s="1"/>
  <c r="U714" i="26"/>
  <c r="W714" i="26" s="1"/>
  <c r="U698" i="26"/>
  <c r="W698" i="26" s="1"/>
  <c r="U682" i="26"/>
  <c r="W682" i="26" s="1"/>
  <c r="U666" i="26"/>
  <c r="W666" i="26" s="1"/>
  <c r="U650" i="26"/>
  <c r="W650" i="26" s="1"/>
  <c r="U638" i="26"/>
  <c r="W638" i="26" s="1"/>
  <c r="U634" i="26"/>
  <c r="W634" i="26" s="1"/>
  <c r="U630" i="26"/>
  <c r="W630" i="26" s="1"/>
  <c r="U626" i="26"/>
  <c r="W626" i="26" s="1"/>
  <c r="U622" i="26"/>
  <c r="W622" i="26" s="1"/>
  <c r="U618" i="26"/>
  <c r="W618" i="26" s="1"/>
  <c r="U614" i="26"/>
  <c r="W614" i="26" s="1"/>
  <c r="U610" i="26"/>
  <c r="W610" i="26" s="1"/>
  <c r="U606" i="26"/>
  <c r="W606" i="26" s="1"/>
  <c r="U602" i="26"/>
  <c r="W602" i="26" s="1"/>
  <c r="U598" i="26"/>
  <c r="W598" i="26" s="1"/>
  <c r="U594" i="26"/>
  <c r="W594" i="26" s="1"/>
  <c r="U590" i="26"/>
  <c r="W590" i="26" s="1"/>
  <c r="U586" i="26"/>
  <c r="W586" i="26" s="1"/>
  <c r="U582" i="26"/>
  <c r="W582" i="26" s="1"/>
  <c r="U578" i="26"/>
  <c r="W578" i="26" s="1"/>
  <c r="U574" i="26"/>
  <c r="W574" i="26" s="1"/>
  <c r="U570" i="26"/>
  <c r="W570" i="26" s="1"/>
  <c r="U568" i="26"/>
  <c r="W568" i="26" s="1"/>
  <c r="U562" i="26"/>
  <c r="W562" i="26" s="1"/>
  <c r="U560" i="26"/>
  <c r="W560" i="26" s="1"/>
  <c r="U554" i="26"/>
  <c r="W554" i="26" s="1"/>
  <c r="U552" i="26"/>
  <c r="W552" i="26" s="1"/>
  <c r="U546" i="26"/>
  <c r="W546" i="26" s="1"/>
  <c r="U544" i="26"/>
  <c r="W544" i="26" s="1"/>
  <c r="U538" i="26"/>
  <c r="W538" i="26" s="1"/>
  <c r="U536" i="26"/>
  <c r="W536" i="26" s="1"/>
  <c r="U530" i="26"/>
  <c r="W530" i="26" s="1"/>
  <c r="U528" i="26"/>
  <c r="W528" i="26" s="1"/>
  <c r="U522" i="26"/>
  <c r="W522" i="26" s="1"/>
  <c r="U520" i="26"/>
  <c r="W520" i="26" s="1"/>
  <c r="U514" i="26"/>
  <c r="W514" i="26" s="1"/>
  <c r="U512" i="26"/>
  <c r="W512" i="26" s="1"/>
  <c r="U506" i="26"/>
  <c r="W506" i="26" s="1"/>
  <c r="U504" i="26"/>
  <c r="W504" i="26" s="1"/>
  <c r="U498" i="26"/>
  <c r="W498" i="26" s="1"/>
  <c r="U496" i="26"/>
  <c r="W496" i="26" s="1"/>
  <c r="U490" i="26"/>
  <c r="W490" i="26" s="1"/>
  <c r="U488" i="26"/>
  <c r="W488" i="26" s="1"/>
  <c r="U482" i="26"/>
  <c r="W482" i="26" s="1"/>
  <c r="U480" i="26"/>
  <c r="W480" i="26" s="1"/>
  <c r="U474" i="26"/>
  <c r="W474" i="26" s="1"/>
  <c r="U472" i="26"/>
  <c r="W472" i="26" s="1"/>
  <c r="U466" i="26"/>
  <c r="W466" i="26" s="1"/>
  <c r="U464" i="26"/>
  <c r="W464" i="26" s="1"/>
  <c r="U458" i="26"/>
  <c r="W458" i="26" s="1"/>
  <c r="U456" i="26"/>
  <c r="W456" i="26" s="1"/>
  <c r="U450" i="26"/>
  <c r="W450" i="26" s="1"/>
  <c r="U448" i="26"/>
  <c r="W448" i="26" s="1"/>
  <c r="U442" i="26"/>
  <c r="W442" i="26" s="1"/>
  <c r="U440" i="26"/>
  <c r="W440" i="26" s="1"/>
  <c r="U434" i="26"/>
  <c r="W434" i="26" s="1"/>
  <c r="U933" i="26"/>
  <c r="W933" i="26" s="1"/>
  <c r="U853" i="26"/>
  <c r="W853" i="26" s="1"/>
  <c r="U845" i="26"/>
  <c r="W845" i="26" s="1"/>
  <c r="U817" i="26"/>
  <c r="W817" i="26" s="1"/>
  <c r="U728" i="26"/>
  <c r="W728" i="26" s="1"/>
  <c r="U722" i="26"/>
  <c r="W722" i="26" s="1"/>
  <c r="U712" i="26"/>
  <c r="W712" i="26" s="1"/>
  <c r="U696" i="26"/>
  <c r="W696" i="26" s="1"/>
  <c r="U680" i="26"/>
  <c r="W680" i="26" s="1"/>
  <c r="U664" i="26"/>
  <c r="W664" i="26" s="1"/>
  <c r="U648" i="26"/>
  <c r="W648" i="26" s="1"/>
  <c r="U567" i="26"/>
  <c r="W567" i="26" s="1"/>
  <c r="U556" i="26"/>
  <c r="W556" i="26" s="1"/>
  <c r="U555" i="26"/>
  <c r="W555" i="26" s="1"/>
  <c r="U551" i="26"/>
  <c r="W551" i="26" s="1"/>
  <c r="U540" i="26"/>
  <c r="W540" i="26" s="1"/>
  <c r="U539" i="26"/>
  <c r="W539" i="26" s="1"/>
  <c r="U535" i="26"/>
  <c r="W535" i="26" s="1"/>
  <c r="U524" i="26"/>
  <c r="W524" i="26" s="1"/>
  <c r="U523" i="26"/>
  <c r="W523" i="26" s="1"/>
  <c r="U519" i="26"/>
  <c r="W519" i="26" s="1"/>
  <c r="U508" i="26"/>
  <c r="W508" i="26" s="1"/>
  <c r="U507" i="26"/>
  <c r="W507" i="26" s="1"/>
  <c r="U503" i="26"/>
  <c r="W503" i="26" s="1"/>
  <c r="U492" i="26"/>
  <c r="W492" i="26" s="1"/>
  <c r="U491" i="26"/>
  <c r="W491" i="26" s="1"/>
  <c r="U487" i="26"/>
  <c r="W487" i="26" s="1"/>
  <c r="U476" i="26"/>
  <c r="W476" i="26" s="1"/>
  <c r="U475" i="26"/>
  <c r="W475" i="26" s="1"/>
  <c r="U471" i="26"/>
  <c r="W471" i="26" s="1"/>
  <c r="U460" i="26"/>
  <c r="W460" i="26" s="1"/>
  <c r="U459" i="26"/>
  <c r="W459" i="26" s="1"/>
  <c r="U455" i="26"/>
  <c r="W455" i="26" s="1"/>
  <c r="U444" i="26"/>
  <c r="W444" i="26" s="1"/>
  <c r="U443" i="26"/>
  <c r="W443" i="26" s="1"/>
  <c r="U439" i="26"/>
  <c r="W439" i="26" s="1"/>
  <c r="U431" i="26"/>
  <c r="W431" i="26" s="1"/>
  <c r="U423" i="26"/>
  <c r="W423" i="26" s="1"/>
  <c r="U415" i="26"/>
  <c r="W415" i="26" s="1"/>
  <c r="U407" i="26"/>
  <c r="W407" i="26" s="1"/>
  <c r="U398" i="26"/>
  <c r="W398" i="26" s="1"/>
  <c r="U394" i="26"/>
  <c r="W394" i="26" s="1"/>
  <c r="U390" i="26"/>
  <c r="W390" i="26" s="1"/>
  <c r="U386" i="26"/>
  <c r="W386" i="26" s="1"/>
  <c r="U382" i="26"/>
  <c r="W382" i="26" s="1"/>
  <c r="U378" i="26"/>
  <c r="W378" i="26" s="1"/>
  <c r="U374" i="26"/>
  <c r="W374" i="26" s="1"/>
  <c r="U370" i="26"/>
  <c r="W370" i="26" s="1"/>
  <c r="U366" i="26"/>
  <c r="W366" i="26" s="1"/>
  <c r="U362" i="26"/>
  <c r="W362" i="26" s="1"/>
  <c r="U358" i="26"/>
  <c r="W358" i="26" s="1"/>
  <c r="U354" i="26"/>
  <c r="W354" i="26" s="1"/>
  <c r="U350" i="26"/>
  <c r="W350" i="26" s="1"/>
  <c r="U346" i="26"/>
  <c r="W346" i="26" s="1"/>
  <c r="U342" i="26"/>
  <c r="W342" i="26" s="1"/>
  <c r="U338" i="26"/>
  <c r="W338" i="26" s="1"/>
  <c r="U334" i="26"/>
  <c r="W334" i="26" s="1"/>
  <c r="U330" i="26"/>
  <c r="W330" i="26" s="1"/>
  <c r="U326" i="26"/>
  <c r="W326" i="26" s="1"/>
  <c r="U322" i="26"/>
  <c r="W322" i="26" s="1"/>
  <c r="U318" i="26"/>
  <c r="W318" i="26" s="1"/>
  <c r="U314" i="26"/>
  <c r="W314" i="26" s="1"/>
  <c r="U310" i="26"/>
  <c r="W310" i="26" s="1"/>
  <c r="U306" i="26"/>
  <c r="W306" i="26" s="1"/>
  <c r="U302" i="26"/>
  <c r="W302" i="26" s="1"/>
  <c r="U298" i="26"/>
  <c r="W298" i="26" s="1"/>
  <c r="U294" i="26"/>
  <c r="W294" i="26" s="1"/>
  <c r="U290" i="26"/>
  <c r="W290" i="26" s="1"/>
  <c r="U286" i="26"/>
  <c r="W286" i="26" s="1"/>
  <c r="U282" i="26"/>
  <c r="W282" i="26" s="1"/>
  <c r="U278" i="26"/>
  <c r="W278" i="26" s="1"/>
  <c r="U274" i="26"/>
  <c r="W274" i="26" s="1"/>
  <c r="U270" i="26"/>
  <c r="W270" i="26" s="1"/>
  <c r="U266" i="26"/>
  <c r="W266" i="26" s="1"/>
  <c r="U262" i="26"/>
  <c r="W262" i="26" s="1"/>
  <c r="U258" i="26"/>
  <c r="W258" i="26" s="1"/>
  <c r="U254" i="26"/>
  <c r="W254" i="26" s="1"/>
  <c r="U250" i="26"/>
  <c r="W250" i="26" s="1"/>
  <c r="U246" i="26"/>
  <c r="W246" i="26" s="1"/>
  <c r="U242" i="26"/>
  <c r="W242" i="26" s="1"/>
  <c r="U238" i="26"/>
  <c r="W238" i="26" s="1"/>
  <c r="U234" i="26"/>
  <c r="W234" i="26" s="1"/>
  <c r="U230" i="26"/>
  <c r="W230" i="26" s="1"/>
  <c r="U226" i="26"/>
  <c r="W226" i="26" s="1"/>
  <c r="U222" i="26"/>
  <c r="W222" i="26" s="1"/>
  <c r="U218" i="26"/>
  <c r="W218" i="26" s="1"/>
  <c r="U214" i="26"/>
  <c r="W214" i="26" s="1"/>
  <c r="U210" i="26"/>
  <c r="W210" i="26" s="1"/>
  <c r="U206" i="26"/>
  <c r="W206" i="26" s="1"/>
  <c r="U202" i="26"/>
  <c r="W202" i="26" s="1"/>
  <c r="U198" i="26"/>
  <c r="W198" i="26" s="1"/>
  <c r="U194" i="26"/>
  <c r="W194" i="26" s="1"/>
  <c r="U820" i="26"/>
  <c r="W820" i="26" s="1"/>
  <c r="U802" i="26"/>
  <c r="W802" i="26" s="1"/>
  <c r="U727" i="26"/>
  <c r="W727" i="26" s="1"/>
  <c r="U711" i="26"/>
  <c r="W711" i="26" s="1"/>
  <c r="U706" i="26"/>
  <c r="W706" i="26" s="1"/>
  <c r="U695" i="26"/>
  <c r="W695" i="26" s="1"/>
  <c r="U690" i="26"/>
  <c r="W690" i="26" s="1"/>
  <c r="U679" i="26"/>
  <c r="W679" i="26" s="1"/>
  <c r="U674" i="26"/>
  <c r="W674" i="26" s="1"/>
  <c r="U663" i="26"/>
  <c r="W663" i="26" s="1"/>
  <c r="U658" i="26"/>
  <c r="W658" i="26" s="1"/>
  <c r="U647" i="26"/>
  <c r="W647" i="26" s="1"/>
  <c r="U642" i="26"/>
  <c r="W642" i="26" s="1"/>
  <c r="U558" i="26"/>
  <c r="W558" i="26" s="1"/>
  <c r="U542" i="26"/>
  <c r="W542" i="26" s="1"/>
  <c r="U526" i="26"/>
  <c r="W526" i="26" s="1"/>
  <c r="U510" i="26"/>
  <c r="W510" i="26" s="1"/>
  <c r="U494" i="26"/>
  <c r="W494" i="26" s="1"/>
  <c r="U478" i="26"/>
  <c r="W478" i="26" s="1"/>
  <c r="U462" i="26"/>
  <c r="W462" i="26" s="1"/>
  <c r="U446" i="26"/>
  <c r="W446" i="26" s="1"/>
  <c r="U432" i="26"/>
  <c r="W432" i="26" s="1"/>
  <c r="U426" i="26"/>
  <c r="W426" i="26" s="1"/>
  <c r="U424" i="26"/>
  <c r="W424" i="26" s="1"/>
  <c r="U418" i="26"/>
  <c r="W418" i="26" s="1"/>
  <c r="U416" i="26"/>
  <c r="W416" i="26" s="1"/>
  <c r="U410" i="26"/>
  <c r="W410" i="26" s="1"/>
  <c r="U408" i="26"/>
  <c r="W408" i="26" s="1"/>
  <c r="U402" i="26"/>
  <c r="W402" i="26" s="1"/>
  <c r="U400" i="26"/>
  <c r="W400" i="26" s="1"/>
  <c r="U397" i="26"/>
  <c r="W397" i="26" s="1"/>
  <c r="U393" i="26"/>
  <c r="W393" i="26" s="1"/>
  <c r="U389" i="26"/>
  <c r="W389" i="26" s="1"/>
  <c r="U385" i="26"/>
  <c r="W385" i="26" s="1"/>
  <c r="U381" i="26"/>
  <c r="W381" i="26" s="1"/>
  <c r="U377" i="26"/>
  <c r="W377" i="26" s="1"/>
  <c r="U373" i="26"/>
  <c r="W373" i="26" s="1"/>
  <c r="U369" i="26"/>
  <c r="W369" i="26" s="1"/>
  <c r="U365" i="26"/>
  <c r="W365" i="26" s="1"/>
  <c r="U361" i="26"/>
  <c r="W361" i="26" s="1"/>
  <c r="U357" i="26"/>
  <c r="W357" i="26" s="1"/>
  <c r="U353" i="26"/>
  <c r="W353" i="26" s="1"/>
  <c r="U349" i="26"/>
  <c r="W349" i="26" s="1"/>
  <c r="U345" i="26"/>
  <c r="W345" i="26" s="1"/>
  <c r="U341" i="26"/>
  <c r="W341" i="26" s="1"/>
  <c r="U337" i="26"/>
  <c r="W337" i="26" s="1"/>
  <c r="U333" i="26"/>
  <c r="W333" i="26" s="1"/>
  <c r="U329" i="26"/>
  <c r="W329" i="26" s="1"/>
  <c r="U325" i="26"/>
  <c r="W325" i="26" s="1"/>
  <c r="U321" i="26"/>
  <c r="W321" i="26" s="1"/>
  <c r="U317" i="26"/>
  <c r="W317" i="26" s="1"/>
  <c r="U313" i="26"/>
  <c r="W313" i="26" s="1"/>
  <c r="U309" i="26"/>
  <c r="W309" i="26" s="1"/>
  <c r="U305" i="26"/>
  <c r="W305" i="26" s="1"/>
  <c r="U301" i="26"/>
  <c r="W301" i="26" s="1"/>
  <c r="U297" i="26"/>
  <c r="W297" i="26" s="1"/>
  <c r="U293" i="26"/>
  <c r="W293" i="26" s="1"/>
  <c r="U289" i="26"/>
  <c r="W289" i="26" s="1"/>
  <c r="U285" i="26"/>
  <c r="W285" i="26" s="1"/>
  <c r="U281" i="26"/>
  <c r="W281" i="26" s="1"/>
  <c r="U277" i="26"/>
  <c r="W277" i="26" s="1"/>
  <c r="U273" i="26"/>
  <c r="W273" i="26" s="1"/>
  <c r="U269" i="26"/>
  <c r="W269" i="26" s="1"/>
  <c r="U265" i="26"/>
  <c r="W265" i="26" s="1"/>
  <c r="U261" i="26"/>
  <c r="W261" i="26" s="1"/>
  <c r="U257" i="26"/>
  <c r="W257" i="26" s="1"/>
  <c r="U253" i="26"/>
  <c r="W253" i="26" s="1"/>
  <c r="U249" i="26"/>
  <c r="W249" i="26" s="1"/>
  <c r="U245" i="26"/>
  <c r="W245" i="26" s="1"/>
  <c r="U241" i="26"/>
  <c r="W241" i="26" s="1"/>
  <c r="U237" i="26"/>
  <c r="W237" i="26" s="1"/>
  <c r="U233" i="26"/>
  <c r="W233" i="26" s="1"/>
  <c r="U229" i="26"/>
  <c r="W229" i="26" s="1"/>
  <c r="U225" i="26"/>
  <c r="W225" i="26" s="1"/>
  <c r="U221" i="26"/>
  <c r="W221" i="26" s="1"/>
  <c r="U217" i="26"/>
  <c r="W217" i="26" s="1"/>
  <c r="U213" i="26"/>
  <c r="W213" i="26" s="1"/>
  <c r="U209" i="26"/>
  <c r="W209" i="26" s="1"/>
  <c r="U205" i="26"/>
  <c r="W205" i="26" s="1"/>
  <c r="U201" i="26"/>
  <c r="W201" i="26" s="1"/>
  <c r="U197" i="26"/>
  <c r="W197" i="26" s="1"/>
  <c r="U193" i="26"/>
  <c r="W193" i="26" s="1"/>
  <c r="U189" i="26"/>
  <c r="W189" i="26" s="1"/>
  <c r="U185" i="26"/>
  <c r="W185" i="26" s="1"/>
  <c r="U181" i="26"/>
  <c r="W181" i="26" s="1"/>
  <c r="U177" i="26"/>
  <c r="W177" i="26" s="1"/>
  <c r="U173" i="26"/>
  <c r="W173" i="26" s="1"/>
  <c r="U169" i="26"/>
  <c r="W169" i="26" s="1"/>
  <c r="U165" i="26"/>
  <c r="W165" i="26" s="1"/>
  <c r="U161" i="26"/>
  <c r="W161" i="26" s="1"/>
  <c r="U157" i="26"/>
  <c r="W157" i="26" s="1"/>
  <c r="U153" i="26"/>
  <c r="W153" i="26" s="1"/>
  <c r="U149" i="26"/>
  <c r="W149" i="26" s="1"/>
  <c r="U145" i="26"/>
  <c r="W145" i="26" s="1"/>
  <c r="U141" i="26"/>
  <c r="W141" i="26" s="1"/>
  <c r="U137" i="26"/>
  <c r="W137" i="26" s="1"/>
  <c r="U133" i="26"/>
  <c r="W133" i="26" s="1"/>
  <c r="U129" i="26"/>
  <c r="W129" i="26" s="1"/>
  <c r="U125" i="26"/>
  <c r="W125" i="26" s="1"/>
  <c r="U121" i="26"/>
  <c r="W121" i="26" s="1"/>
  <c r="U117" i="26"/>
  <c r="W117" i="26" s="1"/>
  <c r="U834" i="26"/>
  <c r="W834" i="26" s="1"/>
  <c r="U720" i="26"/>
  <c r="W720" i="26" s="1"/>
  <c r="U687" i="26"/>
  <c r="W687" i="26" s="1"/>
  <c r="U656" i="26"/>
  <c r="W656" i="26" s="1"/>
  <c r="U627" i="26"/>
  <c r="W627" i="26" s="1"/>
  <c r="U611" i="26"/>
  <c r="W611" i="26" s="1"/>
  <c r="U595" i="26"/>
  <c r="W595" i="26" s="1"/>
  <c r="U579" i="26"/>
  <c r="W579" i="26" s="1"/>
  <c r="U559" i="26"/>
  <c r="W559" i="26" s="1"/>
  <c r="U548" i="26"/>
  <c r="W548" i="26" s="1"/>
  <c r="U527" i="26"/>
  <c r="W527" i="26" s="1"/>
  <c r="U516" i="26"/>
  <c r="W516" i="26" s="1"/>
  <c r="U495" i="26"/>
  <c r="W495" i="26" s="1"/>
  <c r="U484" i="26"/>
  <c r="W484" i="26" s="1"/>
  <c r="U463" i="26"/>
  <c r="W463" i="26" s="1"/>
  <c r="U452" i="26"/>
  <c r="W452" i="26" s="1"/>
  <c r="U430" i="26"/>
  <c r="W430" i="26" s="1"/>
  <c r="U414" i="26"/>
  <c r="W414" i="26" s="1"/>
  <c r="U192" i="26"/>
  <c r="W192" i="26" s="1"/>
  <c r="U186" i="26"/>
  <c r="W186" i="26" s="1"/>
  <c r="U184" i="26"/>
  <c r="W184" i="26" s="1"/>
  <c r="U178" i="26"/>
  <c r="W178" i="26" s="1"/>
  <c r="U176" i="26"/>
  <c r="W176" i="26" s="1"/>
  <c r="U170" i="26"/>
  <c r="W170" i="26" s="1"/>
  <c r="U168" i="26"/>
  <c r="U162" i="26"/>
  <c r="W162" i="26" s="1"/>
  <c r="U160" i="26"/>
  <c r="W160" i="26" s="1"/>
  <c r="U154" i="26"/>
  <c r="W154" i="26" s="1"/>
  <c r="U152" i="26"/>
  <c r="W152" i="26" s="1"/>
  <c r="U146" i="26"/>
  <c r="W146" i="26" s="1"/>
  <c r="U144" i="26"/>
  <c r="W144" i="26" s="1"/>
  <c r="U138" i="26"/>
  <c r="W138" i="26" s="1"/>
  <c r="U136" i="26"/>
  <c r="W136" i="26" s="1"/>
  <c r="U130" i="26"/>
  <c r="W130" i="26" s="1"/>
  <c r="U128" i="26"/>
  <c r="W128" i="26" s="1"/>
  <c r="U122" i="26"/>
  <c r="W122" i="26" s="1"/>
  <c r="U120" i="26"/>
  <c r="W120" i="26" s="1"/>
  <c r="U112" i="26"/>
  <c r="W112" i="26" s="1"/>
  <c r="U108" i="26"/>
  <c r="W108" i="26" s="1"/>
  <c r="U96" i="26"/>
  <c r="W96" i="26" s="1"/>
  <c r="U88" i="26"/>
  <c r="W88" i="26" s="1"/>
  <c r="U80" i="26"/>
  <c r="W80" i="26" s="1"/>
  <c r="U72" i="26"/>
  <c r="W72" i="26" s="1"/>
  <c r="U56" i="26"/>
  <c r="V56" i="26" s="1"/>
  <c r="U48" i="26"/>
  <c r="W48" i="26" s="1"/>
  <c r="U44" i="26"/>
  <c r="W44" i="26" s="1"/>
  <c r="U40" i="26"/>
  <c r="W40" i="26" s="1"/>
  <c r="U30" i="26"/>
  <c r="W30" i="26" s="1"/>
  <c r="U24" i="26"/>
  <c r="W24" i="26" s="1"/>
  <c r="U16" i="26"/>
  <c r="W16" i="26" s="1"/>
  <c r="U11" i="26"/>
  <c r="U4" i="26"/>
  <c r="U607" i="26"/>
  <c r="W607" i="26" s="1"/>
  <c r="U591" i="26"/>
  <c r="W591" i="26" s="1"/>
  <c r="U575" i="26"/>
  <c r="W575" i="26" s="1"/>
  <c r="U563" i="26"/>
  <c r="W563" i="26" s="1"/>
  <c r="U518" i="26"/>
  <c r="W518" i="26" s="1"/>
  <c r="U499" i="26"/>
  <c r="W499" i="26" s="1"/>
  <c r="U467" i="26"/>
  <c r="W467" i="26" s="1"/>
  <c r="U399" i="26"/>
  <c r="W399" i="26" s="1"/>
  <c r="U395" i="26"/>
  <c r="W395" i="26" s="1"/>
  <c r="U391" i="26"/>
  <c r="W391" i="26" s="1"/>
  <c r="U387" i="26"/>
  <c r="W387" i="26" s="1"/>
  <c r="U383" i="26"/>
  <c r="W383" i="26" s="1"/>
  <c r="U379" i="26"/>
  <c r="W379" i="26" s="1"/>
  <c r="U375" i="26"/>
  <c r="W375" i="26" s="1"/>
  <c r="U371" i="26"/>
  <c r="W371" i="26" s="1"/>
  <c r="U367" i="26"/>
  <c r="W367" i="26" s="1"/>
  <c r="U363" i="26"/>
  <c r="W363" i="26" s="1"/>
  <c r="U359" i="26"/>
  <c r="W359" i="26" s="1"/>
  <c r="U355" i="26"/>
  <c r="W355" i="26" s="1"/>
  <c r="U351" i="26"/>
  <c r="W351" i="26" s="1"/>
  <c r="U347" i="26"/>
  <c r="W347" i="26" s="1"/>
  <c r="U343" i="26"/>
  <c r="W343" i="26" s="1"/>
  <c r="U339" i="26"/>
  <c r="W339" i="26" s="1"/>
  <c r="U335" i="26"/>
  <c r="W335" i="26" s="1"/>
  <c r="U331" i="26"/>
  <c r="W331" i="26" s="1"/>
  <c r="U327" i="26"/>
  <c r="W327" i="26" s="1"/>
  <c r="U279" i="26"/>
  <c r="W279" i="26" s="1"/>
  <c r="U275" i="26"/>
  <c r="W275" i="26" s="1"/>
  <c r="U271" i="26"/>
  <c r="W271" i="26" s="1"/>
  <c r="U267" i="26"/>
  <c r="W267" i="26" s="1"/>
  <c r="U263" i="26"/>
  <c r="W263" i="26" s="1"/>
  <c r="U259" i="26"/>
  <c r="W259" i="26" s="1"/>
  <c r="U255" i="26"/>
  <c r="W255" i="26" s="1"/>
  <c r="U251" i="26"/>
  <c r="W251" i="26" s="1"/>
  <c r="U247" i="26"/>
  <c r="W247" i="26" s="1"/>
  <c r="U231" i="26"/>
  <c r="W231" i="26" s="1"/>
  <c r="U219" i="26"/>
  <c r="W219" i="26" s="1"/>
  <c r="U191" i="26"/>
  <c r="W191" i="26" s="1"/>
  <c r="U183" i="26"/>
  <c r="W183" i="26" s="1"/>
  <c r="U175" i="26"/>
  <c r="W175" i="26" s="1"/>
  <c r="U167" i="26"/>
  <c r="W167" i="26" s="1"/>
  <c r="U159" i="26"/>
  <c r="W159" i="26" s="1"/>
  <c r="U143" i="26"/>
  <c r="W143" i="26" s="1"/>
  <c r="U119" i="26"/>
  <c r="W119" i="26" s="1"/>
  <c r="U93" i="26"/>
  <c r="W93" i="26" s="1"/>
  <c r="U85" i="26"/>
  <c r="W85" i="26" s="1"/>
  <c r="U81" i="26"/>
  <c r="W81" i="26" s="1"/>
  <c r="U77" i="26"/>
  <c r="W77" i="26" s="1"/>
  <c r="U73" i="26"/>
  <c r="W73" i="26" s="1"/>
  <c r="U69" i="26"/>
  <c r="W69" i="26" s="1"/>
  <c r="U53" i="26"/>
  <c r="W53" i="26" s="1"/>
  <c r="U49" i="26"/>
  <c r="V49" i="26" s="1"/>
  <c r="U41" i="26"/>
  <c r="W41" i="26" s="1"/>
  <c r="U37" i="26"/>
  <c r="W37" i="26" s="1"/>
  <c r="U902" i="26"/>
  <c r="W902" i="26" s="1"/>
  <c r="U881" i="26"/>
  <c r="W881" i="26" s="1"/>
  <c r="U864" i="26"/>
  <c r="W864" i="26" s="1"/>
  <c r="U788" i="26"/>
  <c r="W788" i="26" s="1"/>
  <c r="U785" i="26"/>
  <c r="W785" i="26" s="1"/>
  <c r="U738" i="26"/>
  <c r="W738" i="26" s="1"/>
  <c r="U704" i="26"/>
  <c r="W704" i="26" s="1"/>
  <c r="U671" i="26"/>
  <c r="W671" i="26" s="1"/>
  <c r="U640" i="26"/>
  <c r="W640" i="26" s="1"/>
  <c r="U631" i="26"/>
  <c r="W631" i="26" s="1"/>
  <c r="U615" i="26"/>
  <c r="W615" i="26" s="1"/>
  <c r="U599" i="26"/>
  <c r="W599" i="26" s="1"/>
  <c r="U583" i="26"/>
  <c r="W583" i="26" s="1"/>
  <c r="U566" i="26"/>
  <c r="W566" i="26" s="1"/>
  <c r="U547" i="26"/>
  <c r="W547" i="26" s="1"/>
  <c r="U534" i="26"/>
  <c r="W534" i="26" s="1"/>
  <c r="U515" i="26"/>
  <c r="W515" i="26" s="1"/>
  <c r="U502" i="26"/>
  <c r="W502" i="26" s="1"/>
  <c r="U483" i="26"/>
  <c r="W483" i="26" s="1"/>
  <c r="U470" i="26"/>
  <c r="W470" i="26" s="1"/>
  <c r="U451" i="26"/>
  <c r="W451" i="26" s="1"/>
  <c r="U438" i="26"/>
  <c r="W438" i="26" s="1"/>
  <c r="U428" i="26"/>
  <c r="W428" i="26" s="1"/>
  <c r="U427" i="26"/>
  <c r="W427" i="26" s="1"/>
  <c r="U412" i="26"/>
  <c r="W412" i="26" s="1"/>
  <c r="U411" i="26"/>
  <c r="W411" i="26" s="1"/>
  <c r="U187" i="26"/>
  <c r="W187" i="26" s="1"/>
  <c r="U179" i="26"/>
  <c r="W179" i="26" s="1"/>
  <c r="U171" i="26"/>
  <c r="W171" i="26" s="1"/>
  <c r="U163" i="26"/>
  <c r="W163" i="26" s="1"/>
  <c r="U155" i="26"/>
  <c r="W155" i="26" s="1"/>
  <c r="U147" i="26"/>
  <c r="W147" i="26" s="1"/>
  <c r="U139" i="26"/>
  <c r="W139" i="26" s="1"/>
  <c r="U131" i="26"/>
  <c r="W131" i="26" s="1"/>
  <c r="U123" i="26"/>
  <c r="W123" i="26" s="1"/>
  <c r="U115" i="26"/>
  <c r="W115" i="26" s="1"/>
  <c r="U111" i="26"/>
  <c r="W111" i="26" s="1"/>
  <c r="U107" i="26"/>
  <c r="W107" i="26" s="1"/>
  <c r="U103" i="26"/>
  <c r="W103" i="26" s="1"/>
  <c r="U99" i="26"/>
  <c r="W99" i="26" s="1"/>
  <c r="U95" i="26"/>
  <c r="W95" i="26" s="1"/>
  <c r="U91" i="26"/>
  <c r="W91" i="26" s="1"/>
  <c r="U87" i="26"/>
  <c r="W87" i="26" s="1"/>
  <c r="U83" i="26"/>
  <c r="W83" i="26" s="1"/>
  <c r="U79" i="26"/>
  <c r="W79" i="26" s="1"/>
  <c r="U75" i="26"/>
  <c r="W75" i="26" s="1"/>
  <c r="U71" i="26"/>
  <c r="W71" i="26" s="1"/>
  <c r="U67" i="26"/>
  <c r="W67" i="26" s="1"/>
  <c r="X67" i="26" s="1"/>
  <c r="U63" i="26"/>
  <c r="W63" i="26" s="1"/>
  <c r="U59" i="26"/>
  <c r="W59" i="26" s="1"/>
  <c r="U55" i="26"/>
  <c r="W55" i="26" s="1"/>
  <c r="U51" i="26"/>
  <c r="W51" i="26" s="1"/>
  <c r="U47" i="26"/>
  <c r="W47" i="26" s="1"/>
  <c r="U43" i="26"/>
  <c r="W43" i="26" s="1"/>
  <c r="U39" i="26"/>
  <c r="W39" i="26" s="1"/>
  <c r="U35" i="26"/>
  <c r="W35" i="26" s="1"/>
  <c r="U33" i="26"/>
  <c r="W33" i="26" s="1"/>
  <c r="U31" i="26"/>
  <c r="W31" i="26" s="1"/>
  <c r="U29" i="26"/>
  <c r="W29" i="26" s="1"/>
  <c r="U23" i="26"/>
  <c r="V23" i="26" s="1"/>
  <c r="U21" i="26"/>
  <c r="W21" i="26" s="1"/>
  <c r="U20" i="26"/>
  <c r="V20" i="26" s="1"/>
  <c r="U19" i="26"/>
  <c r="V19" i="26" s="1"/>
  <c r="U18" i="26"/>
  <c r="U10" i="26"/>
  <c r="V10" i="26" s="1"/>
  <c r="U3" i="26"/>
  <c r="U104" i="26"/>
  <c r="W104" i="26" s="1"/>
  <c r="U100" i="26"/>
  <c r="W100" i="26" s="1"/>
  <c r="U92" i="26"/>
  <c r="W92" i="26" s="1"/>
  <c r="U84" i="26"/>
  <c r="W84" i="26" s="1"/>
  <c r="U76" i="26"/>
  <c r="W76" i="26" s="1"/>
  <c r="U68" i="26"/>
  <c r="W68" i="26" s="1"/>
  <c r="X68" i="26" s="1"/>
  <c r="U64" i="26"/>
  <c r="W64" i="26" s="1"/>
  <c r="U60" i="26"/>
  <c r="W60" i="26" s="1"/>
  <c r="U52" i="26"/>
  <c r="W52" i="26" s="1"/>
  <c r="U36" i="26"/>
  <c r="W36" i="26" s="1"/>
  <c r="U28" i="26"/>
  <c r="W28" i="26" s="1"/>
  <c r="U27" i="26"/>
  <c r="W27" i="26" s="1"/>
  <c r="U14" i="26"/>
  <c r="U7" i="26"/>
  <c r="U703" i="26"/>
  <c r="W703" i="26" s="1"/>
  <c r="U672" i="26"/>
  <c r="W672" i="26" s="1"/>
  <c r="U639" i="26"/>
  <c r="W639" i="26" s="1"/>
  <c r="U623" i="26"/>
  <c r="W623" i="26" s="1"/>
  <c r="U550" i="26"/>
  <c r="W550" i="26" s="1"/>
  <c r="U531" i="26"/>
  <c r="W531" i="26" s="1"/>
  <c r="U486" i="26"/>
  <c r="W486" i="26" s="1"/>
  <c r="U454" i="26"/>
  <c r="W454" i="26" s="1"/>
  <c r="U435" i="26"/>
  <c r="W435" i="26" s="1"/>
  <c r="U420" i="26"/>
  <c r="W420" i="26" s="1"/>
  <c r="U419" i="26"/>
  <c r="W419" i="26" s="1"/>
  <c r="U404" i="26"/>
  <c r="W404" i="26" s="1"/>
  <c r="U403" i="26"/>
  <c r="W403" i="26" s="1"/>
  <c r="U323" i="26"/>
  <c r="W323" i="26" s="1"/>
  <c r="U319" i="26"/>
  <c r="W319" i="26" s="1"/>
  <c r="U315" i="26"/>
  <c r="W315" i="26" s="1"/>
  <c r="U311" i="26"/>
  <c r="W311" i="26" s="1"/>
  <c r="U307" i="26"/>
  <c r="W307" i="26" s="1"/>
  <c r="U303" i="26"/>
  <c r="W303" i="26" s="1"/>
  <c r="U299" i="26"/>
  <c r="W299" i="26" s="1"/>
  <c r="U295" i="26"/>
  <c r="W295" i="26" s="1"/>
  <c r="U291" i="26"/>
  <c r="W291" i="26" s="1"/>
  <c r="U287" i="26"/>
  <c r="W287" i="26" s="1"/>
  <c r="U283" i="26"/>
  <c r="W283" i="26" s="1"/>
  <c r="U243" i="26"/>
  <c r="W243" i="26" s="1"/>
  <c r="U239" i="26"/>
  <c r="W239" i="26" s="1"/>
  <c r="U235" i="26"/>
  <c r="W235" i="26" s="1"/>
  <c r="U227" i="26"/>
  <c r="W227" i="26" s="1"/>
  <c r="U223" i="26"/>
  <c r="W223" i="26" s="1"/>
  <c r="U215" i="26"/>
  <c r="W215" i="26" s="1"/>
  <c r="U211" i="26"/>
  <c r="W211" i="26" s="1"/>
  <c r="U207" i="26"/>
  <c r="W207" i="26" s="1"/>
  <c r="U203" i="26"/>
  <c r="W203" i="26" s="1"/>
  <c r="U199" i="26"/>
  <c r="W199" i="26" s="1"/>
  <c r="U195" i="26"/>
  <c r="W195" i="26" s="1"/>
  <c r="U151" i="26"/>
  <c r="W151" i="26" s="1"/>
  <c r="U135" i="26"/>
  <c r="W135" i="26" s="1"/>
  <c r="U127" i="26"/>
  <c r="W127" i="26" s="1"/>
  <c r="U113" i="26"/>
  <c r="W113" i="26" s="1"/>
  <c r="U109" i="26"/>
  <c r="W109" i="26" s="1"/>
  <c r="U105" i="26"/>
  <c r="W105" i="26" s="1"/>
  <c r="U101" i="26"/>
  <c r="W101" i="26" s="1"/>
  <c r="U97" i="26"/>
  <c r="W97" i="26" s="1"/>
  <c r="U89" i="26"/>
  <c r="W89" i="26" s="1"/>
  <c r="U65" i="26"/>
  <c r="W65" i="26" s="1"/>
  <c r="U61" i="26"/>
  <c r="W61" i="26" s="1"/>
  <c r="U57" i="26"/>
  <c r="W57" i="26" s="1"/>
  <c r="U45" i="26"/>
  <c r="W45" i="26" s="1"/>
  <c r="U635" i="26"/>
  <c r="W635" i="26" s="1"/>
  <c r="U571" i="26"/>
  <c r="W571" i="26" s="1"/>
  <c r="U396" i="26"/>
  <c r="W396" i="26" s="1"/>
  <c r="U392" i="26"/>
  <c r="W392" i="26" s="1"/>
  <c r="U388" i="26"/>
  <c r="W388" i="26" s="1"/>
  <c r="U384" i="26"/>
  <c r="W384" i="26" s="1"/>
  <c r="U380" i="26"/>
  <c r="W380" i="26" s="1"/>
  <c r="U376" i="26"/>
  <c r="W376" i="26" s="1"/>
  <c r="U372" i="26"/>
  <c r="W372" i="26" s="1"/>
  <c r="U364" i="26"/>
  <c r="W364" i="26" s="1"/>
  <c r="U352" i="26"/>
  <c r="W352" i="26" s="1"/>
  <c r="U348" i="26"/>
  <c r="W348" i="26" s="1"/>
  <c r="U344" i="26"/>
  <c r="W344" i="26" s="1"/>
  <c r="U336" i="26"/>
  <c r="W336" i="26" s="1"/>
  <c r="U328" i="26"/>
  <c r="W328" i="26" s="1"/>
  <c r="U324" i="26"/>
  <c r="W324" i="26" s="1"/>
  <c r="U316" i="26"/>
  <c r="W316" i="26" s="1"/>
  <c r="U308" i="26"/>
  <c r="W308" i="26" s="1"/>
  <c r="U300" i="26"/>
  <c r="W300" i="26" s="1"/>
  <c r="U296" i="26"/>
  <c r="W296" i="26" s="1"/>
  <c r="U288" i="26"/>
  <c r="W288" i="26" s="1"/>
  <c r="U280" i="26"/>
  <c r="W280" i="26" s="1"/>
  <c r="U272" i="26"/>
  <c r="W272" i="26" s="1"/>
  <c r="U268" i="26"/>
  <c r="W268" i="26" s="1"/>
  <c r="U260" i="26"/>
  <c r="W260" i="26" s="1"/>
  <c r="U256" i="26"/>
  <c r="W256" i="26" s="1"/>
  <c r="U252" i="26"/>
  <c r="W252" i="26" s="1"/>
  <c r="U244" i="26"/>
  <c r="W244" i="26" s="1"/>
  <c r="U236" i="26"/>
  <c r="W236" i="26" s="1"/>
  <c r="U232" i="26"/>
  <c r="W232" i="26" s="1"/>
  <c r="U224" i="26"/>
  <c r="W224" i="26" s="1"/>
  <c r="U220" i="26"/>
  <c r="W220" i="26" s="1"/>
  <c r="U212" i="26"/>
  <c r="W212" i="26" s="1"/>
  <c r="U204" i="26"/>
  <c r="W204" i="26" s="1"/>
  <c r="U200" i="26"/>
  <c r="W200" i="26" s="1"/>
  <c r="U164" i="26"/>
  <c r="W164" i="26" s="1"/>
  <c r="U132" i="26"/>
  <c r="W132" i="26" s="1"/>
  <c r="U116" i="26"/>
  <c r="W116" i="26" s="1"/>
  <c r="U15" i="26"/>
  <c r="W15" i="26" s="1"/>
  <c r="U688" i="26"/>
  <c r="W688" i="26" s="1"/>
  <c r="U174" i="26"/>
  <c r="W174" i="26" s="1"/>
  <c r="U82" i="26"/>
  <c r="W82" i="26" s="1"/>
  <c r="U66" i="26"/>
  <c r="W66" i="26" s="1"/>
  <c r="X66" i="26" s="1"/>
  <c r="U58" i="26"/>
  <c r="W58" i="26" s="1"/>
  <c r="U42" i="26"/>
  <c r="W42" i="26" s="1"/>
  <c r="U655" i="26"/>
  <c r="W655" i="26" s="1"/>
  <c r="U603" i="26"/>
  <c r="W603" i="26" s="1"/>
  <c r="U422" i="26"/>
  <c r="W422" i="26" s="1"/>
  <c r="U188" i="26"/>
  <c r="W188" i="26" s="1"/>
  <c r="U156" i="26"/>
  <c r="W156" i="26" s="1"/>
  <c r="H8" i="26"/>
  <c r="H9" i="26" s="1"/>
  <c r="U5" i="26"/>
  <c r="W5" i="26" s="1"/>
  <c r="U1" i="26"/>
  <c r="W1" i="26" s="1"/>
  <c r="U849" i="26"/>
  <c r="W849" i="26" s="1"/>
  <c r="U719" i="26"/>
  <c r="W719" i="26" s="1"/>
  <c r="U587" i="26"/>
  <c r="W587" i="26" s="1"/>
  <c r="U543" i="26"/>
  <c r="W543" i="26" s="1"/>
  <c r="U511" i="26"/>
  <c r="W511" i="26" s="1"/>
  <c r="U479" i="26"/>
  <c r="W479" i="26" s="1"/>
  <c r="U447" i="26"/>
  <c r="W447" i="26" s="1"/>
  <c r="U182" i="26"/>
  <c r="W182" i="26" s="1"/>
  <c r="U166" i="26"/>
  <c r="W166" i="26" s="1"/>
  <c r="U150" i="26"/>
  <c r="W150" i="26" s="1"/>
  <c r="U134" i="26"/>
  <c r="W134" i="26" s="1"/>
  <c r="U118" i="26"/>
  <c r="W118" i="26" s="1"/>
  <c r="U110" i="26"/>
  <c r="W110" i="26" s="1"/>
  <c r="U102" i="26"/>
  <c r="W102" i="26" s="1"/>
  <c r="U94" i="26"/>
  <c r="W94" i="26" s="1"/>
  <c r="U86" i="26"/>
  <c r="W86" i="26" s="1"/>
  <c r="U78" i="26"/>
  <c r="W78" i="26" s="1"/>
  <c r="U70" i="26"/>
  <c r="W70" i="26" s="1"/>
  <c r="U62" i="26"/>
  <c r="W62" i="26" s="1"/>
  <c r="U54" i="26"/>
  <c r="W54" i="26" s="1"/>
  <c r="U46" i="26"/>
  <c r="W46" i="26" s="1"/>
  <c r="U38" i="26"/>
  <c r="W38" i="26" s="1"/>
  <c r="U32" i="26"/>
  <c r="W32" i="26" s="1"/>
  <c r="U22" i="26"/>
  <c r="W22" i="26" s="1"/>
  <c r="U13" i="26"/>
  <c r="V13" i="26" s="1"/>
  <c r="U12" i="26"/>
  <c r="V12" i="26" s="1"/>
  <c r="U8" i="26"/>
  <c r="G8" i="26"/>
  <c r="U6" i="26"/>
  <c r="W6" i="26" s="1"/>
  <c r="U2" i="26"/>
  <c r="V2" i="26" s="1"/>
  <c r="U368" i="26"/>
  <c r="W368" i="26" s="1"/>
  <c r="U360" i="26"/>
  <c r="W360" i="26" s="1"/>
  <c r="U356" i="26"/>
  <c r="W356" i="26" s="1"/>
  <c r="U340" i="26"/>
  <c r="W340" i="26" s="1"/>
  <c r="U332" i="26"/>
  <c r="W332" i="26" s="1"/>
  <c r="U320" i="26"/>
  <c r="W320" i="26" s="1"/>
  <c r="U312" i="26"/>
  <c r="W312" i="26" s="1"/>
  <c r="U304" i="26"/>
  <c r="W304" i="26" s="1"/>
  <c r="U292" i="26"/>
  <c r="W292" i="26" s="1"/>
  <c r="U284" i="26"/>
  <c r="W284" i="26" s="1"/>
  <c r="U276" i="26"/>
  <c r="W276" i="26" s="1"/>
  <c r="U264" i="26"/>
  <c r="W264" i="26" s="1"/>
  <c r="U248" i="26"/>
  <c r="W248" i="26" s="1"/>
  <c r="U240" i="26"/>
  <c r="W240" i="26" s="1"/>
  <c r="U228" i="26"/>
  <c r="W228" i="26" s="1"/>
  <c r="U216" i="26"/>
  <c r="W216" i="26" s="1"/>
  <c r="U208" i="26"/>
  <c r="W208" i="26" s="1"/>
  <c r="U196" i="26"/>
  <c r="W196" i="26" s="1"/>
  <c r="U180" i="26"/>
  <c r="W180" i="26" s="1"/>
  <c r="U148" i="26"/>
  <c r="W148" i="26" s="1"/>
  <c r="U26" i="26"/>
  <c r="W26" i="26" s="1"/>
  <c r="U25" i="26"/>
  <c r="W25" i="26" s="1"/>
  <c r="U619" i="26"/>
  <c r="W619" i="26" s="1"/>
  <c r="U190" i="26"/>
  <c r="W190" i="26" s="1"/>
  <c r="U158" i="26"/>
  <c r="W158" i="26" s="1"/>
  <c r="U142" i="26"/>
  <c r="W142" i="26" s="1"/>
  <c r="U126" i="26"/>
  <c r="W126" i="26" s="1"/>
  <c r="U114" i="26"/>
  <c r="W114" i="26" s="1"/>
  <c r="U106" i="26"/>
  <c r="W106" i="26" s="1"/>
  <c r="U98" i="26"/>
  <c r="W98" i="26" s="1"/>
  <c r="U90" i="26"/>
  <c r="V90" i="26" s="1"/>
  <c r="U74" i="26"/>
  <c r="W74" i="26" s="1"/>
  <c r="U50" i="26"/>
  <c r="W50" i="26" s="1"/>
  <c r="U34" i="26"/>
  <c r="W34" i="26" s="1"/>
  <c r="U17" i="26"/>
  <c r="W17" i="26" s="1"/>
  <c r="U9" i="26"/>
  <c r="W9" i="26" s="1"/>
  <c r="U1044" i="26"/>
  <c r="W1044" i="26" s="1"/>
  <c r="U1033" i="26"/>
  <c r="W1033" i="26" s="1"/>
  <c r="U564" i="26"/>
  <c r="W564" i="26" s="1"/>
  <c r="U532" i="26"/>
  <c r="W532" i="26" s="1"/>
  <c r="U500" i="26"/>
  <c r="W500" i="26" s="1"/>
  <c r="U468" i="26"/>
  <c r="W468" i="26" s="1"/>
  <c r="U436" i="26"/>
  <c r="W436" i="26" s="1"/>
  <c r="U406" i="26"/>
  <c r="W406" i="26" s="1"/>
  <c r="U172" i="26"/>
  <c r="W172" i="26" s="1"/>
  <c r="U140" i="26"/>
  <c r="W140" i="26" s="1"/>
  <c r="U124" i="26"/>
  <c r="W124" i="26" s="1"/>
  <c r="W168" i="26"/>
  <c r="C26" i="26"/>
  <c r="L20" i="26"/>
  <c r="M7" i="26"/>
  <c r="M12" i="26"/>
  <c r="G7" i="26"/>
  <c r="G22" i="26"/>
  <c r="G20" i="26"/>
  <c r="E11" i="13"/>
  <c r="V24" i="26" l="1"/>
  <c r="W49" i="26"/>
  <c r="W56" i="26"/>
  <c r="V84" i="26"/>
  <c r="W90" i="26"/>
  <c r="V57" i="26"/>
  <c r="V52" i="26"/>
  <c r="V88" i="26"/>
  <c r="V79" i="26"/>
  <c r="V75" i="26"/>
  <c r="V66" i="26"/>
  <c r="V72" i="26"/>
  <c r="V64" i="26"/>
  <c r="V53" i="26"/>
  <c r="V78" i="26"/>
  <c r="V61" i="26"/>
  <c r="V69" i="26"/>
  <c r="V50" i="26"/>
  <c r="V87" i="26"/>
  <c r="V97" i="26"/>
  <c r="V80" i="26"/>
  <c r="V48" i="26"/>
  <c r="V76" i="26"/>
  <c r="V39" i="26"/>
  <c r="V68" i="26"/>
  <c r="V70" i="26"/>
  <c r="V89" i="26"/>
  <c r="V86" i="26"/>
  <c r="V71" i="26"/>
  <c r="V65" i="26"/>
  <c r="V99" i="26"/>
  <c r="V101" i="26"/>
  <c r="V83" i="26"/>
  <c r="V59" i="26"/>
  <c r="V95" i="26"/>
  <c r="V100" i="26"/>
  <c r="V62" i="26"/>
  <c r="V67" i="26"/>
  <c r="V94" i="26"/>
  <c r="V37" i="26"/>
  <c r="V92" i="26"/>
  <c r="V73" i="26"/>
  <c r="V54" i="26"/>
  <c r="V58" i="26"/>
  <c r="V98" i="26"/>
  <c r="V77" i="26"/>
  <c r="V102" i="26"/>
  <c r="V63" i="26"/>
  <c r="V85" i="26"/>
  <c r="V82" i="26"/>
  <c r="V55" i="26"/>
  <c r="V60" i="26"/>
  <c r="V81" i="26"/>
  <c r="V51" i="26"/>
  <c r="V74" i="26"/>
  <c r="V91" i="26"/>
  <c r="V40" i="26"/>
  <c r="V38" i="26"/>
  <c r="V36" i="26"/>
  <c r="V44" i="26"/>
  <c r="V45" i="26"/>
  <c r="V26" i="26"/>
  <c r="V30" i="26"/>
  <c r="V27" i="26"/>
  <c r="V42" i="26"/>
  <c r="W20" i="26"/>
  <c r="V17" i="26"/>
  <c r="V31" i="26"/>
  <c r="V25" i="26"/>
  <c r="V34" i="26"/>
  <c r="V43" i="26"/>
  <c r="V32" i="26"/>
  <c r="V33" i="26"/>
  <c r="V16" i="26"/>
  <c r="V41" i="26"/>
  <c r="V46" i="26"/>
  <c r="V47" i="26"/>
  <c r="V29" i="26"/>
  <c r="V35" i="26"/>
  <c r="V28" i="26"/>
  <c r="V15" i="26"/>
  <c r="W13" i="26"/>
  <c r="X13" i="26" s="1"/>
  <c r="W19" i="26"/>
  <c r="V9" i="26"/>
  <c r="W12" i="26"/>
  <c r="V6" i="26"/>
  <c r="W2" i="26"/>
  <c r="V8" i="26"/>
  <c r="W8" i="26"/>
  <c r="V18" i="26"/>
  <c r="W18" i="26"/>
  <c r="W3" i="26"/>
  <c r="X3" i="26" s="1"/>
  <c r="V3" i="26"/>
  <c r="V21" i="26"/>
  <c r="X20" i="26"/>
  <c r="W4" i="26"/>
  <c r="V4" i="26"/>
  <c r="K21" i="26"/>
  <c r="I8" i="26"/>
  <c r="B27" i="26"/>
  <c r="L8" i="26"/>
  <c r="L13" i="26"/>
  <c r="K24" i="26"/>
  <c r="W11" i="26"/>
  <c r="V11" i="26"/>
  <c r="B26" i="26"/>
  <c r="K20" i="26"/>
  <c r="L12" i="26"/>
  <c r="K23" i="26"/>
  <c r="I7" i="26"/>
  <c r="G9" i="26"/>
  <c r="L7" i="26"/>
  <c r="W10" i="26"/>
  <c r="V1" i="26"/>
  <c r="W7" i="26"/>
  <c r="V7" i="26"/>
  <c r="V5" i="26"/>
  <c r="V22" i="26"/>
  <c r="W23" i="26"/>
  <c r="C27" i="26"/>
  <c r="C28" i="26" s="1"/>
  <c r="M13" i="26"/>
  <c r="M14" i="26" s="1"/>
  <c r="M8" i="26"/>
  <c r="M9" i="26" s="1"/>
  <c r="L21" i="26"/>
  <c r="L22" i="26" s="1"/>
  <c r="L24" i="26"/>
  <c r="L25" i="26" s="1"/>
  <c r="V14" i="26"/>
  <c r="W14" i="26"/>
  <c r="D32" i="1"/>
  <c r="E31" i="1"/>
  <c r="X11" i="26" l="1"/>
  <c r="Y7" i="26" s="1"/>
  <c r="M24" i="26"/>
  <c r="I9" i="26"/>
  <c r="D27" i="26"/>
  <c r="K25" i="26"/>
  <c r="M25" i="26" s="1"/>
  <c r="N25" i="26" s="1"/>
  <c r="M23" i="26"/>
  <c r="K15" i="26"/>
  <c r="L9" i="26"/>
  <c r="N7" i="26"/>
  <c r="N12" i="26"/>
  <c r="L14" i="26"/>
  <c r="N13" i="26"/>
  <c r="M21" i="26"/>
  <c r="B28" i="26"/>
  <c r="D26" i="26"/>
  <c r="K22" i="26"/>
  <c r="M22" i="26" s="1"/>
  <c r="N22" i="26" s="1"/>
  <c r="F17" i="26" s="1"/>
  <c r="I17" i="26" s="1"/>
  <c r="H17" i="26" s="1"/>
  <c r="M20" i="26"/>
  <c r="N8" i="26"/>
  <c r="Y1077" i="26"/>
  <c r="B104" i="24"/>
  <c r="B103" i="24"/>
  <c r="B102" i="24"/>
  <c r="B101" i="24"/>
  <c r="U100" i="24"/>
  <c r="T100" i="24"/>
  <c r="S100" i="24"/>
  <c r="R100" i="24"/>
  <c r="B100" i="24"/>
  <c r="U99" i="24"/>
  <c r="T99" i="24"/>
  <c r="S99" i="24"/>
  <c r="R99" i="24"/>
  <c r="B99" i="24"/>
  <c r="U98" i="24"/>
  <c r="T98" i="24"/>
  <c r="S98" i="24"/>
  <c r="R98" i="24"/>
  <c r="B98" i="24"/>
  <c r="U97" i="24"/>
  <c r="T97" i="24"/>
  <c r="S97" i="24"/>
  <c r="R97" i="24"/>
  <c r="B97" i="24"/>
  <c r="U96" i="24"/>
  <c r="T96" i="24"/>
  <c r="S96" i="24"/>
  <c r="R96" i="24"/>
  <c r="B96" i="24"/>
  <c r="U95" i="24"/>
  <c r="T95" i="24"/>
  <c r="S95" i="24"/>
  <c r="R95" i="24"/>
  <c r="B95" i="24"/>
  <c r="U94" i="24"/>
  <c r="T94" i="24"/>
  <c r="S94" i="24"/>
  <c r="R94" i="24"/>
  <c r="B94" i="24"/>
  <c r="U93" i="24"/>
  <c r="T93" i="24"/>
  <c r="S93" i="24"/>
  <c r="R93" i="24"/>
  <c r="B93" i="24"/>
  <c r="U92" i="24"/>
  <c r="T92" i="24"/>
  <c r="S92" i="24"/>
  <c r="R92" i="24"/>
  <c r="B92" i="24"/>
  <c r="U91" i="24"/>
  <c r="T91" i="24"/>
  <c r="S91" i="24"/>
  <c r="R91" i="24"/>
  <c r="B91" i="24"/>
  <c r="U90" i="24"/>
  <c r="T90" i="24"/>
  <c r="S90" i="24"/>
  <c r="R90" i="24"/>
  <c r="B90" i="24"/>
  <c r="U89" i="24"/>
  <c r="T89" i="24"/>
  <c r="S89" i="24"/>
  <c r="R89" i="24"/>
  <c r="B89" i="24"/>
  <c r="U88" i="24"/>
  <c r="T88" i="24"/>
  <c r="S88" i="24"/>
  <c r="R88" i="24"/>
  <c r="B88" i="24"/>
  <c r="U87" i="24"/>
  <c r="T87" i="24"/>
  <c r="S87" i="24"/>
  <c r="R87" i="24"/>
  <c r="B87" i="24"/>
  <c r="U86" i="24"/>
  <c r="T86" i="24"/>
  <c r="S86" i="24"/>
  <c r="R86" i="24"/>
  <c r="B86" i="24"/>
  <c r="U85" i="24"/>
  <c r="T85" i="24"/>
  <c r="S85" i="24"/>
  <c r="R85" i="24"/>
  <c r="B85" i="24"/>
  <c r="U84" i="24"/>
  <c r="T84" i="24"/>
  <c r="S84" i="24"/>
  <c r="R84" i="24"/>
  <c r="B84" i="24"/>
  <c r="U83" i="24"/>
  <c r="T83" i="24"/>
  <c r="S83" i="24"/>
  <c r="R83" i="24"/>
  <c r="B83" i="24"/>
  <c r="U82" i="24"/>
  <c r="T82" i="24"/>
  <c r="S82" i="24"/>
  <c r="R82" i="24"/>
  <c r="B82" i="24"/>
  <c r="U81" i="24"/>
  <c r="T81" i="24"/>
  <c r="S81" i="24"/>
  <c r="R81" i="24"/>
  <c r="B81" i="24"/>
  <c r="U80" i="24"/>
  <c r="T80" i="24"/>
  <c r="S80" i="24"/>
  <c r="R80" i="24"/>
  <c r="B80" i="24"/>
  <c r="U79" i="24"/>
  <c r="T79" i="24"/>
  <c r="S79" i="24"/>
  <c r="R79" i="24"/>
  <c r="B79" i="24"/>
  <c r="U78" i="24"/>
  <c r="T78" i="24"/>
  <c r="S78" i="24"/>
  <c r="R78" i="24"/>
  <c r="B78" i="24"/>
  <c r="U77" i="24"/>
  <c r="T77" i="24"/>
  <c r="S77" i="24"/>
  <c r="R77" i="24"/>
  <c r="B77" i="24"/>
  <c r="U76" i="24"/>
  <c r="T76" i="24"/>
  <c r="S76" i="24"/>
  <c r="R76" i="24"/>
  <c r="B76" i="24"/>
  <c r="U75" i="24"/>
  <c r="T75" i="24"/>
  <c r="S75" i="24"/>
  <c r="R75" i="24"/>
  <c r="B75" i="24"/>
  <c r="U74" i="24"/>
  <c r="T74" i="24"/>
  <c r="S74" i="24"/>
  <c r="R74" i="24"/>
  <c r="B74" i="24"/>
  <c r="U73" i="24"/>
  <c r="T73" i="24"/>
  <c r="S73" i="24"/>
  <c r="R73" i="24"/>
  <c r="B73" i="24"/>
  <c r="U72" i="24"/>
  <c r="T72" i="24"/>
  <c r="S72" i="24"/>
  <c r="R72" i="24"/>
  <c r="B72" i="24"/>
  <c r="U71" i="24"/>
  <c r="T71" i="24"/>
  <c r="S71" i="24"/>
  <c r="R71" i="24"/>
  <c r="B71" i="24"/>
  <c r="U70" i="24"/>
  <c r="T70" i="24"/>
  <c r="S70" i="24"/>
  <c r="R70" i="24"/>
  <c r="B70" i="24"/>
  <c r="U69" i="24"/>
  <c r="T69" i="24"/>
  <c r="S69" i="24"/>
  <c r="R69" i="24"/>
  <c r="B69" i="24"/>
  <c r="U68" i="24"/>
  <c r="T68" i="24"/>
  <c r="S68" i="24"/>
  <c r="R68" i="24"/>
  <c r="B68" i="24"/>
  <c r="U67" i="24"/>
  <c r="T67" i="24"/>
  <c r="S67" i="24"/>
  <c r="R67" i="24"/>
  <c r="B67" i="24"/>
  <c r="U66" i="24"/>
  <c r="T66" i="24"/>
  <c r="S66" i="24"/>
  <c r="R66" i="24"/>
  <c r="B66" i="24"/>
  <c r="U65" i="24"/>
  <c r="T65" i="24"/>
  <c r="S65" i="24"/>
  <c r="R65" i="24"/>
  <c r="B65" i="24"/>
  <c r="U64" i="24"/>
  <c r="T64" i="24"/>
  <c r="S64" i="24"/>
  <c r="R64" i="24"/>
  <c r="B64" i="24"/>
  <c r="U63" i="24"/>
  <c r="T63" i="24"/>
  <c r="S63" i="24"/>
  <c r="R63" i="24"/>
  <c r="B63" i="24"/>
  <c r="U62" i="24"/>
  <c r="T62" i="24"/>
  <c r="S62" i="24"/>
  <c r="R62" i="24"/>
  <c r="B62" i="24"/>
  <c r="U61" i="24"/>
  <c r="T61" i="24"/>
  <c r="S61" i="24"/>
  <c r="R61" i="24"/>
  <c r="B61" i="24"/>
  <c r="U60" i="24"/>
  <c r="T60" i="24"/>
  <c r="S60" i="24"/>
  <c r="R60" i="24"/>
  <c r="B60" i="24"/>
  <c r="U59" i="24"/>
  <c r="T59" i="24"/>
  <c r="S59" i="24"/>
  <c r="R59" i="24"/>
  <c r="B59" i="24"/>
  <c r="U58" i="24"/>
  <c r="T58" i="24"/>
  <c r="S58" i="24"/>
  <c r="R58" i="24"/>
  <c r="B58" i="24"/>
  <c r="U57" i="24"/>
  <c r="T57" i="24"/>
  <c r="S57" i="24"/>
  <c r="R57" i="24"/>
  <c r="B57" i="24"/>
  <c r="U56" i="24"/>
  <c r="T56" i="24"/>
  <c r="S56" i="24"/>
  <c r="R56" i="24"/>
  <c r="B56" i="24"/>
  <c r="U55" i="24"/>
  <c r="T55" i="24"/>
  <c r="S55" i="24"/>
  <c r="R55" i="24"/>
  <c r="B55" i="24"/>
  <c r="U54" i="24"/>
  <c r="T54" i="24"/>
  <c r="S54" i="24"/>
  <c r="R54" i="24"/>
  <c r="B54" i="24"/>
  <c r="U53" i="24"/>
  <c r="T53" i="24"/>
  <c r="S53" i="24"/>
  <c r="R53" i="24"/>
  <c r="B53" i="24"/>
  <c r="U52" i="24"/>
  <c r="T52" i="24"/>
  <c r="S52" i="24"/>
  <c r="R52" i="24"/>
  <c r="B52" i="24"/>
  <c r="U51" i="24"/>
  <c r="T51" i="24"/>
  <c r="S51" i="24"/>
  <c r="R51" i="24"/>
  <c r="B51" i="24"/>
  <c r="U50" i="24"/>
  <c r="T50" i="24"/>
  <c r="S50" i="24"/>
  <c r="R50" i="24"/>
  <c r="B50" i="24"/>
  <c r="U49" i="24"/>
  <c r="T49" i="24"/>
  <c r="S49" i="24"/>
  <c r="R49" i="24"/>
  <c r="B49" i="24"/>
  <c r="U48" i="24"/>
  <c r="T48" i="24"/>
  <c r="S48" i="24"/>
  <c r="R48" i="24"/>
  <c r="B48" i="24"/>
  <c r="U47" i="24"/>
  <c r="T47" i="24"/>
  <c r="S47" i="24"/>
  <c r="R47" i="24"/>
  <c r="B47" i="24"/>
  <c r="U46" i="24"/>
  <c r="T46" i="24"/>
  <c r="S46" i="24"/>
  <c r="R46" i="24"/>
  <c r="B46" i="24"/>
  <c r="U45" i="24"/>
  <c r="T45" i="24"/>
  <c r="S45" i="24"/>
  <c r="R45" i="24"/>
  <c r="B45" i="24"/>
  <c r="U44" i="24"/>
  <c r="T44" i="24"/>
  <c r="S44" i="24"/>
  <c r="R44" i="24"/>
  <c r="B44" i="24"/>
  <c r="U43" i="24"/>
  <c r="T43" i="24"/>
  <c r="S43" i="24"/>
  <c r="R43" i="24"/>
  <c r="B43" i="24"/>
  <c r="U42" i="24"/>
  <c r="T42" i="24"/>
  <c r="S42" i="24"/>
  <c r="R42" i="24"/>
  <c r="B42" i="24"/>
  <c r="U41" i="24"/>
  <c r="T41" i="24"/>
  <c r="S41" i="24"/>
  <c r="R41" i="24"/>
  <c r="B41" i="24"/>
  <c r="U40" i="24"/>
  <c r="T40" i="24"/>
  <c r="S40" i="24"/>
  <c r="R40" i="24"/>
  <c r="B40" i="24"/>
  <c r="U39" i="24"/>
  <c r="T39" i="24"/>
  <c r="S39" i="24"/>
  <c r="R39" i="24"/>
  <c r="B39" i="24"/>
  <c r="U38" i="24"/>
  <c r="T38" i="24"/>
  <c r="S38" i="24"/>
  <c r="R38" i="24"/>
  <c r="B38" i="24"/>
  <c r="U37" i="24"/>
  <c r="T37" i="24"/>
  <c r="S37" i="24"/>
  <c r="R37" i="24"/>
  <c r="B37" i="24"/>
  <c r="U36" i="24"/>
  <c r="T36" i="24"/>
  <c r="S36" i="24"/>
  <c r="R36" i="24"/>
  <c r="B36" i="24"/>
  <c r="U35" i="24"/>
  <c r="T35" i="24"/>
  <c r="S35" i="24"/>
  <c r="R35" i="24"/>
  <c r="B35" i="24"/>
  <c r="U34" i="24"/>
  <c r="T34" i="24"/>
  <c r="S34" i="24"/>
  <c r="R34" i="24"/>
  <c r="B34" i="24"/>
  <c r="U33" i="24"/>
  <c r="T33" i="24"/>
  <c r="S33" i="24"/>
  <c r="R33" i="24"/>
  <c r="B33" i="24"/>
  <c r="U32" i="24"/>
  <c r="T32" i="24"/>
  <c r="S32" i="24"/>
  <c r="R32" i="24"/>
  <c r="B32" i="24"/>
  <c r="U31" i="24"/>
  <c r="T31" i="24"/>
  <c r="S31" i="24"/>
  <c r="R31" i="24"/>
  <c r="B31" i="24"/>
  <c r="U30" i="24"/>
  <c r="T30" i="24"/>
  <c r="S30" i="24"/>
  <c r="R30" i="24"/>
  <c r="B30" i="24"/>
  <c r="U29" i="24"/>
  <c r="T29" i="24"/>
  <c r="S29" i="24"/>
  <c r="R29" i="24"/>
  <c r="B29" i="24"/>
  <c r="U28" i="24"/>
  <c r="T28" i="24"/>
  <c r="S28" i="24"/>
  <c r="R28" i="24"/>
  <c r="B28" i="24"/>
  <c r="U27" i="24"/>
  <c r="T27" i="24"/>
  <c r="S27" i="24"/>
  <c r="R27" i="24"/>
  <c r="B27" i="24"/>
  <c r="U26" i="24"/>
  <c r="T26" i="24"/>
  <c r="S26" i="24"/>
  <c r="R26" i="24"/>
  <c r="B26" i="24"/>
  <c r="U25" i="24"/>
  <c r="T25" i="24"/>
  <c r="S25" i="24"/>
  <c r="R25" i="24"/>
  <c r="B25" i="24"/>
  <c r="U24" i="24"/>
  <c r="T24" i="24"/>
  <c r="S24" i="24"/>
  <c r="R24" i="24"/>
  <c r="B24" i="24"/>
  <c r="U23" i="24"/>
  <c r="T23" i="24"/>
  <c r="S23" i="24"/>
  <c r="R23" i="24"/>
  <c r="B23" i="24"/>
  <c r="U22" i="24"/>
  <c r="T22" i="24"/>
  <c r="S22" i="24"/>
  <c r="R22" i="24"/>
  <c r="B22" i="24"/>
  <c r="U21" i="24"/>
  <c r="T21" i="24"/>
  <c r="S21" i="24"/>
  <c r="R21" i="24"/>
  <c r="B21" i="24"/>
  <c r="U20" i="24"/>
  <c r="T20" i="24"/>
  <c r="S20" i="24"/>
  <c r="R20" i="24"/>
  <c r="B20" i="24"/>
  <c r="U19" i="24"/>
  <c r="T19" i="24"/>
  <c r="S19" i="24"/>
  <c r="R19" i="24"/>
  <c r="B19" i="24"/>
  <c r="U18" i="24"/>
  <c r="T18" i="24"/>
  <c r="S18" i="24"/>
  <c r="R18" i="24"/>
  <c r="B18" i="24"/>
  <c r="U17" i="24"/>
  <c r="T17" i="24"/>
  <c r="S17" i="24"/>
  <c r="R17" i="24"/>
  <c r="B17" i="24"/>
  <c r="U16" i="24"/>
  <c r="T16" i="24"/>
  <c r="S16" i="24"/>
  <c r="R16" i="24"/>
  <c r="B16" i="24"/>
  <c r="U15" i="24"/>
  <c r="T15" i="24"/>
  <c r="S15" i="24"/>
  <c r="R15" i="24"/>
  <c r="L15" i="24"/>
  <c r="L12" i="24" s="1"/>
  <c r="B15" i="24"/>
  <c r="U14" i="24"/>
  <c r="T14" i="24"/>
  <c r="S14" i="24"/>
  <c r="R14" i="24"/>
  <c r="B14" i="24"/>
  <c r="U13" i="24"/>
  <c r="T13" i="24"/>
  <c r="S13" i="24"/>
  <c r="R13" i="24"/>
  <c r="L13" i="24"/>
  <c r="B13" i="24"/>
  <c r="U12" i="24"/>
  <c r="T12" i="24"/>
  <c r="S12" i="24"/>
  <c r="R12" i="24"/>
  <c r="B12" i="24"/>
  <c r="U11" i="24"/>
  <c r="T11" i="24"/>
  <c r="S11" i="24"/>
  <c r="R11" i="24"/>
  <c r="B11" i="24"/>
  <c r="U10" i="24"/>
  <c r="T10" i="24"/>
  <c r="S10" i="24"/>
  <c r="R10" i="24"/>
  <c r="B10" i="24"/>
  <c r="U9" i="24"/>
  <c r="T9" i="24"/>
  <c r="S9" i="24"/>
  <c r="R9" i="24"/>
  <c r="B9" i="24"/>
  <c r="U8" i="24"/>
  <c r="T8" i="24"/>
  <c r="S8" i="24"/>
  <c r="R8" i="24"/>
  <c r="B8" i="24"/>
  <c r="U7" i="24"/>
  <c r="T7" i="24"/>
  <c r="S7" i="24"/>
  <c r="R7" i="24"/>
  <c r="B7" i="24"/>
  <c r="U6" i="24"/>
  <c r="T6" i="24"/>
  <c r="S6" i="24"/>
  <c r="R6" i="24"/>
  <c r="B6" i="24"/>
  <c r="U5" i="24"/>
  <c r="T5" i="24"/>
  <c r="S5" i="24"/>
  <c r="R5" i="24"/>
  <c r="B5" i="24"/>
  <c r="U4" i="24"/>
  <c r="T4" i="24"/>
  <c r="S4" i="24"/>
  <c r="R4" i="24"/>
  <c r="U3" i="24"/>
  <c r="T3" i="24"/>
  <c r="S3" i="24"/>
  <c r="R3" i="24"/>
  <c r="N3" i="24"/>
  <c r="L9" i="24" s="1"/>
  <c r="L3" i="24"/>
  <c r="L8" i="24" s="1"/>
  <c r="U2" i="24"/>
  <c r="T2" i="24"/>
  <c r="S2" i="24"/>
  <c r="R2" i="24"/>
  <c r="U1" i="24"/>
  <c r="T1" i="24"/>
  <c r="S1" i="24"/>
  <c r="R1" i="24"/>
  <c r="F16" i="10"/>
  <c r="Y165" i="26" l="1"/>
  <c r="Y9" i="26"/>
  <c r="Y28" i="26"/>
  <c r="Y217" i="26"/>
  <c r="Y987" i="26"/>
  <c r="Y736" i="26"/>
  <c r="Y872" i="26"/>
  <c r="Y447" i="26"/>
  <c r="Y650" i="26"/>
  <c r="Y324" i="26"/>
  <c r="Y465" i="26"/>
  <c r="Y797" i="26"/>
  <c r="Y526" i="26"/>
  <c r="Y87" i="26"/>
  <c r="Y418" i="26"/>
  <c r="Y497" i="26"/>
  <c r="Y246" i="26"/>
  <c r="Y767" i="26"/>
  <c r="Y875" i="26"/>
  <c r="Y599" i="26"/>
  <c r="Y25" i="26"/>
  <c r="Y346" i="26"/>
  <c r="Y151" i="26"/>
  <c r="Y440" i="26"/>
  <c r="Y841" i="26"/>
  <c r="Y746" i="26"/>
  <c r="Y1008" i="26"/>
  <c r="Y371" i="26"/>
  <c r="Y956" i="26"/>
  <c r="Y608" i="26"/>
  <c r="Y112" i="26"/>
  <c r="Y852" i="26"/>
  <c r="Y902" i="26"/>
  <c r="Y760" i="26"/>
  <c r="Y940" i="26"/>
  <c r="Y885" i="26"/>
  <c r="Y696" i="26"/>
  <c r="Y496" i="26"/>
  <c r="Y741" i="26"/>
  <c r="Y581" i="26"/>
  <c r="Y542" i="26"/>
  <c r="Y1063" i="26"/>
  <c r="Y132" i="26"/>
  <c r="Y439" i="26"/>
  <c r="Y1076" i="26"/>
  <c r="Y568" i="26"/>
  <c r="Y554" i="26"/>
  <c r="Y63" i="26"/>
  <c r="Y934" i="26"/>
  <c r="Y1036" i="26"/>
  <c r="Y575" i="26"/>
  <c r="Y978" i="26"/>
  <c r="Y715" i="26"/>
  <c r="Y99" i="26"/>
  <c r="Y609" i="26"/>
  <c r="Y547" i="26"/>
  <c r="Y468" i="26"/>
  <c r="Y527" i="26"/>
  <c r="Y605" i="26"/>
  <c r="Y993" i="26"/>
  <c r="Y699" i="26"/>
  <c r="D28" i="26"/>
  <c r="F16" i="26" s="1"/>
  <c r="I16" i="26" s="1"/>
  <c r="H16" i="26" s="1"/>
  <c r="Y611" i="26"/>
  <c r="Y808" i="26"/>
  <c r="Y1099" i="26"/>
  <c r="Y344" i="26"/>
  <c r="Y210" i="26"/>
  <c r="Y653" i="26"/>
  <c r="Y1097" i="26"/>
  <c r="Y56" i="26"/>
  <c r="Y133" i="26"/>
  <c r="Y460" i="26"/>
  <c r="Y758" i="26"/>
  <c r="Y268" i="26"/>
  <c r="Y484" i="26"/>
  <c r="Y536" i="26"/>
  <c r="Y828" i="26"/>
  <c r="Y981" i="26"/>
  <c r="Y314" i="26"/>
  <c r="Y373" i="26"/>
  <c r="Y142" i="26"/>
  <c r="Y33" i="26"/>
  <c r="Y201" i="26"/>
  <c r="Y567" i="26"/>
  <c r="Y751" i="26"/>
  <c r="Y838" i="26"/>
  <c r="Y908" i="26"/>
  <c r="Y1070" i="26"/>
  <c r="Y12" i="26"/>
  <c r="Y69" i="26"/>
  <c r="Y221" i="26"/>
  <c r="Y730" i="26"/>
  <c r="Y795" i="26"/>
  <c r="Y479" i="26"/>
  <c r="Y3" i="26"/>
  <c r="Y1025" i="26"/>
  <c r="Y65" i="26"/>
  <c r="Y108" i="26"/>
  <c r="Y290" i="26"/>
  <c r="Y477" i="26"/>
  <c r="Y733" i="26"/>
  <c r="Y895" i="26"/>
  <c r="Y1052" i="26"/>
  <c r="Y582" i="26"/>
  <c r="Y996" i="26"/>
  <c r="Y621" i="26"/>
  <c r="Y8" i="26"/>
  <c r="Y569" i="26"/>
  <c r="Y363" i="26"/>
  <c r="Y643" i="26"/>
  <c r="Y331" i="26"/>
  <c r="Y4" i="26"/>
  <c r="Y11" i="26"/>
  <c r="Y392" i="26"/>
  <c r="Y37" i="26"/>
  <c r="Y205" i="26"/>
  <c r="Y310" i="26"/>
  <c r="Y666" i="26"/>
  <c r="Y636" i="26"/>
  <c r="Y779" i="26"/>
  <c r="Y951" i="26"/>
  <c r="Y150" i="26"/>
  <c r="Y453" i="26"/>
  <c r="Y384" i="26"/>
  <c r="Y728" i="26"/>
  <c r="Y961" i="26"/>
  <c r="Y320" i="26"/>
  <c r="Y635" i="26"/>
  <c r="Y111" i="26"/>
  <c r="Y40" i="26"/>
  <c r="Y281" i="26"/>
  <c r="Y258" i="26"/>
  <c r="Y466" i="26"/>
  <c r="Y461" i="26"/>
  <c r="Y584" i="26"/>
  <c r="Y701" i="26"/>
  <c r="Y775" i="26"/>
  <c r="Y879" i="26"/>
  <c r="Y1023" i="26"/>
  <c r="Y1050" i="26"/>
  <c r="Y445" i="26"/>
  <c r="Y1065" i="26"/>
  <c r="Y26" i="26"/>
  <c r="Y35" i="26"/>
  <c r="Y591" i="26"/>
  <c r="Y349" i="26"/>
  <c r="Y507" i="26"/>
  <c r="Y513" i="26"/>
  <c r="Y673" i="26"/>
  <c r="Y882" i="26"/>
  <c r="Y1002" i="26"/>
  <c r="Y104" i="26"/>
  <c r="Y661" i="26"/>
  <c r="Y259" i="26"/>
  <c r="Y880" i="26"/>
  <c r="Y62" i="26"/>
  <c r="Y1" i="26"/>
  <c r="Y403" i="26"/>
  <c r="Y583" i="26"/>
  <c r="Y176" i="26"/>
  <c r="Y377" i="26"/>
  <c r="Y354" i="26"/>
  <c r="Y578" i="26"/>
  <c r="Y557" i="26"/>
  <c r="Y684" i="26"/>
  <c r="Y821" i="26"/>
  <c r="Y893" i="26"/>
  <c r="Y1005" i="26"/>
  <c r="Y1014" i="26"/>
  <c r="Y904" i="26"/>
  <c r="Y316" i="26"/>
  <c r="Y603" i="26"/>
  <c r="Y1086" i="26"/>
  <c r="Y918" i="26"/>
  <c r="Y381" i="26"/>
  <c r="Y279" i="26"/>
  <c r="Y809" i="26"/>
  <c r="Y983" i="26"/>
  <c r="Y172" i="26"/>
  <c r="Y783" i="26"/>
  <c r="Y986" i="26"/>
  <c r="Y566" i="26"/>
  <c r="Y622" i="26"/>
  <c r="Y850" i="26"/>
  <c r="Y979" i="26"/>
  <c r="Y441" i="26"/>
  <c r="Y10" i="26"/>
  <c r="Y688" i="26"/>
  <c r="Y454" i="26"/>
  <c r="Y179" i="26"/>
  <c r="Y159" i="26"/>
  <c r="Y178" i="26"/>
  <c r="Y269" i="26"/>
  <c r="Y690" i="26"/>
  <c r="Y358" i="26"/>
  <c r="Y488" i="26"/>
  <c r="Y924" i="26"/>
  <c r="Y739" i="26"/>
  <c r="Y734" i="26"/>
  <c r="Y894" i="26"/>
  <c r="Y869" i="26"/>
  <c r="Y915" i="26"/>
  <c r="Y1020" i="26"/>
  <c r="Y1074" i="26"/>
  <c r="Y719" i="26"/>
  <c r="Y73" i="26"/>
  <c r="Y743" i="26"/>
  <c r="Y903" i="26"/>
  <c r="Y31" i="26"/>
  <c r="Y245" i="26"/>
  <c r="Y425" i="26"/>
  <c r="Y745" i="26"/>
  <c r="Y106" i="26"/>
  <c r="Y34" i="26"/>
  <c r="Y86" i="26"/>
  <c r="Y236" i="26"/>
  <c r="Y105" i="26"/>
  <c r="Y92" i="26"/>
  <c r="Y171" i="26"/>
  <c r="Y81" i="26"/>
  <c r="Y128" i="26"/>
  <c r="Y121" i="26"/>
  <c r="Y313" i="26"/>
  <c r="Y679" i="26"/>
  <c r="Y306" i="26"/>
  <c r="Y503" i="26"/>
  <c r="Y530" i="26"/>
  <c r="Y896" i="26"/>
  <c r="Y493" i="26"/>
  <c r="Y667" i="26"/>
  <c r="Y616" i="26"/>
  <c r="Y778" i="26"/>
  <c r="Y749" i="26"/>
  <c r="Y806" i="26"/>
  <c r="Y807" i="26"/>
  <c r="Y876" i="26"/>
  <c r="Y911" i="26"/>
  <c r="Y931" i="26"/>
  <c r="Y1084" i="26"/>
  <c r="Y1080" i="26"/>
  <c r="Y930" i="26"/>
  <c r="Y657" i="26"/>
  <c r="Y402" i="26"/>
  <c r="Y122" i="26"/>
  <c r="Y932" i="26"/>
  <c r="Y405" i="26"/>
  <c r="Y401" i="26"/>
  <c r="Y644" i="26"/>
  <c r="Y368" i="26"/>
  <c r="Y211" i="26"/>
  <c r="Y1055" i="26"/>
  <c r="Y784" i="26"/>
  <c r="Y540" i="26"/>
  <c r="Y558" i="26"/>
  <c r="Y438" i="26"/>
  <c r="Y390" i="26"/>
  <c r="Y223" i="26"/>
  <c r="Y826" i="26"/>
  <c r="Y116" i="26"/>
  <c r="Y862" i="26"/>
  <c r="Y489" i="26"/>
  <c r="Y406" i="26"/>
  <c r="Y1079" i="26"/>
  <c r="Y656" i="26"/>
  <c r="Y849" i="26"/>
  <c r="Y300" i="26"/>
  <c r="Y330" i="26"/>
  <c r="Y811" i="26"/>
  <c r="Y17" i="26"/>
  <c r="Y663" i="26"/>
  <c r="Y18" i="26"/>
  <c r="Y967" i="26"/>
  <c r="Y770" i="26"/>
  <c r="Y706" i="26"/>
  <c r="Y189" i="26"/>
  <c r="Y551" i="26"/>
  <c r="Y375" i="26"/>
  <c r="Y738" i="26"/>
  <c r="Y952" i="26"/>
  <c r="Y868" i="26"/>
  <c r="Y464" i="26"/>
  <c r="Y199" i="26"/>
  <c r="Y890" i="26"/>
  <c r="Y752" i="26"/>
  <c r="Y512" i="26"/>
  <c r="Y353" i="26"/>
  <c r="Y204" i="26"/>
  <c r="Y30" i="26"/>
  <c r="Y254" i="26"/>
  <c r="Y1026" i="26"/>
  <c r="Y747" i="26"/>
  <c r="Y574" i="26"/>
  <c r="Y302" i="26"/>
  <c r="Y676" i="26"/>
  <c r="Y531" i="26"/>
  <c r="Y272" i="26"/>
  <c r="Y166" i="26"/>
  <c r="Y1083" i="26"/>
  <c r="Y816" i="26"/>
  <c r="Y556" i="26"/>
  <c r="Y312" i="26"/>
  <c r="Y691" i="26"/>
  <c r="Y61" i="26"/>
  <c r="Y335" i="26"/>
  <c r="Y1091" i="26"/>
  <c r="Y874" i="26"/>
  <c r="Y824" i="26"/>
  <c r="Y742" i="26"/>
  <c r="Y509" i="26"/>
  <c r="Y209" i="26"/>
  <c r="Y163" i="26"/>
  <c r="Y717" i="26"/>
  <c r="Y1009" i="26"/>
  <c r="Y840" i="26"/>
  <c r="Y533" i="26"/>
  <c r="Y434" i="26"/>
  <c r="Y514" i="26"/>
  <c r="Y790" i="26"/>
  <c r="Y420" i="26"/>
  <c r="Y675" i="26"/>
  <c r="Y41" i="26"/>
  <c r="Y974" i="26"/>
  <c r="Y899" i="26"/>
  <c r="Y639" i="26"/>
  <c r="Y845" i="26"/>
  <c r="Y317" i="26"/>
  <c r="Y844" i="26"/>
  <c r="Y118" i="26"/>
  <c r="Y487" i="26"/>
  <c r="Y203" i="26"/>
  <c r="Y1003" i="26"/>
  <c r="Y472" i="26"/>
  <c r="Y1094" i="26"/>
  <c r="Y548" i="26"/>
  <c r="Y224" i="26"/>
  <c r="Y1059" i="26"/>
  <c r="Y847" i="26"/>
  <c r="Y773" i="26"/>
  <c r="Y480" i="26"/>
  <c r="Y321" i="26"/>
  <c r="Y529" i="26"/>
  <c r="Y776" i="26"/>
  <c r="Y638" i="26"/>
  <c r="Y323" i="26"/>
  <c r="Y220" i="26"/>
  <c r="Y36" i="26"/>
  <c r="Y470" i="26"/>
  <c r="Y191" i="26"/>
  <c r="Y414" i="26"/>
  <c r="Y285" i="26"/>
  <c r="Y727" i="26"/>
  <c r="Y415" i="26"/>
  <c r="Y504" i="26"/>
  <c r="Y836" i="26"/>
  <c r="Y771" i="26"/>
  <c r="Y825" i="26"/>
  <c r="Y976" i="26"/>
  <c r="Y901" i="26"/>
  <c r="Y945" i="26"/>
  <c r="Y1040" i="26"/>
  <c r="Y1090" i="26"/>
  <c r="Y66" i="26"/>
  <c r="Y282" i="26"/>
  <c r="Y692" i="26"/>
  <c r="Y919" i="26"/>
  <c r="Y43" i="26"/>
  <c r="Y341" i="26"/>
  <c r="Y601" i="26"/>
  <c r="Y781" i="26"/>
  <c r="Y248" i="26"/>
  <c r="Y98" i="26"/>
  <c r="Y182" i="26"/>
  <c r="Y260" i="26"/>
  <c r="Y295" i="26"/>
  <c r="Y21" i="26"/>
  <c r="Y451" i="26"/>
  <c r="Y143" i="26"/>
  <c r="Y144" i="26"/>
  <c r="Y169" i="26"/>
  <c r="Y329" i="26"/>
  <c r="Y711" i="26"/>
  <c r="Y322" i="26"/>
  <c r="Y523" i="26"/>
  <c r="Y546" i="26"/>
  <c r="Y735" i="26"/>
  <c r="Y525" i="26"/>
  <c r="Y731" i="26"/>
  <c r="Y632" i="26"/>
  <c r="Y810" i="26"/>
  <c r="Y765" i="26"/>
  <c r="Y822" i="26"/>
  <c r="Y839" i="26"/>
  <c r="Y892" i="26"/>
  <c r="Y937" i="26"/>
  <c r="Y963" i="26"/>
  <c r="Y982" i="26"/>
  <c r="Y1054" i="26"/>
  <c r="Y948" i="26"/>
  <c r="Y865" i="26"/>
  <c r="Y273" i="26"/>
  <c r="Y158" i="26"/>
  <c r="Y842" i="26"/>
  <c r="Y164" i="26"/>
  <c r="Y1062" i="26"/>
  <c r="Y532" i="26"/>
  <c r="Y240" i="26"/>
  <c r="Y85" i="26"/>
  <c r="Y909" i="26"/>
  <c r="Y652" i="26"/>
  <c r="Y412" i="26"/>
  <c r="Y253" i="26"/>
  <c r="Y55" i="26"/>
  <c r="Y57" i="26"/>
  <c r="Y153" i="26"/>
  <c r="Y827" i="26"/>
  <c r="Y545" i="26"/>
  <c r="Y660" i="26"/>
  <c r="Y352" i="26"/>
  <c r="Y32" i="26"/>
  <c r="Y922" i="26"/>
  <c r="Y705" i="26"/>
  <c r="Y630" i="26"/>
  <c r="Y481" i="26"/>
  <c r="Y175" i="26"/>
  <c r="Y664" i="26"/>
  <c r="Y1056" i="26"/>
  <c r="Y628" i="26"/>
  <c r="Y1069" i="26"/>
  <c r="Y846" i="26"/>
  <c r="Y588" i="26"/>
  <c r="Y301" i="26"/>
  <c r="Y48" i="26"/>
  <c r="Y45" i="26"/>
  <c r="Y953" i="26"/>
  <c r="Y228" i="26"/>
  <c r="Y756" i="26"/>
  <c r="Y1073" i="26"/>
  <c r="Y927" i="26"/>
  <c r="Y799" i="26"/>
  <c r="Y1057" i="26"/>
  <c r="Y933" i="26"/>
  <c r="Y837" i="26"/>
  <c r="Y709" i="26"/>
  <c r="Y289" i="26"/>
  <c r="Y20" i="26"/>
  <c r="Y190" i="26"/>
  <c r="Y96" i="26"/>
  <c r="Y954" i="26"/>
  <c r="Y831" i="26"/>
  <c r="Y308" i="26"/>
  <c r="Y813" i="26"/>
  <c r="Y989" i="26"/>
  <c r="Y564" i="26"/>
  <c r="Y506" i="26"/>
  <c r="Y181" i="26"/>
  <c r="Y15" i="26"/>
  <c r="Y1012" i="26"/>
  <c r="Y804" i="26"/>
  <c r="Y492" i="26"/>
  <c r="Y184" i="26"/>
  <c r="Y186" i="26"/>
  <c r="Y239" i="26"/>
  <c r="Y351" i="26"/>
  <c r="Y985" i="26"/>
  <c r="Y863" i="26"/>
  <c r="Y672" i="26"/>
  <c r="Y560" i="26"/>
  <c r="Y651" i="26"/>
  <c r="Y380" i="26"/>
  <c r="Y722" i="26"/>
  <c r="Y218" i="26"/>
  <c r="Y1095" i="26"/>
  <c r="Y729" i="26"/>
  <c r="Y537" i="26"/>
  <c r="Y234" i="26"/>
  <c r="Y1088" i="26"/>
  <c r="Y772" i="26"/>
  <c r="Y499" i="26"/>
  <c r="Y430" i="26"/>
  <c r="Y343" i="26"/>
  <c r="Y1004" i="26"/>
  <c r="Y1000" i="26"/>
  <c r="Y823" i="26"/>
  <c r="Y555" i="26"/>
  <c r="Y815" i="26"/>
  <c r="Y141" i="26"/>
  <c r="Y103" i="26"/>
  <c r="Y183" i="26"/>
  <c r="Y243" i="26"/>
  <c r="Y137" i="26"/>
  <c r="Y871" i="26"/>
  <c r="Y517" i="26"/>
  <c r="Y1035" i="26"/>
  <c r="Y613" i="26"/>
  <c r="Y100" i="26"/>
  <c r="Y1068" i="26"/>
  <c r="Y900" i="26"/>
  <c r="Y641" i="26"/>
  <c r="Y625" i="26"/>
  <c r="Y907" i="26"/>
  <c r="Y58" i="26"/>
  <c r="Y697" i="26"/>
  <c r="Y473" i="26"/>
  <c r="Y1100" i="26"/>
  <c r="Y891" i="26"/>
  <c r="Y293" i="26"/>
  <c r="Y298" i="26"/>
  <c r="Y486" i="26"/>
  <c r="Y965" i="26"/>
  <c r="Y1015" i="26"/>
  <c r="Y475" i="26"/>
  <c r="Y411" i="26"/>
  <c r="Y214" i="26"/>
  <c r="Y89" i="26"/>
  <c r="Y348" i="26"/>
  <c r="Y671" i="26"/>
  <c r="Y157" i="26"/>
  <c r="Y262" i="26"/>
  <c r="Y598" i="26"/>
  <c r="Y572" i="26"/>
  <c r="Y873" i="26"/>
  <c r="Y1001" i="26"/>
  <c r="Y148" i="26"/>
  <c r="Y570" i="26"/>
  <c r="Y1022" i="26"/>
  <c r="Y286" i="26"/>
  <c r="Y917" i="26"/>
  <c r="Y196" i="26"/>
  <c r="Y372" i="26"/>
  <c r="Y79" i="26"/>
  <c r="Y387" i="26"/>
  <c r="Y249" i="26"/>
  <c r="Y226" i="26"/>
  <c r="Y817" i="26"/>
  <c r="Y413" i="26"/>
  <c r="Y912" i="26"/>
  <c r="Y669" i="26"/>
  <c r="Y925" i="26"/>
  <c r="Y984" i="26"/>
  <c r="Y1060" i="26"/>
  <c r="Y355" i="26"/>
  <c r="Y1011" i="26"/>
  <c r="Y44" i="26"/>
  <c r="Y47" i="26"/>
  <c r="Y629" i="26"/>
  <c r="Y1029" i="26"/>
  <c r="Y703" i="26"/>
  <c r="Y427" i="26"/>
  <c r="Y119" i="26"/>
  <c r="Y766" i="26"/>
  <c r="Y718" i="26"/>
  <c r="Y519" i="26"/>
  <c r="Y579" i="26"/>
  <c r="Y76" i="26"/>
  <c r="Y520" i="26"/>
  <c r="Y410" i="26"/>
  <c r="Y867" i="26"/>
  <c r="Y682" i="26"/>
  <c r="Y299" i="26"/>
  <c r="Y123" i="26"/>
  <c r="Y592" i="26"/>
  <c r="Y946" i="26"/>
  <c r="Y576" i="26"/>
  <c r="Y396" i="26"/>
  <c r="Y362" i="26"/>
  <c r="Y916" i="26"/>
  <c r="Y107" i="26"/>
  <c r="Y832" i="26"/>
  <c r="Y229" i="26"/>
  <c r="Y60" i="26"/>
  <c r="Y859" i="26"/>
  <c r="Y471" i="26"/>
  <c r="Y77" i="26"/>
  <c r="Y1098" i="26"/>
  <c r="Y595" i="26"/>
  <c r="Y337" i="26"/>
  <c r="Y74" i="26"/>
  <c r="Y843" i="26"/>
  <c r="Y276" i="26"/>
  <c r="Y990" i="26"/>
  <c r="Y197" i="26"/>
  <c r="Y1078" i="26"/>
  <c r="Y769" i="26"/>
  <c r="Y474" i="26"/>
  <c r="Y72" i="26"/>
  <c r="Y185" i="26"/>
  <c r="Y155" i="26"/>
  <c r="Y634" i="26"/>
  <c r="Y1031" i="26"/>
  <c r="Y710" i="26"/>
  <c r="Y364" i="26"/>
  <c r="Y694" i="26"/>
  <c r="Y1024" i="26"/>
  <c r="Y597" i="26"/>
  <c r="Y117" i="26"/>
  <c r="Y921" i="26"/>
  <c r="Y957" i="26"/>
  <c r="Y280" i="26"/>
  <c r="Y38" i="26"/>
  <c r="Y109" i="26"/>
  <c r="Y964" i="26"/>
  <c r="Y490" i="26"/>
  <c r="Y1072" i="26"/>
  <c r="Y516" i="26"/>
  <c r="Y6" i="26"/>
  <c r="Y994" i="26"/>
  <c r="Y757" i="26"/>
  <c r="Y369" i="26"/>
  <c r="Y409" i="26"/>
  <c r="Y52" i="26"/>
  <c r="Y270" i="26"/>
  <c r="Y1006" i="26"/>
  <c r="Y469" i="26"/>
  <c r="Y431" i="26"/>
  <c r="Y1038" i="26"/>
  <c r="Y708" i="26"/>
  <c r="Y853" i="26"/>
  <c r="Y261" i="26"/>
  <c r="Y382" i="26"/>
  <c r="Y1064" i="26"/>
  <c r="Y972" i="26"/>
  <c r="Y857" i="26"/>
  <c r="Y508" i="26"/>
  <c r="Y521" i="26"/>
  <c r="Y136" i="26"/>
  <c r="Y250" i="26"/>
  <c r="Y271" i="26"/>
  <c r="Y518" i="26"/>
  <c r="Y177" i="26"/>
  <c r="Y763" i="26"/>
  <c r="Y83" i="26"/>
  <c r="Y452" i="26"/>
  <c r="Y174" i="26"/>
  <c r="Y785" i="26"/>
  <c r="Y408" i="26"/>
  <c r="Y610" i="26"/>
  <c r="Y732" i="26"/>
  <c r="Y970" i="26"/>
  <c r="Y755" i="26"/>
  <c r="Y677" i="26"/>
  <c r="Y793" i="26"/>
  <c r="Y798" i="26"/>
  <c r="Y54" i="26"/>
  <c r="Y206" i="26"/>
  <c r="Y257" i="26"/>
  <c r="Y740" i="26"/>
  <c r="Y539" i="26"/>
  <c r="Y633" i="26"/>
  <c r="Y704" i="26"/>
  <c r="Y646" i="26"/>
  <c r="Y90" i="26"/>
  <c r="Y180" i="26"/>
  <c r="Y357" i="26"/>
  <c r="Y655" i="26"/>
  <c r="Y291" i="26"/>
  <c r="Y721" i="26"/>
  <c r="Y723" i="26"/>
  <c r="Y966" i="26"/>
  <c r="Y1051" i="26"/>
  <c r="Y812" i="26"/>
  <c r="Y800" i="26"/>
  <c r="Y720" i="26"/>
  <c r="Y162" i="26"/>
  <c r="Y855" i="26"/>
  <c r="Y417" i="26"/>
  <c r="Y485" i="26"/>
  <c r="Y59" i="26"/>
  <c r="Y960" i="26"/>
  <c r="Y535" i="26"/>
  <c r="Y1082" i="26"/>
  <c r="Y768" i="26"/>
  <c r="Y400" i="26"/>
  <c r="Y156" i="26"/>
  <c r="Y378" i="26"/>
  <c r="Y1042" i="26"/>
  <c r="Y340" i="26"/>
  <c r="Y943" i="26"/>
  <c r="Y46" i="26"/>
  <c r="Y942" i="26"/>
  <c r="Y754" i="26"/>
  <c r="Y200" i="26"/>
  <c r="Y376" i="26"/>
  <c r="Y788" i="26"/>
  <c r="Y173" i="26"/>
  <c r="Y278" i="26"/>
  <c r="Y614" i="26"/>
  <c r="Y620" i="26"/>
  <c r="Y926" i="26"/>
  <c r="Y935" i="26"/>
  <c r="Y70" i="26"/>
  <c r="Y421" i="26"/>
  <c r="Y256" i="26"/>
  <c r="Y398" i="26"/>
  <c r="Y973" i="26"/>
  <c r="Y284" i="26"/>
  <c r="Y388" i="26"/>
  <c r="Y95" i="26"/>
  <c r="Y467" i="26"/>
  <c r="Y265" i="26"/>
  <c r="Y242" i="26"/>
  <c r="Y450" i="26"/>
  <c r="Y429" i="26"/>
  <c r="Y995" i="26"/>
  <c r="Y685" i="26"/>
  <c r="Y962" i="26"/>
  <c r="Y1016" i="26"/>
  <c r="Y1007" i="26"/>
  <c r="Y1096" i="26"/>
  <c r="Y577" i="26"/>
  <c r="Y247" i="26"/>
  <c r="Y386" i="26"/>
  <c r="Y618" i="26"/>
  <c r="Y1043" i="26"/>
  <c r="Y702" i="26"/>
  <c r="Y296" i="26"/>
  <c r="Y135" i="26"/>
  <c r="Y510" i="26"/>
  <c r="Y404" i="26"/>
  <c r="Y283" i="26"/>
  <c r="Y416" i="26"/>
  <c r="Y126" i="26"/>
  <c r="Y501" i="26"/>
  <c r="Y336" i="26"/>
  <c r="Y623" i="26"/>
  <c r="Y216" i="26"/>
  <c r="Y267" i="26"/>
  <c r="Y950" i="26"/>
  <c r="Y1017" i="26"/>
  <c r="Y458" i="26"/>
  <c r="Y834" i="26"/>
  <c r="Y683" i="26"/>
  <c r="Y1081" i="26"/>
  <c r="Y549" i="26"/>
  <c r="Y82" i="26"/>
  <c r="Y436" i="26"/>
  <c r="Y29" i="26"/>
  <c r="Y870" i="26"/>
  <c r="Y642" i="26"/>
  <c r="Y101" i="26"/>
  <c r="Y367" i="26"/>
  <c r="Y231" i="26"/>
  <c r="Y818" i="26"/>
  <c r="Y432" i="26"/>
  <c r="Y252" i="26"/>
  <c r="Y113" i="26"/>
  <c r="Y750" i="26"/>
  <c r="Y50" i="26"/>
  <c r="Y695" i="26"/>
  <c r="Y110" i="26"/>
  <c r="Y1087" i="26"/>
  <c r="Y604" i="26"/>
  <c r="Y360" i="26"/>
  <c r="Y326" i="26"/>
  <c r="Y263" i="26"/>
  <c r="Y977" i="26"/>
  <c r="Y84" i="26"/>
  <c r="Y309" i="26"/>
  <c r="Y858" i="26"/>
  <c r="Y544" i="26"/>
  <c r="Y147" i="26"/>
  <c r="Y617" i="26"/>
  <c r="Y759" i="26"/>
  <c r="Y586" i="26"/>
  <c r="Y78" i="26"/>
  <c r="Y1046" i="26"/>
  <c r="Y753" i="26"/>
  <c r="Y538" i="26"/>
  <c r="Y152" i="26"/>
  <c r="Y374" i="26"/>
  <c r="Y207" i="26"/>
  <c r="Y251" i="26"/>
  <c r="Y794" i="26"/>
  <c r="Y356" i="26"/>
  <c r="Y941" i="26"/>
  <c r="Y442" i="26"/>
  <c r="Y334" i="26"/>
  <c r="Y786" i="26"/>
  <c r="Y678" i="26"/>
  <c r="Y241" i="26"/>
  <c r="Y131" i="26"/>
  <c r="Y423" i="26"/>
  <c r="Y49" i="26"/>
  <c r="Y665" i="26"/>
  <c r="Y606" i="26"/>
  <c r="Y114" i="26"/>
  <c r="Y910" i="26"/>
  <c r="Y761" i="26"/>
  <c r="Y563" i="26"/>
  <c r="Y304" i="26"/>
  <c r="Y455" i="26"/>
  <c r="Y997" i="26"/>
  <c r="Y944" i="26"/>
  <c r="Y607" i="26"/>
  <c r="Y444" i="26"/>
  <c r="Y328" i="26"/>
  <c r="Y19" i="26"/>
  <c r="Y88" i="26"/>
  <c r="Y303" i="26"/>
  <c r="Y93" i="26"/>
  <c r="Y347" i="26"/>
  <c r="Y129" i="26"/>
  <c r="Y193" i="26"/>
  <c r="Y681" i="26"/>
  <c r="Y292" i="26"/>
  <c r="Y51" i="26"/>
  <c r="Y16" i="26"/>
  <c r="Y397" i="26"/>
  <c r="Y648" i="26"/>
  <c r="Y561" i="26"/>
  <c r="Y689" i="26"/>
  <c r="Y914" i="26"/>
  <c r="Y1034" i="26"/>
  <c r="Y187" i="26"/>
  <c r="Y856" i="26"/>
  <c r="Y170" i="26"/>
  <c r="Y580" i="26"/>
  <c r="Y134" i="26"/>
  <c r="Y42" i="26"/>
  <c r="Y435" i="26"/>
  <c r="Y640" i="26"/>
  <c r="Y192" i="26"/>
  <c r="Y393" i="26"/>
  <c r="Y370" i="26"/>
  <c r="Y594" i="26"/>
  <c r="Y573" i="26"/>
  <c r="Y700" i="26"/>
  <c r="Y878" i="26"/>
  <c r="Y928" i="26"/>
  <c r="Y1089" i="26"/>
  <c r="Y1045" i="26"/>
  <c r="Y947" i="26"/>
  <c r="Y188" i="26"/>
  <c r="Y552" i="26"/>
  <c r="Y992" i="26"/>
  <c r="Y149" i="26"/>
  <c r="Y1030" i="26"/>
  <c r="Y491" i="26"/>
  <c r="Y238" i="26"/>
  <c r="Y1049" i="26"/>
  <c r="Y1067" i="26"/>
  <c r="Y959" i="26"/>
  <c r="Y802" i="26"/>
  <c r="Y385" i="26"/>
  <c r="Y1075" i="26"/>
  <c r="Y936" i="26"/>
  <c r="Y1013" i="26"/>
  <c r="Y796" i="26"/>
  <c r="Y102" i="26"/>
  <c r="Y726" i="26"/>
  <c r="Y602" i="26"/>
  <c r="Y906" i="26"/>
  <c r="Y305" i="26"/>
  <c r="Y835" i="26"/>
  <c r="Y522" i="26"/>
  <c r="Y202" i="26"/>
  <c r="Y1041" i="26"/>
  <c r="Y437" i="26"/>
  <c r="Y725" i="26"/>
  <c r="Y154" i="26"/>
  <c r="Y814" i="26"/>
  <c r="Y494" i="26"/>
  <c r="Y215" i="26"/>
  <c r="Y399" i="26"/>
  <c r="Y13" i="26"/>
  <c r="Y819" i="26"/>
  <c r="Y645" i="26"/>
  <c r="Y124" i="26"/>
  <c r="Y167" i="26"/>
  <c r="Y424" i="26"/>
  <c r="Y138" i="26"/>
  <c r="Y686" i="26"/>
  <c r="Y274" i="26"/>
  <c r="Y864" i="26"/>
  <c r="Y476" i="26"/>
  <c r="Y232" i="26"/>
  <c r="Y146" i="26"/>
  <c r="Y905" i="26"/>
  <c r="Y851" i="26"/>
  <c r="Y24" i="26"/>
  <c r="Y1019" i="26"/>
  <c r="Y913" i="26"/>
  <c r="Y394" i="26"/>
  <c r="Y244" i="26"/>
  <c r="Y820" i="26"/>
  <c r="Y208" i="26"/>
  <c r="Y230" i="26"/>
  <c r="Y988" i="26"/>
  <c r="Y670" i="26"/>
  <c r="Y365" i="26"/>
  <c r="Y125" i="26"/>
  <c r="Y359" i="26"/>
  <c r="Y315" i="26"/>
  <c r="Y327" i="26"/>
  <c r="Y713" i="26"/>
  <c r="Y318" i="26"/>
  <c r="Y777" i="26"/>
  <c r="Y511" i="26"/>
  <c r="Y787" i="26"/>
  <c r="Y528" i="26"/>
  <c r="Y698" i="26"/>
  <c r="Y39" i="26"/>
  <c r="Y75" i="26"/>
  <c r="Y897" i="26"/>
  <c r="Y446" i="26"/>
  <c r="Y195" i="26"/>
  <c r="Y854" i="26"/>
  <c r="Y631" i="26"/>
  <c r="Y553" i="26"/>
  <c r="Y71" i="26"/>
  <c r="Y287" i="26"/>
  <c r="Y1071" i="26"/>
  <c r="Y877" i="26"/>
  <c r="Y923" i="26"/>
  <c r="Y693" i="26"/>
  <c r="Y264" i="26"/>
  <c r="Y27" i="26"/>
  <c r="Y127" i="26"/>
  <c r="Y319" i="26"/>
  <c r="Y219" i="26"/>
  <c r="Y379" i="26"/>
  <c r="Y145" i="26"/>
  <c r="Y780" i="26"/>
  <c r="Y662" i="26"/>
  <c r="Y94" i="26"/>
  <c r="Y80" i="26"/>
  <c r="Y426" i="26"/>
  <c r="Y712" i="26"/>
  <c r="Y593" i="26"/>
  <c r="Y737" i="26"/>
  <c r="Y938" i="26"/>
  <c r="Y1047" i="26"/>
  <c r="Y428" i="26"/>
  <c r="Y920" i="26"/>
  <c r="Y612" i="26"/>
  <c r="Y140" i="26"/>
  <c r="Y550" i="26"/>
  <c r="Y463" i="26"/>
  <c r="Y407" i="26"/>
  <c r="Y589" i="26"/>
  <c r="Y744" i="26"/>
  <c r="Y968" i="26"/>
  <c r="Y1061" i="26"/>
  <c r="Y498" i="26"/>
  <c r="Y91" i="26"/>
  <c r="Y626" i="26"/>
  <c r="Y999" i="26"/>
  <c r="Y991" i="26"/>
  <c r="Y803" i="26"/>
  <c r="Y898" i="26"/>
  <c r="Y958" i="26"/>
  <c r="Y266" i="26"/>
  <c r="Y277" i="26"/>
  <c r="Y1066" i="26"/>
  <c r="Y225" i="26"/>
  <c r="Y888" i="26"/>
  <c r="Y955" i="26"/>
  <c r="Y350" i="26"/>
  <c r="Y120" i="26"/>
  <c r="Y1028" i="26"/>
  <c r="Y505" i="26"/>
  <c r="Y887" i="26"/>
  <c r="Y233" i="26"/>
  <c r="Y462" i="26"/>
  <c r="Y716" i="26"/>
  <c r="Y449" i="26"/>
  <c r="Y619" i="26"/>
  <c r="Y383" i="26"/>
  <c r="Y478" i="26"/>
  <c r="Y500" i="26"/>
  <c r="Y502" i="26"/>
  <c r="Y235" i="26"/>
  <c r="Y782" i="26"/>
  <c r="Y524" i="26"/>
  <c r="Y237" i="26"/>
  <c r="Y422" i="26"/>
  <c r="Y5" i="26"/>
  <c r="Y222" i="26"/>
  <c r="Y585" i="26"/>
  <c r="Y1021" i="26"/>
  <c r="Y596" i="26"/>
  <c r="Y389" i="26"/>
  <c r="Y1053" i="26"/>
  <c r="Y830" i="26"/>
  <c r="Y674" i="26"/>
  <c r="Y939" i="26"/>
  <c r="Y255" i="26"/>
  <c r="Y1037" i="26"/>
  <c r="Y395" i="26"/>
  <c r="Y161" i="26"/>
  <c r="Y1010" i="26"/>
  <c r="Y534" i="26"/>
  <c r="Y198" i="26"/>
  <c r="Y748" i="26"/>
  <c r="Y1101" i="26"/>
  <c r="Y971" i="26"/>
  <c r="Y889" i="26"/>
  <c r="Y288" i="26"/>
  <c r="Y339" i="26"/>
  <c r="Y194" i="26"/>
  <c r="Y833" i="26"/>
  <c r="Y949" i="26"/>
  <c r="Y980" i="26"/>
  <c r="Y624" i="26"/>
  <c r="Y227" i="26"/>
  <c r="Y342" i="26"/>
  <c r="Y654" i="26"/>
  <c r="Y1027" i="26"/>
  <c r="Y565" i="26"/>
  <c r="Y590" i="26"/>
  <c r="Y22" i="26"/>
  <c r="Y139" i="26"/>
  <c r="Y297" i="26"/>
  <c r="Y482" i="26"/>
  <c r="Y600" i="26"/>
  <c r="Y791" i="26"/>
  <c r="Y1018" i="26"/>
  <c r="Y1039" i="26"/>
  <c r="Y1085" i="26"/>
  <c r="Y275" i="26"/>
  <c r="Y366" i="26"/>
  <c r="Y571" i="26"/>
  <c r="Y457" i="26"/>
  <c r="Y307" i="26"/>
  <c r="Y448" i="26"/>
  <c r="Y14" i="26"/>
  <c r="Y68" i="26"/>
  <c r="Y391" i="26"/>
  <c r="Y333" i="26"/>
  <c r="Y443" i="26"/>
  <c r="Y433" i="26"/>
  <c r="Y886" i="26"/>
  <c r="Y848" i="26"/>
  <c r="Y1048" i="26"/>
  <c r="Y419" i="26"/>
  <c r="Y724" i="26"/>
  <c r="Y881" i="26"/>
  <c r="Y659" i="26"/>
  <c r="Y332" i="26"/>
  <c r="Y543" i="26"/>
  <c r="Y311" i="26"/>
  <c r="Y515" i="26"/>
  <c r="Y160" i="26"/>
  <c r="Y345" i="26"/>
  <c r="Y338" i="26"/>
  <c r="Y562" i="26"/>
  <c r="Y541" i="26"/>
  <c r="Y668" i="26"/>
  <c r="Y789" i="26"/>
  <c r="Y861" i="26"/>
  <c r="Y969" i="26"/>
  <c r="Y998" i="26"/>
  <c r="Y929" i="26"/>
  <c r="Y495" i="26"/>
  <c r="Y680" i="26"/>
  <c r="Y587" i="26"/>
  <c r="Y115" i="26"/>
  <c r="Y130" i="26"/>
  <c r="Y658" i="26"/>
  <c r="Y456" i="26"/>
  <c r="Y707" i="26"/>
  <c r="Y829" i="26"/>
  <c r="Y883" i="26"/>
  <c r="Y1058" i="26"/>
  <c r="Y615" i="26"/>
  <c r="Y884" i="26"/>
  <c r="Y213" i="26"/>
  <c r="Y649" i="26"/>
  <c r="Y1033" i="26"/>
  <c r="Y212" i="26"/>
  <c r="Y64" i="26"/>
  <c r="Y53" i="26"/>
  <c r="Y687" i="26"/>
  <c r="Y647" i="26"/>
  <c r="Y459" i="26"/>
  <c r="Y714" i="26"/>
  <c r="Y637" i="26"/>
  <c r="Y762" i="26"/>
  <c r="Y774" i="26"/>
  <c r="Y860" i="26"/>
  <c r="Y1032" i="26"/>
  <c r="Y1093" i="26"/>
  <c r="Y805" i="26"/>
  <c r="Y294" i="26"/>
  <c r="Y361" i="26"/>
  <c r="Y325" i="26"/>
  <c r="Y801" i="26"/>
  <c r="Y168" i="26"/>
  <c r="Y866" i="26"/>
  <c r="Y483" i="26"/>
  <c r="Y792" i="26"/>
  <c r="Y2" i="26"/>
  <c r="Y975" i="26"/>
  <c r="Y764" i="26"/>
  <c r="Y67" i="26"/>
  <c r="Y97" i="26"/>
  <c r="Y627" i="26"/>
  <c r="Y1092" i="26"/>
  <c r="Y559" i="26"/>
  <c r="Y1044" i="26"/>
  <c r="Y23" i="26"/>
  <c r="N14" i="26"/>
  <c r="F14" i="26" s="1"/>
  <c r="I14" i="26" s="1"/>
  <c r="H14" i="26" s="1"/>
  <c r="N9" i="26"/>
  <c r="F13" i="26" s="1"/>
  <c r="I13" i="26" s="1"/>
  <c r="H13" i="26" s="1"/>
  <c r="J101" i="24"/>
  <c r="J85" i="24"/>
  <c r="J69" i="24"/>
  <c r="J53" i="24"/>
  <c r="J37" i="24"/>
  <c r="J13" i="24"/>
  <c r="J100" i="24"/>
  <c r="J92" i="24"/>
  <c r="J84" i="24"/>
  <c r="J76" i="24"/>
  <c r="J68" i="24"/>
  <c r="J60" i="24"/>
  <c r="J52" i="24"/>
  <c r="J36" i="24"/>
  <c r="J28" i="24"/>
  <c r="J20" i="24"/>
  <c r="J12" i="24"/>
  <c r="J97" i="24"/>
  <c r="J89" i="24"/>
  <c r="J81" i="24"/>
  <c r="J73" i="24"/>
  <c r="J65" i="24"/>
  <c r="J57" i="24"/>
  <c r="J49" i="24"/>
  <c r="J41" i="24"/>
  <c r="J33" i="24"/>
  <c r="J25" i="24"/>
  <c r="J17" i="24"/>
  <c r="J93" i="24"/>
  <c r="J77" i="24"/>
  <c r="J61" i="24"/>
  <c r="J45" i="24"/>
  <c r="J29" i="24"/>
  <c r="J21" i="24"/>
  <c r="J44" i="24"/>
  <c r="J104" i="24"/>
  <c r="J96" i="24"/>
  <c r="J88" i="24"/>
  <c r="J80" i="24"/>
  <c r="J72" i="24"/>
  <c r="J64" i="24"/>
  <c r="J56" i="24"/>
  <c r="J48" i="24"/>
  <c r="J40" i="24"/>
  <c r="J32" i="24"/>
  <c r="J24" i="24"/>
  <c r="J16" i="24"/>
  <c r="J103" i="24"/>
  <c r="J99" i="24"/>
  <c r="J95" i="24"/>
  <c r="J91" i="24"/>
  <c r="J87" i="24"/>
  <c r="J83" i="24"/>
  <c r="J79" i="24"/>
  <c r="J75" i="24"/>
  <c r="J71" i="24"/>
  <c r="J67" i="24"/>
  <c r="J63" i="24"/>
  <c r="J59" i="24"/>
  <c r="J55" i="24"/>
  <c r="J51" i="24"/>
  <c r="J47" i="24"/>
  <c r="J43" i="24"/>
  <c r="J39" i="24"/>
  <c r="J35" i="24"/>
  <c r="J31" i="24"/>
  <c r="J27" i="24"/>
  <c r="J23" i="24"/>
  <c r="J19" i="24"/>
  <c r="J15" i="24"/>
  <c r="J11" i="24"/>
  <c r="J102" i="24"/>
  <c r="J98" i="24"/>
  <c r="J94" i="24"/>
  <c r="J90" i="24"/>
  <c r="J86" i="24"/>
  <c r="J82" i="24"/>
  <c r="J78" i="24"/>
  <c r="J74" i="24"/>
  <c r="J70" i="24"/>
  <c r="J66" i="24"/>
  <c r="J62" i="24"/>
  <c r="J58" i="24"/>
  <c r="J54" i="24"/>
  <c r="J50" i="24"/>
  <c r="J46" i="24"/>
  <c r="J42" i="24"/>
  <c r="J38" i="24"/>
  <c r="J34" i="24"/>
  <c r="J30" i="24"/>
  <c r="J26" i="24"/>
  <c r="J22" i="24"/>
  <c r="J18" i="24"/>
  <c r="J14" i="24"/>
  <c r="J10" i="24"/>
  <c r="W6" i="24"/>
  <c r="W2" i="24"/>
  <c r="X1" i="24"/>
  <c r="H97" i="24" s="1"/>
  <c r="V5" i="24"/>
  <c r="X5" i="24"/>
  <c r="V7" i="24"/>
  <c r="X19" i="24"/>
  <c r="X2" i="24"/>
  <c r="X4" i="24"/>
  <c r="W5" i="24"/>
  <c r="V8" i="24"/>
  <c r="W1" i="24"/>
  <c r="V3" i="24"/>
  <c r="W3" i="24"/>
  <c r="Y4" i="24"/>
  <c r="V6" i="24"/>
  <c r="V9" i="24"/>
  <c r="V2" i="24"/>
  <c r="Y7" i="24"/>
  <c r="X15" i="24"/>
  <c r="X3" i="24"/>
  <c r="V4" i="24"/>
  <c r="W4" i="24"/>
  <c r="Y5" i="24"/>
  <c r="X6" i="24"/>
  <c r="W7" i="24"/>
  <c r="X7" i="24"/>
  <c r="Y9" i="24"/>
  <c r="V17" i="24"/>
  <c r="X18" i="24"/>
  <c r="W19" i="24"/>
  <c r="V21" i="24"/>
  <c r="X22" i="24"/>
  <c r="W23" i="24"/>
  <c r="V25" i="24"/>
  <c r="X26" i="24"/>
  <c r="W27" i="24"/>
  <c r="V29" i="24"/>
  <c r="X30" i="24"/>
  <c r="W31" i="24"/>
  <c r="W58" i="24"/>
  <c r="X57" i="24"/>
  <c r="X56" i="24"/>
  <c r="Y55" i="24"/>
  <c r="W54" i="24"/>
  <c r="X53" i="24"/>
  <c r="X52" i="24"/>
  <c r="Y51" i="24"/>
  <c r="W50" i="24"/>
  <c r="X49" i="24"/>
  <c r="W46" i="24"/>
  <c r="X45" i="24"/>
  <c r="W42" i="24"/>
  <c r="X41" i="24"/>
  <c r="W38" i="24"/>
  <c r="X37" i="24"/>
  <c r="W34" i="24"/>
  <c r="X33" i="24"/>
  <c r="W30" i="24"/>
  <c r="X29" i="24"/>
  <c r="W26" i="24"/>
  <c r="X25" i="24"/>
  <c r="W22" i="24"/>
  <c r="X21" i="24"/>
  <c r="W18" i="24"/>
  <c r="X17" i="24"/>
  <c r="W48" i="24"/>
  <c r="X47" i="24"/>
  <c r="W44" i="24"/>
  <c r="X43" i="24"/>
  <c r="W40" i="24"/>
  <c r="X39" i="24"/>
  <c r="W36" i="24"/>
  <c r="X35" i="24"/>
  <c r="W32" i="24"/>
  <c r="X31" i="24"/>
  <c r="Y1" i="24"/>
  <c r="W8" i="24"/>
  <c r="X8" i="24"/>
  <c r="Y10" i="24"/>
  <c r="V11" i="24"/>
  <c r="W11" i="24"/>
  <c r="X12" i="24"/>
  <c r="X13" i="24"/>
  <c r="Y14" i="24"/>
  <c r="Y15" i="24"/>
  <c r="V16" i="24"/>
  <c r="W16" i="24"/>
  <c r="Y18" i="24"/>
  <c r="V20" i="24"/>
  <c r="W20" i="24"/>
  <c r="Y22" i="24"/>
  <c r="V24" i="24"/>
  <c r="W24" i="24"/>
  <c r="Y26" i="24"/>
  <c r="V28" i="24"/>
  <c r="W28" i="24"/>
  <c r="Y30" i="24"/>
  <c r="V33" i="24"/>
  <c r="Y34" i="24"/>
  <c r="V37" i="24"/>
  <c r="Y38" i="24"/>
  <c r="V41" i="24"/>
  <c r="Y42" i="24"/>
  <c r="V45" i="24"/>
  <c r="Y46" i="24"/>
  <c r="V49" i="24"/>
  <c r="V53" i="24"/>
  <c r="V57" i="24"/>
  <c r="V61" i="24"/>
  <c r="V65" i="24"/>
  <c r="V69" i="24"/>
  <c r="V73" i="24"/>
  <c r="V77" i="24"/>
  <c r="V81" i="24"/>
  <c r="V85" i="24"/>
  <c r="V89" i="24"/>
  <c r="V93" i="24"/>
  <c r="V97" i="24"/>
  <c r="W9" i="24"/>
  <c r="X9" i="24"/>
  <c r="V10" i="24"/>
  <c r="X10" i="24"/>
  <c r="Y11" i="24"/>
  <c r="Y12" i="24"/>
  <c r="V14" i="24"/>
  <c r="X14" i="24"/>
  <c r="V15" i="24"/>
  <c r="Y2" i="24"/>
  <c r="Y3" i="24"/>
  <c r="Y6" i="24"/>
  <c r="Y8" i="24"/>
  <c r="W10" i="24"/>
  <c r="X11" i="24"/>
  <c r="V12" i="24"/>
  <c r="W12" i="24"/>
  <c r="V13" i="24"/>
  <c r="W13" i="24"/>
  <c r="W14" i="24"/>
  <c r="W15" i="24"/>
  <c r="Y17" i="24"/>
  <c r="V19" i="24"/>
  <c r="Y21" i="24"/>
  <c r="V23" i="24"/>
  <c r="X23" i="24"/>
  <c r="Y25" i="24"/>
  <c r="V27" i="24"/>
  <c r="X27" i="24"/>
  <c r="Y29" i="24"/>
  <c r="V31" i="24"/>
  <c r="V35" i="24"/>
  <c r="V39" i="24"/>
  <c r="V43" i="24"/>
  <c r="V47" i="24"/>
  <c r="V51" i="24"/>
  <c r="V55" i="24"/>
  <c r="V59" i="24"/>
  <c r="V32" i="24"/>
  <c r="Y33" i="24"/>
  <c r="X34" i="24"/>
  <c r="W35" i="24"/>
  <c r="V36" i="24"/>
  <c r="Y37" i="24"/>
  <c r="X38" i="24"/>
  <c r="W39" i="24"/>
  <c r="V40" i="24"/>
  <c r="Y41" i="24"/>
  <c r="X42" i="24"/>
  <c r="W43" i="24"/>
  <c r="V44" i="24"/>
  <c r="Y45" i="24"/>
  <c r="X46" i="24"/>
  <c r="W47" i="24"/>
  <c r="V48" i="24"/>
  <c r="Y49" i="24"/>
  <c r="Y99" i="24"/>
  <c r="X98" i="24"/>
  <c r="Y97" i="24"/>
  <c r="Y95" i="24"/>
  <c r="X94" i="24"/>
  <c r="Y93" i="24"/>
  <c r="Y91" i="24"/>
  <c r="X90" i="24"/>
  <c r="Y89" i="24"/>
  <c r="Y87" i="24"/>
  <c r="X86" i="24"/>
  <c r="Y85" i="24"/>
  <c r="Y83" i="24"/>
  <c r="X82" i="24"/>
  <c r="Y81" i="24"/>
  <c r="Y79" i="24"/>
  <c r="X78" i="24"/>
  <c r="Y77" i="24"/>
  <c r="Y75" i="24"/>
  <c r="X74" i="24"/>
  <c r="Y73" i="24"/>
  <c r="Y71" i="24"/>
  <c r="X70" i="24"/>
  <c r="Y69" i="24"/>
  <c r="Y67" i="24"/>
  <c r="X66" i="24"/>
  <c r="Y65" i="24"/>
  <c r="Y63" i="24"/>
  <c r="X62" i="24"/>
  <c r="Y61" i="24"/>
  <c r="V1" i="24"/>
  <c r="Y13" i="24"/>
  <c r="Y16" i="24"/>
  <c r="Y20" i="24"/>
  <c r="Y24" i="24"/>
  <c r="Y28" i="24"/>
  <c r="Y32" i="24"/>
  <c r="Y36" i="24"/>
  <c r="Y40" i="24"/>
  <c r="Y44" i="24"/>
  <c r="Y48" i="24"/>
  <c r="Y50" i="24"/>
  <c r="Y52" i="24"/>
  <c r="Y54" i="24"/>
  <c r="Y56" i="24"/>
  <c r="Y58" i="24"/>
  <c r="W60" i="24"/>
  <c r="W62" i="24"/>
  <c r="V63" i="24"/>
  <c r="W63" i="24"/>
  <c r="W64" i="24"/>
  <c r="W66" i="24"/>
  <c r="V67" i="24"/>
  <c r="W67" i="24"/>
  <c r="W68" i="24"/>
  <c r="W70" i="24"/>
  <c r="V71" i="24"/>
  <c r="W71" i="24"/>
  <c r="W72" i="24"/>
  <c r="W74" i="24"/>
  <c r="V75" i="24"/>
  <c r="W75" i="24"/>
  <c r="W76" i="24"/>
  <c r="W78" i="24"/>
  <c r="V79" i="24"/>
  <c r="W79" i="24"/>
  <c r="W80" i="24"/>
  <c r="W82" i="24"/>
  <c r="V83" i="24"/>
  <c r="W83" i="24"/>
  <c r="W84" i="24"/>
  <c r="W86" i="24"/>
  <c r="V87" i="24"/>
  <c r="W87" i="24"/>
  <c r="W88" i="24"/>
  <c r="W90" i="24"/>
  <c r="V91" i="24"/>
  <c r="W91" i="24"/>
  <c r="W92" i="24"/>
  <c r="W94" i="24"/>
  <c r="V95" i="24"/>
  <c r="W95" i="24"/>
  <c r="W96" i="24"/>
  <c r="W98" i="24"/>
  <c r="V99" i="24"/>
  <c r="W99" i="24"/>
  <c r="W100" i="24"/>
  <c r="X16" i="24"/>
  <c r="W17" i="24"/>
  <c r="V18" i="24"/>
  <c r="Y19" i="24"/>
  <c r="X20" i="24"/>
  <c r="W21" i="24"/>
  <c r="V22" i="24"/>
  <c r="Y23" i="24"/>
  <c r="X24" i="24"/>
  <c r="W25" i="24"/>
  <c r="V26" i="24"/>
  <c r="Y27" i="24"/>
  <c r="X28" i="24"/>
  <c r="W29" i="24"/>
  <c r="V30" i="24"/>
  <c r="Y31" i="24"/>
  <c r="X32" i="24"/>
  <c r="W33" i="24"/>
  <c r="V34" i="24"/>
  <c r="Y35" i="24"/>
  <c r="X36" i="24"/>
  <c r="W37" i="24"/>
  <c r="V38" i="24"/>
  <c r="Y39" i="24"/>
  <c r="X40" i="24"/>
  <c r="W41" i="24"/>
  <c r="V42" i="24"/>
  <c r="Y43" i="24"/>
  <c r="X44" i="24"/>
  <c r="W45" i="24"/>
  <c r="V46" i="24"/>
  <c r="Y47" i="24"/>
  <c r="X48" i="24"/>
  <c r="W49" i="24"/>
  <c r="V50" i="24"/>
  <c r="W53" i="24"/>
  <c r="V54" i="24"/>
  <c r="W57" i="24"/>
  <c r="V58" i="24"/>
  <c r="X51" i="24"/>
  <c r="W52" i="24"/>
  <c r="X55" i="24"/>
  <c r="W56" i="24"/>
  <c r="X59" i="24"/>
  <c r="Y60" i="24"/>
  <c r="X61" i="24"/>
  <c r="Y62" i="24"/>
  <c r="X63" i="24"/>
  <c r="Y64" i="24"/>
  <c r="X65" i="24"/>
  <c r="Y66" i="24"/>
  <c r="X67" i="24"/>
  <c r="Y68" i="24"/>
  <c r="X69" i="24"/>
  <c r="Y70" i="24"/>
  <c r="X71" i="24"/>
  <c r="Y72" i="24"/>
  <c r="X73" i="24"/>
  <c r="Y74" i="24"/>
  <c r="X75" i="24"/>
  <c r="Y76" i="24"/>
  <c r="X77" i="24"/>
  <c r="Y78" i="24"/>
  <c r="X79" i="24"/>
  <c r="Y80" i="24"/>
  <c r="X81" i="24"/>
  <c r="Y82" i="24"/>
  <c r="X83" i="24"/>
  <c r="Y84" i="24"/>
  <c r="X85" i="24"/>
  <c r="Y86" i="24"/>
  <c r="X87" i="24"/>
  <c r="Y88" i="24"/>
  <c r="X89" i="24"/>
  <c r="Y90" i="24"/>
  <c r="X91" i="24"/>
  <c r="Y92" i="24"/>
  <c r="X93" i="24"/>
  <c r="Y94" i="24"/>
  <c r="X95" i="24"/>
  <c r="Y96" i="24"/>
  <c r="X97" i="24"/>
  <c r="Y98" i="24"/>
  <c r="X99" i="24"/>
  <c r="Y100" i="24"/>
  <c r="X50" i="24"/>
  <c r="V52" i="24"/>
  <c r="X54" i="24"/>
  <c r="V56" i="24"/>
  <c r="X58" i="24"/>
  <c r="Y59" i="24"/>
  <c r="X60" i="24"/>
  <c r="X64" i="24"/>
  <c r="X68" i="24"/>
  <c r="X72" i="24"/>
  <c r="X76" i="24"/>
  <c r="X80" i="24"/>
  <c r="X84" i="24"/>
  <c r="X88" i="24"/>
  <c r="X92" i="24"/>
  <c r="X96" i="24"/>
  <c r="X100" i="24"/>
  <c r="H78" i="24"/>
  <c r="W51" i="24"/>
  <c r="Y53" i="24"/>
  <c r="W55" i="24"/>
  <c r="Y57" i="24"/>
  <c r="W59" i="24"/>
  <c r="V60" i="24"/>
  <c r="W61" i="24"/>
  <c r="V62" i="24"/>
  <c r="V64" i="24"/>
  <c r="W65" i="24"/>
  <c r="V66" i="24"/>
  <c r="D104" i="24" s="1"/>
  <c r="V68" i="24"/>
  <c r="W69" i="24"/>
  <c r="V70" i="24"/>
  <c r="V72" i="24"/>
  <c r="W73" i="24"/>
  <c r="V74" i="24"/>
  <c r="V76" i="24"/>
  <c r="W77" i="24"/>
  <c r="V78" i="24"/>
  <c r="V80" i="24"/>
  <c r="W81" i="24"/>
  <c r="V82" i="24"/>
  <c r="V84" i="24"/>
  <c r="W85" i="24"/>
  <c r="V86" i="24"/>
  <c r="V88" i="24"/>
  <c r="W89" i="24"/>
  <c r="V90" i="24"/>
  <c r="V92" i="24"/>
  <c r="W93" i="24"/>
  <c r="V94" i="24"/>
  <c r="V96" i="24"/>
  <c r="W97" i="24"/>
  <c r="V98" i="24"/>
  <c r="V100" i="24"/>
  <c r="H102" i="24"/>
  <c r="G39" i="23"/>
  <c r="G42" i="23" s="1"/>
  <c r="G37" i="23"/>
  <c r="D39" i="23"/>
  <c r="D42" i="23" s="1"/>
  <c r="D37" i="23"/>
  <c r="G36" i="23"/>
  <c r="G38" i="23"/>
  <c r="D36" i="23"/>
  <c r="D38" i="23"/>
  <c r="D43" i="23" s="1"/>
  <c r="G35" i="23"/>
  <c r="D35" i="23"/>
  <c r="G33" i="23"/>
  <c r="D33" i="23"/>
  <c r="J5" i="23"/>
  <c r="J6" i="23"/>
  <c r="J7" i="23"/>
  <c r="J8" i="23"/>
  <c r="J9" i="23"/>
  <c r="J10" i="23"/>
  <c r="J11" i="23"/>
  <c r="J12" i="23"/>
  <c r="J13" i="23"/>
  <c r="J14" i="23"/>
  <c r="J15" i="23"/>
  <c r="J16" i="23"/>
  <c r="J17" i="23"/>
  <c r="J18" i="23"/>
  <c r="J19" i="23"/>
  <c r="J20" i="23"/>
  <c r="J21" i="23"/>
  <c r="J22" i="23"/>
  <c r="J23" i="23"/>
  <c r="J24" i="23"/>
  <c r="J25" i="23"/>
  <c r="J26" i="23"/>
  <c r="J27" i="23"/>
  <c r="J28" i="23"/>
  <c r="J29" i="23"/>
  <c r="I5" i="23"/>
  <c r="I6" i="23"/>
  <c r="I7" i="23"/>
  <c r="I8" i="23"/>
  <c r="I9" i="23"/>
  <c r="I10" i="23"/>
  <c r="I11" i="23"/>
  <c r="I12" i="23"/>
  <c r="I13" i="23"/>
  <c r="I14" i="23"/>
  <c r="I15" i="23"/>
  <c r="I16" i="23"/>
  <c r="I17" i="23"/>
  <c r="I18" i="23"/>
  <c r="I19" i="23"/>
  <c r="I20" i="23"/>
  <c r="I21" i="23"/>
  <c r="I22" i="23"/>
  <c r="I23" i="23"/>
  <c r="I24" i="23"/>
  <c r="I25" i="23"/>
  <c r="I26" i="23"/>
  <c r="I27" i="23"/>
  <c r="I28" i="23"/>
  <c r="I29" i="23"/>
  <c r="G32" i="23"/>
  <c r="D32" i="23"/>
  <c r="G31" i="23"/>
  <c r="D31" i="23"/>
  <c r="F29" i="23"/>
  <c r="C29" i="23"/>
  <c r="F28" i="23"/>
  <c r="C28" i="23"/>
  <c r="F27" i="23"/>
  <c r="C27" i="23"/>
  <c r="F26" i="23"/>
  <c r="C26" i="23"/>
  <c r="F25" i="23"/>
  <c r="C25" i="23"/>
  <c r="F24" i="23"/>
  <c r="C24" i="23"/>
  <c r="F23" i="23"/>
  <c r="C23" i="23"/>
  <c r="F22" i="23"/>
  <c r="C22" i="23"/>
  <c r="M18" i="23"/>
  <c r="F21" i="23"/>
  <c r="C21" i="23"/>
  <c r="F20" i="23"/>
  <c r="C20" i="23"/>
  <c r="F19" i="23"/>
  <c r="C19" i="23"/>
  <c r="F18" i="23"/>
  <c r="C18" i="23"/>
  <c r="F17" i="23"/>
  <c r="C17" i="23"/>
  <c r="F16" i="23"/>
  <c r="C16" i="23"/>
  <c r="F15" i="23"/>
  <c r="C15" i="23"/>
  <c r="F14" i="23"/>
  <c r="C14" i="23"/>
  <c r="F13" i="23"/>
  <c r="C13" i="23"/>
  <c r="F12" i="23"/>
  <c r="C12" i="23"/>
  <c r="F11" i="23"/>
  <c r="C11" i="23"/>
  <c r="F10" i="23"/>
  <c r="C10" i="23"/>
  <c r="F9" i="23"/>
  <c r="C9" i="23"/>
  <c r="F8" i="23"/>
  <c r="C8" i="23"/>
  <c r="F7" i="23"/>
  <c r="C7" i="23"/>
  <c r="F6" i="23"/>
  <c r="C6" i="23"/>
  <c r="F5" i="23"/>
  <c r="C5" i="23"/>
  <c r="G39" i="22"/>
  <c r="G42" i="22" s="1"/>
  <c r="G37" i="22"/>
  <c r="D39" i="22"/>
  <c r="D42" i="22" s="1"/>
  <c r="D37" i="22"/>
  <c r="G36" i="22"/>
  <c r="G38" i="22"/>
  <c r="D36" i="22"/>
  <c r="D38" i="22"/>
  <c r="M39" i="22"/>
  <c r="M38" i="22"/>
  <c r="J39" i="22"/>
  <c r="J38" i="22"/>
  <c r="P39" i="22"/>
  <c r="P38" i="22"/>
  <c r="P37" i="22"/>
  <c r="M37" i="22"/>
  <c r="J37" i="22"/>
  <c r="U5" i="22"/>
  <c r="U6" i="22"/>
  <c r="U7" i="22"/>
  <c r="U8" i="22"/>
  <c r="U9" i="22"/>
  <c r="U10" i="22"/>
  <c r="U11" i="22"/>
  <c r="U12" i="22"/>
  <c r="U13" i="22"/>
  <c r="U14" i="22"/>
  <c r="U15" i="22"/>
  <c r="U16" i="22"/>
  <c r="U17" i="22"/>
  <c r="U18" i="22"/>
  <c r="U19" i="22"/>
  <c r="U20" i="22"/>
  <c r="U21" i="22"/>
  <c r="U22" i="22"/>
  <c r="U23" i="22"/>
  <c r="U24" i="22"/>
  <c r="U25" i="22"/>
  <c r="U26" i="22"/>
  <c r="U27" i="22"/>
  <c r="U28" i="22"/>
  <c r="U29" i="22"/>
  <c r="M31" i="22"/>
  <c r="T5" i="22"/>
  <c r="T6" i="22"/>
  <c r="T7" i="22"/>
  <c r="T8" i="22"/>
  <c r="T9" i="22"/>
  <c r="T10" i="22"/>
  <c r="T11" i="22"/>
  <c r="T12" i="22"/>
  <c r="T13" i="22"/>
  <c r="T14" i="22"/>
  <c r="T15" i="22"/>
  <c r="T16" i="22"/>
  <c r="T17" i="22"/>
  <c r="T18" i="22"/>
  <c r="T19" i="22"/>
  <c r="T20" i="22"/>
  <c r="T21" i="22"/>
  <c r="T22" i="22"/>
  <c r="T23" i="22"/>
  <c r="T24" i="22"/>
  <c r="T25" i="22"/>
  <c r="T26" i="22"/>
  <c r="T27" i="22"/>
  <c r="T28" i="22"/>
  <c r="T29" i="22"/>
  <c r="J31" i="22"/>
  <c r="S5" i="22"/>
  <c r="S6" i="22"/>
  <c r="S7" i="22"/>
  <c r="S8" i="22"/>
  <c r="S9" i="22"/>
  <c r="S10" i="22"/>
  <c r="S11" i="22"/>
  <c r="S12" i="22"/>
  <c r="S13" i="22"/>
  <c r="S14" i="22"/>
  <c r="S15" i="22"/>
  <c r="S16" i="22"/>
  <c r="S17" i="22"/>
  <c r="S18" i="22"/>
  <c r="S19" i="22"/>
  <c r="S20" i="22"/>
  <c r="S21" i="22"/>
  <c r="S22" i="22"/>
  <c r="S23" i="22"/>
  <c r="S24" i="22"/>
  <c r="S25" i="22"/>
  <c r="S26" i="22"/>
  <c r="S27" i="22"/>
  <c r="S28" i="22"/>
  <c r="S29" i="22"/>
  <c r="G31" i="22"/>
  <c r="R5" i="22"/>
  <c r="R6" i="22"/>
  <c r="R7" i="22"/>
  <c r="R8" i="22"/>
  <c r="R9" i="22"/>
  <c r="R10" i="22"/>
  <c r="R11" i="22"/>
  <c r="R12" i="22"/>
  <c r="R13" i="22"/>
  <c r="R14" i="22"/>
  <c r="R15" i="22"/>
  <c r="R16" i="22"/>
  <c r="R17" i="22"/>
  <c r="R18" i="22"/>
  <c r="R19" i="22"/>
  <c r="R20" i="22"/>
  <c r="R21" i="22"/>
  <c r="R22" i="22"/>
  <c r="R23" i="22"/>
  <c r="R24" i="22"/>
  <c r="R25" i="22"/>
  <c r="R26" i="22"/>
  <c r="R27" i="22"/>
  <c r="R28" i="22"/>
  <c r="R29" i="22"/>
  <c r="D31" i="22"/>
  <c r="P36" i="22"/>
  <c r="M36" i="22"/>
  <c r="J36" i="22"/>
  <c r="P35" i="22"/>
  <c r="M35" i="22"/>
  <c r="J35" i="22"/>
  <c r="G35" i="22"/>
  <c r="D35" i="22"/>
  <c r="P33" i="22"/>
  <c r="M33" i="22"/>
  <c r="J33" i="22"/>
  <c r="G33" i="22"/>
  <c r="D33" i="22"/>
  <c r="P32" i="22"/>
  <c r="M32" i="22"/>
  <c r="J32" i="22"/>
  <c r="G32" i="22"/>
  <c r="D32" i="22"/>
  <c r="P31" i="22"/>
  <c r="V29" i="22"/>
  <c r="O29" i="22"/>
  <c r="L29" i="22"/>
  <c r="I29" i="22"/>
  <c r="F29" i="22"/>
  <c r="C29" i="22"/>
  <c r="V28" i="22"/>
  <c r="O28" i="22"/>
  <c r="L28" i="22"/>
  <c r="I28" i="22"/>
  <c r="F28" i="22"/>
  <c r="C28" i="22"/>
  <c r="V27" i="22"/>
  <c r="O27" i="22"/>
  <c r="L27" i="22"/>
  <c r="I27" i="22"/>
  <c r="F27" i="22"/>
  <c r="C27" i="22"/>
  <c r="V26" i="22"/>
  <c r="O26" i="22"/>
  <c r="L26" i="22"/>
  <c r="I26" i="22"/>
  <c r="F26" i="22"/>
  <c r="C26" i="22"/>
  <c r="V25" i="22"/>
  <c r="O25" i="22"/>
  <c r="L25" i="22"/>
  <c r="I25" i="22"/>
  <c r="F25" i="22"/>
  <c r="C25" i="22"/>
  <c r="V24" i="22"/>
  <c r="O24" i="22"/>
  <c r="L24" i="22"/>
  <c r="I24" i="22"/>
  <c r="F24" i="22"/>
  <c r="C24" i="22"/>
  <c r="V23" i="22"/>
  <c r="O23" i="22"/>
  <c r="L23" i="22"/>
  <c r="I23" i="22"/>
  <c r="F23" i="22"/>
  <c r="C23" i="22"/>
  <c r="V22" i="22"/>
  <c r="O22" i="22"/>
  <c r="L22" i="22"/>
  <c r="I22" i="22"/>
  <c r="F22" i="22"/>
  <c r="C22" i="22"/>
  <c r="V21" i="22"/>
  <c r="O21" i="22"/>
  <c r="L21" i="22"/>
  <c r="I21" i="22"/>
  <c r="F21" i="22"/>
  <c r="C21" i="22"/>
  <c r="V20" i="22"/>
  <c r="O20" i="22"/>
  <c r="L20" i="22"/>
  <c r="I20" i="22"/>
  <c r="F20" i="22"/>
  <c r="C20" i="22"/>
  <c r="V19" i="22"/>
  <c r="O19" i="22"/>
  <c r="L19" i="22"/>
  <c r="I19" i="22"/>
  <c r="F19" i="22"/>
  <c r="C19" i="22"/>
  <c r="V18" i="22"/>
  <c r="O18" i="22"/>
  <c r="L18" i="22"/>
  <c r="I18" i="22"/>
  <c r="F18" i="22"/>
  <c r="C18" i="22"/>
  <c r="V17" i="22"/>
  <c r="O17" i="22"/>
  <c r="L17" i="22"/>
  <c r="I17" i="22"/>
  <c r="F17" i="22"/>
  <c r="C17" i="22"/>
  <c r="V16" i="22"/>
  <c r="O16" i="22"/>
  <c r="L16" i="22"/>
  <c r="I16" i="22"/>
  <c r="F16" i="22"/>
  <c r="C16" i="22"/>
  <c r="V15" i="22"/>
  <c r="O15" i="22"/>
  <c r="L15" i="22"/>
  <c r="I15" i="22"/>
  <c r="F15" i="22"/>
  <c r="C15" i="22"/>
  <c r="V14" i="22"/>
  <c r="O14" i="22"/>
  <c r="L14" i="22"/>
  <c r="I14" i="22"/>
  <c r="F14" i="22"/>
  <c r="C14" i="22"/>
  <c r="V13" i="22"/>
  <c r="O13" i="22"/>
  <c r="L13" i="22"/>
  <c r="I13" i="22"/>
  <c r="F13" i="22"/>
  <c r="C13" i="22"/>
  <c r="V12" i="22"/>
  <c r="O12" i="22"/>
  <c r="L12" i="22"/>
  <c r="I12" i="22"/>
  <c r="F12" i="22"/>
  <c r="C12" i="22"/>
  <c r="V11" i="22"/>
  <c r="O11" i="22"/>
  <c r="L11" i="22"/>
  <c r="I11" i="22"/>
  <c r="F11" i="22"/>
  <c r="C11" i="22"/>
  <c r="V10" i="22"/>
  <c r="O10" i="22"/>
  <c r="L10" i="22"/>
  <c r="I10" i="22"/>
  <c r="F10" i="22"/>
  <c r="C10" i="22"/>
  <c r="V9" i="22"/>
  <c r="O9" i="22"/>
  <c r="L9" i="22"/>
  <c r="I9" i="22"/>
  <c r="F9" i="22"/>
  <c r="C9" i="22"/>
  <c r="V8" i="22"/>
  <c r="O8" i="22"/>
  <c r="L8" i="22"/>
  <c r="I8" i="22"/>
  <c r="F8" i="22"/>
  <c r="C8" i="22"/>
  <c r="V7" i="22"/>
  <c r="O7" i="22"/>
  <c r="L7" i="22"/>
  <c r="I7" i="22"/>
  <c r="F7" i="22"/>
  <c r="C7" i="22"/>
  <c r="V6" i="22"/>
  <c r="O6" i="22"/>
  <c r="L6" i="22"/>
  <c r="I6" i="22"/>
  <c r="F6" i="22"/>
  <c r="C6" i="22"/>
  <c r="V5" i="22"/>
  <c r="O5" i="22"/>
  <c r="L5" i="22"/>
  <c r="I5" i="22"/>
  <c r="F5" i="22"/>
  <c r="C5" i="22"/>
  <c r="G5" i="21"/>
  <c r="G37" i="21" s="1"/>
  <c r="G42" i="21" s="1"/>
  <c r="G6" i="21"/>
  <c r="G7" i="21"/>
  <c r="G8" i="21"/>
  <c r="R8" i="21" s="1"/>
  <c r="G9" i="21"/>
  <c r="G10" i="21"/>
  <c r="G11" i="21"/>
  <c r="G12" i="21"/>
  <c r="R12" i="21" s="1"/>
  <c r="G13" i="21"/>
  <c r="G14" i="21"/>
  <c r="G15" i="21"/>
  <c r="G16" i="21"/>
  <c r="R16" i="21" s="1"/>
  <c r="G17" i="21"/>
  <c r="G18" i="21"/>
  <c r="G19" i="21"/>
  <c r="G20" i="21"/>
  <c r="R20" i="21" s="1"/>
  <c r="G21" i="21"/>
  <c r="G22" i="21"/>
  <c r="G23" i="21"/>
  <c r="G24" i="21"/>
  <c r="R24" i="21" s="1"/>
  <c r="G25" i="21"/>
  <c r="G26" i="21"/>
  <c r="G27" i="21"/>
  <c r="G28" i="21"/>
  <c r="R28" i="21" s="1"/>
  <c r="G29" i="21"/>
  <c r="G35" i="21"/>
  <c r="G38" i="21"/>
  <c r="E38" i="21"/>
  <c r="E41" i="21"/>
  <c r="E36" i="21"/>
  <c r="E44" i="21"/>
  <c r="D38" i="21"/>
  <c r="D41" i="21"/>
  <c r="D36" i="21"/>
  <c r="D44" i="21"/>
  <c r="E35" i="21"/>
  <c r="E37" i="21"/>
  <c r="E42" i="21" s="1"/>
  <c r="E43" i="21"/>
  <c r="D35" i="21"/>
  <c r="D37" i="21"/>
  <c r="D42" i="21" s="1"/>
  <c r="D43" i="21" s="1"/>
  <c r="E39" i="21"/>
  <c r="G34" i="21"/>
  <c r="E34" i="21"/>
  <c r="D34" i="21"/>
  <c r="Q5" i="21"/>
  <c r="Q6" i="21"/>
  <c r="Q7" i="21"/>
  <c r="Q8" i="21"/>
  <c r="Q9" i="21"/>
  <c r="Q10" i="21"/>
  <c r="Q11" i="21"/>
  <c r="Q12" i="21"/>
  <c r="Q13" i="21"/>
  <c r="Q14" i="21"/>
  <c r="Q15" i="21"/>
  <c r="Q16" i="21"/>
  <c r="Q17" i="21"/>
  <c r="Q18" i="21"/>
  <c r="Q19" i="21"/>
  <c r="Q22" i="21"/>
  <c r="Q23" i="21"/>
  <c r="Q24" i="21"/>
  <c r="Q25" i="21"/>
  <c r="Q26" i="21"/>
  <c r="Q27" i="21"/>
  <c r="Q28" i="21"/>
  <c r="Q29" i="21"/>
  <c r="U5" i="21"/>
  <c r="U6" i="21"/>
  <c r="U7" i="21"/>
  <c r="U8" i="21"/>
  <c r="U9" i="21"/>
  <c r="U10" i="21"/>
  <c r="U11" i="21"/>
  <c r="U12" i="21"/>
  <c r="U13" i="21"/>
  <c r="U14" i="21"/>
  <c r="U15" i="21"/>
  <c r="U16" i="21"/>
  <c r="V17" i="21"/>
  <c r="V18" i="21"/>
  <c r="V19" i="21"/>
  <c r="V20" i="21"/>
  <c r="V21" i="21"/>
  <c r="V22" i="21"/>
  <c r="V23" i="21"/>
  <c r="V24" i="21"/>
  <c r="V25" i="21"/>
  <c r="V26" i="21"/>
  <c r="V27" i="21"/>
  <c r="V28" i="21"/>
  <c r="V29" i="21"/>
  <c r="E32" i="21"/>
  <c r="D32" i="21"/>
  <c r="T17" i="21"/>
  <c r="T18" i="21"/>
  <c r="T19" i="21"/>
  <c r="T20" i="21"/>
  <c r="T21" i="21"/>
  <c r="T22" i="21"/>
  <c r="T23" i="21"/>
  <c r="T24" i="21"/>
  <c r="T25" i="21"/>
  <c r="T26" i="21"/>
  <c r="T27" i="21"/>
  <c r="T28" i="21"/>
  <c r="T29" i="21"/>
  <c r="R5" i="21"/>
  <c r="R7" i="21"/>
  <c r="R9" i="21"/>
  <c r="R11" i="21"/>
  <c r="R13" i="21"/>
  <c r="R17" i="21"/>
  <c r="R19" i="21"/>
  <c r="R21" i="21"/>
  <c r="R23" i="21"/>
  <c r="R25" i="21"/>
  <c r="R27" i="21"/>
  <c r="R29" i="21"/>
  <c r="K5" i="21"/>
  <c r="K7" i="21"/>
  <c r="K11" i="21"/>
  <c r="K13" i="21"/>
  <c r="K15" i="21"/>
  <c r="K17" i="21"/>
  <c r="K19" i="21"/>
  <c r="K21" i="21"/>
  <c r="K23" i="21"/>
  <c r="K25" i="21"/>
  <c r="K27" i="21"/>
  <c r="K29" i="21"/>
  <c r="J9" i="21"/>
  <c r="J15" i="21"/>
  <c r="I17" i="21"/>
  <c r="J17" i="21" s="1"/>
  <c r="I18" i="21"/>
  <c r="I19" i="21"/>
  <c r="J19" i="21" s="1"/>
  <c r="I20" i="21"/>
  <c r="I21" i="21"/>
  <c r="J21" i="21" s="1"/>
  <c r="I22" i="21"/>
  <c r="I23" i="21"/>
  <c r="J23" i="21" s="1"/>
  <c r="I24" i="21"/>
  <c r="I25" i="21"/>
  <c r="J25" i="21" s="1"/>
  <c r="I26" i="21"/>
  <c r="I27" i="21"/>
  <c r="J27" i="21" s="1"/>
  <c r="I28" i="21"/>
  <c r="I29" i="21"/>
  <c r="J29" i="21" s="1"/>
  <c r="E31" i="21"/>
  <c r="D31" i="21"/>
  <c r="U29" i="21"/>
  <c r="B29" i="21"/>
  <c r="U28" i="21"/>
  <c r="B28" i="21"/>
  <c r="U27" i="21"/>
  <c r="B27" i="21"/>
  <c r="U26" i="21"/>
  <c r="B26" i="21"/>
  <c r="U25" i="21"/>
  <c r="B25" i="21"/>
  <c r="U24" i="21"/>
  <c r="N21" i="21"/>
  <c r="B24" i="21"/>
  <c r="U23" i="21"/>
  <c r="B23" i="21"/>
  <c r="U22" i="21"/>
  <c r="B22" i="21"/>
  <c r="U21" i="21"/>
  <c r="B21" i="21"/>
  <c r="U20" i="21"/>
  <c r="B20" i="21"/>
  <c r="U19" i="21"/>
  <c r="B19" i="21"/>
  <c r="U18" i="21"/>
  <c r="B18" i="21"/>
  <c r="U17" i="21"/>
  <c r="B17" i="21"/>
  <c r="B16" i="21"/>
  <c r="B15" i="21"/>
  <c r="B14" i="21"/>
  <c r="B13" i="21"/>
  <c r="B12" i="21"/>
  <c r="B11" i="21"/>
  <c r="B10" i="21"/>
  <c r="B9" i="21"/>
  <c r="B8" i="21"/>
  <c r="B7" i="21"/>
  <c r="B6" i="21"/>
  <c r="B5" i="21"/>
  <c r="G13" i="19"/>
  <c r="G15" i="19"/>
  <c r="I19" i="19"/>
  <c r="G5" i="19"/>
  <c r="G6" i="19"/>
  <c r="G7" i="19"/>
  <c r="G8" i="19"/>
  <c r="G9" i="19"/>
  <c r="G10" i="19"/>
  <c r="G11" i="19"/>
  <c r="G12" i="19"/>
  <c r="G14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R9" i="18"/>
  <c r="N20" i="18" s="1"/>
  <c r="K12" i="20"/>
  <c r="I9" i="20"/>
  <c r="I10" i="20"/>
  <c r="I11" i="20"/>
  <c r="M11" i="20" s="1"/>
  <c r="I12" i="20"/>
  <c r="J9" i="20"/>
  <c r="J10" i="20"/>
  <c r="J11" i="20"/>
  <c r="J12" i="20"/>
  <c r="K9" i="20"/>
  <c r="K13" i="20" s="1"/>
  <c r="K10" i="20"/>
  <c r="K11" i="20"/>
  <c r="L9" i="20"/>
  <c r="L10" i="20"/>
  <c r="L11" i="20"/>
  <c r="L12" i="20"/>
  <c r="L13" i="20"/>
  <c r="I3" i="20"/>
  <c r="I4" i="20"/>
  <c r="I5" i="20"/>
  <c r="I6" i="20"/>
  <c r="J3" i="20"/>
  <c r="J4" i="20"/>
  <c r="J5" i="20"/>
  <c r="J6" i="20"/>
  <c r="K3" i="20"/>
  <c r="K4" i="20"/>
  <c r="K5" i="20"/>
  <c r="K6" i="20"/>
  <c r="L3" i="20"/>
  <c r="L4" i="20"/>
  <c r="L5" i="20"/>
  <c r="L6" i="20"/>
  <c r="M10" i="20"/>
  <c r="M12" i="20"/>
  <c r="V23" i="20"/>
  <c r="R19" i="20"/>
  <c r="D23" i="20"/>
  <c r="D14" i="20"/>
  <c r="G5" i="20"/>
  <c r="G6" i="20"/>
  <c r="G7" i="20"/>
  <c r="G9" i="20" s="1"/>
  <c r="F17" i="20" s="1"/>
  <c r="G8" i="20"/>
  <c r="F9" i="20"/>
  <c r="E9" i="20"/>
  <c r="D9" i="20"/>
  <c r="C9" i="20"/>
  <c r="E38" i="19"/>
  <c r="E39" i="19" s="1"/>
  <c r="E40" i="19" s="1"/>
  <c r="E37" i="19"/>
  <c r="E36" i="19"/>
  <c r="D38" i="19"/>
  <c r="D37" i="19"/>
  <c r="D36" i="19"/>
  <c r="E35" i="19"/>
  <c r="D35" i="19"/>
  <c r="E34" i="19"/>
  <c r="D34" i="19"/>
  <c r="E32" i="19"/>
  <c r="D32" i="19"/>
  <c r="E31" i="19"/>
  <c r="D31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B7" i="19"/>
  <c r="B6" i="19"/>
  <c r="B5" i="19"/>
  <c r="C20" i="18"/>
  <c r="D20" i="18"/>
  <c r="E20" i="18"/>
  <c r="F20" i="18"/>
  <c r="G20" i="18"/>
  <c r="H20" i="18"/>
  <c r="C21" i="18"/>
  <c r="D21" i="18"/>
  <c r="E21" i="18"/>
  <c r="F21" i="18"/>
  <c r="G21" i="18"/>
  <c r="H21" i="18"/>
  <c r="C22" i="18"/>
  <c r="D22" i="18"/>
  <c r="E22" i="18"/>
  <c r="F22" i="18"/>
  <c r="G22" i="18"/>
  <c r="H22" i="18"/>
  <c r="C23" i="18"/>
  <c r="D23" i="18"/>
  <c r="E23" i="18"/>
  <c r="F23" i="18"/>
  <c r="G23" i="18"/>
  <c r="H23" i="18"/>
  <c r="C24" i="18"/>
  <c r="D24" i="18"/>
  <c r="E24" i="18"/>
  <c r="F24" i="18"/>
  <c r="G24" i="18"/>
  <c r="H24" i="18"/>
  <c r="C25" i="18"/>
  <c r="D25" i="18"/>
  <c r="E25" i="18"/>
  <c r="F25" i="18"/>
  <c r="G25" i="18"/>
  <c r="H25" i="18"/>
  <c r="D19" i="18"/>
  <c r="E19" i="18"/>
  <c r="F19" i="18"/>
  <c r="G19" i="18"/>
  <c r="H19" i="18"/>
  <c r="C19" i="18"/>
  <c r="H8" i="18"/>
  <c r="H7" i="18"/>
  <c r="F9" i="17"/>
  <c r="C14" i="17"/>
  <c r="D14" i="17"/>
  <c r="E14" i="17"/>
  <c r="F14" i="17"/>
  <c r="G14" i="17"/>
  <c r="H14" i="17"/>
  <c r="C15" i="17"/>
  <c r="D15" i="17"/>
  <c r="E15" i="17"/>
  <c r="F15" i="17"/>
  <c r="G15" i="17"/>
  <c r="H15" i="17"/>
  <c r="C16" i="17"/>
  <c r="D16" i="17"/>
  <c r="E16" i="17"/>
  <c r="F16" i="17"/>
  <c r="G16" i="17"/>
  <c r="H16" i="17"/>
  <c r="C17" i="17"/>
  <c r="D17" i="17"/>
  <c r="E17" i="17"/>
  <c r="F17" i="17"/>
  <c r="G17" i="17"/>
  <c r="H17" i="17"/>
  <c r="C18" i="17"/>
  <c r="D18" i="17"/>
  <c r="E18" i="17"/>
  <c r="F18" i="17"/>
  <c r="G18" i="17"/>
  <c r="H18" i="17"/>
  <c r="C19" i="17"/>
  <c r="D19" i="17"/>
  <c r="E19" i="17"/>
  <c r="F19" i="17"/>
  <c r="G19" i="17"/>
  <c r="H19" i="17"/>
  <c r="D13" i="17"/>
  <c r="E13" i="17"/>
  <c r="F13" i="17"/>
  <c r="G13" i="17"/>
  <c r="H13" i="17"/>
  <c r="C13" i="17"/>
  <c r="G7" i="17"/>
  <c r="G6" i="17"/>
  <c r="N10" i="16"/>
  <c r="N11" i="16"/>
  <c r="N12" i="16"/>
  <c r="N13" i="16"/>
  <c r="N14" i="16"/>
  <c r="N15" i="16"/>
  <c r="N16" i="16"/>
  <c r="N17" i="16"/>
  <c r="N18" i="16"/>
  <c r="N19" i="16"/>
  <c r="N20" i="16"/>
  <c r="N21" i="16"/>
  <c r="N22" i="16"/>
  <c r="N23" i="16"/>
  <c r="N24" i="16"/>
  <c r="N25" i="16"/>
  <c r="N26" i="16"/>
  <c r="N27" i="16"/>
  <c r="N28" i="16"/>
  <c r="N29" i="16"/>
  <c r="Q22" i="16"/>
  <c r="Q23" i="16"/>
  <c r="Q24" i="16"/>
  <c r="Q25" i="16"/>
  <c r="Q26" i="16"/>
  <c r="Q27" i="16"/>
  <c r="Q28" i="16"/>
  <c r="Q29" i="16"/>
  <c r="C30" i="16"/>
  <c r="G10" i="16" s="1"/>
  <c r="P10" i="16" s="1"/>
  <c r="I5" i="16"/>
  <c r="R10" i="16"/>
  <c r="R11" i="16"/>
  <c r="R12" i="16"/>
  <c r="R13" i="16"/>
  <c r="R14" i="16"/>
  <c r="R15" i="16"/>
  <c r="R16" i="16"/>
  <c r="R17" i="16"/>
  <c r="R18" i="16"/>
  <c r="R19" i="16"/>
  <c r="R20" i="16"/>
  <c r="R21" i="16"/>
  <c r="R22" i="16"/>
  <c r="R23" i="16"/>
  <c r="R24" i="16"/>
  <c r="R25" i="16"/>
  <c r="R26" i="16"/>
  <c r="R27" i="16"/>
  <c r="R28" i="16"/>
  <c r="R29" i="16"/>
  <c r="P21" i="16"/>
  <c r="P22" i="16"/>
  <c r="P23" i="16"/>
  <c r="P24" i="16"/>
  <c r="P25" i="16"/>
  <c r="P26" i="16"/>
  <c r="P27" i="16"/>
  <c r="P28" i="16"/>
  <c r="P29" i="16"/>
  <c r="D4" i="16"/>
  <c r="F11" i="16" s="1"/>
  <c r="F17" i="16"/>
  <c r="O17" i="16" s="1"/>
  <c r="O22" i="16"/>
  <c r="O23" i="16"/>
  <c r="O24" i="16"/>
  <c r="O25" i="16"/>
  <c r="O26" i="16"/>
  <c r="O27" i="16"/>
  <c r="O28" i="16"/>
  <c r="O29" i="16"/>
  <c r="L22" i="16"/>
  <c r="L23" i="16"/>
  <c r="L24" i="16"/>
  <c r="L25" i="16"/>
  <c r="L26" i="16"/>
  <c r="L27" i="16"/>
  <c r="L28" i="16"/>
  <c r="L29" i="16"/>
  <c r="K22" i="16"/>
  <c r="K23" i="16"/>
  <c r="K24" i="16"/>
  <c r="K25" i="16"/>
  <c r="K26" i="16"/>
  <c r="K27" i="16"/>
  <c r="K28" i="16"/>
  <c r="K29" i="16"/>
  <c r="J22" i="16"/>
  <c r="J23" i="16"/>
  <c r="J24" i="16"/>
  <c r="J25" i="16"/>
  <c r="J26" i="16"/>
  <c r="J27" i="16"/>
  <c r="J28" i="16"/>
  <c r="J29" i="16"/>
  <c r="H22" i="16"/>
  <c r="H23" i="16"/>
  <c r="H24" i="16"/>
  <c r="H25" i="16"/>
  <c r="H26" i="16"/>
  <c r="H27" i="16"/>
  <c r="H28" i="16"/>
  <c r="H29" i="16"/>
  <c r="G20" i="16"/>
  <c r="P20" i="16" s="1"/>
  <c r="G21" i="16"/>
  <c r="G22" i="16"/>
  <c r="G23" i="16"/>
  <c r="G24" i="16"/>
  <c r="G25" i="16"/>
  <c r="G26" i="16"/>
  <c r="G27" i="16"/>
  <c r="G28" i="16"/>
  <c r="G29" i="16"/>
  <c r="F21" i="16"/>
  <c r="O21" i="16" s="1"/>
  <c r="F22" i="16"/>
  <c r="F23" i="16"/>
  <c r="F24" i="16"/>
  <c r="F25" i="16"/>
  <c r="F26" i="16"/>
  <c r="F27" i="16"/>
  <c r="F28" i="16"/>
  <c r="F29" i="16"/>
  <c r="F6" i="16"/>
  <c r="N10" i="15"/>
  <c r="H10" i="15" s="1"/>
  <c r="N11" i="15"/>
  <c r="N12" i="15"/>
  <c r="N13" i="15"/>
  <c r="N14" i="15"/>
  <c r="H14" i="15" s="1"/>
  <c r="Q14" i="15" s="1"/>
  <c r="N15" i="15"/>
  <c r="N16" i="15"/>
  <c r="N17" i="15"/>
  <c r="N18" i="15"/>
  <c r="N19" i="15"/>
  <c r="N20" i="15"/>
  <c r="N21" i="15"/>
  <c r="N22" i="15"/>
  <c r="N23" i="15"/>
  <c r="N24" i="15"/>
  <c r="N25" i="15"/>
  <c r="N26" i="15"/>
  <c r="N27" i="15"/>
  <c r="N28" i="15"/>
  <c r="N29" i="15"/>
  <c r="N30" i="15"/>
  <c r="H12" i="15" s="1"/>
  <c r="Q12" i="15" s="1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9" i="15"/>
  <c r="C30" i="15"/>
  <c r="F6" i="15" s="1"/>
  <c r="F5" i="15"/>
  <c r="R10" i="15"/>
  <c r="R11" i="15"/>
  <c r="R30" i="15" s="1"/>
  <c r="R12" i="15"/>
  <c r="R13" i="15"/>
  <c r="R14" i="15"/>
  <c r="R15" i="15"/>
  <c r="R16" i="15"/>
  <c r="R17" i="15"/>
  <c r="R18" i="15"/>
  <c r="R19" i="15"/>
  <c r="R20" i="15"/>
  <c r="R21" i="15"/>
  <c r="R22" i="15"/>
  <c r="R23" i="15"/>
  <c r="R24" i="15"/>
  <c r="R25" i="15"/>
  <c r="R26" i="15"/>
  <c r="R27" i="15"/>
  <c r="R28" i="15"/>
  <c r="R29" i="15"/>
  <c r="G10" i="15"/>
  <c r="P10" i="15" s="1"/>
  <c r="G12" i="15"/>
  <c r="P12" i="15" s="1"/>
  <c r="G14" i="15"/>
  <c r="P14" i="15" s="1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D4" i="15"/>
  <c r="F11" i="15" s="1"/>
  <c r="O11" i="15" s="1"/>
  <c r="F10" i="15"/>
  <c r="O10" i="15" s="1"/>
  <c r="F12" i="15"/>
  <c r="O12" i="15" s="1"/>
  <c r="F14" i="15"/>
  <c r="O14" i="15" s="1"/>
  <c r="O15" i="15"/>
  <c r="O16" i="15"/>
  <c r="O17" i="15"/>
  <c r="O18" i="15"/>
  <c r="O19" i="15"/>
  <c r="O20" i="15"/>
  <c r="O21" i="15"/>
  <c r="O22" i="15"/>
  <c r="O23" i="15"/>
  <c r="O24" i="15"/>
  <c r="O25" i="15"/>
  <c r="O26" i="15"/>
  <c r="O27" i="15"/>
  <c r="O28" i="15"/>
  <c r="O29" i="15"/>
  <c r="L15" i="15"/>
  <c r="L16" i="15"/>
  <c r="L17" i="15"/>
  <c r="L18" i="15"/>
  <c r="L19" i="15"/>
  <c r="L20" i="15"/>
  <c r="L21" i="15"/>
  <c r="L22" i="15"/>
  <c r="L23" i="15"/>
  <c r="L24" i="15"/>
  <c r="L25" i="15"/>
  <c r="L26" i="15"/>
  <c r="L27" i="15"/>
  <c r="L28" i="15"/>
  <c r="L29" i="15"/>
  <c r="K15" i="15"/>
  <c r="K16" i="15"/>
  <c r="K17" i="15"/>
  <c r="K18" i="15"/>
  <c r="K19" i="15"/>
  <c r="K20" i="15"/>
  <c r="K21" i="15"/>
  <c r="K22" i="15"/>
  <c r="K23" i="15"/>
  <c r="K24" i="15"/>
  <c r="K25" i="15"/>
  <c r="K26" i="15"/>
  <c r="K27" i="15"/>
  <c r="K28" i="15"/>
  <c r="K29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D15" i="14"/>
  <c r="D17" i="14"/>
  <c r="D16" i="13"/>
  <c r="D18" i="13" s="1"/>
  <c r="J22" i="7"/>
  <c r="J10" i="7"/>
  <c r="E5" i="11"/>
  <c r="E7" i="11" s="1"/>
  <c r="E6" i="11"/>
  <c r="C7" i="11"/>
  <c r="E10" i="11" s="1"/>
  <c r="Q18" i="12"/>
  <c r="D22" i="12"/>
  <c r="I9" i="12"/>
  <c r="I10" i="12"/>
  <c r="I11" i="12"/>
  <c r="J9" i="12"/>
  <c r="J10" i="12"/>
  <c r="J11" i="12"/>
  <c r="K9" i="12"/>
  <c r="K10" i="12"/>
  <c r="K11" i="12"/>
  <c r="U22" i="12"/>
  <c r="F5" i="12"/>
  <c r="F6" i="12"/>
  <c r="F7" i="12"/>
  <c r="D8" i="12"/>
  <c r="E8" i="12"/>
  <c r="C8" i="12"/>
  <c r="D13" i="12"/>
  <c r="E11" i="11"/>
  <c r="E12" i="11"/>
  <c r="E13" i="11"/>
  <c r="E14" i="11" s="1"/>
  <c r="D7" i="11"/>
  <c r="H5" i="10"/>
  <c r="I4" i="10"/>
  <c r="D12" i="10"/>
  <c r="H4" i="10"/>
  <c r="I5" i="10"/>
  <c r="E5" i="10"/>
  <c r="E6" i="10"/>
  <c r="D7" i="10"/>
  <c r="C7" i="10"/>
  <c r="F8" i="6"/>
  <c r="E43" i="6" s="1"/>
  <c r="C43" i="6"/>
  <c r="C17" i="6" s="1"/>
  <c r="E30" i="9"/>
  <c r="E31" i="9"/>
  <c r="H30" i="9" s="1"/>
  <c r="E29" i="9"/>
  <c r="H31" i="9" s="1"/>
  <c r="E22" i="9"/>
  <c r="E20" i="9"/>
  <c r="E26" i="9" s="1"/>
  <c r="H20" i="9"/>
  <c r="H21" i="9"/>
  <c r="H23" i="9" s="1"/>
  <c r="H34" i="9"/>
  <c r="E21" i="9"/>
  <c r="G36" i="9" s="1"/>
  <c r="E23" i="9"/>
  <c r="E49" i="6"/>
  <c r="E23" i="6" s="1"/>
  <c r="H49" i="6"/>
  <c r="H23" i="6" s="1"/>
  <c r="C21" i="8"/>
  <c r="C10" i="8"/>
  <c r="C22" i="7"/>
  <c r="C10" i="7"/>
  <c r="E47" i="6"/>
  <c r="E32" i="6" s="1"/>
  <c r="G12" i="6"/>
  <c r="B34" i="6"/>
  <c r="H27" i="6"/>
  <c r="G10" i="6"/>
  <c r="F4" i="4"/>
  <c r="C15" i="4"/>
  <c r="D15" i="4"/>
  <c r="E15" i="4"/>
  <c r="F15" i="4"/>
  <c r="G15" i="4"/>
  <c r="H15" i="4"/>
  <c r="C16" i="4"/>
  <c r="D16" i="4"/>
  <c r="E16" i="4"/>
  <c r="F16" i="4"/>
  <c r="G16" i="4"/>
  <c r="H16" i="4"/>
  <c r="C17" i="4"/>
  <c r="D17" i="4"/>
  <c r="E17" i="4"/>
  <c r="F17" i="4"/>
  <c r="G17" i="4"/>
  <c r="H17" i="4"/>
  <c r="C18" i="4"/>
  <c r="D18" i="4"/>
  <c r="E18" i="4"/>
  <c r="F18" i="4"/>
  <c r="G18" i="4"/>
  <c r="H18" i="4"/>
  <c r="C19" i="4"/>
  <c r="D19" i="4"/>
  <c r="E19" i="4"/>
  <c r="F19" i="4"/>
  <c r="G19" i="4"/>
  <c r="H19" i="4"/>
  <c r="C20" i="4"/>
  <c r="D20" i="4"/>
  <c r="E20" i="4"/>
  <c r="F20" i="4"/>
  <c r="G20" i="4"/>
  <c r="H20" i="4"/>
  <c r="D14" i="4"/>
  <c r="E14" i="4"/>
  <c r="F14" i="4"/>
  <c r="G14" i="4"/>
  <c r="H14" i="4"/>
  <c r="C14" i="4"/>
  <c r="B31" i="4"/>
  <c r="H24" i="4"/>
  <c r="C26" i="4"/>
  <c r="D26" i="4"/>
  <c r="E26" i="4"/>
  <c r="F26" i="4"/>
  <c r="G26" i="4"/>
  <c r="H26" i="4"/>
  <c r="C27" i="4"/>
  <c r="D27" i="4"/>
  <c r="E27" i="4"/>
  <c r="F27" i="4"/>
  <c r="G27" i="4"/>
  <c r="H27" i="4"/>
  <c r="C28" i="4"/>
  <c r="D28" i="4"/>
  <c r="E28" i="4"/>
  <c r="F28" i="4"/>
  <c r="G28" i="4"/>
  <c r="H28" i="4"/>
  <c r="C29" i="4"/>
  <c r="D29" i="4"/>
  <c r="E29" i="4"/>
  <c r="F29" i="4"/>
  <c r="G29" i="4"/>
  <c r="H29" i="4"/>
  <c r="C30" i="4"/>
  <c r="D30" i="4"/>
  <c r="E30" i="4"/>
  <c r="F30" i="4"/>
  <c r="G30" i="4"/>
  <c r="H30" i="4"/>
  <c r="C31" i="4"/>
  <c r="D31" i="4"/>
  <c r="E31" i="4"/>
  <c r="F31" i="4"/>
  <c r="G31" i="4"/>
  <c r="H31" i="4"/>
  <c r="D25" i="4"/>
  <c r="E25" i="4"/>
  <c r="F25" i="4"/>
  <c r="G25" i="4"/>
  <c r="H25" i="4"/>
  <c r="C25" i="4"/>
  <c r="G8" i="4"/>
  <c r="G9" i="4"/>
  <c r="F4" i="3"/>
  <c r="H15" i="3" s="1"/>
  <c r="H17" i="3"/>
  <c r="H16" i="3"/>
  <c r="H14" i="3"/>
  <c r="H13" i="3"/>
  <c r="H12" i="3"/>
  <c r="C17" i="3"/>
  <c r="D17" i="3"/>
  <c r="E17" i="3"/>
  <c r="G17" i="3"/>
  <c r="C12" i="3"/>
  <c r="D12" i="3"/>
  <c r="F12" i="3"/>
  <c r="G12" i="3"/>
  <c r="C13" i="3"/>
  <c r="E13" i="3"/>
  <c r="F13" i="3"/>
  <c r="G13" i="3"/>
  <c r="D14" i="3"/>
  <c r="E14" i="3"/>
  <c r="F14" i="3"/>
  <c r="C15" i="3"/>
  <c r="D15" i="3"/>
  <c r="E15" i="3"/>
  <c r="G15" i="3"/>
  <c r="C16" i="3"/>
  <c r="D16" i="3"/>
  <c r="F16" i="3"/>
  <c r="G16" i="3"/>
  <c r="D11" i="3"/>
  <c r="F11" i="3"/>
  <c r="G11" i="3"/>
  <c r="C11" i="3"/>
  <c r="G6" i="3"/>
  <c r="G7" i="3"/>
  <c r="D25" i="2"/>
  <c r="D13" i="2" s="1"/>
  <c r="E9" i="2"/>
  <c r="C15" i="2"/>
  <c r="K15" i="2" s="1"/>
  <c r="J25" i="2"/>
  <c r="J15" i="2" s="1"/>
  <c r="D15" i="2" s="1"/>
  <c r="C10" i="2"/>
  <c r="E10" i="2" s="1"/>
  <c r="D10" i="2"/>
  <c r="E8" i="2"/>
  <c r="K14" i="2" s="1"/>
  <c r="C14" i="2"/>
  <c r="J14" i="2" s="1"/>
  <c r="D14" i="2" s="1"/>
  <c r="F22" i="2"/>
  <c r="J7" i="2"/>
  <c r="J10" i="2" s="1"/>
  <c r="C22" i="1"/>
  <c r="E28" i="1" s="1"/>
  <c r="E26" i="1"/>
  <c r="I29" i="1"/>
  <c r="C8" i="1"/>
  <c r="C17" i="1" s="1"/>
  <c r="D8" i="1"/>
  <c r="C18" i="1" s="1"/>
  <c r="F21" i="1"/>
  <c r="D29" i="1"/>
  <c r="H37" i="9" l="1"/>
  <c r="G37" i="9"/>
  <c r="H24" i="9"/>
  <c r="H36" i="9"/>
  <c r="E25" i="9"/>
  <c r="G38" i="19"/>
  <c r="D39" i="19"/>
  <c r="D40" i="19" s="1"/>
  <c r="D42" i="19" s="1"/>
  <c r="D43" i="19" s="1"/>
  <c r="K8" i="19"/>
  <c r="K11" i="19" s="1"/>
  <c r="G32" i="19"/>
  <c r="K6" i="19" s="1"/>
  <c r="G31" i="19"/>
  <c r="K5" i="19" s="1"/>
  <c r="G37" i="19"/>
  <c r="F19" i="16"/>
  <c r="O19" i="16" s="1"/>
  <c r="F20" i="16"/>
  <c r="O20" i="16" s="1"/>
  <c r="F18" i="16"/>
  <c r="O18" i="16" s="1"/>
  <c r="G18" i="16"/>
  <c r="P18" i="16" s="1"/>
  <c r="F16" i="16"/>
  <c r="O16" i="16" s="1"/>
  <c r="G16" i="16"/>
  <c r="P16" i="16" s="1"/>
  <c r="F15" i="16"/>
  <c r="O15" i="16" s="1"/>
  <c r="F14" i="16"/>
  <c r="O14" i="16" s="1"/>
  <c r="F12" i="16"/>
  <c r="O12" i="16" s="1"/>
  <c r="O11" i="16"/>
  <c r="F13" i="16"/>
  <c r="O13" i="16" s="1"/>
  <c r="F10" i="16"/>
  <c r="O10" i="16" s="1"/>
  <c r="D48" i="6"/>
  <c r="D22" i="6" s="1"/>
  <c r="G48" i="6"/>
  <c r="G33" i="6" s="1"/>
  <c r="G46" i="6"/>
  <c r="G20" i="6" s="1"/>
  <c r="H48" i="6"/>
  <c r="H22" i="6" s="1"/>
  <c r="F48" i="6"/>
  <c r="F33" i="6" s="1"/>
  <c r="F46" i="6"/>
  <c r="F20" i="6" s="1"/>
  <c r="E48" i="6"/>
  <c r="E33" i="6" s="1"/>
  <c r="F47" i="6"/>
  <c r="F32" i="6" s="1"/>
  <c r="E46" i="6"/>
  <c r="E31" i="6" s="1"/>
  <c r="G49" i="6"/>
  <c r="G23" i="6" s="1"/>
  <c r="F45" i="6"/>
  <c r="F30" i="6" s="1"/>
  <c r="C48" i="6"/>
  <c r="C33" i="6" s="1"/>
  <c r="D49" i="6"/>
  <c r="D34" i="6" s="1"/>
  <c r="G47" i="6"/>
  <c r="G32" i="6" s="1"/>
  <c r="H46" i="6"/>
  <c r="H31" i="6" s="1"/>
  <c r="H44" i="6"/>
  <c r="H29" i="6" s="1"/>
  <c r="E44" i="6"/>
  <c r="D47" i="6"/>
  <c r="D32" i="6" s="1"/>
  <c r="C46" i="6"/>
  <c r="C20" i="6" s="1"/>
  <c r="C49" i="6"/>
  <c r="H43" i="6"/>
  <c r="H28" i="6" s="1"/>
  <c r="D45" i="6"/>
  <c r="D30" i="6" s="1"/>
  <c r="G43" i="6"/>
  <c r="E21" i="6"/>
  <c r="D23" i="6"/>
  <c r="G45" i="6"/>
  <c r="G19" i="6" s="1"/>
  <c r="F44" i="6"/>
  <c r="F29" i="6" s="1"/>
  <c r="F43" i="6"/>
  <c r="F17" i="6" s="1"/>
  <c r="H34" i="6"/>
  <c r="G34" i="6"/>
  <c r="D33" i="6"/>
  <c r="F19" i="6"/>
  <c r="F31" i="6"/>
  <c r="C47" i="6"/>
  <c r="C21" i="6" s="1"/>
  <c r="D46" i="6"/>
  <c r="H47" i="6"/>
  <c r="H32" i="6" s="1"/>
  <c r="F49" i="6"/>
  <c r="F23" i="6" s="1"/>
  <c r="H45" i="6"/>
  <c r="H30" i="6" s="1"/>
  <c r="C45" i="6"/>
  <c r="D44" i="6"/>
  <c r="D43" i="6"/>
  <c r="G21" i="6"/>
  <c r="E22" i="6"/>
  <c r="G45" i="22"/>
  <c r="D45" i="22"/>
  <c r="M9" i="23"/>
  <c r="G40" i="23"/>
  <c r="G45" i="23"/>
  <c r="I32" i="23"/>
  <c r="M6" i="23" s="1"/>
  <c r="D40" i="23"/>
  <c r="D44" i="23"/>
  <c r="D45" i="23"/>
  <c r="J32" i="23"/>
  <c r="E7" i="10"/>
  <c r="F15" i="10" s="1"/>
  <c r="L11" i="12"/>
  <c r="L10" i="12"/>
  <c r="K12" i="12"/>
  <c r="J12" i="12"/>
  <c r="F8" i="12"/>
  <c r="F16" i="12" s="1"/>
  <c r="I15" i="26"/>
  <c r="H15" i="26" s="1"/>
  <c r="H20" i="6"/>
  <c r="G31" i="6"/>
  <c r="G22" i="6"/>
  <c r="H17" i="6"/>
  <c r="C28" i="6"/>
  <c r="E34" i="6"/>
  <c r="D21" i="6"/>
  <c r="E20" i="6"/>
  <c r="F22" i="6"/>
  <c r="J40" i="22"/>
  <c r="F32" i="1"/>
  <c r="G33" i="1" s="1"/>
  <c r="C13" i="1"/>
  <c r="C12" i="1"/>
  <c r="D13" i="1"/>
  <c r="C23" i="1"/>
  <c r="E25" i="1"/>
  <c r="P40" i="22"/>
  <c r="V32" i="22"/>
  <c r="V33" i="22" s="1"/>
  <c r="M40" i="22"/>
  <c r="S32" i="22"/>
  <c r="S33" i="22" s="1"/>
  <c r="U32" i="22"/>
  <c r="U33" i="22" s="1"/>
  <c r="J5" i="24"/>
  <c r="J6" i="24"/>
  <c r="J7" i="24"/>
  <c r="J8" i="24"/>
  <c r="J9" i="24"/>
  <c r="D68" i="24"/>
  <c r="H101" i="24"/>
  <c r="H44" i="24"/>
  <c r="H65" i="24"/>
  <c r="H28" i="24"/>
  <c r="H81" i="24"/>
  <c r="H95" i="24"/>
  <c r="H89" i="24"/>
  <c r="H54" i="24"/>
  <c r="D15" i="24"/>
  <c r="F18" i="24"/>
  <c r="F44" i="24"/>
  <c r="H53" i="24"/>
  <c r="H40" i="24"/>
  <c r="H24" i="24"/>
  <c r="H58" i="24"/>
  <c r="H86" i="24"/>
  <c r="H69" i="24"/>
  <c r="H85" i="24"/>
  <c r="H18" i="24"/>
  <c r="F15" i="24"/>
  <c r="H56" i="24"/>
  <c r="F61" i="24"/>
  <c r="H36" i="24"/>
  <c r="H20" i="24"/>
  <c r="H62" i="24"/>
  <c r="H94" i="24"/>
  <c r="H73" i="24"/>
  <c r="H79" i="24"/>
  <c r="H63" i="24"/>
  <c r="H11" i="24"/>
  <c r="H14" i="24"/>
  <c r="H48" i="24"/>
  <c r="H32" i="24"/>
  <c r="H16" i="24"/>
  <c r="H70" i="24"/>
  <c r="H61" i="24"/>
  <c r="H77" i="24"/>
  <c r="H93" i="24"/>
  <c r="F8" i="24"/>
  <c r="H10" i="24"/>
  <c r="D55" i="24"/>
  <c r="D73" i="24"/>
  <c r="D89" i="24"/>
  <c r="F64" i="24"/>
  <c r="F75" i="24"/>
  <c r="F80" i="24"/>
  <c r="F91" i="24"/>
  <c r="F96" i="24"/>
  <c r="F101" i="24"/>
  <c r="D98" i="24"/>
  <c r="D92" i="24"/>
  <c r="F85" i="24"/>
  <c r="D82" i="24"/>
  <c r="D76" i="24"/>
  <c r="F69" i="24"/>
  <c r="D66" i="24"/>
  <c r="F60" i="24"/>
  <c r="F58" i="24"/>
  <c r="D48" i="24"/>
  <c r="D44" i="24"/>
  <c r="D40" i="24"/>
  <c r="D36" i="24"/>
  <c r="D32" i="24"/>
  <c r="D28" i="24"/>
  <c r="D24" i="24"/>
  <c r="D20" i="24"/>
  <c r="D16" i="24"/>
  <c r="D49" i="24"/>
  <c r="D45" i="24"/>
  <c r="D41" i="24"/>
  <c r="D37" i="24"/>
  <c r="D33" i="24"/>
  <c r="D29" i="24"/>
  <c r="D25" i="24"/>
  <c r="D21" i="24"/>
  <c r="D17" i="24"/>
  <c r="D14" i="24"/>
  <c r="D47" i="24"/>
  <c r="D43" i="24"/>
  <c r="D39" i="24"/>
  <c r="D35" i="24"/>
  <c r="D31" i="24"/>
  <c r="D27" i="24"/>
  <c r="D23" i="24"/>
  <c r="D19" i="24"/>
  <c r="D13" i="24"/>
  <c r="D58" i="24"/>
  <c r="D54" i="24"/>
  <c r="D5" i="24"/>
  <c r="D7" i="24"/>
  <c r="D12" i="24"/>
  <c r="H29" i="24"/>
  <c r="H25" i="24"/>
  <c r="H21" i="24"/>
  <c r="H41" i="24"/>
  <c r="H55" i="24"/>
  <c r="H27" i="24"/>
  <c r="H43" i="24"/>
  <c r="H72" i="24"/>
  <c r="H88" i="24"/>
  <c r="F38" i="24"/>
  <c r="F52" i="24"/>
  <c r="F5" i="24"/>
  <c r="F32" i="24"/>
  <c r="F48" i="24"/>
  <c r="F104" i="24"/>
  <c r="H57" i="24"/>
  <c r="D51" i="24"/>
  <c r="F51" i="24"/>
  <c r="F55" i="24"/>
  <c r="F59" i="24"/>
  <c r="D69" i="24"/>
  <c r="H74" i="24"/>
  <c r="D85" i="24"/>
  <c r="H90" i="24"/>
  <c r="D101" i="24"/>
  <c r="H60" i="24"/>
  <c r="F71" i="24"/>
  <c r="F76" i="24"/>
  <c r="F87" i="24"/>
  <c r="F92" i="24"/>
  <c r="F62" i="24"/>
  <c r="F66" i="24"/>
  <c r="F70" i="24"/>
  <c r="F74" i="24"/>
  <c r="F78" i="24"/>
  <c r="F82" i="24"/>
  <c r="F86" i="24"/>
  <c r="F90" i="24"/>
  <c r="F94" i="24"/>
  <c r="F98" i="24"/>
  <c r="F102" i="24"/>
  <c r="F97" i="24"/>
  <c r="D94" i="24"/>
  <c r="H91" i="24"/>
  <c r="D88" i="24"/>
  <c r="F81" i="24"/>
  <c r="D78" i="24"/>
  <c r="H75" i="24"/>
  <c r="D72" i="24"/>
  <c r="F65" i="24"/>
  <c r="D62" i="24"/>
  <c r="D57" i="24"/>
  <c r="F54" i="24"/>
  <c r="F47" i="24"/>
  <c r="F43" i="24"/>
  <c r="F39" i="24"/>
  <c r="F35" i="24"/>
  <c r="F31" i="24"/>
  <c r="F27" i="24"/>
  <c r="F23" i="24"/>
  <c r="F19" i="24"/>
  <c r="H15" i="24"/>
  <c r="F11" i="24"/>
  <c r="D10" i="24"/>
  <c r="D6" i="24"/>
  <c r="H7" i="24"/>
  <c r="H45" i="24"/>
  <c r="H59" i="24"/>
  <c r="H31" i="24"/>
  <c r="H47" i="24"/>
  <c r="H76" i="24"/>
  <c r="H92" i="24"/>
  <c r="H13" i="24"/>
  <c r="H8" i="24"/>
  <c r="F6" i="24"/>
  <c r="F42" i="24"/>
  <c r="F53" i="24"/>
  <c r="F20" i="24"/>
  <c r="F36" i="24"/>
  <c r="F12" i="24"/>
  <c r="D50" i="24"/>
  <c r="D46" i="24"/>
  <c r="D42" i="24"/>
  <c r="D38" i="24"/>
  <c r="D34" i="24"/>
  <c r="D30" i="24"/>
  <c r="D26" i="24"/>
  <c r="D22" i="24"/>
  <c r="D18" i="24"/>
  <c r="D52" i="24"/>
  <c r="D56" i="24"/>
  <c r="D60" i="24"/>
  <c r="D65" i="24"/>
  <c r="D81" i="24"/>
  <c r="D97" i="24"/>
  <c r="D102" i="24"/>
  <c r="F67" i="24"/>
  <c r="F72" i="24"/>
  <c r="F83" i="24"/>
  <c r="F88" i="24"/>
  <c r="F99" i="24"/>
  <c r="D63" i="24"/>
  <c r="D67" i="24"/>
  <c r="D71" i="24"/>
  <c r="D75" i="24"/>
  <c r="D79" i="24"/>
  <c r="D83" i="24"/>
  <c r="D87" i="24"/>
  <c r="D91" i="24"/>
  <c r="D95" i="24"/>
  <c r="D99" i="24"/>
  <c r="D103" i="24"/>
  <c r="D100" i="24"/>
  <c r="F93" i="24"/>
  <c r="D90" i="24"/>
  <c r="H87" i="24"/>
  <c r="D84" i="24"/>
  <c r="F77" i="24"/>
  <c r="D74" i="24"/>
  <c r="H71" i="24"/>
  <c r="D53" i="24"/>
  <c r="H50" i="24"/>
  <c r="H46" i="24"/>
  <c r="H42" i="24"/>
  <c r="H38" i="24"/>
  <c r="H34" i="24"/>
  <c r="H30" i="24"/>
  <c r="H26" i="24"/>
  <c r="H22" i="24"/>
  <c r="D11" i="24"/>
  <c r="F9" i="24"/>
  <c r="H6" i="24"/>
  <c r="D9" i="24"/>
  <c r="H33" i="24"/>
  <c r="H49" i="24"/>
  <c r="H19" i="24"/>
  <c r="H35" i="24"/>
  <c r="H64" i="24"/>
  <c r="H80" i="24"/>
  <c r="H96" i="24"/>
  <c r="F30" i="24"/>
  <c r="F26" i="24"/>
  <c r="F22" i="24"/>
  <c r="H103" i="24"/>
  <c r="D8" i="24"/>
  <c r="F46" i="24"/>
  <c r="F56" i="24"/>
  <c r="F24" i="24"/>
  <c r="F40" i="24"/>
  <c r="F14" i="24"/>
  <c r="D59" i="24"/>
  <c r="H52" i="24"/>
  <c r="F49" i="24"/>
  <c r="F45" i="24"/>
  <c r="F41" i="24"/>
  <c r="F37" i="24"/>
  <c r="F33" i="24"/>
  <c r="F29" i="24"/>
  <c r="F25" i="24"/>
  <c r="F21" i="24"/>
  <c r="F17" i="24"/>
  <c r="D61" i="24"/>
  <c r="H66" i="24"/>
  <c r="D77" i="24"/>
  <c r="H82" i="24"/>
  <c r="D93" i="24"/>
  <c r="H98" i="24"/>
  <c r="F103" i="24"/>
  <c r="F63" i="24"/>
  <c r="F68" i="24"/>
  <c r="F79" i="24"/>
  <c r="F84" i="24"/>
  <c r="F95" i="24"/>
  <c r="F100" i="24"/>
  <c r="H104" i="24"/>
  <c r="H99" i="24"/>
  <c r="D96" i="24"/>
  <c r="F89" i="24"/>
  <c r="D86" i="24"/>
  <c r="H83" i="24"/>
  <c r="D80" i="24"/>
  <c r="F73" i="24"/>
  <c r="D70" i="24"/>
  <c r="H67" i="24"/>
  <c r="D64" i="24"/>
  <c r="F13" i="24"/>
  <c r="H17" i="24"/>
  <c r="H9" i="24"/>
  <c r="H37" i="24"/>
  <c r="H51" i="24"/>
  <c r="H23" i="24"/>
  <c r="H39" i="24"/>
  <c r="H68" i="24"/>
  <c r="H84" i="24"/>
  <c r="H100" i="24"/>
  <c r="H12" i="24"/>
  <c r="F16" i="24"/>
  <c r="F10" i="24"/>
  <c r="F7" i="24"/>
  <c r="H5" i="24"/>
  <c r="F34" i="24"/>
  <c r="F50" i="24"/>
  <c r="F57" i="24"/>
  <c r="F28" i="24"/>
  <c r="I6" i="10"/>
  <c r="H6" i="10"/>
  <c r="J5" i="10"/>
  <c r="J4" i="10"/>
  <c r="E17" i="6"/>
  <c r="E28" i="6"/>
  <c r="H30" i="15"/>
  <c r="Q10" i="15"/>
  <c r="Q30" i="15" s="1"/>
  <c r="L34" i="15" s="1"/>
  <c r="C20" i="1"/>
  <c r="F18" i="1" s="1"/>
  <c r="D12" i="1"/>
  <c r="I5" i="1"/>
  <c r="K7" i="2"/>
  <c r="K8" i="2" s="1"/>
  <c r="C18" i="2"/>
  <c r="C32" i="6"/>
  <c r="I12" i="12"/>
  <c r="E9" i="11"/>
  <c r="H13" i="15"/>
  <c r="Q13" i="15" s="1"/>
  <c r="H11" i="15"/>
  <c r="Q11" i="15" s="1"/>
  <c r="R30" i="16"/>
  <c r="G11" i="16"/>
  <c r="G13" i="16"/>
  <c r="P13" i="16" s="1"/>
  <c r="G15" i="16"/>
  <c r="P15" i="16" s="1"/>
  <c r="G17" i="16"/>
  <c r="P17" i="16" s="1"/>
  <c r="G19" i="16"/>
  <c r="P19" i="16" s="1"/>
  <c r="F13" i="15"/>
  <c r="O13" i="15" s="1"/>
  <c r="O30" i="15" s="1"/>
  <c r="J34" i="15" s="1"/>
  <c r="G13" i="15"/>
  <c r="P13" i="15" s="1"/>
  <c r="G11" i="15"/>
  <c r="P11" i="15" s="1"/>
  <c r="P30" i="15" s="1"/>
  <c r="K34" i="15" s="1"/>
  <c r="G12" i="16"/>
  <c r="P12" i="16" s="1"/>
  <c r="E42" i="19"/>
  <c r="E43" i="19" s="1"/>
  <c r="E41" i="19"/>
  <c r="E44" i="19" s="1"/>
  <c r="J8" i="2"/>
  <c r="J9" i="2" s="1"/>
  <c r="C16" i="2"/>
  <c r="J16" i="2" s="1"/>
  <c r="D19" i="6"/>
  <c r="E11" i="3"/>
  <c r="E16" i="3"/>
  <c r="F15" i="3"/>
  <c r="G14" i="3"/>
  <c r="C14" i="3"/>
  <c r="D13" i="3"/>
  <c r="E12" i="3"/>
  <c r="F17" i="3"/>
  <c r="H11" i="3"/>
  <c r="E45" i="6"/>
  <c r="G44" i="6"/>
  <c r="C44" i="6"/>
  <c r="L9" i="12"/>
  <c r="F30" i="15"/>
  <c r="G14" i="16"/>
  <c r="P14" i="16" s="1"/>
  <c r="I6" i="16"/>
  <c r="N30" i="16"/>
  <c r="G34" i="19"/>
  <c r="I13" i="20"/>
  <c r="M13" i="20" s="1"/>
  <c r="R9" i="20" s="1"/>
  <c r="O9" i="20"/>
  <c r="I16" i="20" s="1"/>
  <c r="R19" i="18"/>
  <c r="Q25" i="18"/>
  <c r="R24" i="18"/>
  <c r="M24" i="18"/>
  <c r="M23" i="18"/>
  <c r="N22" i="18"/>
  <c r="O21" i="18"/>
  <c r="O20" i="18"/>
  <c r="R32" i="22"/>
  <c r="T32" i="22"/>
  <c r="G43" i="22"/>
  <c r="G44" i="22" s="1"/>
  <c r="G40" i="22"/>
  <c r="P19" i="18"/>
  <c r="P25" i="18"/>
  <c r="Q24" i="18"/>
  <c r="Q23" i="18"/>
  <c r="R22" i="18"/>
  <c r="M22" i="18"/>
  <c r="M21" i="18"/>
  <c r="I14" i="21"/>
  <c r="T14" i="21" s="1"/>
  <c r="V14" i="21" s="1"/>
  <c r="I10" i="21"/>
  <c r="T10" i="21" s="1"/>
  <c r="V10" i="21" s="1"/>
  <c r="I5" i="21"/>
  <c r="I6" i="21"/>
  <c r="T6" i="21" s="1"/>
  <c r="V6" i="21" s="1"/>
  <c r="I7" i="21"/>
  <c r="I8" i="21"/>
  <c r="T8" i="21" s="1"/>
  <c r="V8" i="21" s="1"/>
  <c r="I9" i="21"/>
  <c r="I11" i="21"/>
  <c r="I12" i="21"/>
  <c r="T12" i="21" s="1"/>
  <c r="V12" i="21" s="1"/>
  <c r="I13" i="21"/>
  <c r="I15" i="21"/>
  <c r="I16" i="21"/>
  <c r="T16" i="21" s="1"/>
  <c r="V16" i="21" s="1"/>
  <c r="P10" i="20"/>
  <c r="P20" i="18"/>
  <c r="N21" i="18"/>
  <c r="R21" i="18"/>
  <c r="P22" i="18"/>
  <c r="N23" i="18"/>
  <c r="R23" i="18"/>
  <c r="P24" i="18"/>
  <c r="N25" i="18"/>
  <c r="R25" i="18"/>
  <c r="Q19" i="18"/>
  <c r="O19" i="18"/>
  <c r="O25" i="18"/>
  <c r="O24" i="18"/>
  <c r="P23" i="18"/>
  <c r="Q22" i="18"/>
  <c r="Q21" i="18"/>
  <c r="R20" i="18"/>
  <c r="M20" i="18"/>
  <c r="G41" i="21"/>
  <c r="G39" i="21"/>
  <c r="U36" i="22"/>
  <c r="D43" i="22"/>
  <c r="D44" i="22" s="1"/>
  <c r="D40" i="22"/>
  <c r="M7" i="23"/>
  <c r="M5" i="23" s="1"/>
  <c r="G36" i="19"/>
  <c r="G35" i="19"/>
  <c r="M9" i="20"/>
  <c r="J13" i="20"/>
  <c r="M19" i="18"/>
  <c r="N19" i="18"/>
  <c r="M25" i="18"/>
  <c r="N24" i="18"/>
  <c r="O23" i="18"/>
  <c r="O22" i="18"/>
  <c r="P21" i="18"/>
  <c r="Q20" i="18"/>
  <c r="G43" i="21"/>
  <c r="K26" i="21"/>
  <c r="J26" i="21"/>
  <c r="R26" i="21"/>
  <c r="K22" i="21"/>
  <c r="J22" i="21"/>
  <c r="R22" i="21"/>
  <c r="K18" i="21"/>
  <c r="J18" i="21"/>
  <c r="R18" i="21"/>
  <c r="K14" i="21"/>
  <c r="R14" i="21"/>
  <c r="J14" i="21"/>
  <c r="K10" i="21"/>
  <c r="J10" i="21"/>
  <c r="G32" i="21"/>
  <c r="K6" i="21"/>
  <c r="G31" i="21"/>
  <c r="G36" i="21"/>
  <c r="N10" i="21"/>
  <c r="R6" i="21"/>
  <c r="J6" i="21"/>
  <c r="Z6" i="22"/>
  <c r="K28" i="21"/>
  <c r="K24" i="21"/>
  <c r="K20" i="21"/>
  <c r="K16" i="21"/>
  <c r="K12" i="21"/>
  <c r="K8" i="21"/>
  <c r="D39" i="21"/>
  <c r="M11" i="23"/>
  <c r="G43" i="23"/>
  <c r="G44" i="23" s="1"/>
  <c r="J28" i="21"/>
  <c r="J24" i="21"/>
  <c r="J20" i="21"/>
  <c r="J16" i="21"/>
  <c r="J12" i="21"/>
  <c r="J8" i="21"/>
  <c r="D14" i="1" l="1"/>
  <c r="G39" i="19"/>
  <c r="G40" i="19" s="1"/>
  <c r="G41" i="19" s="1"/>
  <c r="G44" i="19" s="1"/>
  <c r="L8" i="19"/>
  <c r="D41" i="19"/>
  <c r="D44" i="19" s="1"/>
  <c r="K9" i="19"/>
  <c r="K12" i="19" s="1"/>
  <c r="L9" i="19"/>
  <c r="H15" i="16"/>
  <c r="Q15" i="16" s="1"/>
  <c r="H20" i="16"/>
  <c r="Q20" i="16" s="1"/>
  <c r="H21" i="16"/>
  <c r="Q21" i="16" s="1"/>
  <c r="O30" i="16"/>
  <c r="J34" i="16" s="1"/>
  <c r="F30" i="16"/>
  <c r="H33" i="6"/>
  <c r="H18" i="6"/>
  <c r="F21" i="6"/>
  <c r="C22" i="6"/>
  <c r="F18" i="6"/>
  <c r="G30" i="6"/>
  <c r="C31" i="6"/>
  <c r="E18" i="6"/>
  <c r="E29" i="6"/>
  <c r="C34" i="6"/>
  <c r="C23" i="6"/>
  <c r="G28" i="6"/>
  <c r="G17" i="6"/>
  <c r="F28" i="6"/>
  <c r="H19" i="6"/>
  <c r="F34" i="6"/>
  <c r="H21" i="6"/>
  <c r="C30" i="6"/>
  <c r="C19" i="6"/>
  <c r="D31" i="6"/>
  <c r="D20" i="6"/>
  <c r="D28" i="6"/>
  <c r="D17" i="6"/>
  <c r="D29" i="6"/>
  <c r="D18" i="6"/>
  <c r="M10" i="23"/>
  <c r="M14" i="23" s="1"/>
  <c r="M15" i="23" s="1"/>
  <c r="L12" i="12"/>
  <c r="N9" i="12" s="1"/>
  <c r="I15" i="12" s="1"/>
  <c r="G32" i="1"/>
  <c r="E32" i="1" s="1"/>
  <c r="C14" i="1"/>
  <c r="I26" i="1"/>
  <c r="I27" i="1"/>
  <c r="S36" i="22"/>
  <c r="V36" i="22"/>
  <c r="J6" i="10"/>
  <c r="I9" i="10" s="1"/>
  <c r="F14" i="10" s="1"/>
  <c r="K11" i="15"/>
  <c r="K12" i="15"/>
  <c r="K13" i="15"/>
  <c r="K10" i="15"/>
  <c r="K30" i="15" s="1"/>
  <c r="K14" i="15"/>
  <c r="J10" i="15"/>
  <c r="J14" i="15"/>
  <c r="J11" i="15"/>
  <c r="J12" i="15"/>
  <c r="J13" i="15"/>
  <c r="N8" i="21"/>
  <c r="J18" i="20"/>
  <c r="T9" i="21"/>
  <c r="V9" i="21" s="1"/>
  <c r="K9" i="21"/>
  <c r="K31" i="21" s="1"/>
  <c r="N7" i="21" s="1"/>
  <c r="R10" i="20"/>
  <c r="R11" i="20"/>
  <c r="Q12" i="20"/>
  <c r="P9" i="20"/>
  <c r="S9" i="20" s="1"/>
  <c r="O10" i="20"/>
  <c r="O12" i="20"/>
  <c r="Q10" i="20"/>
  <c r="P11" i="20"/>
  <c r="R10" i="21"/>
  <c r="R31" i="21" s="1"/>
  <c r="R12" i="20"/>
  <c r="T11" i="21"/>
  <c r="V11" i="21" s="1"/>
  <c r="J11" i="21"/>
  <c r="Q9" i="20"/>
  <c r="M12" i="23"/>
  <c r="R36" i="22"/>
  <c r="Z7" i="22"/>
  <c r="Z9" i="22" s="1"/>
  <c r="Z11" i="22" s="1"/>
  <c r="R33" i="22"/>
  <c r="Z5" i="22"/>
  <c r="O11" i="20"/>
  <c r="G30" i="15"/>
  <c r="G29" i="6"/>
  <c r="G18" i="6"/>
  <c r="P12" i="20"/>
  <c r="F21" i="2"/>
  <c r="F24" i="2"/>
  <c r="C19" i="2"/>
  <c r="F23" i="1"/>
  <c r="F22" i="1"/>
  <c r="K16" i="2"/>
  <c r="D16" i="2" s="1"/>
  <c r="N14" i="21"/>
  <c r="N13" i="21"/>
  <c r="G45" i="21"/>
  <c r="T15" i="21"/>
  <c r="V15" i="21" s="1"/>
  <c r="R15" i="21"/>
  <c r="N5" i="21"/>
  <c r="J5" i="21"/>
  <c r="J31" i="21" s="1"/>
  <c r="N6" i="21" s="1"/>
  <c r="T5" i="21"/>
  <c r="H13" i="16"/>
  <c r="Q13" i="16" s="1"/>
  <c r="H17" i="16"/>
  <c r="Q17" i="16" s="1"/>
  <c r="H10" i="16"/>
  <c r="H18" i="16"/>
  <c r="Q18" i="16" s="1"/>
  <c r="H16" i="16"/>
  <c r="Q16" i="16" s="1"/>
  <c r="H14" i="16"/>
  <c r="Q14" i="16" s="1"/>
  <c r="E30" i="6"/>
  <c r="E19" i="6"/>
  <c r="H11" i="16"/>
  <c r="Q11" i="16" s="1"/>
  <c r="L16" i="20"/>
  <c r="P11" i="16"/>
  <c r="P30" i="16" s="1"/>
  <c r="K34" i="16" s="1"/>
  <c r="G30" i="16"/>
  <c r="L12" i="15"/>
  <c r="L13" i="15"/>
  <c r="L10" i="15"/>
  <c r="L30" i="15" s="1"/>
  <c r="L14" i="15"/>
  <c r="L11" i="15"/>
  <c r="H12" i="16"/>
  <c r="Q12" i="16" s="1"/>
  <c r="J13" i="21"/>
  <c r="T13" i="21"/>
  <c r="V13" i="21" s="1"/>
  <c r="V9" i="20"/>
  <c r="V10" i="20"/>
  <c r="F16" i="20" s="1"/>
  <c r="G44" i="21"/>
  <c r="T7" i="21"/>
  <c r="V7" i="21" s="1"/>
  <c r="J7" i="21"/>
  <c r="T36" i="22"/>
  <c r="T33" i="22"/>
  <c r="Q11" i="20"/>
  <c r="C29" i="6"/>
  <c r="C18" i="6"/>
  <c r="H19" i="16"/>
  <c r="Q19" i="16" s="1"/>
  <c r="J5" i="1"/>
  <c r="J6" i="1" s="1"/>
  <c r="I6" i="1"/>
  <c r="G42" i="19" l="1"/>
  <c r="G43" i="19" s="1"/>
  <c r="G45" i="19" s="1"/>
  <c r="K19" i="19"/>
  <c r="J14" i="19"/>
  <c r="K20" i="16"/>
  <c r="K21" i="16"/>
  <c r="J20" i="16"/>
  <c r="J21" i="16"/>
  <c r="M13" i="23"/>
  <c r="M16" i="23" s="1"/>
  <c r="N11" i="12"/>
  <c r="O9" i="12"/>
  <c r="P9" i="12"/>
  <c r="O11" i="12"/>
  <c r="J18" i="12" s="1"/>
  <c r="P10" i="12"/>
  <c r="K17" i="12" s="1"/>
  <c r="N10" i="12"/>
  <c r="I17" i="12" s="1"/>
  <c r="U9" i="12"/>
  <c r="F14" i="12" s="1"/>
  <c r="O10" i="12"/>
  <c r="J17" i="12" s="1"/>
  <c r="U10" i="12"/>
  <c r="F15" i="12" s="1"/>
  <c r="P11" i="12"/>
  <c r="K18" i="12" s="1"/>
  <c r="I7" i="1"/>
  <c r="E29" i="1"/>
  <c r="Z8" i="22"/>
  <c r="L5" i="10"/>
  <c r="M4" i="10"/>
  <c r="I8" i="10"/>
  <c r="F13" i="10" s="1"/>
  <c r="L4" i="10"/>
  <c r="M5" i="10"/>
  <c r="H30" i="16"/>
  <c r="Q10" i="16"/>
  <c r="Q30" i="16" s="1"/>
  <c r="L34" i="16" s="1"/>
  <c r="J13" i="16"/>
  <c r="J17" i="16"/>
  <c r="J11" i="16"/>
  <c r="J16" i="16"/>
  <c r="J12" i="16"/>
  <c r="J18" i="16"/>
  <c r="J14" i="16"/>
  <c r="J19" i="16"/>
  <c r="J10" i="16"/>
  <c r="J15" i="16"/>
  <c r="L19" i="20"/>
  <c r="S10" i="20"/>
  <c r="I18" i="20"/>
  <c r="L18" i="20"/>
  <c r="L21" i="20" s="1"/>
  <c r="K19" i="20"/>
  <c r="I19" i="20"/>
  <c r="S11" i="20"/>
  <c r="J19" i="20"/>
  <c r="P13" i="20"/>
  <c r="J16" i="20"/>
  <c r="J30" i="15"/>
  <c r="N12" i="21"/>
  <c r="J22" i="2"/>
  <c r="J23" i="2"/>
  <c r="Q13" i="20"/>
  <c r="K16" i="20"/>
  <c r="L20" i="20"/>
  <c r="S12" i="20"/>
  <c r="I20" i="20"/>
  <c r="V11" i="20"/>
  <c r="F15" i="20"/>
  <c r="K10" i="16"/>
  <c r="K14" i="16"/>
  <c r="K18" i="16"/>
  <c r="K13" i="16"/>
  <c r="K19" i="16"/>
  <c r="K15" i="16"/>
  <c r="K11" i="16"/>
  <c r="K16" i="16"/>
  <c r="K12" i="16"/>
  <c r="K17" i="16"/>
  <c r="R13" i="20"/>
  <c r="O13" i="20"/>
  <c r="J20" i="20"/>
  <c r="I8" i="1"/>
  <c r="C19" i="1" s="1"/>
  <c r="V5" i="21"/>
  <c r="V31" i="21" s="1"/>
  <c r="V32" i="21" s="1"/>
  <c r="N17" i="21" s="1"/>
  <c r="T31" i="21"/>
  <c r="N15" i="21"/>
  <c r="N11" i="21"/>
  <c r="K18" i="20"/>
  <c r="K20" i="20"/>
  <c r="I23" i="19" l="1"/>
  <c r="I24" i="19"/>
  <c r="I22" i="19"/>
  <c r="L20" i="16"/>
  <c r="L21" i="16"/>
  <c r="K15" i="12"/>
  <c r="K19" i="12" s="1"/>
  <c r="J15" i="12"/>
  <c r="J19" i="12" s="1"/>
  <c r="Q9" i="12"/>
  <c r="Q11" i="12"/>
  <c r="Q10" i="12"/>
  <c r="O12" i="12"/>
  <c r="P12" i="12"/>
  <c r="U11" i="12"/>
  <c r="U14" i="12" s="1"/>
  <c r="N12" i="12"/>
  <c r="I18" i="12"/>
  <c r="I19" i="12" s="1"/>
  <c r="N5" i="10"/>
  <c r="Y20" i="22"/>
  <c r="Z20" i="22" s="1"/>
  <c r="Y29" i="22"/>
  <c r="Z29" i="22" s="1"/>
  <c r="AA29" i="22" s="1"/>
  <c r="X14" i="22"/>
  <c r="Y24" i="22"/>
  <c r="Z24" i="22" s="1"/>
  <c r="Y28" i="22"/>
  <c r="Z28" i="22" s="1"/>
  <c r="AA28" i="22" s="1"/>
  <c r="Y22" i="22"/>
  <c r="Z22" i="22" s="1"/>
  <c r="Y23" i="22"/>
  <c r="Z23" i="22" s="1"/>
  <c r="Y25" i="22"/>
  <c r="Z25" i="22" s="1"/>
  <c r="AA25" i="22" s="1"/>
  <c r="Y27" i="22"/>
  <c r="Z27" i="22" s="1"/>
  <c r="AA27" i="22" s="1"/>
  <c r="Z12" i="22"/>
  <c r="Y21" i="22"/>
  <c r="Z21" i="22" s="1"/>
  <c r="Y26" i="22"/>
  <c r="Z26" i="22" s="1"/>
  <c r="I24" i="20"/>
  <c r="K24" i="20"/>
  <c r="I10" i="10"/>
  <c r="I13" i="10" s="1"/>
  <c r="M6" i="10"/>
  <c r="N4" i="10"/>
  <c r="M12" i="10" s="1"/>
  <c r="L6" i="10"/>
  <c r="L21" i="23"/>
  <c r="M19" i="23"/>
  <c r="J27" i="20"/>
  <c r="L27" i="20"/>
  <c r="I27" i="20"/>
  <c r="K27" i="20"/>
  <c r="V22" i="20"/>
  <c r="P4" i="20"/>
  <c r="L11" i="16"/>
  <c r="L15" i="16"/>
  <c r="L19" i="16"/>
  <c r="L10" i="16"/>
  <c r="L16" i="16"/>
  <c r="L12" i="16"/>
  <c r="L17" i="16"/>
  <c r="L13" i="16"/>
  <c r="L18" i="16"/>
  <c r="L14" i="16"/>
  <c r="V13" i="20"/>
  <c r="L24" i="20"/>
  <c r="V21" i="20"/>
  <c r="N18" i="21"/>
  <c r="N16" i="21"/>
  <c r="K30" i="16"/>
  <c r="F25" i="2"/>
  <c r="P5" i="20"/>
  <c r="J24" i="20"/>
  <c r="I26" i="20"/>
  <c r="J26" i="20"/>
  <c r="L26" i="20"/>
  <c r="K26" i="20"/>
  <c r="M18" i="20"/>
  <c r="I21" i="20"/>
  <c r="F11" i="20"/>
  <c r="V14" i="20"/>
  <c r="L17" i="12"/>
  <c r="K21" i="20"/>
  <c r="V19" i="20"/>
  <c r="O5" i="20"/>
  <c r="S13" i="20"/>
  <c r="O3" i="20"/>
  <c r="O6" i="20"/>
  <c r="O4" i="20"/>
  <c r="M20" i="20"/>
  <c r="N19" i="21"/>
  <c r="P3" i="20"/>
  <c r="P6" i="20"/>
  <c r="J21" i="20"/>
  <c r="M16" i="20"/>
  <c r="M19" i="20"/>
  <c r="J25" i="20"/>
  <c r="K25" i="20"/>
  <c r="K28" i="20" s="1"/>
  <c r="I25" i="20"/>
  <c r="L25" i="20"/>
  <c r="V20" i="20"/>
  <c r="J30" i="16"/>
  <c r="M11" i="10" l="1"/>
  <c r="P27" i="12"/>
  <c r="O27" i="12"/>
  <c r="L15" i="12"/>
  <c r="J24" i="12"/>
  <c r="N28" i="12"/>
  <c r="P28" i="12"/>
  <c r="J22" i="12"/>
  <c r="N29" i="12"/>
  <c r="I22" i="12"/>
  <c r="K24" i="12"/>
  <c r="I23" i="12"/>
  <c r="K23" i="12"/>
  <c r="L18" i="12"/>
  <c r="O4" i="12"/>
  <c r="J23" i="12"/>
  <c r="O5" i="12"/>
  <c r="I24" i="12"/>
  <c r="N3" i="12"/>
  <c r="O3" i="12"/>
  <c r="F10" i="12"/>
  <c r="N5" i="12"/>
  <c r="U20" i="12"/>
  <c r="O29" i="12"/>
  <c r="Q12" i="12"/>
  <c r="U19" i="12"/>
  <c r="K22" i="12"/>
  <c r="U21" i="12"/>
  <c r="N4" i="12"/>
  <c r="L19" i="12"/>
  <c r="O15" i="12" s="1"/>
  <c r="AA24" i="22"/>
  <c r="AA20" i="22"/>
  <c r="AA22" i="22"/>
  <c r="AA23" i="22"/>
  <c r="AA21" i="22"/>
  <c r="AA26" i="22"/>
  <c r="M25" i="20"/>
  <c r="V12" i="20"/>
  <c r="V15" i="20" s="1"/>
  <c r="V16" i="20" s="1"/>
  <c r="L28" i="20"/>
  <c r="M9" i="10"/>
  <c r="F9" i="10"/>
  <c r="M8" i="10"/>
  <c r="N6" i="10"/>
  <c r="M26" i="20"/>
  <c r="M24" i="20"/>
  <c r="M27" i="20"/>
  <c r="J28" i="20"/>
  <c r="I28" i="20"/>
  <c r="N22" i="21"/>
  <c r="M24" i="21"/>
  <c r="M21" i="20"/>
  <c r="P16" i="20" s="1"/>
  <c r="L30" i="16"/>
  <c r="K25" i="12" l="1"/>
  <c r="L24" i="12"/>
  <c r="J25" i="12"/>
  <c r="U13" i="12"/>
  <c r="L22" i="12"/>
  <c r="L23" i="12"/>
  <c r="I25" i="12"/>
  <c r="U12" i="12"/>
  <c r="I11" i="10"/>
  <c r="I12" i="10"/>
  <c r="F12" i="20"/>
  <c r="V25" i="20"/>
  <c r="V24" i="20"/>
  <c r="M28" i="20"/>
  <c r="P18" i="20" s="1"/>
  <c r="S5" i="20" s="1"/>
  <c r="F14" i="20" l="1"/>
  <c r="U15" i="12"/>
  <c r="U17" i="12" s="1"/>
  <c r="U24" i="12" s="1"/>
  <c r="L25" i="12"/>
  <c r="O17" i="12" s="1"/>
  <c r="R5" i="12" s="1"/>
  <c r="I14" i="10"/>
  <c r="I17" i="10" s="1"/>
  <c r="F10" i="10" s="1"/>
  <c r="P19" i="20"/>
  <c r="U23" i="12" l="1"/>
  <c r="F13" i="12" s="1"/>
  <c r="O18" i="12"/>
  <c r="P22" i="12" s="1"/>
  <c r="F11" i="12"/>
  <c r="I19" i="10"/>
  <c r="I18" i="10"/>
  <c r="F20" i="20"/>
  <c r="S4" i="20"/>
  <c r="Q23" i="20"/>
  <c r="R24" i="20"/>
  <c r="O25" i="20"/>
  <c r="Q26" i="20"/>
  <c r="R23" i="20"/>
  <c r="P25" i="20"/>
  <c r="P23" i="20"/>
  <c r="Q24" i="20"/>
  <c r="R25" i="20"/>
  <c r="R26" i="20"/>
  <c r="O26" i="20"/>
  <c r="O23" i="20"/>
  <c r="P24" i="20"/>
  <c r="Q25" i="20"/>
  <c r="O24" i="20"/>
  <c r="P26" i="20"/>
  <c r="P23" i="12" l="1"/>
  <c r="N24" i="12"/>
  <c r="O22" i="12"/>
  <c r="N22" i="12"/>
  <c r="N23" i="12"/>
  <c r="P24" i="12"/>
  <c r="R4" i="12"/>
  <c r="O24" i="12"/>
  <c r="O23" i="12"/>
  <c r="F19" i="12"/>
  <c r="F12" i="10"/>
  <c r="S27" i="20"/>
  <c r="S3" i="20" s="1"/>
  <c r="P20" i="20" s="1"/>
  <c r="P21" i="20" s="1"/>
  <c r="Q25" i="12" l="1"/>
  <c r="R3" i="12" s="1"/>
  <c r="O19" i="12" s="1"/>
  <c r="O20" i="12" s="1"/>
  <c r="F20" i="12" s="1"/>
  <c r="F21" i="20"/>
  <c r="R20" i="20"/>
  <c r="S20" i="20"/>
  <c r="R19" i="12" l="1"/>
  <c r="Q19" i="12"/>
  <c r="F23" i="20"/>
  <c r="F22" i="12" l="1"/>
</calcChain>
</file>

<file path=xl/sharedStrings.xml><?xml version="1.0" encoding="utf-8"?>
<sst xmlns="http://schemas.openxmlformats.org/spreadsheetml/2006/main" count="672" uniqueCount="350">
  <si>
    <t>casos</t>
  </si>
  <si>
    <t>controles</t>
  </si>
  <si>
    <t>expostos</t>
  </si>
  <si>
    <t>não expostos</t>
  </si>
  <si>
    <t>total</t>
  </si>
  <si>
    <t>Casos</t>
  </si>
  <si>
    <t>Controles</t>
  </si>
  <si>
    <t>Total</t>
  </si>
  <si>
    <t>odds ratio</t>
  </si>
  <si>
    <t>Teste qui-quadrado</t>
  </si>
  <si>
    <t>nível de significância</t>
  </si>
  <si>
    <t>graus de liberdade</t>
  </si>
  <si>
    <t>valor crítico</t>
  </si>
  <si>
    <r>
      <t>valor-</t>
    </r>
    <r>
      <rPr>
        <b/>
        <i/>
        <sz val="10"/>
        <rFont val="Arial"/>
        <family val="2"/>
      </rPr>
      <t>p</t>
    </r>
  </si>
  <si>
    <t>Decisão</t>
  </si>
  <si>
    <t>estatística χ2</t>
  </si>
  <si>
    <t>Proporção</t>
  </si>
  <si>
    <r>
      <t xml:space="preserve">1 / </t>
    </r>
    <r>
      <rPr>
        <b/>
        <i/>
        <sz val="10"/>
        <rFont val="Arial"/>
        <family val="2"/>
      </rPr>
      <t>odds ratio</t>
    </r>
  </si>
  <si>
    <r>
      <t xml:space="preserve">logaritmo do </t>
    </r>
    <r>
      <rPr>
        <b/>
        <i/>
        <sz val="10"/>
        <rFont val="Arial"/>
        <family val="2"/>
      </rPr>
      <t>odds ratio</t>
    </r>
  </si>
  <si>
    <t>erro padrão</t>
  </si>
  <si>
    <t>coeficiente de confiança</t>
  </si>
  <si>
    <t>intervalo de confiança</t>
  </si>
  <si>
    <t>Faculdade de Medicina de Ribeirão Preto</t>
  </si>
  <si>
    <t>UNIVERSIDADE DE SÃO PAULO - USP</t>
  </si>
  <si>
    <t>erro padrão (método de Woolf)</t>
  </si>
  <si>
    <t>Ribeirão Preto - Brasil</t>
  </si>
  <si>
    <t>Utilizar esta calculadora apenas para fins educacionais.</t>
  </si>
  <si>
    <t>Modificar apenas os valores nas caselas azuis.</t>
  </si>
  <si>
    <t>presente</t>
  </si>
  <si>
    <t>ausente</t>
  </si>
  <si>
    <t>característica de</t>
  </si>
  <si>
    <t>interesse</t>
  </si>
  <si>
    <t>Estudos caso-controle - não pareado</t>
  </si>
  <si>
    <t>RP</t>
  </si>
  <si>
    <t>1 / RP</t>
  </si>
  <si>
    <t>logaritmo da razão de prevalências</t>
  </si>
  <si>
    <t>prevalência</t>
  </si>
  <si>
    <t>Determinação do tamanho amostral - Estudos caso-controle</t>
  </si>
  <si>
    <t>Proporção exposta, entre os controles</t>
  </si>
  <si>
    <t>Proporção exposta, entre os casos</t>
  </si>
  <si>
    <t>Referência:</t>
  </si>
  <si>
    <t>Schlesselman JJ. Case-Control Studies: Design, Conduct, Analysis.</t>
  </si>
  <si>
    <t>New York: Oxford University Press, 1982. Página 145.</t>
  </si>
  <si>
    <t>beta</t>
  </si>
  <si>
    <r>
      <t xml:space="preserve">Os valores acima referem-se ao tamanho amostral </t>
    </r>
    <r>
      <rPr>
        <b/>
        <sz val="10"/>
        <rFont val="Arial"/>
        <family val="2"/>
      </rPr>
      <t>de cada grupo</t>
    </r>
    <r>
      <rPr>
        <sz val="10"/>
        <rFont val="Arial"/>
        <family val="2"/>
      </rPr>
      <t>.</t>
    </r>
  </si>
  <si>
    <t>Estudos não pareados, proporção 1:1</t>
  </si>
  <si>
    <t>alfa (two-sided)</t>
  </si>
  <si>
    <t>razão de prevalências (RP)</t>
  </si>
  <si>
    <t>Estudos não pareados, proporção 1:c</t>
  </si>
  <si>
    <t>Número de controles por caso</t>
  </si>
  <si>
    <t>c =</t>
  </si>
  <si>
    <t>New York: Oxford University Press, 1982. Página 150.</t>
  </si>
  <si>
    <t>Considerando variâncias populacionais iguais</t>
  </si>
  <si>
    <t>Determinação do tamanho amostral, comparação entre duas médias</t>
  </si>
  <si>
    <t>Média populacional, grupo 1</t>
  </si>
  <si>
    <t>Média populacional, grupo 2</t>
  </si>
  <si>
    <t>Diferença absoluta entre os dois grupos</t>
  </si>
  <si>
    <t>Proporção n1/n2</t>
  </si>
  <si>
    <t>Amostra 1</t>
  </si>
  <si>
    <t>Amostra 2</t>
  </si>
  <si>
    <t>Desvio padrão populacional</t>
  </si>
  <si>
    <t>Singer, J. A simple procedure to compute the sample size needed to compare</t>
  </si>
  <si>
    <r>
      <t xml:space="preserve">two independent groups when the population variances are unequal. </t>
    </r>
    <r>
      <rPr>
        <i/>
        <sz val="10"/>
        <rFont val="Arial"/>
        <family val="2"/>
      </rPr>
      <t>Statistics in</t>
    </r>
  </si>
  <si>
    <r>
      <t>Medicine</t>
    </r>
    <r>
      <rPr>
        <sz val="10"/>
        <rFont val="Arial"/>
        <family val="2"/>
      </rPr>
      <t xml:space="preserve"> 2001;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20:1089-1095.</t>
    </r>
  </si>
  <si>
    <t>Determinação do tamanho amostral, estimar uma prevalência</t>
  </si>
  <si>
    <t>Considerando uma população infinita</t>
  </si>
  <si>
    <t>Prevalência</t>
  </si>
  <si>
    <t>Coeficiente de confiança</t>
  </si>
  <si>
    <t>n =</t>
  </si>
  <si>
    <t>Considerando uma população finita</t>
  </si>
  <si>
    <r>
      <t>Tamanho da população (</t>
    </r>
    <r>
      <rPr>
        <b/>
        <i/>
        <sz val="10"/>
        <rFont val="Arial"/>
        <family val="2"/>
      </rPr>
      <t>N</t>
    </r>
    <r>
      <rPr>
        <b/>
        <sz val="10"/>
        <rFont val="Arial"/>
        <family val="2"/>
      </rPr>
      <t>)</t>
    </r>
  </si>
  <si>
    <r>
      <t>Erro absoluto tolerável (</t>
    </r>
    <r>
      <rPr>
        <b/>
        <i/>
        <sz val="10"/>
        <rFont val="Arial"/>
        <family val="2"/>
      </rPr>
      <t>d</t>
    </r>
    <r>
      <rPr>
        <b/>
        <sz val="10"/>
        <rFont val="Arial"/>
        <family val="2"/>
      </rPr>
      <t>)</t>
    </r>
  </si>
  <si>
    <t>Determinação do tamanho amostral, estimar uma média</t>
  </si>
  <si>
    <r>
      <t>Desvio padrão populacional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)</t>
    </r>
  </si>
  <si>
    <t>População 1</t>
  </si>
  <si>
    <t>População 2</t>
  </si>
  <si>
    <r>
      <t xml:space="preserve">Teste </t>
    </r>
    <r>
      <rPr>
        <b/>
        <i/>
        <sz val="10"/>
        <rFont val="Arial"/>
        <family val="2"/>
      </rPr>
      <t>t</t>
    </r>
    <r>
      <rPr>
        <b/>
        <sz val="10"/>
        <rFont val="Arial"/>
        <family val="2"/>
      </rPr>
      <t xml:space="preserve"> de Student</t>
    </r>
  </si>
  <si>
    <t>comparação de médias</t>
  </si>
  <si>
    <t>Duas amostras independentes</t>
  </si>
  <si>
    <t>n</t>
  </si>
  <si>
    <t>média</t>
  </si>
  <si>
    <t>desvio padrão</t>
  </si>
  <si>
    <t>Variâncias iguais</t>
  </si>
  <si>
    <t>Variâncias diferentes</t>
  </si>
  <si>
    <r>
      <t>t</t>
    </r>
    <r>
      <rPr>
        <sz val="8"/>
        <rFont val="Arial"/>
        <family val="2"/>
      </rPr>
      <t>0</t>
    </r>
  </si>
  <si>
    <t>gl</t>
  </si>
  <si>
    <t>Sp2</t>
  </si>
  <si>
    <t>alfa</t>
  </si>
  <si>
    <t>Sp</t>
  </si>
  <si>
    <t>Teste de comparação entre variâncias</t>
  </si>
  <si>
    <r>
      <t>estatística F</t>
    </r>
    <r>
      <rPr>
        <sz val="8"/>
        <rFont val="Arial"/>
        <family val="2"/>
      </rPr>
      <t>0</t>
    </r>
  </si>
  <si>
    <t>gl 1</t>
  </si>
  <si>
    <t>F crítico</t>
  </si>
  <si>
    <t>gl 2</t>
  </si>
  <si>
    <t>Intervalo de confiança para diferença entre as médias</t>
  </si>
  <si>
    <t>Diferença entre as médias</t>
  </si>
  <si>
    <r>
      <t>Autor:</t>
    </r>
    <r>
      <rPr>
        <sz val="10"/>
        <rFont val="Arial"/>
        <family val="2"/>
      </rPr>
      <t xml:space="preserve"> Prof. Edson Zangiacomi Martinez</t>
    </r>
  </si>
  <si>
    <t>Departamento de Medicina Social</t>
  </si>
  <si>
    <t>Universidade de São Paulo</t>
  </si>
  <si>
    <t>Utilizar esta calculadora somente com finalidades</t>
  </si>
  <si>
    <t>didáticas</t>
  </si>
  <si>
    <t>t crítico (t*)</t>
  </si>
  <si>
    <t>Coeficiente kappa - tabela 2x2</t>
  </si>
  <si>
    <t>A</t>
  </si>
  <si>
    <t>B</t>
  </si>
  <si>
    <t>Coeficiente kappa</t>
  </si>
  <si>
    <t>Erro padrão assintótico</t>
  </si>
  <si>
    <t>Intervalo de confiança</t>
  </si>
  <si>
    <t>k1</t>
  </si>
  <si>
    <t>k2</t>
  </si>
  <si>
    <t>pij</t>
  </si>
  <si>
    <t>A1</t>
  </si>
  <si>
    <t>A2</t>
  </si>
  <si>
    <t>kappa</t>
  </si>
  <si>
    <t>B1</t>
  </si>
  <si>
    <t>B2</t>
  </si>
  <si>
    <t>C</t>
  </si>
  <si>
    <t>var</t>
  </si>
  <si>
    <t>ep ass</t>
  </si>
  <si>
    <t>Referência</t>
  </si>
  <si>
    <t>Cohen, J. (1960), A Coefficient of Agreement for</t>
  </si>
  <si>
    <r>
      <t xml:space="preserve">Nominal Scales. </t>
    </r>
    <r>
      <rPr>
        <i/>
        <sz val="10"/>
        <rFont val="Arial"/>
        <family val="2"/>
      </rPr>
      <t>Educational and Psychological</t>
    </r>
  </si>
  <si>
    <r>
      <t>Measurement,</t>
    </r>
    <r>
      <rPr>
        <sz val="10"/>
        <rFont val="Arial"/>
        <family val="2"/>
      </rPr>
      <t xml:space="preserve"> 20, 37–46.</t>
    </r>
  </si>
  <si>
    <t>Teste de McNemar</t>
  </si>
  <si>
    <r>
      <t>p</t>
    </r>
    <r>
      <rPr>
        <sz val="8"/>
        <rFont val="Arial"/>
        <family val="2"/>
      </rPr>
      <t>1</t>
    </r>
  </si>
  <si>
    <r>
      <t>p</t>
    </r>
    <r>
      <rPr>
        <sz val="8"/>
        <rFont val="Arial"/>
        <family val="2"/>
      </rPr>
      <t>2</t>
    </r>
  </si>
  <si>
    <t>Estatística (corrigida) do teste</t>
  </si>
  <si>
    <t>Estatística (não corrigida) do teste</t>
  </si>
  <si>
    <t>McNemar, Q. (1947), Note on the Sampling Error</t>
  </si>
  <si>
    <t>of the Difference between Correlated Proportions</t>
  </si>
  <si>
    <r>
      <t xml:space="preserve">or Percentages. </t>
    </r>
    <r>
      <rPr>
        <i/>
        <sz val="10"/>
        <rFont val="Arial"/>
        <family val="2"/>
      </rPr>
      <t>Psychometrika,</t>
    </r>
    <r>
      <rPr>
        <sz val="10"/>
        <rFont val="Arial"/>
        <family val="2"/>
      </rPr>
      <t xml:space="preserve"> 12, 153–157.</t>
    </r>
  </si>
  <si>
    <t>Teste de McNemar - tabela 2x2</t>
  </si>
  <si>
    <r>
      <t>valor</t>
    </r>
    <r>
      <rPr>
        <i/>
        <sz val="10"/>
        <rFont val="Arial"/>
        <family val="2"/>
      </rPr>
      <t>-p</t>
    </r>
  </si>
  <si>
    <r>
      <t>valor-</t>
    </r>
    <r>
      <rPr>
        <i/>
        <sz val="10"/>
        <rFont val="Arial"/>
        <family val="2"/>
      </rPr>
      <t>p</t>
    </r>
  </si>
  <si>
    <t>wij</t>
  </si>
  <si>
    <t>wi.barra</t>
  </si>
  <si>
    <t>w.jbarra</t>
  </si>
  <si>
    <t>não ponderado</t>
  </si>
  <si>
    <t>Po(w) =</t>
  </si>
  <si>
    <t>Pe(w) =</t>
  </si>
  <si>
    <t>kappa =</t>
  </si>
  <si>
    <t>=Po(w)</t>
  </si>
  <si>
    <t>var =</t>
  </si>
  <si>
    <t>IC=</t>
  </si>
  <si>
    <t>ep ass =</t>
  </si>
  <si>
    <t>A3</t>
  </si>
  <si>
    <t>IC I</t>
  </si>
  <si>
    <t>IC S</t>
  </si>
  <si>
    <t>=Pe(w)</t>
  </si>
  <si>
    <t>Coeficiente kappa ponderado</t>
  </si>
  <si>
    <t>Coeficiente kappa - tabela 3x3</t>
  </si>
  <si>
    <t>Considerando uma população infinita, erro absoluto</t>
  </si>
  <si>
    <t>Considerando uma população finita, erro absoluto</t>
  </si>
  <si>
    <t>Considerando uma população infinita, erro relativo</t>
  </si>
  <si>
    <t>Erro relativo (ε)</t>
  </si>
  <si>
    <t>Considerando uma população finita, erro relativo</t>
  </si>
  <si>
    <t>Estudos caso-controle</t>
  </si>
  <si>
    <t>Tamanho amostral necessário para estimar</t>
  </si>
  <si>
    <r>
      <t xml:space="preserve">um </t>
    </r>
    <r>
      <rPr>
        <i/>
        <sz val="10"/>
        <rFont val="Arial"/>
        <family val="2"/>
      </rPr>
      <t>odds ratio</t>
    </r>
    <r>
      <rPr>
        <sz val="10"/>
        <rFont val="Arial"/>
        <family val="2"/>
      </rPr>
      <t xml:space="preserve"> com uma precisão relativa</t>
    </r>
  </si>
  <si>
    <t>Sejam:</t>
  </si>
  <si>
    <t>p1: probabilidade de exposição entre os indivíduos com a doença</t>
  </si>
  <si>
    <t>p2: probabilidade de exposição entre os indivíduos sem a doença</t>
  </si>
  <si>
    <t>p2</t>
  </si>
  <si>
    <r>
      <t>Odds ratio</t>
    </r>
    <r>
      <rPr>
        <b/>
        <sz val="10"/>
        <rFont val="Arial"/>
        <family val="2"/>
      </rPr>
      <t xml:space="preserve"> (OR)</t>
    </r>
  </si>
  <si>
    <t>Precisão relativa (ε)</t>
  </si>
  <si>
    <t>Nível de confiança</t>
  </si>
  <si>
    <t>p1</t>
  </si>
  <si>
    <r>
      <t>n</t>
    </r>
    <r>
      <rPr>
        <b/>
        <sz val="10"/>
        <rFont val="Arial"/>
        <family val="2"/>
      </rPr>
      <t xml:space="preserve"> (em cada grupo)</t>
    </r>
  </si>
  <si>
    <t>Considerar dois grupos de mesmo tamanho</t>
  </si>
  <si>
    <t>Estudos de coorte</t>
  </si>
  <si>
    <t>um risco relativo com uma precisão relativa</t>
  </si>
  <si>
    <t>p1: probabilidade de doença entre os indivíduos expostos</t>
  </si>
  <si>
    <t>p2: probabilidade de doença entre os indivíduos não expostos</t>
  </si>
  <si>
    <t>Risco relativo (RR)</t>
  </si>
  <si>
    <t>Tamanho amostral para estimar médias populacionais, amostra aleatória estratificada (AAE)</t>
  </si>
  <si>
    <t>Número de estratos</t>
  </si>
  <si>
    <t>Precisão absoluta</t>
  </si>
  <si>
    <t>Tamanho</t>
  </si>
  <si>
    <t>Desvio</t>
  </si>
  <si>
    <t>Fração do estrato</t>
  </si>
  <si>
    <t>Tamanho amostral</t>
  </si>
  <si>
    <t>Estrato</t>
  </si>
  <si>
    <t>do estrato</t>
  </si>
  <si>
    <r>
      <t>Padrão (</t>
    </r>
    <r>
      <rPr>
        <sz val="10"/>
        <rFont val="Times New Roman"/>
        <family val="1"/>
      </rPr>
      <t>σ</t>
    </r>
    <r>
      <rPr>
        <sz val="10"/>
        <rFont val="Arial"/>
        <family val="2"/>
      </rPr>
      <t>)</t>
    </r>
  </si>
  <si>
    <t>uniforme</t>
  </si>
  <si>
    <t>proporcional</t>
  </si>
  <si>
    <t>ótima</t>
  </si>
  <si>
    <t>Scheaffer RL, Mendenhall W, Ott L. Elementary survey sampling. Boston: Duxbury Press, 1986.</t>
  </si>
  <si>
    <t>Tamanho amostral para estimar proporções, amostra aleatória estratificada (AAE)</t>
  </si>
  <si>
    <r>
      <t>(</t>
    </r>
    <r>
      <rPr>
        <sz val="10"/>
        <rFont val="Symbol"/>
        <family val="1"/>
        <charset val="2"/>
      </rPr>
      <t>q</t>
    </r>
    <r>
      <rPr>
        <sz val="10"/>
        <rFont val="Arial"/>
        <family val="2"/>
      </rPr>
      <t>)</t>
    </r>
  </si>
  <si>
    <t>Determinação do tamanho amostral - Estudos clínicos</t>
  </si>
  <si>
    <t>Grupos paralelos, proporção 1:1</t>
  </si>
  <si>
    <t>Taxa de respostas, entre os tratados</t>
  </si>
  <si>
    <t>Taxa de respostas, entre os controles</t>
  </si>
  <si>
    <t>Pocock S. Clinical Trials: A Practical Approach</t>
  </si>
  <si>
    <t>Chinchester: John Wiley &amp; Sons; 1983. Página 124.</t>
  </si>
  <si>
    <t>Diferença</t>
  </si>
  <si>
    <t>Determinação do tamanho amostral - Ensaios de não inferioridade</t>
  </si>
  <si>
    <t>Blackwelder WC. "Proving the null hypothesis" in clinical trials.</t>
  </si>
  <si>
    <t>Controlled Clinical Trials 3:345-353, 1982.</t>
  </si>
  <si>
    <r>
      <t>Taxa de respostas, tratamento padrão (</t>
    </r>
    <r>
      <rPr>
        <b/>
        <sz val="10"/>
        <rFont val="Symbol"/>
        <family val="1"/>
        <charset val="2"/>
      </rPr>
      <t>q</t>
    </r>
    <r>
      <rPr>
        <b/>
        <sz val="8"/>
        <rFont val="Arial"/>
        <family val="2"/>
      </rPr>
      <t>P</t>
    </r>
    <r>
      <rPr>
        <b/>
        <sz val="10"/>
        <rFont val="Arial"/>
        <family val="2"/>
      </rPr>
      <t>)</t>
    </r>
  </si>
  <si>
    <r>
      <t>Taxa de respostas, tratamento experimental (</t>
    </r>
    <r>
      <rPr>
        <b/>
        <sz val="10"/>
        <rFont val="Symbol"/>
        <family val="1"/>
        <charset val="2"/>
      </rPr>
      <t>q</t>
    </r>
    <r>
      <rPr>
        <b/>
        <sz val="8"/>
        <rFont val="Arial"/>
        <family val="2"/>
      </rPr>
      <t>E</t>
    </r>
    <r>
      <rPr>
        <b/>
        <sz val="10"/>
        <rFont val="Arial"/>
        <family val="2"/>
      </rPr>
      <t>)</t>
    </r>
  </si>
  <si>
    <t>Hipóteses:</t>
  </si>
  <si>
    <r>
      <t>H</t>
    </r>
    <r>
      <rPr>
        <sz val="8"/>
        <rFont val="Arial"/>
        <family val="2"/>
      </rPr>
      <t>0</t>
    </r>
    <r>
      <rPr>
        <sz val="10"/>
        <rFont val="Arial"/>
        <family val="2"/>
      </rPr>
      <t xml:space="preserve">: </t>
    </r>
    <r>
      <rPr>
        <sz val="10"/>
        <rFont val="Symbol"/>
        <family val="1"/>
        <charset val="2"/>
      </rPr>
      <t>q</t>
    </r>
    <r>
      <rPr>
        <sz val="8"/>
        <rFont val="Arial"/>
        <family val="2"/>
      </rPr>
      <t>P</t>
    </r>
    <r>
      <rPr>
        <sz val="10"/>
        <rFont val="Symbol"/>
        <family val="1"/>
        <charset val="2"/>
      </rPr>
      <t xml:space="preserve"> - q</t>
    </r>
    <r>
      <rPr>
        <sz val="8"/>
        <rFont val="Arial"/>
        <family val="2"/>
      </rPr>
      <t>E</t>
    </r>
    <r>
      <rPr>
        <sz val="10"/>
        <rFont val="Symbol"/>
        <family val="1"/>
        <charset val="2"/>
      </rPr>
      <t xml:space="preserve"> </t>
    </r>
    <r>
      <rPr>
        <sz val="10"/>
        <rFont val="Arial"/>
        <family val="2"/>
      </rPr>
      <t xml:space="preserve">≥ </t>
    </r>
    <r>
      <rPr>
        <sz val="10"/>
        <rFont val="Times New Roman"/>
        <family val="1"/>
      </rPr>
      <t>δ</t>
    </r>
  </si>
  <si>
    <r>
      <t>H</t>
    </r>
    <r>
      <rPr>
        <sz val="8"/>
        <rFont val="Arial"/>
        <family val="2"/>
      </rPr>
      <t>A</t>
    </r>
    <r>
      <rPr>
        <sz val="10"/>
        <rFont val="Arial"/>
        <family val="2"/>
      </rPr>
      <t xml:space="preserve">: </t>
    </r>
    <r>
      <rPr>
        <sz val="10"/>
        <rFont val="Symbol"/>
        <family val="1"/>
        <charset val="2"/>
      </rPr>
      <t>q</t>
    </r>
    <r>
      <rPr>
        <sz val="8"/>
        <rFont val="Arial"/>
        <family val="2"/>
      </rPr>
      <t>P</t>
    </r>
    <r>
      <rPr>
        <sz val="10"/>
        <rFont val="Symbol"/>
        <family val="1"/>
        <charset val="2"/>
      </rPr>
      <t xml:space="preserve"> - q</t>
    </r>
    <r>
      <rPr>
        <sz val="8"/>
        <rFont val="Arial"/>
        <family val="2"/>
      </rPr>
      <t>E</t>
    </r>
    <r>
      <rPr>
        <sz val="10"/>
        <rFont val="Symbol"/>
        <family val="1"/>
        <charset val="2"/>
      </rPr>
      <t xml:space="preserve"> </t>
    </r>
    <r>
      <rPr>
        <sz val="10"/>
        <rFont val="Arial"/>
        <family val="2"/>
      </rPr>
      <t xml:space="preserve">&lt; </t>
    </r>
    <r>
      <rPr>
        <sz val="10"/>
        <rFont val="Times New Roman"/>
        <family val="1"/>
      </rPr>
      <t>δ</t>
    </r>
  </si>
  <si>
    <r>
      <t xml:space="preserve">Teste </t>
    </r>
    <r>
      <rPr>
        <i/>
        <sz val="10"/>
        <rFont val="Arial"/>
        <family val="2"/>
      </rPr>
      <t>t</t>
    </r>
    <r>
      <rPr>
        <sz val="10"/>
        <rFont val="Arial"/>
        <family val="2"/>
      </rPr>
      <t xml:space="preserve"> de Student para amostras pareadas</t>
    </r>
  </si>
  <si>
    <t>Diferenças</t>
  </si>
  <si>
    <t>Média das diferenças</t>
  </si>
  <si>
    <t>DP das diferenças</t>
  </si>
  <si>
    <t>t0</t>
  </si>
  <si>
    <t>alpha</t>
  </si>
  <si>
    <r>
      <t>t</t>
    </r>
    <r>
      <rPr>
        <sz val="10"/>
        <rFont val="Arial"/>
        <family val="2"/>
      </rPr>
      <t>*</t>
    </r>
  </si>
  <si>
    <r>
      <t xml:space="preserve">valor </t>
    </r>
    <r>
      <rPr>
        <i/>
        <sz val="10"/>
        <rFont val="Arial"/>
        <family val="2"/>
      </rPr>
      <t>p</t>
    </r>
  </si>
  <si>
    <t>Média</t>
  </si>
  <si>
    <t>DP</t>
  </si>
  <si>
    <t>Mediana</t>
  </si>
  <si>
    <t>Min</t>
  </si>
  <si>
    <t>Max</t>
  </si>
  <si>
    <t>Q1</t>
  </si>
  <si>
    <t>Q3</t>
  </si>
  <si>
    <t>Q3-Q1</t>
  </si>
  <si>
    <t>x1,5</t>
  </si>
  <si>
    <t>mais</t>
  </si>
  <si>
    <t>menos</t>
  </si>
  <si>
    <t>out (-)</t>
  </si>
  <si>
    <t>out (+)</t>
  </si>
  <si>
    <t>OUTLIER</t>
  </si>
  <si>
    <t>Coeficiente kappa - tabela 4x4</t>
  </si>
  <si>
    <t>D</t>
  </si>
  <si>
    <t>A4</t>
  </si>
  <si>
    <r>
      <t xml:space="preserve">Nominal Scales. </t>
    </r>
    <r>
      <rPr>
        <i/>
        <sz val="10"/>
        <rFont val="Arial"/>
        <family val="2"/>
      </rPr>
      <t>Educational and Psychological</t>
    </r>
  </si>
  <si>
    <r>
      <t>Measurement,</t>
    </r>
    <r>
      <rPr>
        <sz val="10"/>
        <rFont val="Arial"/>
        <family val="2"/>
      </rPr>
      <t xml:space="preserve"> 20, 37–46.</t>
    </r>
  </si>
  <si>
    <t>Lemeshow S, Hosmer Jr. DW, Klar J. Sample size for studies estimating odds</t>
  </si>
  <si>
    <r>
      <t xml:space="preserve">ratios or relative risks. </t>
    </r>
    <r>
      <rPr>
        <i/>
        <sz val="10"/>
        <rFont val="Arial"/>
        <family val="2"/>
      </rPr>
      <t>Statistics in Medicine</t>
    </r>
    <r>
      <rPr>
        <sz val="10"/>
        <rFont val="Arial"/>
        <family val="2"/>
      </rPr>
      <t xml:space="preserve"> 1988; 7: 759-764.</t>
    </r>
  </si>
  <si>
    <t>Quando a resposta ao tratamento é binária</t>
  </si>
  <si>
    <t>Quando a resposta ao tratamento é expressa por uma variável contínua</t>
  </si>
  <si>
    <r>
      <t>Média de redução, tratamento padrão (</t>
    </r>
    <r>
      <rPr>
        <b/>
        <sz val="10"/>
        <rFont val="Arial"/>
        <family val="2"/>
      </rPr>
      <t>μ</t>
    </r>
    <r>
      <rPr>
        <b/>
        <sz val="8"/>
        <rFont val="Arial"/>
        <family val="2"/>
      </rPr>
      <t>P</t>
    </r>
    <r>
      <rPr>
        <b/>
        <sz val="10"/>
        <rFont val="Arial"/>
        <family val="2"/>
      </rPr>
      <t>)</t>
    </r>
  </si>
  <si>
    <r>
      <t>Desvio padrão de redução, tratamento padrão (</t>
    </r>
    <r>
      <rPr>
        <b/>
        <sz val="10"/>
        <rFont val="Arial"/>
        <family val="2"/>
      </rPr>
      <t>σ</t>
    </r>
    <r>
      <rPr>
        <b/>
        <sz val="10"/>
        <rFont val="Arial"/>
        <family val="2"/>
      </rPr>
      <t>P)</t>
    </r>
  </si>
  <si>
    <t>Coeficiente de variação (CV)</t>
  </si>
  <si>
    <r>
      <t>Razão entre o tratamento experimental e o padrão (R</t>
    </r>
    <r>
      <rPr>
        <b/>
        <sz val="8"/>
        <rFont val="Arial"/>
        <family val="2"/>
      </rPr>
      <t>T</t>
    </r>
    <r>
      <rPr>
        <b/>
        <sz val="10"/>
        <rFont val="Arial"/>
        <family val="2"/>
      </rPr>
      <t>)</t>
    </r>
  </si>
  <si>
    <r>
      <t>Menor valor clinicamente tolerado para esta razão (R</t>
    </r>
    <r>
      <rPr>
        <b/>
        <sz val="8"/>
        <rFont val="Arial"/>
        <family val="2"/>
      </rPr>
      <t>LB</t>
    </r>
    <r>
      <rPr>
        <b/>
        <sz val="10"/>
        <rFont val="Arial"/>
        <family val="2"/>
      </rPr>
      <t>)</t>
    </r>
  </si>
  <si>
    <r>
      <t>H</t>
    </r>
    <r>
      <rPr>
        <sz val="8"/>
        <rFont val="Arial"/>
        <family val="2"/>
      </rPr>
      <t>0</t>
    </r>
    <r>
      <rPr>
        <sz val="10"/>
        <rFont val="Arial"/>
        <family val="2"/>
      </rPr>
      <t>: μ</t>
    </r>
    <r>
      <rPr>
        <sz val="8"/>
        <rFont val="Arial"/>
        <family val="2"/>
      </rPr>
      <t>E</t>
    </r>
    <r>
      <rPr>
        <sz val="10"/>
        <rFont val="Symbol"/>
        <family val="1"/>
        <charset val="2"/>
      </rPr>
      <t xml:space="preserve"> / </t>
    </r>
    <r>
      <rPr>
        <sz val="10"/>
        <rFont val="Arial"/>
        <family val="2"/>
      </rPr>
      <t>μ</t>
    </r>
    <r>
      <rPr>
        <sz val="8"/>
        <rFont val="Arial"/>
        <family val="2"/>
      </rPr>
      <t>P</t>
    </r>
    <r>
      <rPr>
        <sz val="10"/>
        <rFont val="Arial"/>
        <family val="2"/>
      </rPr>
      <t xml:space="preserve"> </t>
    </r>
    <r>
      <rPr>
        <sz val="10"/>
        <rFont val="Times New Roman"/>
        <family val="1"/>
      </rPr>
      <t>≤</t>
    </r>
    <r>
      <rPr>
        <sz val="10"/>
        <rFont val="Arial"/>
        <family val="2"/>
      </rPr>
      <t xml:space="preserve"> R</t>
    </r>
    <r>
      <rPr>
        <sz val="8"/>
        <rFont val="Arial"/>
        <family val="2"/>
      </rPr>
      <t>LB</t>
    </r>
  </si>
  <si>
    <r>
      <t>H</t>
    </r>
    <r>
      <rPr>
        <sz val="8"/>
        <rFont val="Arial"/>
        <family val="2"/>
      </rPr>
      <t>A</t>
    </r>
    <r>
      <rPr>
        <sz val="10"/>
        <rFont val="Arial"/>
        <family val="2"/>
      </rPr>
      <t>: μ</t>
    </r>
    <r>
      <rPr>
        <sz val="8"/>
        <rFont val="Arial"/>
        <family val="2"/>
      </rPr>
      <t>E</t>
    </r>
    <r>
      <rPr>
        <sz val="10"/>
        <rFont val="Symbol"/>
        <family val="1"/>
        <charset val="2"/>
      </rPr>
      <t xml:space="preserve"> / </t>
    </r>
    <r>
      <rPr>
        <sz val="10"/>
        <rFont val="Arial"/>
        <family val="2"/>
      </rPr>
      <t>μ</t>
    </r>
    <r>
      <rPr>
        <sz val="8"/>
        <rFont val="Arial"/>
        <family val="2"/>
      </rPr>
      <t>P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&gt; R</t>
    </r>
    <r>
      <rPr>
        <sz val="8"/>
        <rFont val="Arial"/>
        <family val="2"/>
      </rPr>
      <t>LB</t>
    </r>
  </si>
  <si>
    <t>Laster LL, Johnson MF. Non-inferiority trials: the ‘at least as good as’ criterion</t>
  </si>
  <si>
    <t>Statistics in Medicine 22:187–200, 2003.</t>
  </si>
  <si>
    <t>Diferença máxima tolerada para equivalência (δ)</t>
  </si>
  <si>
    <t>Teste de Wilcoxon para amostras pareadas</t>
  </si>
  <si>
    <t>Postos</t>
  </si>
  <si>
    <t>Postos +</t>
  </si>
  <si>
    <t>Postos -</t>
  </si>
  <si>
    <t>Soma dos postos</t>
  </si>
  <si>
    <t>W+</t>
  </si>
  <si>
    <t>W -</t>
  </si>
  <si>
    <t>W zeros</t>
  </si>
  <si>
    <r>
      <t>n</t>
    </r>
    <r>
      <rPr>
        <sz val="10"/>
        <rFont val="Arial"/>
        <family val="2"/>
      </rPr>
      <t xml:space="preserve"> zeros</t>
    </r>
  </si>
  <si>
    <t>W</t>
  </si>
  <si>
    <t>m</t>
  </si>
  <si>
    <t>v não corrigido</t>
  </si>
  <si>
    <t>correção para zeros</t>
  </si>
  <si>
    <t>correção para empates</t>
  </si>
  <si>
    <t>v corrigido</t>
  </si>
  <si>
    <t>z0</t>
  </si>
  <si>
    <t>Soma</t>
  </si>
  <si>
    <t>Teste não-paramétrico de Kruskal-Wallis (1952)</t>
  </si>
  <si>
    <t>E</t>
  </si>
  <si>
    <t>Postos A</t>
  </si>
  <si>
    <t>Postos B</t>
  </si>
  <si>
    <t>Postos C</t>
  </si>
  <si>
    <t>Postos D</t>
  </si>
  <si>
    <t>Postos E</t>
  </si>
  <si>
    <t>grupos (k)</t>
  </si>
  <si>
    <r>
      <t>Estatística</t>
    </r>
    <r>
      <rPr>
        <b/>
        <i/>
        <sz val="10"/>
        <rFont val="Arial"/>
        <family val="2"/>
      </rPr>
      <t xml:space="preserve"> H</t>
    </r>
  </si>
  <si>
    <t>Teste de Dunn (1964)</t>
  </si>
  <si>
    <t>diferença</t>
  </si>
  <si>
    <t>DMS</t>
  </si>
  <si>
    <t>AxB</t>
  </si>
  <si>
    <t>AxC</t>
  </si>
  <si>
    <t>AxD</t>
  </si>
  <si>
    <t>AxE</t>
  </si>
  <si>
    <t>BxC</t>
  </si>
  <si>
    <t>BxD</t>
  </si>
  <si>
    <t>BxE</t>
  </si>
  <si>
    <t>CxD</t>
  </si>
  <si>
    <t>CxE</t>
  </si>
  <si>
    <t>DxE</t>
  </si>
  <si>
    <t>Soma A</t>
  </si>
  <si>
    <t>Soma B</t>
  </si>
  <si>
    <t>Soma C</t>
  </si>
  <si>
    <t>Soma D</t>
  </si>
  <si>
    <t>Soma E</t>
  </si>
  <si>
    <t>Média A</t>
  </si>
  <si>
    <t>Média B</t>
  </si>
  <si>
    <t>Média C</t>
  </si>
  <si>
    <t>Média D</t>
  </si>
  <si>
    <t>Média E</t>
  </si>
  <si>
    <t>Teste da soma de postos de Wilcoxon (Teste de Mann-Whitney)</t>
  </si>
  <si>
    <t>W(A)</t>
  </si>
  <si>
    <t>W(B)</t>
  </si>
  <si>
    <r>
      <t>n</t>
    </r>
    <r>
      <rPr>
        <sz val="10"/>
        <rFont val="Arial"/>
        <family val="2"/>
      </rPr>
      <t>1 (menor soma)</t>
    </r>
  </si>
  <si>
    <r>
      <t>n</t>
    </r>
    <r>
      <rPr>
        <sz val="10"/>
        <rFont val="Arial"/>
        <family val="2"/>
      </rPr>
      <t>2 (maior soma)</t>
    </r>
  </si>
  <si>
    <t>v</t>
  </si>
  <si>
    <t>Bias index (BI)</t>
  </si>
  <si>
    <t>Symmetry in disagreement index</t>
  </si>
  <si>
    <t>Referência principal</t>
  </si>
  <si>
    <t>Referência para o Bias index</t>
  </si>
  <si>
    <t>Cohen, J. (1960). A Coefficient of Agreement for</t>
  </si>
  <si>
    <t>Byrt T, Bishop J, Carlin JB. (1993). Bias, prevalence</t>
  </si>
  <si>
    <r>
      <t xml:space="preserve">and kappa. </t>
    </r>
    <r>
      <rPr>
        <i/>
        <sz val="10"/>
        <rFont val="Arial"/>
        <family val="2"/>
      </rPr>
      <t>J. Clin. Epidemiol.</t>
    </r>
    <r>
      <rPr>
        <sz val="10"/>
        <rFont val="Arial"/>
        <family val="2"/>
      </rPr>
      <t>, 46, 423–9.</t>
    </r>
  </si>
  <si>
    <t>Grupo 1</t>
  </si>
  <si>
    <t>Grupo 2</t>
  </si>
  <si>
    <t>Grupo 3</t>
  </si>
  <si>
    <t>Grupo 4</t>
  </si>
  <si>
    <t>Grupos</t>
  </si>
  <si>
    <t>Voluntários</t>
  </si>
  <si>
    <t>Aleatorização</t>
  </si>
  <si>
    <t>Estudos de intervenção</t>
  </si>
  <si>
    <t>com grupos paralelos.</t>
  </si>
  <si>
    <t>de diferentes tratamentos.</t>
  </si>
  <si>
    <t>Estudos transversais</t>
  </si>
  <si>
    <t>Risco atribuível</t>
  </si>
  <si>
    <t>Leung HM, Kupper LL. Comparisons of confidence intervals</t>
  </si>
  <si>
    <r>
      <t xml:space="preserve">for attributable risk. </t>
    </r>
    <r>
      <rPr>
        <i/>
        <sz val="10"/>
        <rFont val="Arial"/>
        <family val="2"/>
      </rPr>
      <t>Biometrics</t>
    </r>
    <r>
      <rPr>
        <sz val="10"/>
        <rFont val="Arial"/>
        <family val="2"/>
      </rPr>
      <t>, 37, 293-302, 1981.</t>
    </r>
  </si>
  <si>
    <t>Determinação do tamanho amostral necessário para estimar um</t>
  </si>
  <si>
    <t>coeficiente de correlação intraclasse (CCI) com dada precisão</t>
  </si>
  <si>
    <r>
      <t>Número de instrumentos (</t>
    </r>
    <r>
      <rPr>
        <i/>
        <sz val="10"/>
        <color indexed="8"/>
        <rFont val="Arial"/>
        <family val="2"/>
      </rPr>
      <t>k</t>
    </r>
    <r>
      <rPr>
        <sz val="10"/>
        <color indexed="8"/>
        <rFont val="Arial"/>
        <family val="2"/>
      </rPr>
      <t>)</t>
    </r>
  </si>
  <si>
    <r>
      <t>Coeficiente de correlação intraclasse (</t>
    </r>
    <r>
      <rPr>
        <i/>
        <sz val="10"/>
        <color indexed="8"/>
        <rFont val="Arial"/>
        <family val="2"/>
      </rPr>
      <t>CCI</t>
    </r>
    <r>
      <rPr>
        <sz val="10"/>
        <color indexed="8"/>
        <rFont val="Arial"/>
        <family val="2"/>
      </rPr>
      <t>)</t>
    </r>
  </si>
  <si>
    <r>
      <t xml:space="preserve">Amplitude do intervalo de confiança para o </t>
    </r>
    <r>
      <rPr>
        <i/>
        <sz val="10"/>
        <color indexed="8"/>
        <rFont val="Arial"/>
        <family val="2"/>
      </rPr>
      <t>CCI</t>
    </r>
  </si>
  <si>
    <t>Coeficiente de confiança (γ)</t>
  </si>
  <si>
    <r>
      <t>Tamanho amostral (</t>
    </r>
    <r>
      <rPr>
        <i/>
        <sz val="10"/>
        <color indexed="8"/>
        <rFont val="Arial"/>
        <family val="2"/>
      </rPr>
      <t>n</t>
    </r>
    <r>
      <rPr>
        <sz val="10"/>
        <color indexed="8"/>
        <rFont val="Arial"/>
        <family val="2"/>
      </rPr>
      <t>)</t>
    </r>
  </si>
  <si>
    <t>Bonnett DG. Sample size requirements for estimating intraclass</t>
  </si>
  <si>
    <t>correlations with desired precision. Statistics in Medicine 2002;</t>
  </si>
  <si>
    <t>21:1331-1335.</t>
  </si>
  <si>
    <t>Testes de hipóteses para tabelas 2x2</t>
  </si>
  <si>
    <t>Valores observados</t>
  </si>
  <si>
    <t>Valores esperados</t>
  </si>
  <si>
    <t>Contribuição à estatística qui-quadrado</t>
  </si>
  <si>
    <t>Teste de hipóteses</t>
  </si>
  <si>
    <t>Estatística</t>
  </si>
  <si>
    <t>valor-p</t>
  </si>
  <si>
    <t>Teste qui-quadrado de Pearson</t>
  </si>
  <si>
    <t>Teste com correção de Yates</t>
  </si>
  <si>
    <t>Teste exato de Fisher</t>
  </si>
  <si>
    <t>Teste-G (likelihood ratio)</t>
  </si>
  <si>
    <t>Teste-G com correção de Yates</t>
  </si>
  <si>
    <t>Estimativa</t>
  </si>
  <si>
    <t>Odds ratio (OR)</t>
  </si>
  <si>
    <t>1/OR</t>
  </si>
  <si>
    <t>log OR</t>
  </si>
  <si>
    <t>EP (log OR)</t>
  </si>
  <si>
    <t>Coef. confiança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</si>
</sst>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%"/>
    <numFmt numFmtId="165" formatCode="0.00000"/>
    <numFmt numFmtId="166" formatCode="0.0000"/>
    <numFmt numFmtId="167" formatCode="0.000"/>
    <numFmt numFmtId="168" formatCode="0.0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26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Symbol"/>
      <family val="1"/>
      <charset val="2"/>
    </font>
    <font>
      <sz val="10"/>
      <color indexed="10"/>
      <name val="Arial"/>
      <family val="2"/>
    </font>
    <font>
      <b/>
      <sz val="10"/>
      <color indexed="17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43"/>
      <name val="Arial"/>
      <family val="2"/>
    </font>
    <font>
      <sz val="10"/>
      <name val="Times New Roman"/>
      <family val="1"/>
    </font>
    <font>
      <sz val="10"/>
      <name val="Symbol"/>
      <family val="1"/>
      <charset val="2"/>
    </font>
    <font>
      <sz val="10"/>
      <color indexed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color theme="0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FFCC"/>
      <name val="Arial"/>
      <family val="2"/>
    </font>
    <font>
      <sz val="10"/>
      <color theme="1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3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164" fontId="0" fillId="3" borderId="1" xfId="1" applyNumberFormat="1" applyFont="1" applyFill="1" applyBorder="1"/>
    <xf numFmtId="164" fontId="0" fillId="3" borderId="4" xfId="1" applyNumberFormat="1" applyFont="1" applyFill="1" applyBorder="1"/>
    <xf numFmtId="164" fontId="0" fillId="3" borderId="3" xfId="1" applyNumberFormat="1" applyFont="1" applyFill="1" applyBorder="1"/>
    <xf numFmtId="164" fontId="0" fillId="3" borderId="5" xfId="1" applyNumberFormat="1" applyFont="1" applyFill="1" applyBorder="1"/>
    <xf numFmtId="0" fontId="2" fillId="3" borderId="1" xfId="0" applyFont="1" applyFill="1" applyBorder="1"/>
    <xf numFmtId="0" fontId="0" fillId="3" borderId="6" xfId="0" applyFill="1" applyBorder="1"/>
    <xf numFmtId="0" fontId="2" fillId="3" borderId="3" xfId="0" applyFont="1" applyFill="1" applyBorder="1"/>
    <xf numFmtId="0" fontId="0" fillId="2" borderId="4" xfId="0" applyFill="1" applyBorder="1"/>
    <xf numFmtId="167" fontId="0" fillId="3" borderId="6" xfId="0" applyNumberFormat="1" applyFill="1" applyBorder="1"/>
    <xf numFmtId="167" fontId="0" fillId="3" borderId="5" xfId="0" applyNumberFormat="1" applyFill="1" applyBorder="1"/>
    <xf numFmtId="0" fontId="0" fillId="2" borderId="0" xfId="0" applyFill="1" applyBorder="1"/>
    <xf numFmtId="0" fontId="0" fillId="3" borderId="5" xfId="0" applyFill="1" applyBorder="1" applyAlignment="1">
      <alignment horizontal="right"/>
    </xf>
    <xf numFmtId="167" fontId="0" fillId="3" borderId="6" xfId="0" applyNumberFormat="1" applyFill="1" applyBorder="1" applyAlignment="1">
      <alignment horizontal="right"/>
    </xf>
    <xf numFmtId="0" fontId="0" fillId="3" borderId="6" xfId="0" applyFill="1" applyBorder="1" applyAlignment="1">
      <alignment horizontal="right"/>
    </xf>
    <xf numFmtId="0" fontId="3" fillId="2" borderId="1" xfId="0" applyFont="1" applyFill="1" applyBorder="1"/>
    <xf numFmtId="167" fontId="0" fillId="3" borderId="4" xfId="0" applyNumberFormat="1" applyFill="1" applyBorder="1"/>
    <xf numFmtId="0" fontId="0" fillId="2" borderId="7" xfId="0" applyFill="1" applyBorder="1"/>
    <xf numFmtId="167" fontId="0" fillId="3" borderId="6" xfId="0" applyNumberFormat="1" applyFill="1" applyBorder="1" applyAlignment="1"/>
    <xf numFmtId="0" fontId="2" fillId="2" borderId="8" xfId="0" applyFont="1" applyFill="1" applyBorder="1"/>
    <xf numFmtId="9" fontId="2" fillId="2" borderId="8" xfId="0" applyNumberFormat="1" applyFont="1" applyFill="1" applyBorder="1" applyAlignment="1">
      <alignment horizontal="left"/>
    </xf>
    <xf numFmtId="0" fontId="0" fillId="4" borderId="0" xfId="0" applyFill="1"/>
    <xf numFmtId="0" fontId="2" fillId="4" borderId="0" xfId="0" applyFont="1" applyFill="1" applyAlignment="1">
      <alignment horizontal="right"/>
    </xf>
    <xf numFmtId="0" fontId="2" fillId="4" borderId="0" xfId="0" applyFont="1" applyFill="1"/>
    <xf numFmtId="9" fontId="0" fillId="4" borderId="0" xfId="1" applyFont="1" applyFill="1"/>
    <xf numFmtId="0" fontId="0" fillId="0" borderId="0" xfId="0" applyFill="1"/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5" fillId="0" borderId="0" xfId="0" applyFont="1" applyFill="1"/>
    <xf numFmtId="167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3" fillId="2" borderId="2" xfId="0" applyFont="1" applyFill="1" applyBorder="1"/>
    <xf numFmtId="2" fontId="0" fillId="0" borderId="6" xfId="1" applyNumberFormat="1" applyFont="1" applyFill="1" applyBorder="1"/>
    <xf numFmtId="0" fontId="0" fillId="3" borderId="7" xfId="0" applyFill="1" applyBorder="1"/>
    <xf numFmtId="0" fontId="0" fillId="3" borderId="8" xfId="0" applyFill="1" applyBorder="1"/>
    <xf numFmtId="164" fontId="0" fillId="4" borderId="0" xfId="1" applyNumberFormat="1" applyFont="1" applyFill="1"/>
    <xf numFmtId="166" fontId="5" fillId="0" borderId="0" xfId="1" applyNumberFormat="1" applyFont="1" applyFill="1"/>
    <xf numFmtId="0" fontId="0" fillId="4" borderId="0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5" borderId="1" xfId="0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0" fillId="5" borderId="5" xfId="0" applyFill="1" applyBorder="1" applyProtection="1">
      <protection locked="0"/>
    </xf>
    <xf numFmtId="9" fontId="0" fillId="5" borderId="6" xfId="0" applyNumberFormat="1" applyFill="1" applyBorder="1" applyProtection="1">
      <protection locked="0"/>
    </xf>
    <xf numFmtId="0" fontId="0" fillId="5" borderId="6" xfId="0" applyFill="1" applyBorder="1" applyProtection="1">
      <protection locked="0"/>
    </xf>
    <xf numFmtId="0" fontId="2" fillId="4" borderId="0" xfId="0" applyFont="1" applyFill="1" applyAlignment="1">
      <alignment horizontal="left" shrinkToFit="1"/>
    </xf>
    <xf numFmtId="0" fontId="0" fillId="0" borderId="11" xfId="0" applyBorder="1"/>
    <xf numFmtId="0" fontId="0" fillId="2" borderId="8" xfId="0" applyFill="1" applyBorder="1"/>
    <xf numFmtId="0" fontId="0" fillId="0" borderId="5" xfId="0" applyBorder="1"/>
    <xf numFmtId="0" fontId="0" fillId="3" borderId="2" xfId="0" applyFill="1" applyBorder="1"/>
    <xf numFmtId="0" fontId="0" fillId="3" borderId="0" xfId="0" applyFill="1" applyBorder="1"/>
    <xf numFmtId="0" fontId="0" fillId="3" borderId="3" xfId="0" applyFill="1" applyBorder="1"/>
    <xf numFmtId="0" fontId="6" fillId="4" borderId="0" xfId="0" applyFont="1" applyFill="1"/>
    <xf numFmtId="0" fontId="2" fillId="2" borderId="0" xfId="0" applyFont="1" applyFill="1" applyBorder="1"/>
    <xf numFmtId="0" fontId="0" fillId="3" borderId="0" xfId="0" applyFill="1"/>
    <xf numFmtId="0" fontId="0" fillId="3" borderId="8" xfId="0" applyFill="1" applyBorder="1" applyAlignment="1">
      <alignment horizontal="center"/>
    </xf>
    <xf numFmtId="2" fontId="0" fillId="3" borderId="0" xfId="0" applyNumberFormat="1" applyFill="1"/>
    <xf numFmtId="2" fontId="0" fillId="3" borderId="8" xfId="0" applyNumberFormat="1" applyFill="1" applyBorder="1"/>
    <xf numFmtId="0" fontId="7" fillId="4" borderId="0" xfId="0" applyFont="1" applyFill="1"/>
    <xf numFmtId="0" fontId="0" fillId="3" borderId="8" xfId="0" applyFill="1" applyBorder="1" applyAlignment="1">
      <alignment horizontal="right"/>
    </xf>
    <xf numFmtId="0" fontId="2" fillId="2" borderId="9" xfId="0" applyFont="1" applyFill="1" applyBorder="1"/>
    <xf numFmtId="0" fontId="0" fillId="2" borderId="10" xfId="0" applyFill="1" applyBorder="1"/>
    <xf numFmtId="0" fontId="2" fillId="2" borderId="10" xfId="0" applyFont="1" applyFill="1" applyBorder="1" applyAlignment="1">
      <alignment horizontal="right"/>
    </xf>
    <xf numFmtId="0" fontId="2" fillId="3" borderId="12" xfId="0" applyFont="1" applyFill="1" applyBorder="1"/>
    <xf numFmtId="0" fontId="0" fillId="5" borderId="8" xfId="0" applyFill="1" applyBorder="1" applyProtection="1">
      <protection locked="0"/>
    </xf>
    <xf numFmtId="0" fontId="0" fillId="5" borderId="0" xfId="0" applyFill="1" applyProtection="1">
      <protection locked="0"/>
    </xf>
    <xf numFmtId="0" fontId="1" fillId="5" borderId="11" xfId="0" applyFont="1" applyFill="1" applyBorder="1" applyProtection="1">
      <protection locked="0"/>
    </xf>
    <xf numFmtId="0" fontId="5" fillId="0" borderId="0" xfId="0" applyFont="1" applyBorder="1"/>
    <xf numFmtId="0" fontId="9" fillId="3" borderId="3" xfId="0" applyFont="1" applyFill="1" applyBorder="1"/>
    <xf numFmtId="0" fontId="0" fillId="5" borderId="11" xfId="0" applyFill="1" applyBorder="1" applyProtection="1">
      <protection locked="0"/>
    </xf>
    <xf numFmtId="0" fontId="2" fillId="2" borderId="7" xfId="0" applyFont="1" applyFill="1" applyBorder="1"/>
    <xf numFmtId="0" fontId="9" fillId="2" borderId="9" xfId="0" applyFont="1" applyFill="1" applyBorder="1"/>
    <xf numFmtId="0" fontId="0" fillId="4" borderId="0" xfId="0" applyFill="1" applyProtection="1"/>
    <xf numFmtId="0" fontId="5" fillId="0" borderId="0" xfId="0" applyFont="1" applyFill="1" applyBorder="1" applyProtection="1"/>
    <xf numFmtId="2" fontId="5" fillId="0" borderId="0" xfId="0" applyNumberFormat="1" applyFont="1" applyFill="1" applyBorder="1" applyProtection="1"/>
    <xf numFmtId="0" fontId="5" fillId="0" borderId="0" xfId="0" applyFont="1" applyBorder="1" applyProtection="1"/>
    <xf numFmtId="0" fontId="0" fillId="0" borderId="0" xfId="0" applyProtection="1"/>
    <xf numFmtId="9" fontId="0" fillId="5" borderId="5" xfId="0" applyNumberFormat="1" applyFill="1" applyBorder="1" applyProtection="1">
      <protection locked="0"/>
    </xf>
    <xf numFmtId="0" fontId="11" fillId="0" borderId="0" xfId="0" applyFont="1" applyFill="1" applyBorder="1" applyProtection="1"/>
    <xf numFmtId="0" fontId="11" fillId="0" borderId="0" xfId="0" applyFont="1" applyBorder="1" applyProtection="1"/>
    <xf numFmtId="0" fontId="11" fillId="0" borderId="0" xfId="0" applyFont="1" applyProtection="1"/>
    <xf numFmtId="0" fontId="0" fillId="3" borderId="13" xfId="0" applyFill="1" applyBorder="1" applyProtection="1"/>
    <xf numFmtId="2" fontId="0" fillId="3" borderId="14" xfId="0" applyNumberFormat="1" applyFill="1" applyBorder="1" applyProtection="1"/>
    <xf numFmtId="0" fontId="0" fillId="3" borderId="15" xfId="0" applyFill="1" applyBorder="1" applyProtection="1"/>
    <xf numFmtId="167" fontId="0" fillId="3" borderId="15" xfId="0" applyNumberFormat="1" applyFill="1" applyBorder="1" applyProtection="1"/>
    <xf numFmtId="167" fontId="0" fillId="3" borderId="16" xfId="0" applyNumberFormat="1" applyFill="1" applyBorder="1" applyProtection="1"/>
    <xf numFmtId="167" fontId="0" fillId="3" borderId="17" xfId="0" applyNumberFormat="1" applyFill="1" applyBorder="1" applyProtection="1"/>
    <xf numFmtId="167" fontId="0" fillId="3" borderId="18" xfId="0" applyNumberFormat="1" applyFill="1" applyBorder="1" applyProtection="1"/>
    <xf numFmtId="0" fontId="0" fillId="6" borderId="15" xfId="0" applyFill="1" applyBorder="1" applyProtection="1"/>
    <xf numFmtId="0" fontId="13" fillId="7" borderId="19" xfId="0" applyFont="1" applyFill="1" applyBorder="1" applyProtection="1"/>
    <xf numFmtId="0" fontId="14" fillId="7" borderId="20" xfId="0" applyFont="1" applyFill="1" applyBorder="1" applyProtection="1"/>
    <xf numFmtId="0" fontId="0" fillId="5" borderId="21" xfId="0" applyFill="1" applyBorder="1" applyProtection="1">
      <protection locked="0"/>
    </xf>
    <xf numFmtId="0" fontId="0" fillId="5" borderId="22" xfId="0" applyFill="1" applyBorder="1" applyProtection="1">
      <protection locked="0"/>
    </xf>
    <xf numFmtId="0" fontId="0" fillId="5" borderId="23" xfId="0" applyFill="1" applyBorder="1" applyProtection="1">
      <protection locked="0"/>
    </xf>
    <xf numFmtId="9" fontId="0" fillId="5" borderId="16" xfId="0" applyNumberFormat="1" applyFill="1" applyBorder="1" applyProtection="1">
      <protection locked="0"/>
    </xf>
    <xf numFmtId="0" fontId="6" fillId="4" borderId="0" xfId="0" applyFont="1" applyFill="1" applyProtection="1"/>
    <xf numFmtId="0" fontId="12" fillId="4" borderId="0" xfId="0" applyFont="1" applyFill="1" applyAlignment="1" applyProtection="1">
      <alignment horizontal="right"/>
    </xf>
    <xf numFmtId="0" fontId="2" fillId="4" borderId="0" xfId="0" applyFont="1" applyFill="1" applyAlignment="1" applyProtection="1">
      <alignment horizontal="center"/>
    </xf>
    <xf numFmtId="0" fontId="0" fillId="4" borderId="0" xfId="0" applyFill="1" applyAlignment="1" applyProtection="1">
      <alignment horizontal="center"/>
    </xf>
    <xf numFmtId="0" fontId="2" fillId="8" borderId="13" xfId="0" applyFont="1" applyFill="1" applyBorder="1" applyProtection="1"/>
    <xf numFmtId="0" fontId="0" fillId="8" borderId="14" xfId="0" applyFill="1" applyBorder="1" applyProtection="1"/>
    <xf numFmtId="0" fontId="2" fillId="9" borderId="13" xfId="0" applyFont="1" applyFill="1" applyBorder="1" applyProtection="1"/>
    <xf numFmtId="0" fontId="0" fillId="9" borderId="14" xfId="0" applyFill="1" applyBorder="1" applyProtection="1"/>
    <xf numFmtId="0" fontId="3" fillId="8" borderId="15" xfId="0" applyFont="1" applyFill="1" applyBorder="1" applyProtection="1"/>
    <xf numFmtId="0" fontId="3" fillId="9" borderId="15" xfId="0" applyFont="1" applyFill="1" applyBorder="1" applyProtection="1"/>
    <xf numFmtId="0" fontId="2" fillId="8" borderId="15" xfId="0" applyFont="1" applyFill="1" applyBorder="1" applyProtection="1"/>
    <xf numFmtId="0" fontId="2" fillId="9" borderId="15" xfId="0" applyFont="1" applyFill="1" applyBorder="1" applyProtection="1"/>
    <xf numFmtId="0" fontId="2" fillId="8" borderId="17" xfId="0" applyFont="1" applyFill="1" applyBorder="1" applyProtection="1"/>
    <xf numFmtId="0" fontId="2" fillId="9" borderId="17" xfId="0" applyFont="1" applyFill="1" applyBorder="1" applyProtection="1"/>
    <xf numFmtId="0" fontId="2" fillId="10" borderId="19" xfId="0" applyFont="1" applyFill="1" applyBorder="1" applyProtection="1"/>
    <xf numFmtId="0" fontId="0" fillId="10" borderId="24" xfId="0" applyFill="1" applyBorder="1" applyProtection="1"/>
    <xf numFmtId="0" fontId="0" fillId="10" borderId="20" xfId="0" applyFill="1" applyBorder="1" applyProtection="1"/>
    <xf numFmtId="0" fontId="0" fillId="11" borderId="15" xfId="0" applyFill="1" applyBorder="1" applyProtection="1"/>
    <xf numFmtId="0" fontId="0" fillId="11" borderId="21" xfId="0" applyFill="1" applyBorder="1" applyProtection="1"/>
    <xf numFmtId="0" fontId="0" fillId="11" borderId="22" xfId="0" applyFill="1" applyBorder="1" applyProtection="1"/>
    <xf numFmtId="0" fontId="0" fillId="11" borderId="17" xfId="0" applyFill="1" applyBorder="1" applyProtection="1"/>
    <xf numFmtId="0" fontId="0" fillId="12" borderId="25" xfId="0" applyFill="1" applyBorder="1" applyProtection="1"/>
    <xf numFmtId="0" fontId="0" fillId="13" borderId="19" xfId="0" applyFill="1" applyBorder="1" applyProtection="1"/>
    <xf numFmtId="0" fontId="0" fillId="13" borderId="24" xfId="0" applyFill="1" applyBorder="1" applyProtection="1"/>
    <xf numFmtId="0" fontId="0" fillId="13" borderId="20" xfId="0" applyFill="1" applyBorder="1" applyProtection="1"/>
    <xf numFmtId="0" fontId="8" fillId="13" borderId="15" xfId="0" applyFont="1" applyFill="1" applyBorder="1" applyProtection="1"/>
    <xf numFmtId="0" fontId="8" fillId="13" borderId="0" xfId="0" applyFont="1" applyFill="1" applyBorder="1" applyProtection="1"/>
    <xf numFmtId="0" fontId="8" fillId="13" borderId="17" xfId="0" applyFont="1" applyFill="1" applyBorder="1" applyProtection="1"/>
    <xf numFmtId="0" fontId="8" fillId="13" borderId="25" xfId="0" applyFont="1" applyFill="1" applyBorder="1" applyProtection="1"/>
    <xf numFmtId="0" fontId="0" fillId="12" borderId="13" xfId="0" applyFill="1" applyBorder="1" applyProtection="1"/>
    <xf numFmtId="0" fontId="0" fillId="12" borderId="26" xfId="0" applyFill="1" applyBorder="1" applyProtection="1"/>
    <xf numFmtId="0" fontId="0" fillId="12" borderId="14" xfId="0" applyFill="1" applyBorder="1" applyProtection="1"/>
    <xf numFmtId="0" fontId="0" fillId="12" borderId="15" xfId="0" applyFill="1" applyBorder="1" applyProtection="1"/>
    <xf numFmtId="0" fontId="0" fillId="12" borderId="0" xfId="0" applyFill="1" applyBorder="1" applyProtection="1"/>
    <xf numFmtId="0" fontId="0" fillId="12" borderId="16" xfId="0" applyFill="1" applyBorder="1" applyProtection="1"/>
    <xf numFmtId="0" fontId="2" fillId="12" borderId="15" xfId="0" applyFont="1" applyFill="1" applyBorder="1" applyProtection="1"/>
    <xf numFmtId="0" fontId="0" fillId="12" borderId="17" xfId="0" applyFill="1" applyBorder="1" applyProtection="1"/>
    <xf numFmtId="0" fontId="0" fillId="12" borderId="18" xfId="0" applyFill="1" applyBorder="1" applyProtection="1"/>
    <xf numFmtId="0" fontId="0" fillId="4" borderId="23" xfId="0" applyFill="1" applyBorder="1" applyProtection="1"/>
    <xf numFmtId="0" fontId="7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/>
    </xf>
    <xf numFmtId="2" fontId="7" fillId="4" borderId="0" xfId="0" applyNumberFormat="1" applyFont="1" applyFill="1" applyBorder="1" applyProtection="1"/>
    <xf numFmtId="0" fontId="0" fillId="5" borderId="22" xfId="0" applyNumberFormat="1" applyFill="1" applyBorder="1" applyProtection="1">
      <protection locked="0"/>
    </xf>
    <xf numFmtId="0" fontId="0" fillId="5" borderId="23" xfId="0" applyNumberFormat="1" applyFill="1" applyBorder="1" applyProtection="1">
      <protection locked="0"/>
    </xf>
    <xf numFmtId="0" fontId="0" fillId="2" borderId="3" xfId="0" applyFill="1" applyBorder="1"/>
    <xf numFmtId="0" fontId="0" fillId="2" borderId="2" xfId="0" applyFill="1" applyBorder="1"/>
    <xf numFmtId="9" fontId="0" fillId="2" borderId="0" xfId="0" applyNumberFormat="1" applyFill="1" applyBorder="1" applyAlignment="1">
      <alignment horizontal="left"/>
    </xf>
    <xf numFmtId="0" fontId="8" fillId="3" borderId="9" xfId="0" applyFont="1" applyFill="1" applyBorder="1"/>
    <xf numFmtId="0" fontId="0" fillId="4" borderId="0" xfId="0" applyFill="1" applyBorder="1" applyAlignment="1">
      <alignment horizontal="center"/>
    </xf>
    <xf numFmtId="166" fontId="2" fillId="3" borderId="4" xfId="0" applyNumberFormat="1" applyFont="1" applyFill="1" applyBorder="1" applyAlignment="1">
      <alignment horizontal="right"/>
    </xf>
    <xf numFmtId="166" fontId="0" fillId="3" borderId="6" xfId="0" applyNumberFormat="1" applyFill="1" applyBorder="1" applyAlignment="1">
      <alignment horizontal="right"/>
    </xf>
    <xf numFmtId="166" fontId="0" fillId="3" borderId="5" xfId="0" applyNumberFormat="1" applyFill="1" applyBorder="1" applyAlignment="1">
      <alignment horizontal="right"/>
    </xf>
    <xf numFmtId="9" fontId="0" fillId="3" borderId="0" xfId="0" applyNumberFormat="1" applyFill="1" applyBorder="1" applyAlignment="1">
      <alignment horizontal="left"/>
    </xf>
    <xf numFmtId="0" fontId="8" fillId="3" borderId="2" xfId="0" applyFont="1" applyFill="1" applyBorder="1" applyAlignment="1"/>
    <xf numFmtId="0" fontId="0" fillId="5" borderId="1" xfId="0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0" fillId="5" borderId="3" xfId="0" applyFill="1" applyBorder="1" applyAlignment="1" applyProtection="1">
      <alignment horizontal="center"/>
      <protection locked="0"/>
    </xf>
    <xf numFmtId="0" fontId="0" fillId="5" borderId="5" xfId="0" applyFill="1" applyBorder="1" applyAlignment="1" applyProtection="1">
      <alignment horizontal="center"/>
      <protection locked="0"/>
    </xf>
    <xf numFmtId="9" fontId="0" fillId="5" borderId="6" xfId="1" applyFont="1" applyFill="1" applyBorder="1" applyAlignment="1" applyProtection="1">
      <alignment horizontal="right"/>
      <protection locked="0"/>
    </xf>
    <xf numFmtId="166" fontId="0" fillId="3" borderId="6" xfId="1" applyNumberFormat="1" applyFont="1" applyFill="1" applyBorder="1" applyAlignment="1" applyProtection="1">
      <alignment horizontal="right"/>
    </xf>
    <xf numFmtId="0" fontId="8" fillId="3" borderId="9" xfId="0" applyFont="1" applyFill="1" applyBorder="1" applyProtection="1"/>
    <xf numFmtId="0" fontId="0" fillId="3" borderId="10" xfId="0" applyFill="1" applyBorder="1" applyProtection="1"/>
    <xf numFmtId="0" fontId="0" fillId="3" borderId="11" xfId="0" applyFill="1" applyBorder="1" applyProtection="1"/>
    <xf numFmtId="0" fontId="0" fillId="4" borderId="0" xfId="0" applyFill="1" applyBorder="1" applyProtection="1"/>
    <xf numFmtId="0" fontId="0" fillId="4" borderId="0" xfId="0" applyFill="1" applyBorder="1" applyAlignment="1" applyProtection="1">
      <alignment horizontal="center"/>
    </xf>
    <xf numFmtId="0" fontId="2" fillId="2" borderId="1" xfId="0" applyFont="1" applyFill="1" applyBorder="1" applyProtection="1"/>
    <xf numFmtId="0" fontId="0" fillId="2" borderId="7" xfId="0" applyFill="1" applyBorder="1" applyProtection="1"/>
    <xf numFmtId="0" fontId="0" fillId="2" borderId="7" xfId="0" applyFill="1" applyBorder="1" applyAlignment="1" applyProtection="1">
      <alignment horizontal="right"/>
    </xf>
    <xf numFmtId="166" fontId="8" fillId="3" borderId="4" xfId="0" applyNumberFormat="1" applyFont="1" applyFill="1" applyBorder="1" applyAlignment="1" applyProtection="1">
      <alignment horizontal="right"/>
    </xf>
    <xf numFmtId="0" fontId="0" fillId="2" borderId="2" xfId="0" applyFill="1" applyBorder="1" applyProtection="1"/>
    <xf numFmtId="0" fontId="0" fillId="2" borderId="0" xfId="0" applyFill="1" applyBorder="1" applyProtection="1"/>
    <xf numFmtId="0" fontId="0" fillId="2" borderId="0" xfId="0" applyFill="1" applyBorder="1" applyAlignment="1" applyProtection="1">
      <alignment horizontal="right"/>
    </xf>
    <xf numFmtId="166" fontId="0" fillId="3" borderId="6" xfId="0" applyNumberFormat="1" applyFill="1" applyBorder="1" applyAlignment="1" applyProtection="1">
      <alignment horizontal="right"/>
    </xf>
    <xf numFmtId="166" fontId="8" fillId="3" borderId="6" xfId="0" applyNumberFormat="1" applyFont="1" applyFill="1" applyBorder="1" applyProtection="1"/>
    <xf numFmtId="0" fontId="0" fillId="2" borderId="3" xfId="0" applyFill="1" applyBorder="1" applyProtection="1"/>
    <xf numFmtId="0" fontId="0" fillId="2" borderId="8" xfId="0" applyFill="1" applyBorder="1" applyProtection="1"/>
    <xf numFmtId="166" fontId="8" fillId="3" borderId="5" xfId="0" applyNumberFormat="1" applyFont="1" applyFill="1" applyBorder="1" applyProtection="1"/>
    <xf numFmtId="0" fontId="0" fillId="0" borderId="0" xfId="0" applyFill="1" applyBorder="1" applyProtection="1"/>
    <xf numFmtId="0" fontId="2" fillId="3" borderId="1" xfId="0" applyFont="1" applyFill="1" applyBorder="1" applyProtection="1"/>
    <xf numFmtId="0" fontId="0" fillId="3" borderId="7" xfId="0" applyFill="1" applyBorder="1" applyProtection="1"/>
    <xf numFmtId="0" fontId="0" fillId="3" borderId="4" xfId="0" applyFill="1" applyBorder="1" applyProtection="1"/>
    <xf numFmtId="0" fontId="0" fillId="3" borderId="2" xfId="0" applyFill="1" applyBorder="1" applyProtection="1"/>
    <xf numFmtId="0" fontId="0" fillId="3" borderId="0" xfId="0" applyFill="1" applyBorder="1" applyProtection="1"/>
    <xf numFmtId="0" fontId="0" fillId="3" borderId="6" xfId="0" applyFill="1" applyBorder="1" applyProtection="1"/>
    <xf numFmtId="0" fontId="8" fillId="3" borderId="3" xfId="0" applyFont="1" applyFill="1" applyBorder="1" applyProtection="1"/>
    <xf numFmtId="0" fontId="0" fillId="3" borderId="8" xfId="0" applyFill="1" applyBorder="1" applyProtection="1"/>
    <xf numFmtId="0" fontId="0" fillId="3" borderId="5" xfId="0" applyFill="1" applyBorder="1" applyProtection="1"/>
    <xf numFmtId="0" fontId="8" fillId="11" borderId="23" xfId="0" applyFont="1" applyFill="1" applyBorder="1" applyProtection="1"/>
    <xf numFmtId="0" fontId="8" fillId="6" borderId="23" xfId="0" applyFont="1" applyFill="1" applyBorder="1" applyProtection="1"/>
    <xf numFmtId="9" fontId="8" fillId="2" borderId="0" xfId="0" applyNumberFormat="1" applyFont="1" applyFill="1" applyBorder="1" applyAlignment="1" applyProtection="1">
      <alignment horizontal="left"/>
    </xf>
    <xf numFmtId="9" fontId="8" fillId="2" borderId="8" xfId="0" applyNumberFormat="1" applyFont="1" applyFill="1" applyBorder="1" applyAlignment="1" applyProtection="1">
      <alignment horizontal="left"/>
    </xf>
    <xf numFmtId="0" fontId="0" fillId="5" borderId="0" xfId="0" applyFill="1" applyBorder="1" applyAlignment="1" applyProtection="1">
      <alignment horizontal="center"/>
      <protection locked="0"/>
    </xf>
    <xf numFmtId="0" fontId="0" fillId="5" borderId="7" xfId="0" applyFill="1" applyBorder="1" applyAlignment="1" applyProtection="1">
      <alignment horizontal="center"/>
      <protection locked="0"/>
    </xf>
    <xf numFmtId="0" fontId="0" fillId="5" borderId="8" xfId="0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6" xfId="0" applyFill="1" applyBorder="1" applyAlignment="1" applyProtection="1">
      <alignment horizontal="center"/>
      <protection locked="0"/>
    </xf>
    <xf numFmtId="166" fontId="2" fillId="3" borderId="4" xfId="0" applyNumberFormat="1" applyFont="1" applyFill="1" applyBorder="1" applyAlignment="1" applyProtection="1">
      <alignment horizontal="right"/>
    </xf>
    <xf numFmtId="9" fontId="0" fillId="2" borderId="0" xfId="0" applyNumberFormat="1" applyFill="1" applyBorder="1" applyAlignment="1" applyProtection="1">
      <alignment horizontal="left"/>
    </xf>
    <xf numFmtId="9" fontId="0" fillId="3" borderId="0" xfId="0" applyNumberFormat="1" applyFill="1" applyBorder="1" applyAlignment="1" applyProtection="1">
      <alignment horizontal="left"/>
    </xf>
    <xf numFmtId="166" fontId="0" fillId="3" borderId="5" xfId="0" applyNumberFormat="1" applyFill="1" applyBorder="1" applyAlignment="1" applyProtection="1">
      <alignment horizontal="right"/>
    </xf>
    <xf numFmtId="166" fontId="0" fillId="2" borderId="4" xfId="0" applyNumberFormat="1" applyFill="1" applyBorder="1" applyAlignment="1" applyProtection="1">
      <alignment horizontal="right"/>
    </xf>
    <xf numFmtId="166" fontId="2" fillId="3" borderId="6" xfId="0" applyNumberFormat="1" applyFont="1" applyFill="1" applyBorder="1" applyAlignment="1" applyProtection="1">
      <alignment horizontal="right"/>
    </xf>
    <xf numFmtId="9" fontId="0" fillId="2" borderId="8" xfId="1" applyFont="1" applyFill="1" applyBorder="1" applyAlignment="1" applyProtection="1">
      <alignment horizontal="left"/>
    </xf>
    <xf numFmtId="0" fontId="8" fillId="3" borderId="2" xfId="0" applyFont="1" applyFill="1" applyBorder="1" applyAlignment="1" applyProtection="1"/>
    <xf numFmtId="0" fontId="9" fillId="3" borderId="3" xfId="0" applyFont="1" applyFill="1" applyBorder="1" applyProtection="1"/>
    <xf numFmtId="0" fontId="0" fillId="3" borderId="21" xfId="0" applyFill="1" applyBorder="1" applyProtection="1"/>
    <xf numFmtId="0" fontId="0" fillId="3" borderId="22" xfId="0" applyFill="1" applyBorder="1" applyProtection="1"/>
    <xf numFmtId="2" fontId="0" fillId="3" borderId="22" xfId="0" applyNumberFormat="1" applyFill="1" applyBorder="1" applyProtection="1"/>
    <xf numFmtId="0" fontId="0" fillId="3" borderId="23" xfId="0" applyFill="1" applyBorder="1" applyProtection="1"/>
    <xf numFmtId="166" fontId="0" fillId="4" borderId="0" xfId="0" applyNumberFormat="1" applyFill="1" applyProtection="1"/>
    <xf numFmtId="9" fontId="0" fillId="5" borderId="6" xfId="1" applyFont="1" applyFill="1" applyBorder="1" applyProtection="1">
      <protection locked="0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" xfId="0" applyFill="1" applyBorder="1"/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9" fillId="2" borderId="0" xfId="0" applyFont="1" applyFill="1" applyBorder="1"/>
    <xf numFmtId="166" fontId="0" fillId="0" borderId="11" xfId="1" applyNumberFormat="1" applyFont="1" applyBorder="1"/>
    <xf numFmtId="0" fontId="3" fillId="2" borderId="9" xfId="0" applyFont="1" applyFill="1" applyBorder="1"/>
    <xf numFmtId="0" fontId="8" fillId="3" borderId="3" xfId="0" applyFont="1" applyFill="1" applyBorder="1"/>
    <xf numFmtId="0" fontId="5" fillId="0" borderId="0" xfId="0" applyFont="1"/>
    <xf numFmtId="0" fontId="15" fillId="4" borderId="0" xfId="0" applyFont="1" applyFill="1"/>
    <xf numFmtId="9" fontId="0" fillId="14" borderId="6" xfId="0" applyNumberFormat="1" applyFill="1" applyBorder="1" applyProtection="1">
      <protection locked="0"/>
    </xf>
    <xf numFmtId="0" fontId="0" fillId="14" borderId="5" xfId="1" applyNumberFormat="1" applyFont="1" applyFill="1" applyBorder="1" applyProtection="1">
      <protection locked="0"/>
    </xf>
    <xf numFmtId="0" fontId="0" fillId="3" borderId="7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3" borderId="3" xfId="0" applyFill="1" applyBorder="1" applyAlignment="1">
      <alignment horizontal="right"/>
    </xf>
    <xf numFmtId="0" fontId="0" fillId="4" borderId="0" xfId="0" applyFill="1" applyBorder="1" applyAlignment="1">
      <alignment horizontal="right"/>
    </xf>
    <xf numFmtId="0" fontId="5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0" fillId="14" borderId="0" xfId="0" applyFill="1" applyBorder="1" applyAlignment="1" applyProtection="1">
      <alignment horizontal="center"/>
      <protection locked="0"/>
    </xf>
    <xf numFmtId="0" fontId="0" fillId="14" borderId="6" xfId="0" applyFill="1" applyBorder="1" applyAlignment="1" applyProtection="1">
      <alignment horizontal="center"/>
      <protection locked="0"/>
    </xf>
    <xf numFmtId="166" fontId="0" fillId="0" borderId="2" xfId="0" applyNumberFormat="1" applyBorder="1" applyAlignment="1">
      <alignment horizontal="right"/>
    </xf>
    <xf numFmtId="166" fontId="0" fillId="0" borderId="0" xfId="0" applyNumberFormat="1" applyBorder="1" applyAlignment="1">
      <alignment horizontal="right"/>
    </xf>
    <xf numFmtId="166" fontId="0" fillId="0" borderId="6" xfId="0" applyNumberFormat="1" applyBorder="1" applyAlignment="1">
      <alignment horizontal="right"/>
    </xf>
    <xf numFmtId="0" fontId="0" fillId="0" borderId="2" xfId="0" applyBorder="1"/>
    <xf numFmtId="0" fontId="0" fillId="0" borderId="0" xfId="0" applyBorder="1"/>
    <xf numFmtId="0" fontId="0" fillId="0" borderId="6" xfId="0" applyBorder="1" applyAlignment="1">
      <alignment horizontal="right"/>
    </xf>
    <xf numFmtId="166" fontId="0" fillId="0" borderId="0" xfId="0" applyNumberFormat="1" applyBorder="1" applyAlignment="1"/>
    <xf numFmtId="166" fontId="0" fillId="0" borderId="2" xfId="0" applyNumberForma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66" fontId="2" fillId="0" borderId="9" xfId="0" applyNumberFormat="1" applyFont="1" applyBorder="1"/>
    <xf numFmtId="166" fontId="2" fillId="0" borderId="10" xfId="0" applyNumberFormat="1" applyFont="1" applyBorder="1"/>
    <xf numFmtId="166" fontId="2" fillId="0" borderId="11" xfId="0" applyNumberFormat="1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4" borderId="0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164" fontId="0" fillId="14" borderId="6" xfId="0" applyNumberFormat="1" applyFill="1" applyBorder="1" applyAlignment="1" applyProtection="1">
      <alignment horizontal="center"/>
      <protection locked="0"/>
    </xf>
    <xf numFmtId="0" fontId="18" fillId="0" borderId="0" xfId="0" applyFont="1"/>
    <xf numFmtId="2" fontId="0" fillId="5" borderId="5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2" fontId="0" fillId="5" borderId="11" xfId="0" applyNumberFormat="1" applyFill="1" applyBorder="1" applyProtection="1">
      <protection locked="0"/>
    </xf>
    <xf numFmtId="2" fontId="0" fillId="3" borderId="11" xfId="0" applyNumberFormat="1" applyFill="1" applyBorder="1"/>
    <xf numFmtId="0" fontId="0" fillId="3" borderId="7" xfId="0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1" xfId="0" applyFill="1" applyBorder="1"/>
    <xf numFmtId="0" fontId="0" fillId="2" borderId="7" xfId="0" applyFill="1" applyBorder="1" applyAlignment="1">
      <alignment horizontal="right"/>
    </xf>
    <xf numFmtId="0" fontId="0" fillId="0" borderId="4" xfId="0" applyBorder="1"/>
    <xf numFmtId="0" fontId="0" fillId="2" borderId="28" xfId="0" applyFill="1" applyBorder="1" applyAlignment="1">
      <alignment horizontal="center"/>
    </xf>
    <xf numFmtId="0" fontId="0" fillId="2" borderId="8" xfId="0" applyFill="1" applyBorder="1" applyAlignment="1">
      <alignment horizontal="right"/>
    </xf>
    <xf numFmtId="167" fontId="0" fillId="0" borderId="5" xfId="0" applyNumberFormat="1" applyBorder="1"/>
    <xf numFmtId="0" fontId="9" fillId="2" borderId="1" xfId="0" applyFont="1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1" fillId="5" borderId="8" xfId="0" applyFont="1" applyFill="1" applyBorder="1" applyAlignment="1" applyProtection="1">
      <alignment horizontal="center"/>
      <protection locked="0"/>
    </xf>
    <xf numFmtId="0" fontId="1" fillId="5" borderId="5" xfId="0" applyFont="1" applyFill="1" applyBorder="1" applyAlignment="1" applyProtection="1">
      <alignment horizontal="center"/>
      <protection locked="0"/>
    </xf>
    <xf numFmtId="2" fontId="0" fillId="0" borderId="6" xfId="0" applyNumberFormat="1" applyBorder="1"/>
    <xf numFmtId="0" fontId="0" fillId="0" borderId="6" xfId="0" applyBorder="1"/>
    <xf numFmtId="0" fontId="9" fillId="2" borderId="2" xfId="0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0" fontId="0" fillId="2" borderId="9" xfId="0" applyFill="1" applyBorder="1"/>
    <xf numFmtId="0" fontId="0" fillId="2" borderId="11" xfId="0" applyFill="1" applyBorder="1"/>
    <xf numFmtId="9" fontId="0" fillId="0" borderId="10" xfId="0" applyNumberFormat="1" applyBorder="1" applyAlignment="1">
      <alignment horizontal="left"/>
    </xf>
    <xf numFmtId="0" fontId="0" fillId="0" borderId="11" xfId="0" applyBorder="1" applyAlignment="1">
      <alignment horizontal="right"/>
    </xf>
    <xf numFmtId="0" fontId="11" fillId="3" borderId="1" xfId="0" applyFont="1" applyFill="1" applyBorder="1"/>
    <xf numFmtId="0" fontId="11" fillId="3" borderId="7" xfId="0" applyFont="1" applyFill="1" applyBorder="1"/>
    <xf numFmtId="0" fontId="11" fillId="3" borderId="4" xfId="0" applyFont="1" applyFill="1" applyBorder="1"/>
    <xf numFmtId="0" fontId="11" fillId="3" borderId="2" xfId="0" applyFont="1" applyFill="1" applyBorder="1"/>
    <xf numFmtId="0" fontId="11" fillId="3" borderId="0" xfId="0" applyFont="1" applyFill="1" applyBorder="1"/>
    <xf numFmtId="0" fontId="11" fillId="3" borderId="6" xfId="0" applyFont="1" applyFill="1" applyBorder="1"/>
    <xf numFmtId="0" fontId="11" fillId="3" borderId="3" xfId="0" applyFont="1" applyFill="1" applyBorder="1"/>
    <xf numFmtId="0" fontId="11" fillId="3" borderId="8" xfId="0" applyFont="1" applyFill="1" applyBorder="1"/>
    <xf numFmtId="0" fontId="11" fillId="3" borderId="8" xfId="0" applyFont="1" applyFill="1" applyBorder="1" applyAlignment="1">
      <alignment horizontal="left"/>
    </xf>
    <xf numFmtId="0" fontId="11" fillId="3" borderId="5" xfId="0" applyFont="1" applyFill="1" applyBorder="1"/>
    <xf numFmtId="0" fontId="0" fillId="2" borderId="29" xfId="0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4" borderId="0" xfId="0" applyFont="1" applyFill="1" applyProtection="1"/>
    <xf numFmtId="0" fontId="1" fillId="0" borderId="0" xfId="0" applyFont="1" applyFill="1" applyBorder="1" applyProtection="1"/>
    <xf numFmtId="0" fontId="1" fillId="0" borderId="0" xfId="0" applyFont="1" applyProtection="1"/>
    <xf numFmtId="0" fontId="1" fillId="3" borderId="9" xfId="0" applyFont="1" applyFill="1" applyBorder="1" applyProtection="1"/>
    <xf numFmtId="0" fontId="1" fillId="3" borderId="10" xfId="0" applyFont="1" applyFill="1" applyBorder="1" applyProtection="1"/>
    <xf numFmtId="0" fontId="1" fillId="3" borderId="11" xfId="0" applyFont="1" applyFill="1" applyBorder="1" applyProtection="1"/>
    <xf numFmtId="0" fontId="1" fillId="4" borderId="0" xfId="0" applyFont="1" applyFill="1" applyBorder="1" applyProtection="1"/>
    <xf numFmtId="0" fontId="1" fillId="4" borderId="0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7" xfId="0" applyFont="1" applyFill="1" applyBorder="1" applyAlignment="1" applyProtection="1">
      <alignment horizontal="center"/>
      <protection locked="0"/>
    </xf>
    <xf numFmtId="0" fontId="1" fillId="5" borderId="4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  <xf numFmtId="0" fontId="1" fillId="5" borderId="0" xfId="0" applyFont="1" applyFill="1" applyBorder="1" applyAlignment="1" applyProtection="1">
      <alignment horizontal="center"/>
      <protection locked="0"/>
    </xf>
    <xf numFmtId="0" fontId="1" fillId="5" borderId="6" xfId="0" applyFont="1" applyFill="1" applyBorder="1" applyAlignment="1" applyProtection="1">
      <alignment horizontal="center"/>
      <protection locked="0"/>
    </xf>
    <xf numFmtId="0" fontId="1" fillId="5" borderId="3" xfId="0" applyFont="1" applyFill="1" applyBorder="1" applyAlignment="1" applyProtection="1">
      <alignment horizontal="center"/>
      <protection locked="0"/>
    </xf>
    <xf numFmtId="0" fontId="20" fillId="2" borderId="1" xfId="0" applyFont="1" applyFill="1" applyBorder="1" applyProtection="1"/>
    <xf numFmtId="0" fontId="1" fillId="2" borderId="7" xfId="0" applyFont="1" applyFill="1" applyBorder="1" applyProtection="1"/>
    <xf numFmtId="0" fontId="1" fillId="3" borderId="7" xfId="0" applyFont="1" applyFill="1" applyBorder="1" applyProtection="1"/>
    <xf numFmtId="166" fontId="20" fillId="3" borderId="4" xfId="0" applyNumberFormat="1" applyFont="1" applyFill="1" applyBorder="1" applyAlignment="1" applyProtection="1">
      <alignment horizontal="right"/>
    </xf>
    <xf numFmtId="0" fontId="1" fillId="2" borderId="2" xfId="0" applyFont="1" applyFill="1" applyBorder="1" applyProtection="1"/>
    <xf numFmtId="0" fontId="1" fillId="2" borderId="0" xfId="0" applyFont="1" applyFill="1" applyBorder="1" applyProtection="1"/>
    <xf numFmtId="0" fontId="1" fillId="3" borderId="0" xfId="0" applyFont="1" applyFill="1" applyBorder="1" applyProtection="1"/>
    <xf numFmtId="166" fontId="1" fillId="3" borderId="6" xfId="0" applyNumberFormat="1" applyFont="1" applyFill="1" applyBorder="1" applyAlignment="1" applyProtection="1">
      <alignment horizontal="right"/>
    </xf>
    <xf numFmtId="9" fontId="1" fillId="5" borderId="6" xfId="1" applyFont="1" applyFill="1" applyBorder="1" applyAlignment="1" applyProtection="1">
      <alignment horizontal="right"/>
      <protection locked="0"/>
    </xf>
    <xf numFmtId="9" fontId="1" fillId="2" borderId="0" xfId="0" applyNumberFormat="1" applyFont="1" applyFill="1" applyBorder="1" applyAlignment="1" applyProtection="1">
      <alignment horizontal="left"/>
    </xf>
    <xf numFmtId="9" fontId="1" fillId="3" borderId="0" xfId="0" applyNumberFormat="1" applyFont="1" applyFill="1" applyBorder="1" applyAlignment="1" applyProtection="1">
      <alignment horizontal="left"/>
    </xf>
    <xf numFmtId="0" fontId="1" fillId="2" borderId="3" xfId="0" applyFont="1" applyFill="1" applyBorder="1" applyProtection="1"/>
    <xf numFmtId="0" fontId="1" fillId="2" borderId="8" xfId="0" applyFont="1" applyFill="1" applyBorder="1" applyProtection="1"/>
    <xf numFmtId="0" fontId="1" fillId="3" borderId="8" xfId="0" applyFont="1" applyFill="1" applyBorder="1" applyProtection="1"/>
    <xf numFmtId="166" fontId="1" fillId="3" borderId="5" xfId="0" applyNumberFormat="1" applyFont="1" applyFill="1" applyBorder="1" applyAlignment="1" applyProtection="1">
      <alignment horizontal="right"/>
    </xf>
    <xf numFmtId="166" fontId="1" fillId="2" borderId="4" xfId="0" applyNumberFormat="1" applyFont="1" applyFill="1" applyBorder="1" applyAlignment="1" applyProtection="1">
      <alignment horizontal="right"/>
    </xf>
    <xf numFmtId="166" fontId="20" fillId="3" borderId="6" xfId="0" applyNumberFormat="1" applyFont="1" applyFill="1" applyBorder="1" applyAlignment="1" applyProtection="1">
      <alignment horizontal="right"/>
    </xf>
    <xf numFmtId="9" fontId="1" fillId="2" borderId="8" xfId="1" applyFont="1" applyFill="1" applyBorder="1" applyAlignment="1" applyProtection="1">
      <alignment horizontal="left"/>
    </xf>
    <xf numFmtId="0" fontId="20" fillId="3" borderId="1" xfId="0" applyFont="1" applyFill="1" applyBorder="1" applyProtection="1"/>
    <xf numFmtId="0" fontId="1" fillId="3" borderId="4" xfId="0" applyFont="1" applyFill="1" applyBorder="1" applyProtection="1"/>
    <xf numFmtId="0" fontId="1" fillId="3" borderId="2" xfId="0" applyFont="1" applyFill="1" applyBorder="1" applyAlignment="1" applyProtection="1"/>
    <xf numFmtId="0" fontId="1" fillId="3" borderId="6" xfId="0" applyFont="1" applyFill="1" applyBorder="1" applyProtection="1"/>
    <xf numFmtId="0" fontId="1" fillId="3" borderId="2" xfId="0" applyFont="1" applyFill="1" applyBorder="1" applyProtection="1"/>
    <xf numFmtId="0" fontId="21" fillId="3" borderId="3" xfId="0" applyFont="1" applyFill="1" applyBorder="1" applyProtection="1"/>
    <xf numFmtId="0" fontId="1" fillId="3" borderId="5" xfId="0" applyFont="1" applyFill="1" applyBorder="1" applyProtection="1"/>
    <xf numFmtId="0" fontId="6" fillId="3" borderId="0" xfId="0" applyFont="1" applyFill="1"/>
    <xf numFmtId="2" fontId="0" fillId="5" borderId="6" xfId="0" applyNumberFormat="1" applyFill="1" applyBorder="1" applyProtection="1">
      <protection locked="0"/>
    </xf>
    <xf numFmtId="0" fontId="0" fillId="3" borderId="1" xfId="0" applyFill="1" applyBorder="1" applyProtection="1"/>
    <xf numFmtId="0" fontId="0" fillId="3" borderId="3" xfId="0" applyFill="1" applyBorder="1" applyProtection="1"/>
    <xf numFmtId="0" fontId="0" fillId="3" borderId="9" xfId="0" applyFill="1" applyBorder="1" applyProtection="1"/>
    <xf numFmtId="0" fontId="7" fillId="4" borderId="0" xfId="0" applyFont="1" applyFill="1" applyProtection="1"/>
    <xf numFmtId="0" fontId="2" fillId="2" borderId="2" xfId="0" applyFont="1" applyFill="1" applyBorder="1" applyProtection="1"/>
    <xf numFmtId="0" fontId="2" fillId="2" borderId="3" xfId="0" applyFont="1" applyFill="1" applyBorder="1" applyProtection="1"/>
    <xf numFmtId="2" fontId="0" fillId="3" borderId="5" xfId="0" applyNumberFormat="1" applyFill="1" applyBorder="1" applyProtection="1"/>
    <xf numFmtId="0" fontId="0" fillId="3" borderId="7" xfId="0" applyFill="1" applyBorder="1" applyAlignment="1" applyProtection="1">
      <alignment horizontal="left"/>
    </xf>
    <xf numFmtId="0" fontId="0" fillId="3" borderId="8" xfId="0" applyFill="1" applyBorder="1" applyAlignment="1" applyProtection="1">
      <alignment horizontal="left"/>
    </xf>
    <xf numFmtId="0" fontId="0" fillId="3" borderId="0" xfId="0" applyFill="1" applyProtection="1"/>
    <xf numFmtId="0" fontId="0" fillId="3" borderId="8" xfId="0" applyFill="1" applyBorder="1" applyAlignment="1" applyProtection="1">
      <alignment horizontal="center"/>
    </xf>
    <xf numFmtId="0" fontId="0" fillId="3" borderId="8" xfId="0" applyFill="1" applyBorder="1" applyAlignment="1" applyProtection="1">
      <alignment horizontal="right"/>
    </xf>
    <xf numFmtId="2" fontId="0" fillId="3" borderId="8" xfId="0" applyNumberFormat="1" applyFill="1" applyBorder="1" applyProtection="1"/>
    <xf numFmtId="2" fontId="0" fillId="3" borderId="0" xfId="0" applyNumberFormat="1" applyFill="1" applyProtection="1"/>
    <xf numFmtId="0" fontId="0" fillId="3" borderId="1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167" fontId="0" fillId="3" borderId="29" xfId="0" applyNumberFormat="1" applyFill="1" applyBorder="1" applyAlignment="1">
      <alignment horizontal="center"/>
    </xf>
    <xf numFmtId="167" fontId="0" fillId="3" borderId="3" xfId="0" applyNumberFormat="1" applyFill="1" applyBorder="1" applyAlignment="1">
      <alignment horizontal="center"/>
    </xf>
    <xf numFmtId="167" fontId="0" fillId="3" borderId="5" xfId="0" applyNumberFormat="1" applyFill="1" applyBorder="1" applyAlignment="1">
      <alignment horizontal="center"/>
    </xf>
    <xf numFmtId="9" fontId="0" fillId="5" borderId="11" xfId="1" applyFont="1" applyFill="1" applyBorder="1" applyProtection="1">
      <protection locked="0"/>
    </xf>
    <xf numFmtId="9" fontId="0" fillId="2" borderId="9" xfId="1" applyFont="1" applyFill="1" applyBorder="1"/>
    <xf numFmtId="164" fontId="0" fillId="14" borderId="5" xfId="1" applyNumberFormat="1" applyFont="1" applyFill="1" applyBorder="1" applyProtection="1">
      <protection locked="0"/>
    </xf>
    <xf numFmtId="0" fontId="2" fillId="0" borderId="1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2" fillId="0" borderId="4" xfId="0" applyFont="1" applyBorder="1"/>
    <xf numFmtId="0" fontId="1" fillId="3" borderId="2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168" fontId="0" fillId="0" borderId="6" xfId="0" applyNumberFormat="1" applyBorder="1"/>
    <xf numFmtId="0" fontId="0" fillId="2" borderId="3" xfId="0" applyFill="1" applyBorder="1" applyAlignment="1">
      <alignment horizontal="right"/>
    </xf>
    <xf numFmtId="168" fontId="0" fillId="0" borderId="5" xfId="0" applyNumberFormat="1" applyBorder="1"/>
    <xf numFmtId="2" fontId="0" fillId="0" borderId="6" xfId="0" applyNumberFormat="1" applyBorder="1" applyAlignment="1"/>
    <xf numFmtId="0" fontId="8" fillId="2" borderId="2" xfId="0" applyFont="1" applyFill="1" applyBorder="1" applyAlignment="1">
      <alignment horizontal="right"/>
    </xf>
    <xf numFmtId="166" fontId="0" fillId="0" borderId="6" xfId="0" applyNumberFormat="1" applyBorder="1"/>
    <xf numFmtId="165" fontId="0" fillId="0" borderId="6" xfId="0" applyNumberFormat="1" applyBorder="1"/>
    <xf numFmtId="166" fontId="0" fillId="0" borderId="5" xfId="0" applyNumberFormat="1" applyBorder="1"/>
    <xf numFmtId="0" fontId="1" fillId="3" borderId="3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167" fontId="0" fillId="3" borderId="1" xfId="0" applyNumberFormat="1" applyFill="1" applyBorder="1" applyAlignment="1">
      <alignment horizontal="center"/>
    </xf>
    <xf numFmtId="167" fontId="0" fillId="3" borderId="4" xfId="0" applyNumberFormat="1" applyFill="1" applyBorder="1" applyAlignment="1">
      <alignment horizontal="center"/>
    </xf>
    <xf numFmtId="167" fontId="0" fillId="3" borderId="27" xfId="0" applyNumberForma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0" xfId="0" applyFont="1" applyFill="1"/>
    <xf numFmtId="0" fontId="1" fillId="2" borderId="29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2" fontId="5" fillId="0" borderId="0" xfId="0" applyNumberFormat="1" applyFont="1" applyFill="1"/>
    <xf numFmtId="0" fontId="0" fillId="5" borderId="28" xfId="0" applyFill="1" applyBorder="1" applyAlignment="1" applyProtection="1">
      <alignment horizontal="center"/>
      <protection locked="0"/>
    </xf>
    <xf numFmtId="0" fontId="0" fillId="5" borderId="0" xfId="0" applyFill="1" applyBorder="1" applyProtection="1">
      <protection locked="0"/>
    </xf>
    <xf numFmtId="0" fontId="0" fillId="5" borderId="2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left"/>
    </xf>
    <xf numFmtId="0" fontId="0" fillId="3" borderId="10" xfId="0" applyFill="1" applyBorder="1" applyAlignment="1" applyProtection="1">
      <alignment horizontal="center"/>
    </xf>
    <xf numFmtId="0" fontId="0" fillId="3" borderId="11" xfId="0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/>
    </xf>
    <xf numFmtId="0" fontId="2" fillId="0" borderId="27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0" fillId="2" borderId="27" xfId="0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27" xfId="0" applyFont="1" applyFill="1" applyBorder="1" applyAlignment="1" applyProtection="1">
      <alignment horizontal="center"/>
    </xf>
    <xf numFmtId="0" fontId="8" fillId="2" borderId="1" xfId="0" applyFont="1" applyFill="1" applyBorder="1" applyProtection="1"/>
    <xf numFmtId="0" fontId="8" fillId="2" borderId="7" xfId="0" applyFont="1" applyFill="1" applyBorder="1" applyAlignment="1" applyProtection="1">
      <alignment horizontal="right"/>
    </xf>
    <xf numFmtId="168" fontId="8" fillId="3" borderId="7" xfId="0" applyNumberFormat="1" applyFont="1" applyFill="1" applyBorder="1" applyProtection="1"/>
    <xf numFmtId="0" fontId="0" fillId="2" borderId="4" xfId="0" applyFill="1" applyBorder="1" applyProtection="1"/>
    <xf numFmtId="0" fontId="0" fillId="2" borderId="28" xfId="0" applyFill="1" applyBorder="1" applyAlignment="1" applyProtection="1">
      <alignment horizontal="center"/>
    </xf>
    <xf numFmtId="0" fontId="1" fillId="3" borderId="2" xfId="0" applyFont="1" applyFill="1" applyBorder="1" applyAlignment="1" applyProtection="1">
      <alignment horizontal="center"/>
    </xf>
    <xf numFmtId="0" fontId="1" fillId="3" borderId="28" xfId="0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horizontal="right"/>
    </xf>
    <xf numFmtId="1" fontId="8" fillId="3" borderId="0" xfId="0" applyNumberFormat="1" applyFont="1" applyFill="1" applyBorder="1" applyProtection="1"/>
    <xf numFmtId="0" fontId="0" fillId="2" borderId="6" xfId="0" applyFill="1" applyBorder="1" applyProtection="1"/>
    <xf numFmtId="0" fontId="8" fillId="2" borderId="0" xfId="0" applyFont="1" applyFill="1" applyBorder="1" applyAlignment="1" applyProtection="1">
      <alignment horizontal="right"/>
    </xf>
    <xf numFmtId="1" fontId="0" fillId="3" borderId="0" xfId="0" applyNumberFormat="1" applyFill="1" applyBorder="1" applyProtection="1"/>
    <xf numFmtId="0" fontId="2" fillId="2" borderId="0" xfId="0" applyFont="1" applyFill="1" applyBorder="1" applyAlignment="1" applyProtection="1">
      <alignment horizontal="right"/>
    </xf>
    <xf numFmtId="167" fontId="2" fillId="3" borderId="0" xfId="0" applyNumberFormat="1" applyFont="1" applyFill="1" applyBorder="1" applyProtection="1"/>
    <xf numFmtId="165" fontId="0" fillId="3" borderId="0" xfId="0" applyNumberFormat="1" applyFill="1" applyBorder="1" applyProtection="1"/>
    <xf numFmtId="0" fontId="8" fillId="2" borderId="8" xfId="0" applyFont="1" applyFill="1" applyBorder="1" applyAlignment="1" applyProtection="1">
      <alignment horizontal="right"/>
    </xf>
    <xf numFmtId="166" fontId="0" fillId="3" borderId="8" xfId="0" applyNumberFormat="1" applyFill="1" applyBorder="1" applyProtection="1"/>
    <xf numFmtId="0" fontId="0" fillId="2" borderId="5" xfId="0" applyFill="1" applyBorder="1" applyProtection="1"/>
    <xf numFmtId="0" fontId="0" fillId="2" borderId="9" xfId="0" applyFill="1" applyBorder="1" applyProtection="1"/>
    <xf numFmtId="0" fontId="0" fillId="2" borderId="10" xfId="0" applyFill="1" applyBorder="1" applyProtection="1"/>
    <xf numFmtId="0" fontId="0" fillId="2" borderId="11" xfId="0" applyFill="1" applyBorder="1" applyProtection="1"/>
    <xf numFmtId="0" fontId="0" fillId="4" borderId="0" xfId="0" applyFill="1" applyAlignment="1" applyProtection="1">
      <alignment horizontal="right"/>
    </xf>
    <xf numFmtId="0" fontId="0" fillId="2" borderId="1" xfId="0" applyFill="1" applyBorder="1" applyAlignment="1" applyProtection="1">
      <alignment horizontal="center"/>
    </xf>
    <xf numFmtId="2" fontId="0" fillId="3" borderId="7" xfId="0" applyNumberFormat="1" applyFill="1" applyBorder="1" applyProtection="1"/>
    <xf numFmtId="0" fontId="0" fillId="3" borderId="4" xfId="0" applyFill="1" applyBorder="1" applyAlignment="1" applyProtection="1">
      <alignment horizontal="center"/>
    </xf>
    <xf numFmtId="0" fontId="0" fillId="2" borderId="2" xfId="0" applyFill="1" applyBorder="1" applyAlignment="1" applyProtection="1">
      <alignment horizontal="center"/>
    </xf>
    <xf numFmtId="2" fontId="0" fillId="3" borderId="0" xfId="0" applyNumberFormat="1" applyFill="1" applyBorder="1" applyProtection="1"/>
    <xf numFmtId="0" fontId="0" fillId="3" borderId="6" xfId="0" applyFill="1" applyBorder="1" applyAlignment="1" applyProtection="1">
      <alignment horizontal="center"/>
    </xf>
    <xf numFmtId="0" fontId="0" fillId="2" borderId="29" xfId="0" applyFill="1" applyBorder="1" applyAlignment="1" applyProtection="1">
      <alignment horizontal="center"/>
    </xf>
    <xf numFmtId="0" fontId="1" fillId="3" borderId="3" xfId="0" applyFont="1" applyFill="1" applyBorder="1" applyAlignment="1" applyProtection="1">
      <alignment horizontal="center"/>
    </xf>
    <xf numFmtId="0" fontId="1" fillId="3" borderId="29" xfId="0" applyFont="1" applyFill="1" applyBorder="1" applyAlignment="1" applyProtection="1">
      <alignment horizontal="center"/>
    </xf>
    <xf numFmtId="0" fontId="0" fillId="2" borderId="3" xfId="0" applyFill="1" applyBorder="1" applyAlignment="1" applyProtection="1">
      <alignment horizontal="center"/>
    </xf>
    <xf numFmtId="0" fontId="0" fillId="3" borderId="5" xfId="0" applyFill="1" applyBorder="1" applyAlignment="1" applyProtection="1">
      <alignment horizontal="center"/>
    </xf>
    <xf numFmtId="0" fontId="9" fillId="2" borderId="27" xfId="0" applyFont="1" applyFill="1" applyBorder="1" applyAlignment="1" applyProtection="1">
      <alignment horizontal="center"/>
    </xf>
    <xf numFmtId="0" fontId="0" fillId="3" borderId="27" xfId="0" applyFill="1" applyBorder="1" applyAlignment="1" applyProtection="1">
      <alignment horizontal="center"/>
    </xf>
    <xf numFmtId="0" fontId="8" fillId="2" borderId="27" xfId="0" applyFont="1" applyFill="1" applyBorder="1" applyAlignment="1" applyProtection="1">
      <alignment horizontal="center"/>
    </xf>
    <xf numFmtId="167" fontId="0" fillId="3" borderId="28" xfId="0" applyNumberFormat="1" applyFill="1" applyBorder="1" applyAlignment="1" applyProtection="1">
      <alignment horizontal="center"/>
    </xf>
    <xf numFmtId="0" fontId="0" fillId="3" borderId="12" xfId="0" applyFill="1" applyBorder="1" applyAlignment="1" applyProtection="1">
      <alignment horizontal="center"/>
    </xf>
    <xf numFmtId="168" fontId="0" fillId="3" borderId="12" xfId="0" applyNumberFormat="1" applyFill="1" applyBorder="1" applyAlignment="1" applyProtection="1">
      <alignment horizontal="center"/>
    </xf>
    <xf numFmtId="167" fontId="0" fillId="3" borderId="29" xfId="0" applyNumberFormat="1" applyFill="1" applyBorder="1" applyAlignment="1" applyProtection="1">
      <alignment horizontal="center"/>
    </xf>
    <xf numFmtId="0" fontId="7" fillId="4" borderId="0" xfId="0" applyFont="1" applyFill="1" applyAlignment="1" applyProtection="1">
      <alignment horizontal="center"/>
    </xf>
    <xf numFmtId="0" fontId="0" fillId="3" borderId="28" xfId="0" applyFill="1" applyBorder="1" applyAlignment="1" applyProtection="1">
      <alignment horizontal="center"/>
    </xf>
    <xf numFmtId="2" fontId="0" fillId="3" borderId="12" xfId="0" applyNumberFormat="1" applyFill="1" applyBorder="1" applyAlignment="1" applyProtection="1">
      <alignment horizontal="center"/>
    </xf>
    <xf numFmtId="0" fontId="0" fillId="3" borderId="29" xfId="0" applyFill="1" applyBorder="1" applyAlignment="1" applyProtection="1">
      <alignment horizontal="center"/>
    </xf>
    <xf numFmtId="0" fontId="1" fillId="2" borderId="28" xfId="0" applyFont="1" applyFill="1" applyBorder="1" applyAlignment="1" applyProtection="1">
      <alignment horizontal="center"/>
    </xf>
    <xf numFmtId="0" fontId="1" fillId="4" borderId="0" xfId="0" applyFont="1" applyFill="1" applyAlignment="1" applyProtection="1">
      <alignment horizontal="center"/>
    </xf>
    <xf numFmtId="0" fontId="1" fillId="2" borderId="29" xfId="0" applyFont="1" applyFill="1" applyBorder="1" applyAlignment="1" applyProtection="1">
      <alignment horizontal="center"/>
    </xf>
    <xf numFmtId="0" fontId="5" fillId="0" borderId="0" xfId="0" applyFont="1" applyProtection="1"/>
    <xf numFmtId="0" fontId="5" fillId="0" borderId="0" xfId="0" applyFont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0" fillId="0" borderId="0" xfId="0" applyFill="1" applyProtection="1"/>
    <xf numFmtId="0" fontId="0" fillId="0" borderId="0" xfId="0" applyAlignment="1" applyProtection="1">
      <alignment horizontal="center"/>
    </xf>
    <xf numFmtId="0" fontId="2" fillId="2" borderId="1" xfId="0" applyFont="1" applyFill="1" applyBorder="1" applyAlignment="1" applyProtection="1">
      <alignment horizontal="right"/>
    </xf>
    <xf numFmtId="168" fontId="2" fillId="0" borderId="4" xfId="0" applyNumberFormat="1" applyFont="1" applyBorder="1" applyProtection="1"/>
    <xf numFmtId="0" fontId="0" fillId="2" borderId="2" xfId="0" applyFill="1" applyBorder="1" applyAlignment="1" applyProtection="1">
      <alignment horizontal="right"/>
    </xf>
    <xf numFmtId="168" fontId="0" fillId="0" borderId="6" xfId="0" applyNumberFormat="1" applyBorder="1" applyProtection="1"/>
    <xf numFmtId="0" fontId="0" fillId="2" borderId="3" xfId="0" applyFill="1" applyBorder="1" applyAlignment="1" applyProtection="1">
      <alignment horizontal="right"/>
    </xf>
    <xf numFmtId="168" fontId="0" fillId="0" borderId="5" xfId="0" applyNumberFormat="1" applyBorder="1" applyProtection="1"/>
    <xf numFmtId="0" fontId="9" fillId="2" borderId="1" xfId="0" applyFont="1" applyFill="1" applyBorder="1" applyAlignment="1" applyProtection="1">
      <alignment horizontal="right"/>
    </xf>
    <xf numFmtId="0" fontId="0" fillId="0" borderId="4" xfId="0" applyBorder="1" applyProtection="1"/>
    <xf numFmtId="0" fontId="9" fillId="2" borderId="2" xfId="0" applyFont="1" applyFill="1" applyBorder="1" applyAlignment="1" applyProtection="1">
      <alignment horizontal="right"/>
    </xf>
    <xf numFmtId="0" fontId="0" fillId="0" borderId="6" xfId="0" applyBorder="1" applyProtection="1"/>
    <xf numFmtId="2" fontId="0" fillId="0" borderId="6" xfId="0" applyNumberFormat="1" applyBorder="1" applyAlignment="1" applyProtection="1"/>
    <xf numFmtId="0" fontId="8" fillId="2" borderId="2" xfId="0" applyFont="1" applyFill="1" applyBorder="1" applyAlignment="1" applyProtection="1">
      <alignment horizontal="right"/>
    </xf>
    <xf numFmtId="166" fontId="0" fillId="0" borderId="6" xfId="0" applyNumberFormat="1" applyBorder="1" applyProtection="1"/>
    <xf numFmtId="165" fontId="0" fillId="0" borderId="6" xfId="0" applyNumberFormat="1" applyBorder="1" applyProtection="1"/>
    <xf numFmtId="0" fontId="8" fillId="2" borderId="3" xfId="0" applyFont="1" applyFill="1" applyBorder="1" applyAlignment="1" applyProtection="1">
      <alignment horizontal="right"/>
    </xf>
    <xf numFmtId="166" fontId="0" fillId="0" borderId="5" xfId="0" applyNumberFormat="1" applyBorder="1" applyProtection="1"/>
    <xf numFmtId="166" fontId="0" fillId="3" borderId="4" xfId="0" applyNumberFormat="1" applyFill="1" applyBorder="1" applyAlignment="1">
      <alignment horizontal="right"/>
    </xf>
    <xf numFmtId="0" fontId="2" fillId="15" borderId="1" xfId="0" applyFont="1" applyFill="1" applyBorder="1"/>
    <xf numFmtId="0" fontId="0" fillId="15" borderId="7" xfId="0" applyFill="1" applyBorder="1"/>
    <xf numFmtId="0" fontId="0" fillId="15" borderId="4" xfId="0" applyFill="1" applyBorder="1"/>
    <xf numFmtId="0" fontId="8" fillId="0" borderId="2" xfId="0" applyFont="1" applyBorder="1" applyAlignment="1">
      <alignment horizontal="left"/>
    </xf>
    <xf numFmtId="0" fontId="0" fillId="15" borderId="0" xfId="0" applyFill="1" applyBorder="1"/>
    <xf numFmtId="0" fontId="0" fillId="15" borderId="6" xfId="0" applyFill="1" applyBorder="1"/>
    <xf numFmtId="0" fontId="8" fillId="15" borderId="3" xfId="0" applyFont="1" applyFill="1" applyBorder="1"/>
    <xf numFmtId="0" fontId="0" fillId="15" borderId="8" xfId="0" applyFill="1" applyBorder="1"/>
    <xf numFmtId="0" fontId="0" fillId="15" borderId="5" xfId="0" applyFill="1" applyBorder="1"/>
    <xf numFmtId="0" fontId="8" fillId="2" borderId="9" xfId="0" applyFont="1" applyFill="1" applyBorder="1" applyProtection="1"/>
    <xf numFmtId="166" fontId="0" fillId="3" borderId="11" xfId="0" applyNumberFormat="1" applyFill="1" applyBorder="1" applyAlignment="1" applyProtection="1">
      <alignment horizontal="right"/>
    </xf>
    <xf numFmtId="0" fontId="1" fillId="2" borderId="10" xfId="0" applyFont="1" applyFill="1" applyBorder="1" applyProtection="1"/>
    <xf numFmtId="166" fontId="1" fillId="3" borderId="11" xfId="0" applyNumberFormat="1" applyFont="1" applyFill="1" applyBorder="1" applyAlignment="1" applyProtection="1">
      <alignment horizontal="right"/>
    </xf>
    <xf numFmtId="0" fontId="8" fillId="4" borderId="0" xfId="0" applyFont="1" applyFill="1" applyProtection="1"/>
    <xf numFmtId="0" fontId="8" fillId="4" borderId="0" xfId="0" applyFont="1" applyFill="1" applyAlignment="1" applyProtection="1">
      <alignment horizontal="center"/>
    </xf>
    <xf numFmtId="0" fontId="22" fillId="0" borderId="0" xfId="0" applyFont="1"/>
    <xf numFmtId="0" fontId="0" fillId="0" borderId="12" xfId="0" applyBorder="1" applyAlignment="1">
      <alignment horizontal="center"/>
    </xf>
    <xf numFmtId="0" fontId="0" fillId="16" borderId="12" xfId="0" applyFill="1" applyBorder="1" applyAlignment="1">
      <alignment horizontal="center"/>
    </xf>
    <xf numFmtId="0" fontId="0" fillId="17" borderId="12" xfId="0" applyFill="1" applyBorder="1" applyAlignment="1" applyProtection="1">
      <alignment horizontal="center"/>
      <protection locked="0"/>
    </xf>
    <xf numFmtId="0" fontId="0" fillId="16" borderId="27" xfId="0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8" fillId="4" borderId="0" xfId="0" applyFont="1" applyFill="1" applyBorder="1" applyProtection="1"/>
    <xf numFmtId="0" fontId="2" fillId="15" borderId="1" xfId="0" applyFont="1" applyFill="1" applyBorder="1" applyProtection="1"/>
    <xf numFmtId="0" fontId="8" fillId="15" borderId="7" xfId="0" applyFont="1" applyFill="1" applyBorder="1" applyProtection="1"/>
    <xf numFmtId="0" fontId="8" fillId="15" borderId="4" xfId="0" applyFont="1" applyFill="1" applyBorder="1" applyProtection="1"/>
    <xf numFmtId="0" fontId="0" fillId="16" borderId="28" xfId="0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8" fillId="15" borderId="2" xfId="0" applyFont="1" applyFill="1" applyBorder="1" applyProtection="1"/>
    <xf numFmtId="0" fontId="8" fillId="15" borderId="0" xfId="0" applyFont="1" applyFill="1" applyBorder="1" applyProtection="1"/>
    <xf numFmtId="0" fontId="8" fillId="15" borderId="6" xfId="0" applyFont="1" applyFill="1" applyBorder="1" applyProtection="1"/>
    <xf numFmtId="0" fontId="8" fillId="15" borderId="3" xfId="0" applyFont="1" applyFill="1" applyBorder="1" applyProtection="1"/>
    <xf numFmtId="0" fontId="8" fillId="15" borderId="8" xfId="0" applyFont="1" applyFill="1" applyBorder="1" applyProtection="1"/>
    <xf numFmtId="0" fontId="8" fillId="15" borderId="5" xfId="0" applyFont="1" applyFill="1" applyBorder="1" applyProtection="1"/>
    <xf numFmtId="0" fontId="23" fillId="15" borderId="1" xfId="0" applyFont="1" applyFill="1" applyBorder="1" applyProtection="1"/>
    <xf numFmtId="0" fontId="23" fillId="15" borderId="3" xfId="0" applyFont="1" applyFill="1" applyBorder="1" applyProtection="1"/>
    <xf numFmtId="0" fontId="24" fillId="4" borderId="0" xfId="0" applyFont="1" applyFill="1" applyProtection="1"/>
    <xf numFmtId="0" fontId="0" fillId="16" borderId="29" xfId="0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0" xfId="0" applyBorder="1" applyAlignment="1">
      <alignment horizontal="center"/>
    </xf>
    <xf numFmtId="9" fontId="2" fillId="2" borderId="7" xfId="0" applyNumberFormat="1" applyFont="1" applyFill="1" applyBorder="1" applyAlignment="1">
      <alignment horizontal="left"/>
    </xf>
    <xf numFmtId="0" fontId="24" fillId="4" borderId="0" xfId="0" applyFont="1" applyFill="1"/>
    <xf numFmtId="0" fontId="8" fillId="15" borderId="2" xfId="0" applyFont="1" applyFill="1" applyBorder="1"/>
    <xf numFmtId="0" fontId="23" fillId="4" borderId="0" xfId="0" applyFont="1" applyFill="1"/>
    <xf numFmtId="0" fontId="25" fillId="4" borderId="0" xfId="0" applyFont="1" applyFill="1"/>
    <xf numFmtId="0" fontId="25" fillId="15" borderId="1" xfId="0" applyFont="1" applyFill="1" applyBorder="1"/>
    <xf numFmtId="0" fontId="25" fillId="15" borderId="7" xfId="0" applyFont="1" applyFill="1" applyBorder="1"/>
    <xf numFmtId="0" fontId="25" fillId="15" borderId="4" xfId="0" applyFont="1" applyFill="1" applyBorder="1"/>
    <xf numFmtId="0" fontId="25" fillId="15" borderId="3" xfId="0" applyFont="1" applyFill="1" applyBorder="1"/>
    <xf numFmtId="0" fontId="25" fillId="15" borderId="8" xfId="0" applyFont="1" applyFill="1" applyBorder="1"/>
    <xf numFmtId="0" fontId="25" fillId="15" borderId="5" xfId="0" applyFont="1" applyFill="1" applyBorder="1"/>
    <xf numFmtId="0" fontId="25" fillId="16" borderId="1" xfId="0" applyFont="1" applyFill="1" applyBorder="1"/>
    <xf numFmtId="0" fontId="25" fillId="16" borderId="7" xfId="0" applyFont="1" applyFill="1" applyBorder="1"/>
    <xf numFmtId="0" fontId="25" fillId="18" borderId="4" xfId="0" applyFont="1" applyFill="1" applyBorder="1" applyProtection="1">
      <protection locked="0"/>
    </xf>
    <xf numFmtId="0" fontId="25" fillId="16" borderId="2" xfId="0" applyFont="1" applyFill="1" applyBorder="1"/>
    <xf numFmtId="0" fontId="25" fillId="16" borderId="0" xfId="0" applyFont="1" applyFill="1" applyBorder="1"/>
    <xf numFmtId="0" fontId="25" fillId="18" borderId="6" xfId="0" applyFont="1" applyFill="1" applyBorder="1" applyProtection="1">
      <protection locked="0"/>
    </xf>
    <xf numFmtId="0" fontId="25" fillId="16" borderId="3" xfId="0" applyFont="1" applyFill="1" applyBorder="1"/>
    <xf numFmtId="0" fontId="25" fillId="16" borderId="8" xfId="0" applyFont="1" applyFill="1" applyBorder="1"/>
    <xf numFmtId="0" fontId="25" fillId="18" borderId="5" xfId="0" applyFont="1" applyFill="1" applyBorder="1" applyProtection="1">
      <protection locked="0"/>
    </xf>
    <xf numFmtId="0" fontId="25" fillId="16" borderId="9" xfId="0" applyFont="1" applyFill="1" applyBorder="1"/>
    <xf numFmtId="0" fontId="25" fillId="16" borderId="10" xfId="0" applyFont="1" applyFill="1" applyBorder="1"/>
    <xf numFmtId="0" fontId="25" fillId="3" borderId="7" xfId="0" applyFont="1" applyFill="1" applyBorder="1"/>
    <xf numFmtId="0" fontId="25" fillId="3" borderId="4" xfId="0" applyFont="1" applyFill="1" applyBorder="1"/>
    <xf numFmtId="0" fontId="25" fillId="3" borderId="2" xfId="0" applyFont="1" applyFill="1" applyBorder="1"/>
    <xf numFmtId="0" fontId="25" fillId="3" borderId="0" xfId="0" applyFont="1" applyFill="1" applyBorder="1"/>
    <xf numFmtId="0" fontId="25" fillId="3" borderId="6" xfId="0" applyFont="1" applyFill="1" applyBorder="1"/>
    <xf numFmtId="0" fontId="25" fillId="3" borderId="8" xfId="0" applyFont="1" applyFill="1" applyBorder="1"/>
    <xf numFmtId="0" fontId="25" fillId="3" borderId="5" xfId="0" applyFont="1" applyFill="1" applyBorder="1"/>
    <xf numFmtId="0" fontId="25" fillId="0" borderId="0" xfId="0" applyFont="1" applyFill="1"/>
    <xf numFmtId="0" fontId="25" fillId="0" borderId="0" xfId="0" applyFont="1" applyFill="1" applyBorder="1"/>
    <xf numFmtId="0" fontId="25" fillId="0" borderId="0" xfId="0" applyFont="1"/>
    <xf numFmtId="0" fontId="25" fillId="0" borderId="11" xfId="0" applyFont="1" applyBorder="1" applyProtection="1">
      <protection hidden="1"/>
    </xf>
    <xf numFmtId="0" fontId="24" fillId="19" borderId="0" xfId="0" applyFont="1" applyFill="1" applyProtection="1">
      <protection hidden="1"/>
    </xf>
    <xf numFmtId="0" fontId="25" fillId="19" borderId="0" xfId="0" applyFont="1" applyFill="1"/>
    <xf numFmtId="0" fontId="28" fillId="0" borderId="0" xfId="0" applyFont="1"/>
    <xf numFmtId="0" fontId="29" fillId="15" borderId="9" xfId="0" applyFont="1" applyFill="1" applyBorder="1"/>
    <xf numFmtId="0" fontId="25" fillId="15" borderId="10" xfId="0" applyFont="1" applyFill="1" applyBorder="1"/>
    <xf numFmtId="0" fontId="25" fillId="15" borderId="11" xfId="0" applyFont="1" applyFill="1" applyBorder="1"/>
    <xf numFmtId="0" fontId="25" fillId="15" borderId="9" xfId="0" applyFont="1" applyFill="1" applyBorder="1"/>
    <xf numFmtId="0" fontId="25" fillId="19" borderId="0" xfId="0" applyFont="1" applyFill="1" applyAlignment="1">
      <alignment horizontal="right"/>
    </xf>
    <xf numFmtId="0" fontId="25" fillId="20" borderId="4" xfId="0" applyFont="1" applyFill="1" applyBorder="1"/>
    <xf numFmtId="2" fontId="25" fillId="15" borderId="1" xfId="0" applyNumberFormat="1" applyFont="1" applyFill="1" applyBorder="1"/>
    <xf numFmtId="2" fontId="25" fillId="15" borderId="30" xfId="0" applyNumberFormat="1" applyFont="1" applyFill="1" applyBorder="1"/>
    <xf numFmtId="166" fontId="25" fillId="15" borderId="1" xfId="0" applyNumberFormat="1" applyFont="1" applyFill="1" applyBorder="1"/>
    <xf numFmtId="166" fontId="25" fillId="15" borderId="30" xfId="0" applyNumberFormat="1" applyFont="1" applyFill="1" applyBorder="1"/>
    <xf numFmtId="166" fontId="25" fillId="20" borderId="4" xfId="0" applyNumberFormat="1" applyFont="1" applyFill="1" applyBorder="1"/>
    <xf numFmtId="0" fontId="25" fillId="20" borderId="6" xfId="0" applyFont="1" applyFill="1" applyBorder="1"/>
    <xf numFmtId="2" fontId="25" fillId="15" borderId="31" xfId="0" applyNumberFormat="1" applyFont="1" applyFill="1" applyBorder="1"/>
    <xf numFmtId="2" fontId="25" fillId="15" borderId="18" xfId="0" applyNumberFormat="1" applyFont="1" applyFill="1" applyBorder="1"/>
    <xf numFmtId="166" fontId="25" fillId="15" borderId="31" xfId="0" applyNumberFormat="1" applyFont="1" applyFill="1" applyBorder="1"/>
    <xf numFmtId="166" fontId="25" fillId="15" borderId="18" xfId="0" applyNumberFormat="1" applyFont="1" applyFill="1" applyBorder="1"/>
    <xf numFmtId="166" fontId="25" fillId="20" borderId="6" xfId="0" applyNumberFormat="1" applyFont="1" applyFill="1" applyBorder="1"/>
    <xf numFmtId="0" fontId="25" fillId="20" borderId="3" xfId="0" applyFont="1" applyFill="1" applyBorder="1"/>
    <xf numFmtId="0" fontId="25" fillId="20" borderId="8" xfId="0" applyFont="1" applyFill="1" applyBorder="1"/>
    <xf numFmtId="0" fontId="25" fillId="20" borderId="5" xfId="0" applyFont="1" applyFill="1" applyBorder="1"/>
    <xf numFmtId="166" fontId="25" fillId="20" borderId="3" xfId="0" applyNumberFormat="1" applyFont="1" applyFill="1" applyBorder="1"/>
    <xf numFmtId="166" fontId="25" fillId="20" borderId="8" xfId="0" applyNumberFormat="1" applyFont="1" applyFill="1" applyBorder="1"/>
    <xf numFmtId="166" fontId="25" fillId="20" borderId="5" xfId="0" applyNumberFormat="1" applyFont="1" applyFill="1" applyBorder="1"/>
    <xf numFmtId="0" fontId="24" fillId="19" borderId="0" xfId="0" applyFont="1" applyFill="1"/>
    <xf numFmtId="166" fontId="24" fillId="19" borderId="0" xfId="0" applyNumberFormat="1" applyFont="1" applyFill="1" applyBorder="1"/>
    <xf numFmtId="0" fontId="25" fillId="20" borderId="1" xfId="0" applyFont="1" applyFill="1" applyBorder="1"/>
    <xf numFmtId="0" fontId="25" fillId="20" borderId="7" xfId="0" applyFont="1" applyFill="1" applyBorder="1"/>
    <xf numFmtId="166" fontId="25" fillId="15" borderId="7" xfId="0" applyNumberFormat="1" applyFont="1" applyFill="1" applyBorder="1"/>
    <xf numFmtId="166" fontId="25" fillId="15" borderId="4" xfId="0" applyNumberFormat="1" applyFont="1" applyFill="1" applyBorder="1" applyAlignment="1">
      <alignment horizontal="right"/>
    </xf>
    <xf numFmtId="0" fontId="25" fillId="20" borderId="2" xfId="0" applyFont="1" applyFill="1" applyBorder="1"/>
    <xf numFmtId="0" fontId="25" fillId="20" borderId="0" xfId="0" applyFont="1" applyFill="1" applyBorder="1"/>
    <xf numFmtId="166" fontId="25" fillId="15" borderId="0" xfId="0" applyNumberFormat="1" applyFont="1" applyFill="1" applyBorder="1"/>
    <xf numFmtId="0" fontId="25" fillId="15" borderId="0" xfId="0" applyFont="1" applyFill="1" applyBorder="1"/>
    <xf numFmtId="0" fontId="25" fillId="15" borderId="6" xfId="0" applyFont="1" applyFill="1" applyBorder="1" applyAlignment="1">
      <alignment horizontal="right"/>
    </xf>
    <xf numFmtId="166" fontId="25" fillId="15" borderId="6" xfId="0" applyNumberFormat="1" applyFont="1" applyFill="1" applyBorder="1" applyAlignment="1">
      <alignment horizontal="right"/>
    </xf>
    <xf numFmtId="166" fontId="25" fillId="15" borderId="8" xfId="0" applyNumberFormat="1" applyFont="1" applyFill="1" applyBorder="1"/>
    <xf numFmtId="166" fontId="25" fillId="15" borderId="5" xfId="0" applyNumberFormat="1" applyFont="1" applyFill="1" applyBorder="1" applyAlignment="1">
      <alignment horizontal="right"/>
    </xf>
    <xf numFmtId="0" fontId="25" fillId="15" borderId="4" xfId="0" applyFont="1" applyFill="1" applyBorder="1" applyAlignment="1">
      <alignment horizontal="right"/>
    </xf>
    <xf numFmtId="0" fontId="25" fillId="15" borderId="6" xfId="0" applyFont="1" applyFill="1" applyBorder="1"/>
    <xf numFmtId="0" fontId="28" fillId="15" borderId="8" xfId="0" applyFont="1" applyFill="1" applyBorder="1"/>
    <xf numFmtId="0" fontId="28" fillId="0" borderId="0" xfId="0" applyFont="1" applyFill="1"/>
    <xf numFmtId="0" fontId="28" fillId="0" borderId="0" xfId="0" applyFont="1" applyFill="1" applyBorder="1"/>
    <xf numFmtId="0" fontId="25" fillId="18" borderId="1" xfId="0" applyFont="1" applyFill="1" applyBorder="1" applyProtection="1">
      <protection locked="0"/>
    </xf>
    <xf numFmtId="0" fontId="25" fillId="18" borderId="30" xfId="0" applyFont="1" applyFill="1" applyBorder="1" applyProtection="1">
      <protection locked="0"/>
    </xf>
    <xf numFmtId="0" fontId="25" fillId="18" borderId="31" xfId="0" applyFont="1" applyFill="1" applyBorder="1" applyProtection="1">
      <protection locked="0"/>
    </xf>
    <xf numFmtId="0" fontId="25" fillId="18" borderId="18" xfId="0" applyFont="1" applyFill="1" applyBorder="1" applyProtection="1">
      <protection locked="0"/>
    </xf>
    <xf numFmtId="9" fontId="25" fillId="18" borderId="8" xfId="0" applyNumberFormat="1" applyFont="1" applyFill="1" applyBorder="1" applyProtection="1">
      <protection locked="0"/>
    </xf>
    <xf numFmtId="0" fontId="25" fillId="16" borderId="4" xfId="0" applyFont="1" applyFill="1" applyBorder="1"/>
    <xf numFmtId="0" fontId="25" fillId="16" borderId="6" xfId="0" applyFont="1" applyFill="1" applyBorder="1"/>
    <xf numFmtId="0" fontId="25" fillId="16" borderId="5" xfId="0" applyFont="1" applyFill="1" applyBorder="1"/>
    <xf numFmtId="0" fontId="30" fillId="0" borderId="0" xfId="0" applyFont="1" applyFill="1" applyBorder="1" applyProtection="1"/>
    <xf numFmtId="0" fontId="30" fillId="4" borderId="0" xfId="0" applyFont="1" applyFill="1" applyProtection="1"/>
    <xf numFmtId="0" fontId="30" fillId="0" borderId="0" xfId="0" applyFont="1" applyProtection="1"/>
    <xf numFmtId="0" fontId="30" fillId="0" borderId="0" xfId="0" applyFont="1"/>
    <xf numFmtId="0" fontId="28" fillId="0" borderId="0" xfId="0" applyFont="1" applyFill="1" applyBorder="1" applyProtection="1"/>
    <xf numFmtId="2" fontId="28" fillId="0" borderId="0" xfId="0" applyNumberFormat="1" applyFont="1" applyFill="1" applyBorder="1" applyProtection="1"/>
    <xf numFmtId="0" fontId="28" fillId="0" borderId="0" xfId="0" applyFont="1" applyFill="1" applyBorder="1" applyAlignment="1" applyProtection="1">
      <alignment horizontal="right"/>
    </xf>
    <xf numFmtId="0" fontId="31" fillId="0" borderId="0" xfId="0" applyFont="1" applyFill="1" applyBorder="1" applyProtection="1"/>
    <xf numFmtId="9" fontId="28" fillId="0" borderId="0" xfId="0" applyNumberFormat="1" applyFont="1" applyFill="1" applyBorder="1" applyProtection="1"/>
    <xf numFmtId="166" fontId="28" fillId="0" borderId="0" xfId="0" applyNumberFormat="1" applyFont="1" applyFill="1" applyBorder="1" applyProtection="1"/>
    <xf numFmtId="0" fontId="28" fillId="0" borderId="0" xfId="0" quotePrefix="1" applyFont="1" applyFill="1" applyBorder="1" applyProtection="1"/>
    <xf numFmtId="0" fontId="28" fillId="0" borderId="0" xfId="0" applyFont="1" applyBorder="1"/>
    <xf numFmtId="166" fontId="28" fillId="0" borderId="0" xfId="0" applyNumberFormat="1" applyFont="1" applyFill="1" applyBorder="1"/>
    <xf numFmtId="10" fontId="0" fillId="4" borderId="0" xfId="1" applyNumberFormat="1" applyFont="1" applyFill="1" applyBorder="1" applyAlignment="1">
      <alignment horizontal="center"/>
    </xf>
    <xf numFmtId="10" fontId="0" fillId="4" borderId="0" xfId="0" applyNumberFormat="1" applyFill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10" fontId="0" fillId="3" borderId="7" xfId="1" applyNumberFormat="1" applyFont="1" applyFill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0" fillId="3" borderId="8" xfId="1" applyNumberFormat="1" applyFont="1" applyFill="1" applyBorder="1" applyAlignment="1">
      <alignment horizontal="center"/>
    </xf>
    <xf numFmtId="10" fontId="0" fillId="0" borderId="5" xfId="0" applyNumberFormat="1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CCFFFF"/>
      <color rgb="FF66FF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4" Type="http://schemas.openxmlformats.org/officeDocument/2006/relationships/image" Target="../media/image6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952500</xdr:colOff>
      <xdr:row>2</xdr:row>
      <xdr:rowOff>19050</xdr:rowOff>
    </xdr:from>
    <xdr:to>
      <xdr:col>6</xdr:col>
      <xdr:colOff>495300</xdr:colOff>
      <xdr:row>10</xdr:row>
      <xdr:rowOff>9525</xdr:rowOff>
    </xdr:to>
    <xdr:pic>
      <xdr:nvPicPr>
        <xdr:cNvPr id="1026" name="Picture 2" descr="cemeq_logo_cop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361950"/>
          <a:ext cx="1981200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476250</xdr:colOff>
      <xdr:row>13</xdr:row>
      <xdr:rowOff>85725</xdr:rowOff>
    </xdr:from>
    <xdr:to>
      <xdr:col>7</xdr:col>
      <xdr:colOff>466725</xdr:colOff>
      <xdr:row>18</xdr:row>
      <xdr:rowOff>28575</xdr:rowOff>
    </xdr:to>
    <xdr:pic>
      <xdr:nvPicPr>
        <xdr:cNvPr id="13313" name="Picture 1" descr="cemeq_logo_cop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2247900"/>
          <a:ext cx="119062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352425</xdr:colOff>
      <xdr:row>40</xdr:row>
      <xdr:rowOff>19050</xdr:rowOff>
    </xdr:from>
    <xdr:to>
      <xdr:col>8</xdr:col>
      <xdr:colOff>209550</xdr:colOff>
      <xdr:row>45</xdr:row>
      <xdr:rowOff>0</xdr:rowOff>
    </xdr:to>
    <xdr:pic>
      <xdr:nvPicPr>
        <xdr:cNvPr id="8193" name="Picture 1" descr="cemeq_logo_cop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6477000"/>
          <a:ext cx="119062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25</xdr:row>
      <xdr:rowOff>104775</xdr:rowOff>
    </xdr:from>
    <xdr:to>
      <xdr:col>8</xdr:col>
      <xdr:colOff>219075</xdr:colOff>
      <xdr:row>30</xdr:row>
      <xdr:rowOff>85725</xdr:rowOff>
    </xdr:to>
    <xdr:pic>
      <xdr:nvPicPr>
        <xdr:cNvPr id="16385" name="Picture 1" descr="cemeq_logo_cop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4286250"/>
          <a:ext cx="119062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31</xdr:row>
      <xdr:rowOff>95250</xdr:rowOff>
    </xdr:from>
    <xdr:to>
      <xdr:col>8</xdr:col>
      <xdr:colOff>9525</xdr:colOff>
      <xdr:row>36</xdr:row>
      <xdr:rowOff>76200</xdr:rowOff>
    </xdr:to>
    <xdr:pic>
      <xdr:nvPicPr>
        <xdr:cNvPr id="17409" name="Picture 1" descr="cemeq_logo_cop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5276850"/>
          <a:ext cx="119062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38100</xdr:colOff>
      <xdr:row>31</xdr:row>
      <xdr:rowOff>95250</xdr:rowOff>
    </xdr:from>
    <xdr:to>
      <xdr:col>17</xdr:col>
      <xdr:colOff>590550</xdr:colOff>
      <xdr:row>36</xdr:row>
      <xdr:rowOff>76200</xdr:rowOff>
    </xdr:to>
    <xdr:pic>
      <xdr:nvPicPr>
        <xdr:cNvPr id="17410" name="Picture 2" descr="cemeq_logo_cop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86775" y="5276850"/>
          <a:ext cx="119062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180976</xdr:colOff>
      <xdr:row>18</xdr:row>
      <xdr:rowOff>112940</xdr:rowOff>
    </xdr:from>
    <xdr:to>
      <xdr:col>4</xdr:col>
      <xdr:colOff>257176</xdr:colOff>
      <xdr:row>23</xdr:row>
      <xdr:rowOff>76201</xdr:rowOff>
    </xdr:to>
    <xdr:pic>
      <xdr:nvPicPr>
        <xdr:cNvPr id="3" name="Picture 1" descr="cemeq_logo_copy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1" y="3103790"/>
          <a:ext cx="1295400" cy="772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12</xdr:row>
      <xdr:rowOff>76200</xdr:rowOff>
    </xdr:from>
    <xdr:to>
      <xdr:col>2</xdr:col>
      <xdr:colOff>238125</xdr:colOff>
      <xdr:row>16</xdr:row>
      <xdr:rowOff>142875</xdr:rowOff>
    </xdr:to>
    <xdr:grpSp>
      <xdr:nvGrpSpPr>
        <xdr:cNvPr id="5121" name="Group 1"/>
        <xdr:cNvGrpSpPr>
          <a:grpSpLocks/>
        </xdr:cNvGrpSpPr>
      </xdr:nvGrpSpPr>
      <xdr:grpSpPr bwMode="auto">
        <a:xfrm>
          <a:off x="419100" y="1952625"/>
          <a:ext cx="1038225" cy="638175"/>
          <a:chOff x="480" y="2928"/>
          <a:chExt cx="1534" cy="1015"/>
        </a:xfrm>
      </xdr:grpSpPr>
      <xdr:sp macro="" textlink="">
        <xdr:nvSpPr>
          <xdr:cNvPr id="5122" name="Freeform 2"/>
          <xdr:cNvSpPr>
            <a:spLocks/>
          </xdr:cNvSpPr>
        </xdr:nvSpPr>
        <xdr:spPr bwMode="auto">
          <a:xfrm>
            <a:off x="480" y="2928"/>
            <a:ext cx="1534" cy="1015"/>
          </a:xfrm>
          <a:custGeom>
            <a:avLst/>
            <a:gdLst>
              <a:gd name="T0" fmla="*/ 526 w 1364"/>
              <a:gd name="T1" fmla="*/ 41 h 1015"/>
              <a:gd name="T2" fmla="*/ 334 w 1364"/>
              <a:gd name="T3" fmla="*/ 68 h 1015"/>
              <a:gd name="T4" fmla="*/ 252 w 1364"/>
              <a:gd name="T5" fmla="*/ 96 h 1015"/>
              <a:gd name="T6" fmla="*/ 211 w 1364"/>
              <a:gd name="T7" fmla="*/ 110 h 1015"/>
              <a:gd name="T8" fmla="*/ 115 w 1364"/>
              <a:gd name="T9" fmla="*/ 233 h 1015"/>
              <a:gd name="T10" fmla="*/ 101 w 1364"/>
              <a:gd name="T11" fmla="*/ 274 h 1015"/>
              <a:gd name="T12" fmla="*/ 74 w 1364"/>
              <a:gd name="T13" fmla="*/ 302 h 1015"/>
              <a:gd name="T14" fmla="*/ 46 w 1364"/>
              <a:gd name="T15" fmla="*/ 384 h 1015"/>
              <a:gd name="T16" fmla="*/ 33 w 1364"/>
              <a:gd name="T17" fmla="*/ 425 h 1015"/>
              <a:gd name="T18" fmla="*/ 19 w 1364"/>
              <a:gd name="T19" fmla="*/ 466 h 1015"/>
              <a:gd name="T20" fmla="*/ 74 w 1364"/>
              <a:gd name="T21" fmla="*/ 740 h 1015"/>
              <a:gd name="T22" fmla="*/ 238 w 1364"/>
              <a:gd name="T23" fmla="*/ 891 h 1015"/>
              <a:gd name="T24" fmla="*/ 307 w 1364"/>
              <a:gd name="T25" fmla="*/ 932 h 1015"/>
              <a:gd name="T26" fmla="*/ 334 w 1364"/>
              <a:gd name="T27" fmla="*/ 960 h 1015"/>
              <a:gd name="T28" fmla="*/ 677 w 1364"/>
              <a:gd name="T29" fmla="*/ 1015 h 1015"/>
              <a:gd name="T30" fmla="*/ 1075 w 1364"/>
              <a:gd name="T31" fmla="*/ 1001 h 1015"/>
              <a:gd name="T32" fmla="*/ 1116 w 1364"/>
              <a:gd name="T33" fmla="*/ 974 h 1015"/>
              <a:gd name="T34" fmla="*/ 1281 w 1364"/>
              <a:gd name="T35" fmla="*/ 850 h 1015"/>
              <a:gd name="T36" fmla="*/ 1336 w 1364"/>
              <a:gd name="T37" fmla="*/ 699 h 1015"/>
              <a:gd name="T38" fmla="*/ 1212 w 1364"/>
              <a:gd name="T39" fmla="*/ 247 h 1015"/>
              <a:gd name="T40" fmla="*/ 1130 w 1364"/>
              <a:gd name="T41" fmla="*/ 110 h 1015"/>
              <a:gd name="T42" fmla="*/ 1075 w 1364"/>
              <a:gd name="T43" fmla="*/ 27 h 1015"/>
              <a:gd name="T44" fmla="*/ 965 w 1364"/>
              <a:gd name="T45" fmla="*/ 0 h 1015"/>
              <a:gd name="T46" fmla="*/ 526 w 1364"/>
              <a:gd name="T47" fmla="*/ 41 h 10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</a:cxnLst>
            <a:rect l="0" t="0" r="r" b="b"/>
            <a:pathLst>
              <a:path w="1364" h="1015">
                <a:moveTo>
                  <a:pt x="526" y="41"/>
                </a:moveTo>
                <a:cubicBezTo>
                  <a:pt x="389" y="54"/>
                  <a:pt x="416" y="41"/>
                  <a:pt x="334" y="68"/>
                </a:cubicBezTo>
                <a:cubicBezTo>
                  <a:pt x="307" y="77"/>
                  <a:pt x="279" y="87"/>
                  <a:pt x="252" y="96"/>
                </a:cubicBezTo>
                <a:cubicBezTo>
                  <a:pt x="238" y="101"/>
                  <a:pt x="211" y="110"/>
                  <a:pt x="211" y="110"/>
                </a:cubicBezTo>
                <a:cubicBezTo>
                  <a:pt x="168" y="153"/>
                  <a:pt x="158" y="190"/>
                  <a:pt x="115" y="233"/>
                </a:cubicBezTo>
                <a:cubicBezTo>
                  <a:pt x="110" y="247"/>
                  <a:pt x="108" y="262"/>
                  <a:pt x="101" y="274"/>
                </a:cubicBezTo>
                <a:cubicBezTo>
                  <a:pt x="94" y="285"/>
                  <a:pt x="80" y="290"/>
                  <a:pt x="74" y="302"/>
                </a:cubicBezTo>
                <a:cubicBezTo>
                  <a:pt x="61" y="328"/>
                  <a:pt x="55" y="357"/>
                  <a:pt x="46" y="384"/>
                </a:cubicBezTo>
                <a:cubicBezTo>
                  <a:pt x="41" y="398"/>
                  <a:pt x="37" y="411"/>
                  <a:pt x="33" y="425"/>
                </a:cubicBezTo>
                <a:cubicBezTo>
                  <a:pt x="28" y="439"/>
                  <a:pt x="19" y="466"/>
                  <a:pt x="19" y="466"/>
                </a:cubicBezTo>
                <a:cubicBezTo>
                  <a:pt x="26" y="569"/>
                  <a:pt x="0" y="669"/>
                  <a:pt x="74" y="740"/>
                </a:cubicBezTo>
                <a:cubicBezTo>
                  <a:pt x="97" y="808"/>
                  <a:pt x="171" y="870"/>
                  <a:pt x="238" y="891"/>
                </a:cubicBezTo>
                <a:cubicBezTo>
                  <a:pt x="312" y="965"/>
                  <a:pt x="215" y="876"/>
                  <a:pt x="307" y="932"/>
                </a:cubicBezTo>
                <a:cubicBezTo>
                  <a:pt x="318" y="939"/>
                  <a:pt x="322" y="954"/>
                  <a:pt x="334" y="960"/>
                </a:cubicBezTo>
                <a:cubicBezTo>
                  <a:pt x="434" y="1010"/>
                  <a:pt x="574" y="1008"/>
                  <a:pt x="677" y="1015"/>
                </a:cubicBezTo>
                <a:cubicBezTo>
                  <a:pt x="810" y="1010"/>
                  <a:pt x="943" y="1013"/>
                  <a:pt x="1075" y="1001"/>
                </a:cubicBezTo>
                <a:cubicBezTo>
                  <a:pt x="1091" y="999"/>
                  <a:pt x="1102" y="982"/>
                  <a:pt x="1116" y="974"/>
                </a:cubicBezTo>
                <a:cubicBezTo>
                  <a:pt x="1178" y="939"/>
                  <a:pt x="1222" y="890"/>
                  <a:pt x="1281" y="850"/>
                </a:cubicBezTo>
                <a:cubicBezTo>
                  <a:pt x="1315" y="798"/>
                  <a:pt x="1323" y="761"/>
                  <a:pt x="1336" y="699"/>
                </a:cubicBezTo>
                <a:cubicBezTo>
                  <a:pt x="1324" y="453"/>
                  <a:pt x="1364" y="394"/>
                  <a:pt x="1212" y="247"/>
                </a:cubicBezTo>
                <a:cubicBezTo>
                  <a:pt x="1193" y="192"/>
                  <a:pt x="1164" y="158"/>
                  <a:pt x="1130" y="110"/>
                </a:cubicBezTo>
                <a:cubicBezTo>
                  <a:pt x="1111" y="83"/>
                  <a:pt x="1108" y="33"/>
                  <a:pt x="1075" y="27"/>
                </a:cubicBezTo>
                <a:cubicBezTo>
                  <a:pt x="992" y="11"/>
                  <a:pt x="1028" y="22"/>
                  <a:pt x="965" y="0"/>
                </a:cubicBezTo>
                <a:cubicBezTo>
                  <a:pt x="792" y="9"/>
                  <a:pt x="687" y="25"/>
                  <a:pt x="526" y="41"/>
                </a:cubicBezTo>
                <a:close/>
              </a:path>
            </a:pathLst>
          </a:custGeom>
          <a:solidFill>
            <a:srgbClr val="FFCC99"/>
          </a:solidFill>
          <a:ln w="57150" cmpd="sng">
            <a:solidFill>
              <a:srgbClr val="FF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123" name="AutoShape 3"/>
          <xdr:cNvSpPr>
            <a:spLocks noChangeArrowheads="1"/>
          </xdr:cNvSpPr>
        </xdr:nvSpPr>
        <xdr:spPr bwMode="auto">
          <a:xfrm>
            <a:off x="1229" y="3113"/>
            <a:ext cx="172" cy="173"/>
          </a:xfrm>
          <a:prstGeom prst="smileyFace">
            <a:avLst>
              <a:gd name="adj" fmla="val 4653"/>
            </a:avLst>
          </a:prstGeom>
          <a:solidFill>
            <a:srgbClr val="FF33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24" name="AutoShape 4"/>
          <xdr:cNvSpPr>
            <a:spLocks noChangeArrowheads="1"/>
          </xdr:cNvSpPr>
        </xdr:nvSpPr>
        <xdr:spPr bwMode="auto">
          <a:xfrm>
            <a:off x="1027" y="3065"/>
            <a:ext cx="172" cy="173"/>
          </a:xfrm>
          <a:prstGeom prst="smileyFace">
            <a:avLst>
              <a:gd name="adj" fmla="val 4653"/>
            </a:avLst>
          </a:prstGeom>
          <a:solidFill>
            <a:srgbClr val="FF33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25" name="AutoShape 5"/>
          <xdr:cNvSpPr>
            <a:spLocks noChangeArrowheads="1"/>
          </xdr:cNvSpPr>
        </xdr:nvSpPr>
        <xdr:spPr bwMode="auto">
          <a:xfrm>
            <a:off x="1449" y="2998"/>
            <a:ext cx="172" cy="173"/>
          </a:xfrm>
          <a:prstGeom prst="smileyFace">
            <a:avLst>
              <a:gd name="adj" fmla="val 4653"/>
            </a:avLst>
          </a:prstGeom>
          <a:solidFill>
            <a:srgbClr val="FF33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26" name="AutoShape 6"/>
          <xdr:cNvSpPr>
            <a:spLocks noChangeArrowheads="1"/>
          </xdr:cNvSpPr>
        </xdr:nvSpPr>
        <xdr:spPr bwMode="auto">
          <a:xfrm>
            <a:off x="1305" y="3382"/>
            <a:ext cx="172" cy="173"/>
          </a:xfrm>
          <a:prstGeom prst="smileyFace">
            <a:avLst>
              <a:gd name="adj" fmla="val 4653"/>
            </a:avLst>
          </a:prstGeom>
          <a:solidFill>
            <a:srgbClr val="FF33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27" name="AutoShape 7"/>
          <xdr:cNvSpPr>
            <a:spLocks noChangeArrowheads="1"/>
          </xdr:cNvSpPr>
        </xdr:nvSpPr>
        <xdr:spPr bwMode="auto">
          <a:xfrm>
            <a:off x="1401" y="3209"/>
            <a:ext cx="172" cy="173"/>
          </a:xfrm>
          <a:prstGeom prst="smileyFace">
            <a:avLst>
              <a:gd name="adj" fmla="val 4653"/>
            </a:avLst>
          </a:prstGeom>
          <a:solidFill>
            <a:srgbClr val="FF33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28" name="AutoShape 8"/>
          <xdr:cNvSpPr>
            <a:spLocks noChangeArrowheads="1"/>
          </xdr:cNvSpPr>
        </xdr:nvSpPr>
        <xdr:spPr bwMode="auto">
          <a:xfrm>
            <a:off x="1545" y="3382"/>
            <a:ext cx="172" cy="173"/>
          </a:xfrm>
          <a:prstGeom prst="smileyFace">
            <a:avLst>
              <a:gd name="adj" fmla="val 4653"/>
            </a:avLst>
          </a:prstGeom>
          <a:solidFill>
            <a:srgbClr val="FF33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29" name="AutoShape 9"/>
          <xdr:cNvSpPr>
            <a:spLocks noChangeArrowheads="1"/>
          </xdr:cNvSpPr>
        </xdr:nvSpPr>
        <xdr:spPr bwMode="auto">
          <a:xfrm>
            <a:off x="1641" y="3209"/>
            <a:ext cx="172" cy="173"/>
          </a:xfrm>
          <a:prstGeom prst="smileyFace">
            <a:avLst>
              <a:gd name="adj" fmla="val 4653"/>
            </a:avLst>
          </a:prstGeom>
          <a:solidFill>
            <a:srgbClr val="FF33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30" name="AutoShape 10"/>
          <xdr:cNvSpPr>
            <a:spLocks noChangeArrowheads="1"/>
          </xdr:cNvSpPr>
        </xdr:nvSpPr>
        <xdr:spPr bwMode="auto">
          <a:xfrm>
            <a:off x="797" y="3065"/>
            <a:ext cx="172" cy="173"/>
          </a:xfrm>
          <a:prstGeom prst="smileyFace">
            <a:avLst>
              <a:gd name="adj" fmla="val 4653"/>
            </a:avLst>
          </a:prstGeom>
          <a:solidFill>
            <a:srgbClr val="FF33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31" name="AutoShape 11"/>
          <xdr:cNvSpPr>
            <a:spLocks noChangeArrowheads="1"/>
          </xdr:cNvSpPr>
        </xdr:nvSpPr>
        <xdr:spPr bwMode="auto">
          <a:xfrm>
            <a:off x="873" y="3248"/>
            <a:ext cx="172" cy="173"/>
          </a:xfrm>
          <a:prstGeom prst="smileyFace">
            <a:avLst>
              <a:gd name="adj" fmla="val 4653"/>
            </a:avLst>
          </a:prstGeom>
          <a:solidFill>
            <a:srgbClr val="FF33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32" name="AutoShape 12"/>
          <xdr:cNvSpPr>
            <a:spLocks noChangeArrowheads="1"/>
          </xdr:cNvSpPr>
        </xdr:nvSpPr>
        <xdr:spPr bwMode="auto">
          <a:xfrm>
            <a:off x="825" y="3449"/>
            <a:ext cx="172" cy="173"/>
          </a:xfrm>
          <a:prstGeom prst="smileyFace">
            <a:avLst>
              <a:gd name="adj" fmla="val 4653"/>
            </a:avLst>
          </a:prstGeom>
          <a:solidFill>
            <a:srgbClr val="FF33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33" name="AutoShape 13"/>
          <xdr:cNvSpPr>
            <a:spLocks noChangeArrowheads="1"/>
          </xdr:cNvSpPr>
        </xdr:nvSpPr>
        <xdr:spPr bwMode="auto">
          <a:xfrm>
            <a:off x="1085" y="3305"/>
            <a:ext cx="172" cy="173"/>
          </a:xfrm>
          <a:prstGeom prst="smileyFace">
            <a:avLst>
              <a:gd name="adj" fmla="val 4653"/>
            </a:avLst>
          </a:prstGeom>
          <a:solidFill>
            <a:srgbClr val="FF33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34" name="AutoShape 14"/>
          <xdr:cNvSpPr>
            <a:spLocks noChangeArrowheads="1"/>
          </xdr:cNvSpPr>
        </xdr:nvSpPr>
        <xdr:spPr bwMode="auto">
          <a:xfrm>
            <a:off x="653" y="3257"/>
            <a:ext cx="172" cy="173"/>
          </a:xfrm>
          <a:prstGeom prst="smileyFace">
            <a:avLst>
              <a:gd name="adj" fmla="val 4653"/>
            </a:avLst>
          </a:prstGeom>
          <a:solidFill>
            <a:srgbClr val="FF33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35" name="AutoShape 15"/>
          <xdr:cNvSpPr>
            <a:spLocks noChangeArrowheads="1"/>
          </xdr:cNvSpPr>
        </xdr:nvSpPr>
        <xdr:spPr bwMode="auto">
          <a:xfrm>
            <a:off x="1209" y="3689"/>
            <a:ext cx="172" cy="173"/>
          </a:xfrm>
          <a:prstGeom prst="smileyFace">
            <a:avLst>
              <a:gd name="adj" fmla="val 4653"/>
            </a:avLst>
          </a:prstGeom>
          <a:solidFill>
            <a:srgbClr val="FF33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36" name="AutoShape 16"/>
          <xdr:cNvSpPr>
            <a:spLocks noChangeArrowheads="1"/>
          </xdr:cNvSpPr>
        </xdr:nvSpPr>
        <xdr:spPr bwMode="auto">
          <a:xfrm>
            <a:off x="1401" y="3689"/>
            <a:ext cx="172" cy="173"/>
          </a:xfrm>
          <a:prstGeom prst="smileyFace">
            <a:avLst>
              <a:gd name="adj" fmla="val 4653"/>
            </a:avLst>
          </a:prstGeom>
          <a:solidFill>
            <a:srgbClr val="FF33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37" name="AutoShape 17"/>
          <xdr:cNvSpPr>
            <a:spLocks noChangeArrowheads="1"/>
          </xdr:cNvSpPr>
        </xdr:nvSpPr>
        <xdr:spPr bwMode="auto">
          <a:xfrm>
            <a:off x="997" y="3670"/>
            <a:ext cx="172" cy="173"/>
          </a:xfrm>
          <a:prstGeom prst="smileyFace">
            <a:avLst>
              <a:gd name="adj" fmla="val 4653"/>
            </a:avLst>
          </a:prstGeom>
          <a:solidFill>
            <a:srgbClr val="FF33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38" name="AutoShape 18"/>
          <xdr:cNvSpPr>
            <a:spLocks noChangeArrowheads="1"/>
          </xdr:cNvSpPr>
        </xdr:nvSpPr>
        <xdr:spPr bwMode="auto">
          <a:xfrm>
            <a:off x="1113" y="3497"/>
            <a:ext cx="172" cy="173"/>
          </a:xfrm>
          <a:prstGeom prst="smileyFace">
            <a:avLst>
              <a:gd name="adj" fmla="val 4653"/>
            </a:avLst>
          </a:prstGeom>
          <a:solidFill>
            <a:srgbClr val="FF33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39" name="AutoShape 19"/>
          <xdr:cNvSpPr>
            <a:spLocks noChangeArrowheads="1"/>
          </xdr:cNvSpPr>
        </xdr:nvSpPr>
        <xdr:spPr bwMode="auto">
          <a:xfrm>
            <a:off x="777" y="3641"/>
            <a:ext cx="172" cy="173"/>
          </a:xfrm>
          <a:prstGeom prst="smileyFace">
            <a:avLst>
              <a:gd name="adj" fmla="val 4653"/>
            </a:avLst>
          </a:prstGeom>
          <a:solidFill>
            <a:srgbClr val="FF33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40" name="AutoShape 20"/>
          <xdr:cNvSpPr>
            <a:spLocks noChangeArrowheads="1"/>
          </xdr:cNvSpPr>
        </xdr:nvSpPr>
        <xdr:spPr bwMode="auto">
          <a:xfrm>
            <a:off x="633" y="3497"/>
            <a:ext cx="172" cy="173"/>
          </a:xfrm>
          <a:prstGeom prst="smileyFace">
            <a:avLst>
              <a:gd name="adj" fmla="val 4653"/>
            </a:avLst>
          </a:prstGeom>
          <a:solidFill>
            <a:srgbClr val="FF33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41" name="AutoShape 21"/>
          <xdr:cNvSpPr>
            <a:spLocks noChangeArrowheads="1"/>
          </xdr:cNvSpPr>
        </xdr:nvSpPr>
        <xdr:spPr bwMode="auto">
          <a:xfrm>
            <a:off x="1449" y="3497"/>
            <a:ext cx="172" cy="173"/>
          </a:xfrm>
          <a:prstGeom prst="smileyFace">
            <a:avLst>
              <a:gd name="adj" fmla="val 4653"/>
            </a:avLst>
          </a:prstGeom>
          <a:solidFill>
            <a:srgbClr val="FF33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42" name="AutoShape 22"/>
          <xdr:cNvSpPr>
            <a:spLocks noChangeArrowheads="1"/>
          </xdr:cNvSpPr>
        </xdr:nvSpPr>
        <xdr:spPr bwMode="auto">
          <a:xfrm>
            <a:off x="1613" y="3641"/>
            <a:ext cx="172" cy="173"/>
          </a:xfrm>
          <a:prstGeom prst="smileyFace">
            <a:avLst>
              <a:gd name="adj" fmla="val 4653"/>
            </a:avLst>
          </a:prstGeom>
          <a:solidFill>
            <a:srgbClr val="FF33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43" name="AutoShape 23"/>
          <xdr:cNvSpPr>
            <a:spLocks noChangeArrowheads="1"/>
          </xdr:cNvSpPr>
        </xdr:nvSpPr>
        <xdr:spPr bwMode="auto">
          <a:xfrm>
            <a:off x="1757" y="3449"/>
            <a:ext cx="172" cy="173"/>
          </a:xfrm>
          <a:prstGeom prst="smileyFace">
            <a:avLst>
              <a:gd name="adj" fmla="val 4653"/>
            </a:avLst>
          </a:prstGeom>
          <a:solidFill>
            <a:srgbClr val="FF33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104775</xdr:colOff>
      <xdr:row>8</xdr:row>
      <xdr:rowOff>114300</xdr:rowOff>
    </xdr:from>
    <xdr:to>
      <xdr:col>0</xdr:col>
      <xdr:colOff>552450</xdr:colOff>
      <xdr:row>15</xdr:row>
      <xdr:rowOff>133350</xdr:rowOff>
    </xdr:to>
    <xdr:sp macro="" textlink="">
      <xdr:nvSpPr>
        <xdr:cNvPr id="5144" name="AutoShape 24"/>
        <xdr:cNvSpPr>
          <a:spLocks noChangeArrowheads="1"/>
        </xdr:cNvSpPr>
      </xdr:nvSpPr>
      <xdr:spPr bwMode="auto">
        <a:xfrm>
          <a:off x="104775" y="1343025"/>
          <a:ext cx="447675" cy="1076325"/>
        </a:xfrm>
        <a:prstGeom prst="curvedRightArrow">
          <a:avLst>
            <a:gd name="adj1" fmla="val 48085"/>
            <a:gd name="adj2" fmla="val 96170"/>
            <a:gd name="adj3" fmla="val 33333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180975</xdr:colOff>
      <xdr:row>2</xdr:row>
      <xdr:rowOff>104775</xdr:rowOff>
    </xdr:from>
    <xdr:to>
      <xdr:col>3</xdr:col>
      <xdr:colOff>400050</xdr:colOff>
      <xdr:row>11</xdr:row>
      <xdr:rowOff>47625</xdr:rowOff>
    </xdr:to>
    <xdr:grpSp>
      <xdr:nvGrpSpPr>
        <xdr:cNvPr id="5145" name="Group 25"/>
        <xdr:cNvGrpSpPr>
          <a:grpSpLocks/>
        </xdr:cNvGrpSpPr>
      </xdr:nvGrpSpPr>
      <xdr:grpSpPr bwMode="auto">
        <a:xfrm>
          <a:off x="180975" y="361950"/>
          <a:ext cx="1762125" cy="1400175"/>
          <a:chOff x="3456" y="624"/>
          <a:chExt cx="2304" cy="1872"/>
        </a:xfrm>
      </xdr:grpSpPr>
      <xdr:sp macro="" textlink="">
        <xdr:nvSpPr>
          <xdr:cNvPr id="5146" name="Oval 26"/>
          <xdr:cNvSpPr>
            <a:spLocks noChangeArrowheads="1"/>
          </xdr:cNvSpPr>
        </xdr:nvSpPr>
        <xdr:spPr bwMode="auto">
          <a:xfrm>
            <a:off x="3456" y="624"/>
            <a:ext cx="2304" cy="1872"/>
          </a:xfrm>
          <a:prstGeom prst="ellipse">
            <a:avLst/>
          </a:prstGeom>
          <a:solidFill>
            <a:srgbClr val="CCFFFF"/>
          </a:solidFill>
          <a:ln w="222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47" name="AutoShape 27"/>
          <xdr:cNvSpPr>
            <a:spLocks noChangeArrowheads="1"/>
          </xdr:cNvSpPr>
        </xdr:nvSpPr>
        <xdr:spPr bwMode="auto">
          <a:xfrm>
            <a:off x="3950" y="775"/>
            <a:ext cx="164" cy="164"/>
          </a:xfrm>
          <a:prstGeom prst="smileyFace">
            <a:avLst>
              <a:gd name="adj" fmla="val 4653"/>
            </a:avLst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48" name="AutoShape 28"/>
          <xdr:cNvSpPr>
            <a:spLocks noChangeArrowheads="1"/>
          </xdr:cNvSpPr>
        </xdr:nvSpPr>
        <xdr:spPr bwMode="auto">
          <a:xfrm>
            <a:off x="4087" y="911"/>
            <a:ext cx="165" cy="164"/>
          </a:xfrm>
          <a:prstGeom prst="smileyFace">
            <a:avLst>
              <a:gd name="adj" fmla="val 4653"/>
            </a:avLst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49" name="AutoShape 29"/>
          <xdr:cNvSpPr>
            <a:spLocks noChangeArrowheads="1"/>
          </xdr:cNvSpPr>
        </xdr:nvSpPr>
        <xdr:spPr bwMode="auto">
          <a:xfrm>
            <a:off x="4224" y="1046"/>
            <a:ext cx="165" cy="164"/>
          </a:xfrm>
          <a:prstGeom prst="smileyFace">
            <a:avLst>
              <a:gd name="adj" fmla="val 4653"/>
            </a:avLst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50" name="AutoShape 30"/>
          <xdr:cNvSpPr>
            <a:spLocks noChangeArrowheads="1"/>
          </xdr:cNvSpPr>
        </xdr:nvSpPr>
        <xdr:spPr bwMode="auto">
          <a:xfrm>
            <a:off x="4362" y="1182"/>
            <a:ext cx="164" cy="164"/>
          </a:xfrm>
          <a:prstGeom prst="smileyFace">
            <a:avLst>
              <a:gd name="adj" fmla="val 4653"/>
            </a:avLst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51" name="AutoShape 31"/>
          <xdr:cNvSpPr>
            <a:spLocks noChangeArrowheads="1"/>
          </xdr:cNvSpPr>
        </xdr:nvSpPr>
        <xdr:spPr bwMode="auto">
          <a:xfrm>
            <a:off x="4560" y="1248"/>
            <a:ext cx="164" cy="164"/>
          </a:xfrm>
          <a:prstGeom prst="smileyFace">
            <a:avLst>
              <a:gd name="adj" fmla="val 4653"/>
            </a:avLst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52" name="AutoShape 32"/>
          <xdr:cNvSpPr>
            <a:spLocks noChangeArrowheads="1"/>
          </xdr:cNvSpPr>
        </xdr:nvSpPr>
        <xdr:spPr bwMode="auto">
          <a:xfrm>
            <a:off x="4636" y="1453"/>
            <a:ext cx="164" cy="164"/>
          </a:xfrm>
          <a:prstGeom prst="smileyFace">
            <a:avLst>
              <a:gd name="adj" fmla="val 4653"/>
            </a:avLst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53" name="AutoShape 33"/>
          <xdr:cNvSpPr>
            <a:spLocks noChangeArrowheads="1"/>
          </xdr:cNvSpPr>
        </xdr:nvSpPr>
        <xdr:spPr bwMode="auto">
          <a:xfrm>
            <a:off x="4773" y="1589"/>
            <a:ext cx="164" cy="164"/>
          </a:xfrm>
          <a:prstGeom prst="smileyFace">
            <a:avLst>
              <a:gd name="adj" fmla="val 4653"/>
            </a:avLst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54" name="AutoShape 34"/>
          <xdr:cNvSpPr>
            <a:spLocks noChangeArrowheads="1"/>
          </xdr:cNvSpPr>
        </xdr:nvSpPr>
        <xdr:spPr bwMode="auto">
          <a:xfrm>
            <a:off x="4924" y="1680"/>
            <a:ext cx="164" cy="163"/>
          </a:xfrm>
          <a:prstGeom prst="smileyFace">
            <a:avLst>
              <a:gd name="adj" fmla="val 4653"/>
            </a:avLst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55" name="AutoShape 35"/>
          <xdr:cNvSpPr>
            <a:spLocks noChangeArrowheads="1"/>
          </xdr:cNvSpPr>
        </xdr:nvSpPr>
        <xdr:spPr bwMode="auto">
          <a:xfrm>
            <a:off x="5047" y="1860"/>
            <a:ext cx="164" cy="164"/>
          </a:xfrm>
          <a:prstGeom prst="smileyFace">
            <a:avLst>
              <a:gd name="adj" fmla="val 4653"/>
            </a:avLst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56" name="AutoShape 36"/>
          <xdr:cNvSpPr>
            <a:spLocks noChangeArrowheads="1"/>
          </xdr:cNvSpPr>
        </xdr:nvSpPr>
        <xdr:spPr bwMode="auto">
          <a:xfrm>
            <a:off x="5184" y="1996"/>
            <a:ext cx="165" cy="164"/>
          </a:xfrm>
          <a:prstGeom prst="smileyFace">
            <a:avLst>
              <a:gd name="adj" fmla="val 4653"/>
            </a:avLst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57" name="AutoShape 37"/>
          <xdr:cNvSpPr>
            <a:spLocks noChangeArrowheads="1"/>
          </xdr:cNvSpPr>
        </xdr:nvSpPr>
        <xdr:spPr bwMode="auto">
          <a:xfrm>
            <a:off x="3867" y="939"/>
            <a:ext cx="166" cy="163"/>
          </a:xfrm>
          <a:prstGeom prst="smileyFace">
            <a:avLst>
              <a:gd name="adj" fmla="val 4653"/>
            </a:avLst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58" name="AutoShape 38"/>
          <xdr:cNvSpPr>
            <a:spLocks noChangeArrowheads="1"/>
          </xdr:cNvSpPr>
        </xdr:nvSpPr>
        <xdr:spPr bwMode="auto">
          <a:xfrm>
            <a:off x="4005" y="1075"/>
            <a:ext cx="165" cy="162"/>
          </a:xfrm>
          <a:prstGeom prst="smileyFace">
            <a:avLst>
              <a:gd name="adj" fmla="val 4653"/>
            </a:avLst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59" name="AutoShape 39"/>
          <xdr:cNvSpPr>
            <a:spLocks noChangeArrowheads="1"/>
          </xdr:cNvSpPr>
        </xdr:nvSpPr>
        <xdr:spPr bwMode="auto">
          <a:xfrm>
            <a:off x="4142" y="1210"/>
            <a:ext cx="165" cy="163"/>
          </a:xfrm>
          <a:prstGeom prst="smileyFace">
            <a:avLst>
              <a:gd name="adj" fmla="val 4653"/>
            </a:avLst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60" name="AutoShape 40"/>
          <xdr:cNvSpPr>
            <a:spLocks noChangeArrowheads="1"/>
          </xdr:cNvSpPr>
        </xdr:nvSpPr>
        <xdr:spPr bwMode="auto">
          <a:xfrm>
            <a:off x="4279" y="1346"/>
            <a:ext cx="165" cy="162"/>
          </a:xfrm>
          <a:prstGeom prst="smileyFace">
            <a:avLst>
              <a:gd name="adj" fmla="val 4653"/>
            </a:avLst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61" name="AutoShape 41"/>
          <xdr:cNvSpPr>
            <a:spLocks noChangeArrowheads="1"/>
          </xdr:cNvSpPr>
        </xdr:nvSpPr>
        <xdr:spPr bwMode="auto">
          <a:xfrm>
            <a:off x="4416" y="1482"/>
            <a:ext cx="166" cy="162"/>
          </a:xfrm>
          <a:prstGeom prst="smileyFace">
            <a:avLst>
              <a:gd name="adj" fmla="val 4653"/>
            </a:avLst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62" name="AutoShape 42"/>
          <xdr:cNvSpPr>
            <a:spLocks noChangeArrowheads="1"/>
          </xdr:cNvSpPr>
        </xdr:nvSpPr>
        <xdr:spPr bwMode="auto">
          <a:xfrm>
            <a:off x="4553" y="1617"/>
            <a:ext cx="166" cy="163"/>
          </a:xfrm>
          <a:prstGeom prst="smileyFace">
            <a:avLst>
              <a:gd name="adj" fmla="val 4653"/>
            </a:avLst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63" name="AutoShape 43"/>
          <xdr:cNvSpPr>
            <a:spLocks noChangeArrowheads="1"/>
          </xdr:cNvSpPr>
        </xdr:nvSpPr>
        <xdr:spPr bwMode="auto">
          <a:xfrm>
            <a:off x="4690" y="1753"/>
            <a:ext cx="166" cy="162"/>
          </a:xfrm>
          <a:prstGeom prst="smileyFace">
            <a:avLst>
              <a:gd name="adj" fmla="val 4653"/>
            </a:avLst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64" name="AutoShape 44"/>
          <xdr:cNvSpPr>
            <a:spLocks noChangeArrowheads="1"/>
          </xdr:cNvSpPr>
        </xdr:nvSpPr>
        <xdr:spPr bwMode="auto">
          <a:xfrm>
            <a:off x="4800" y="1901"/>
            <a:ext cx="166" cy="163"/>
          </a:xfrm>
          <a:prstGeom prst="smileyFace">
            <a:avLst>
              <a:gd name="adj" fmla="val 4653"/>
            </a:avLst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65" name="AutoShape 45"/>
          <xdr:cNvSpPr>
            <a:spLocks noChangeArrowheads="1"/>
          </xdr:cNvSpPr>
        </xdr:nvSpPr>
        <xdr:spPr bwMode="auto">
          <a:xfrm>
            <a:off x="4964" y="2024"/>
            <a:ext cx="166" cy="163"/>
          </a:xfrm>
          <a:prstGeom prst="smileyFace">
            <a:avLst>
              <a:gd name="adj" fmla="val 4653"/>
            </a:avLst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66" name="AutoShape 46"/>
          <xdr:cNvSpPr>
            <a:spLocks noChangeArrowheads="1"/>
          </xdr:cNvSpPr>
        </xdr:nvSpPr>
        <xdr:spPr bwMode="auto">
          <a:xfrm>
            <a:off x="5102" y="2160"/>
            <a:ext cx="165" cy="162"/>
          </a:xfrm>
          <a:prstGeom prst="smileyFace">
            <a:avLst>
              <a:gd name="adj" fmla="val 4653"/>
            </a:avLst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67" name="AutoShape 47"/>
          <xdr:cNvSpPr>
            <a:spLocks noChangeArrowheads="1"/>
          </xdr:cNvSpPr>
        </xdr:nvSpPr>
        <xdr:spPr bwMode="auto">
          <a:xfrm>
            <a:off x="3703" y="1102"/>
            <a:ext cx="164" cy="162"/>
          </a:xfrm>
          <a:prstGeom prst="smileyFace">
            <a:avLst>
              <a:gd name="adj" fmla="val 4653"/>
            </a:avLst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68" name="AutoShape 48"/>
          <xdr:cNvSpPr>
            <a:spLocks noChangeArrowheads="1"/>
          </xdr:cNvSpPr>
        </xdr:nvSpPr>
        <xdr:spPr bwMode="auto">
          <a:xfrm>
            <a:off x="3840" y="1237"/>
            <a:ext cx="165" cy="163"/>
          </a:xfrm>
          <a:prstGeom prst="smileyFace">
            <a:avLst>
              <a:gd name="adj" fmla="val 4653"/>
            </a:avLst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69" name="AutoShape 49"/>
          <xdr:cNvSpPr>
            <a:spLocks noChangeArrowheads="1"/>
          </xdr:cNvSpPr>
        </xdr:nvSpPr>
        <xdr:spPr bwMode="auto">
          <a:xfrm>
            <a:off x="3977" y="1373"/>
            <a:ext cx="165" cy="162"/>
          </a:xfrm>
          <a:prstGeom prst="smileyFace">
            <a:avLst>
              <a:gd name="adj" fmla="val 4653"/>
            </a:avLst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70" name="AutoShape 50"/>
          <xdr:cNvSpPr>
            <a:spLocks noChangeArrowheads="1"/>
          </xdr:cNvSpPr>
        </xdr:nvSpPr>
        <xdr:spPr bwMode="auto">
          <a:xfrm>
            <a:off x="4114" y="1508"/>
            <a:ext cx="165" cy="163"/>
          </a:xfrm>
          <a:prstGeom prst="smileyFace">
            <a:avLst>
              <a:gd name="adj" fmla="val 4653"/>
            </a:avLst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71" name="AutoShape 51"/>
          <xdr:cNvSpPr>
            <a:spLocks noChangeArrowheads="1"/>
          </xdr:cNvSpPr>
        </xdr:nvSpPr>
        <xdr:spPr bwMode="auto">
          <a:xfrm>
            <a:off x="4300" y="1632"/>
            <a:ext cx="164" cy="163"/>
          </a:xfrm>
          <a:prstGeom prst="smileyFace">
            <a:avLst>
              <a:gd name="adj" fmla="val 4653"/>
            </a:avLst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72" name="AutoShape 52"/>
          <xdr:cNvSpPr>
            <a:spLocks noChangeArrowheads="1"/>
          </xdr:cNvSpPr>
        </xdr:nvSpPr>
        <xdr:spPr bwMode="auto">
          <a:xfrm>
            <a:off x="4368" y="1806"/>
            <a:ext cx="164" cy="162"/>
          </a:xfrm>
          <a:prstGeom prst="smileyFace">
            <a:avLst>
              <a:gd name="adj" fmla="val 4653"/>
            </a:avLst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73" name="AutoShape 53"/>
          <xdr:cNvSpPr>
            <a:spLocks noChangeArrowheads="1"/>
          </xdr:cNvSpPr>
        </xdr:nvSpPr>
        <xdr:spPr bwMode="auto">
          <a:xfrm>
            <a:off x="4526" y="1915"/>
            <a:ext cx="164" cy="163"/>
          </a:xfrm>
          <a:prstGeom prst="smileyFace">
            <a:avLst>
              <a:gd name="adj" fmla="val 4653"/>
            </a:avLst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74" name="AutoShape 54"/>
          <xdr:cNvSpPr>
            <a:spLocks noChangeArrowheads="1"/>
          </xdr:cNvSpPr>
        </xdr:nvSpPr>
        <xdr:spPr bwMode="auto">
          <a:xfrm>
            <a:off x="4663" y="2051"/>
            <a:ext cx="164" cy="162"/>
          </a:xfrm>
          <a:prstGeom prst="smileyFace">
            <a:avLst>
              <a:gd name="adj" fmla="val 4653"/>
            </a:avLst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75" name="AutoShape 55"/>
          <xdr:cNvSpPr>
            <a:spLocks noChangeArrowheads="1"/>
          </xdr:cNvSpPr>
        </xdr:nvSpPr>
        <xdr:spPr bwMode="auto">
          <a:xfrm>
            <a:off x="4800" y="2187"/>
            <a:ext cx="164" cy="162"/>
          </a:xfrm>
          <a:prstGeom prst="smileyFace">
            <a:avLst>
              <a:gd name="adj" fmla="val 4653"/>
            </a:avLst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76" name="AutoShape 56"/>
          <xdr:cNvSpPr>
            <a:spLocks noChangeArrowheads="1"/>
          </xdr:cNvSpPr>
        </xdr:nvSpPr>
        <xdr:spPr bwMode="auto">
          <a:xfrm>
            <a:off x="3539" y="1264"/>
            <a:ext cx="164" cy="162"/>
          </a:xfrm>
          <a:prstGeom prst="smileyFace">
            <a:avLst>
              <a:gd name="adj" fmla="val 4653"/>
            </a:avLst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77" name="AutoShape 57"/>
          <xdr:cNvSpPr>
            <a:spLocks noChangeArrowheads="1"/>
          </xdr:cNvSpPr>
        </xdr:nvSpPr>
        <xdr:spPr bwMode="auto">
          <a:xfrm>
            <a:off x="3676" y="1400"/>
            <a:ext cx="164" cy="162"/>
          </a:xfrm>
          <a:prstGeom prst="smileyFace">
            <a:avLst>
              <a:gd name="adj" fmla="val 4653"/>
            </a:avLst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78" name="AutoShape 58"/>
          <xdr:cNvSpPr>
            <a:spLocks noChangeArrowheads="1"/>
          </xdr:cNvSpPr>
        </xdr:nvSpPr>
        <xdr:spPr bwMode="auto">
          <a:xfrm>
            <a:off x="3813" y="1535"/>
            <a:ext cx="164" cy="163"/>
          </a:xfrm>
          <a:prstGeom prst="smileyFace">
            <a:avLst>
              <a:gd name="adj" fmla="val 4653"/>
            </a:avLst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79" name="AutoShape 59"/>
          <xdr:cNvSpPr>
            <a:spLocks noChangeArrowheads="1"/>
          </xdr:cNvSpPr>
        </xdr:nvSpPr>
        <xdr:spPr bwMode="auto">
          <a:xfrm>
            <a:off x="3867" y="1753"/>
            <a:ext cx="166" cy="162"/>
          </a:xfrm>
          <a:prstGeom prst="smileyFace">
            <a:avLst>
              <a:gd name="adj" fmla="val 4653"/>
            </a:avLst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80" name="AutoShape 60"/>
          <xdr:cNvSpPr>
            <a:spLocks noChangeArrowheads="1"/>
          </xdr:cNvSpPr>
        </xdr:nvSpPr>
        <xdr:spPr bwMode="auto">
          <a:xfrm>
            <a:off x="4032" y="1680"/>
            <a:ext cx="165" cy="162"/>
          </a:xfrm>
          <a:prstGeom prst="smileyFace">
            <a:avLst>
              <a:gd name="adj" fmla="val 4653"/>
            </a:avLst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81" name="AutoShape 61"/>
          <xdr:cNvSpPr>
            <a:spLocks noChangeArrowheads="1"/>
          </xdr:cNvSpPr>
        </xdr:nvSpPr>
        <xdr:spPr bwMode="auto">
          <a:xfrm>
            <a:off x="4224" y="1942"/>
            <a:ext cx="165" cy="163"/>
          </a:xfrm>
          <a:prstGeom prst="smileyFace">
            <a:avLst>
              <a:gd name="adj" fmla="val 4653"/>
            </a:avLst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82" name="AutoShape 62"/>
          <xdr:cNvSpPr>
            <a:spLocks noChangeArrowheads="1"/>
          </xdr:cNvSpPr>
        </xdr:nvSpPr>
        <xdr:spPr bwMode="auto">
          <a:xfrm>
            <a:off x="4362" y="2078"/>
            <a:ext cx="164" cy="162"/>
          </a:xfrm>
          <a:prstGeom prst="smileyFace">
            <a:avLst>
              <a:gd name="adj" fmla="val 4653"/>
            </a:avLst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83" name="AutoShape 63"/>
          <xdr:cNvSpPr>
            <a:spLocks noChangeArrowheads="1"/>
          </xdr:cNvSpPr>
        </xdr:nvSpPr>
        <xdr:spPr bwMode="auto">
          <a:xfrm>
            <a:off x="4499" y="2213"/>
            <a:ext cx="164" cy="163"/>
          </a:xfrm>
          <a:prstGeom prst="smileyFace">
            <a:avLst>
              <a:gd name="adj" fmla="val 4653"/>
            </a:avLst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84" name="AutoShape 64"/>
          <xdr:cNvSpPr>
            <a:spLocks noChangeArrowheads="1"/>
          </xdr:cNvSpPr>
        </xdr:nvSpPr>
        <xdr:spPr bwMode="auto">
          <a:xfrm>
            <a:off x="3539" y="1589"/>
            <a:ext cx="164" cy="164"/>
          </a:xfrm>
          <a:prstGeom prst="smileyFace">
            <a:avLst>
              <a:gd name="adj" fmla="val 4653"/>
            </a:avLst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85" name="AutoShape 65"/>
          <xdr:cNvSpPr>
            <a:spLocks noChangeArrowheads="1"/>
          </xdr:cNvSpPr>
        </xdr:nvSpPr>
        <xdr:spPr bwMode="auto">
          <a:xfrm>
            <a:off x="3676" y="1725"/>
            <a:ext cx="164" cy="163"/>
          </a:xfrm>
          <a:prstGeom prst="smileyFace">
            <a:avLst>
              <a:gd name="adj" fmla="val 4653"/>
            </a:avLst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86" name="AutoShape 66"/>
          <xdr:cNvSpPr>
            <a:spLocks noChangeArrowheads="1"/>
          </xdr:cNvSpPr>
        </xdr:nvSpPr>
        <xdr:spPr bwMode="auto">
          <a:xfrm>
            <a:off x="3703" y="1915"/>
            <a:ext cx="164" cy="163"/>
          </a:xfrm>
          <a:prstGeom prst="smileyFace">
            <a:avLst>
              <a:gd name="adj" fmla="val 4653"/>
            </a:avLst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87" name="AutoShape 67"/>
          <xdr:cNvSpPr>
            <a:spLocks noChangeArrowheads="1"/>
          </xdr:cNvSpPr>
        </xdr:nvSpPr>
        <xdr:spPr bwMode="auto">
          <a:xfrm>
            <a:off x="3950" y="1996"/>
            <a:ext cx="164" cy="164"/>
          </a:xfrm>
          <a:prstGeom prst="smileyFace">
            <a:avLst>
              <a:gd name="adj" fmla="val 4653"/>
            </a:avLst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88" name="AutoShape 68"/>
          <xdr:cNvSpPr>
            <a:spLocks noChangeArrowheads="1"/>
          </xdr:cNvSpPr>
        </xdr:nvSpPr>
        <xdr:spPr bwMode="auto">
          <a:xfrm>
            <a:off x="4087" y="2131"/>
            <a:ext cx="165" cy="164"/>
          </a:xfrm>
          <a:prstGeom prst="smileyFace">
            <a:avLst>
              <a:gd name="adj" fmla="val 4653"/>
            </a:avLst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89" name="AutoShape 69"/>
          <xdr:cNvSpPr>
            <a:spLocks noChangeArrowheads="1"/>
          </xdr:cNvSpPr>
        </xdr:nvSpPr>
        <xdr:spPr bwMode="auto">
          <a:xfrm>
            <a:off x="4224" y="2267"/>
            <a:ext cx="165" cy="164"/>
          </a:xfrm>
          <a:prstGeom prst="smileyFace">
            <a:avLst>
              <a:gd name="adj" fmla="val 4653"/>
            </a:avLst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90" name="AutoShape 70"/>
          <xdr:cNvSpPr>
            <a:spLocks noChangeArrowheads="1"/>
          </xdr:cNvSpPr>
        </xdr:nvSpPr>
        <xdr:spPr bwMode="auto">
          <a:xfrm>
            <a:off x="4197" y="695"/>
            <a:ext cx="165" cy="162"/>
          </a:xfrm>
          <a:prstGeom prst="smileyFace">
            <a:avLst>
              <a:gd name="adj" fmla="val 4653"/>
            </a:avLst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91" name="AutoShape 71"/>
          <xdr:cNvSpPr>
            <a:spLocks noChangeArrowheads="1"/>
          </xdr:cNvSpPr>
        </xdr:nvSpPr>
        <xdr:spPr bwMode="auto">
          <a:xfrm>
            <a:off x="4334" y="830"/>
            <a:ext cx="165" cy="163"/>
          </a:xfrm>
          <a:prstGeom prst="smileyFace">
            <a:avLst>
              <a:gd name="adj" fmla="val 4653"/>
            </a:avLst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92" name="AutoShape 72"/>
          <xdr:cNvSpPr>
            <a:spLocks noChangeArrowheads="1"/>
          </xdr:cNvSpPr>
        </xdr:nvSpPr>
        <xdr:spPr bwMode="auto">
          <a:xfrm>
            <a:off x="4472" y="966"/>
            <a:ext cx="164" cy="162"/>
          </a:xfrm>
          <a:prstGeom prst="smileyFace">
            <a:avLst>
              <a:gd name="adj" fmla="val 4653"/>
            </a:avLst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93" name="AutoShape 73"/>
          <xdr:cNvSpPr>
            <a:spLocks noChangeArrowheads="1"/>
          </xdr:cNvSpPr>
        </xdr:nvSpPr>
        <xdr:spPr bwMode="auto">
          <a:xfrm>
            <a:off x="4636" y="1056"/>
            <a:ext cx="164" cy="162"/>
          </a:xfrm>
          <a:prstGeom prst="smileyFace">
            <a:avLst>
              <a:gd name="adj" fmla="val 4653"/>
            </a:avLst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94" name="AutoShape 74"/>
          <xdr:cNvSpPr>
            <a:spLocks noChangeArrowheads="1"/>
          </xdr:cNvSpPr>
        </xdr:nvSpPr>
        <xdr:spPr bwMode="auto">
          <a:xfrm>
            <a:off x="4746" y="1237"/>
            <a:ext cx="164" cy="163"/>
          </a:xfrm>
          <a:prstGeom prst="smileyFace">
            <a:avLst>
              <a:gd name="adj" fmla="val 4653"/>
            </a:avLst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95" name="AutoShape 75"/>
          <xdr:cNvSpPr>
            <a:spLocks noChangeArrowheads="1"/>
          </xdr:cNvSpPr>
        </xdr:nvSpPr>
        <xdr:spPr bwMode="auto">
          <a:xfrm>
            <a:off x="4848" y="1392"/>
            <a:ext cx="164" cy="162"/>
          </a:xfrm>
          <a:prstGeom prst="smileyFace">
            <a:avLst>
              <a:gd name="adj" fmla="val 4653"/>
            </a:avLst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96" name="AutoShape 76"/>
          <xdr:cNvSpPr>
            <a:spLocks noChangeArrowheads="1"/>
          </xdr:cNvSpPr>
        </xdr:nvSpPr>
        <xdr:spPr bwMode="auto">
          <a:xfrm>
            <a:off x="5020" y="1508"/>
            <a:ext cx="164" cy="163"/>
          </a:xfrm>
          <a:prstGeom prst="smileyFace">
            <a:avLst>
              <a:gd name="adj" fmla="val 4653"/>
            </a:avLst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97" name="AutoShape 77"/>
          <xdr:cNvSpPr>
            <a:spLocks noChangeArrowheads="1"/>
          </xdr:cNvSpPr>
        </xdr:nvSpPr>
        <xdr:spPr bwMode="auto">
          <a:xfrm>
            <a:off x="5157" y="1644"/>
            <a:ext cx="164" cy="163"/>
          </a:xfrm>
          <a:prstGeom prst="smileyFace">
            <a:avLst>
              <a:gd name="adj" fmla="val 4653"/>
            </a:avLst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98" name="AutoShape 78"/>
          <xdr:cNvSpPr>
            <a:spLocks noChangeArrowheads="1"/>
          </xdr:cNvSpPr>
        </xdr:nvSpPr>
        <xdr:spPr bwMode="auto">
          <a:xfrm>
            <a:off x="5307" y="1806"/>
            <a:ext cx="165" cy="162"/>
          </a:xfrm>
          <a:prstGeom prst="smileyFace">
            <a:avLst>
              <a:gd name="adj" fmla="val 4653"/>
            </a:avLst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199" name="AutoShape 79"/>
          <xdr:cNvSpPr>
            <a:spLocks noChangeArrowheads="1"/>
          </xdr:cNvSpPr>
        </xdr:nvSpPr>
        <xdr:spPr bwMode="auto">
          <a:xfrm>
            <a:off x="4526" y="695"/>
            <a:ext cx="164" cy="162"/>
          </a:xfrm>
          <a:prstGeom prst="smileyFace">
            <a:avLst>
              <a:gd name="adj" fmla="val 4653"/>
            </a:avLst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00" name="AutoShape 80"/>
          <xdr:cNvSpPr>
            <a:spLocks noChangeArrowheads="1"/>
          </xdr:cNvSpPr>
        </xdr:nvSpPr>
        <xdr:spPr bwMode="auto">
          <a:xfrm>
            <a:off x="4663" y="830"/>
            <a:ext cx="164" cy="163"/>
          </a:xfrm>
          <a:prstGeom prst="smileyFace">
            <a:avLst>
              <a:gd name="adj" fmla="val 4653"/>
            </a:avLst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01" name="AutoShape 81"/>
          <xdr:cNvSpPr>
            <a:spLocks noChangeArrowheads="1"/>
          </xdr:cNvSpPr>
        </xdr:nvSpPr>
        <xdr:spPr bwMode="auto">
          <a:xfrm>
            <a:off x="4800" y="966"/>
            <a:ext cx="164" cy="162"/>
          </a:xfrm>
          <a:prstGeom prst="smileyFace">
            <a:avLst>
              <a:gd name="adj" fmla="val 4653"/>
            </a:avLst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02" name="AutoShape 82"/>
          <xdr:cNvSpPr>
            <a:spLocks noChangeArrowheads="1"/>
          </xdr:cNvSpPr>
        </xdr:nvSpPr>
        <xdr:spPr bwMode="auto">
          <a:xfrm>
            <a:off x="4937" y="1102"/>
            <a:ext cx="165" cy="162"/>
          </a:xfrm>
          <a:prstGeom prst="smileyFace">
            <a:avLst>
              <a:gd name="adj" fmla="val 4653"/>
            </a:avLst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03" name="AutoShape 83"/>
          <xdr:cNvSpPr>
            <a:spLocks noChangeArrowheads="1"/>
          </xdr:cNvSpPr>
        </xdr:nvSpPr>
        <xdr:spPr bwMode="auto">
          <a:xfrm>
            <a:off x="4992" y="1277"/>
            <a:ext cx="165" cy="163"/>
          </a:xfrm>
          <a:prstGeom prst="smileyFace">
            <a:avLst>
              <a:gd name="adj" fmla="val 4653"/>
            </a:avLst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04" name="AutoShape 84"/>
          <xdr:cNvSpPr>
            <a:spLocks noChangeArrowheads="1"/>
          </xdr:cNvSpPr>
        </xdr:nvSpPr>
        <xdr:spPr bwMode="auto">
          <a:xfrm>
            <a:off x="5211" y="1373"/>
            <a:ext cx="165" cy="162"/>
          </a:xfrm>
          <a:prstGeom prst="smileyFace">
            <a:avLst>
              <a:gd name="adj" fmla="val 4653"/>
            </a:avLst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05" name="AutoShape 85"/>
          <xdr:cNvSpPr>
            <a:spLocks noChangeArrowheads="1"/>
          </xdr:cNvSpPr>
        </xdr:nvSpPr>
        <xdr:spPr bwMode="auto">
          <a:xfrm>
            <a:off x="5349" y="1508"/>
            <a:ext cx="164" cy="163"/>
          </a:xfrm>
          <a:prstGeom prst="smileyFace">
            <a:avLst>
              <a:gd name="adj" fmla="val 4653"/>
            </a:avLst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06" name="AutoShape 86"/>
          <xdr:cNvSpPr>
            <a:spLocks noChangeArrowheads="1"/>
          </xdr:cNvSpPr>
        </xdr:nvSpPr>
        <xdr:spPr bwMode="auto">
          <a:xfrm>
            <a:off x="5486" y="1644"/>
            <a:ext cx="164" cy="163"/>
          </a:xfrm>
          <a:prstGeom prst="smileyFace">
            <a:avLst>
              <a:gd name="adj" fmla="val 4653"/>
            </a:avLst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07" name="AutoShape 87"/>
          <xdr:cNvSpPr>
            <a:spLocks noChangeArrowheads="1"/>
          </xdr:cNvSpPr>
        </xdr:nvSpPr>
        <xdr:spPr bwMode="auto">
          <a:xfrm>
            <a:off x="4937" y="775"/>
            <a:ext cx="165" cy="164"/>
          </a:xfrm>
          <a:prstGeom prst="smileyFace">
            <a:avLst>
              <a:gd name="adj" fmla="val 4653"/>
            </a:avLst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08" name="AutoShape 88"/>
          <xdr:cNvSpPr>
            <a:spLocks noChangeArrowheads="1"/>
          </xdr:cNvSpPr>
        </xdr:nvSpPr>
        <xdr:spPr bwMode="auto">
          <a:xfrm>
            <a:off x="5074" y="911"/>
            <a:ext cx="165" cy="164"/>
          </a:xfrm>
          <a:prstGeom prst="smileyFace">
            <a:avLst>
              <a:gd name="adj" fmla="val 4653"/>
            </a:avLst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09" name="AutoShape 89"/>
          <xdr:cNvSpPr>
            <a:spLocks noChangeArrowheads="1"/>
          </xdr:cNvSpPr>
        </xdr:nvSpPr>
        <xdr:spPr bwMode="auto">
          <a:xfrm>
            <a:off x="5259" y="1008"/>
            <a:ext cx="165" cy="164"/>
          </a:xfrm>
          <a:prstGeom prst="smileyFace">
            <a:avLst>
              <a:gd name="adj" fmla="val 4653"/>
            </a:avLst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10" name="AutoShape 90"/>
          <xdr:cNvSpPr>
            <a:spLocks noChangeArrowheads="1"/>
          </xdr:cNvSpPr>
        </xdr:nvSpPr>
        <xdr:spPr bwMode="auto">
          <a:xfrm>
            <a:off x="5349" y="1182"/>
            <a:ext cx="164" cy="164"/>
          </a:xfrm>
          <a:prstGeom prst="smileyFace">
            <a:avLst>
              <a:gd name="adj" fmla="val 4653"/>
            </a:avLst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11" name="AutoShape 91"/>
          <xdr:cNvSpPr>
            <a:spLocks noChangeArrowheads="1"/>
          </xdr:cNvSpPr>
        </xdr:nvSpPr>
        <xdr:spPr bwMode="auto">
          <a:xfrm>
            <a:off x="5486" y="1318"/>
            <a:ext cx="164" cy="164"/>
          </a:xfrm>
          <a:prstGeom prst="smileyFace">
            <a:avLst>
              <a:gd name="adj" fmla="val 4653"/>
            </a:avLst>
          </a:prstGeom>
          <a:solidFill>
            <a:srgbClr val="FF66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171450</xdr:colOff>
      <xdr:row>13</xdr:row>
      <xdr:rowOff>57150</xdr:rowOff>
    </xdr:from>
    <xdr:to>
      <xdr:col>10</xdr:col>
      <xdr:colOff>19050</xdr:colOff>
      <xdr:row>17</xdr:row>
      <xdr:rowOff>38100</xdr:rowOff>
    </xdr:to>
    <xdr:grpSp>
      <xdr:nvGrpSpPr>
        <xdr:cNvPr id="5212" name="Group 92"/>
        <xdr:cNvGrpSpPr>
          <a:grpSpLocks/>
        </xdr:cNvGrpSpPr>
      </xdr:nvGrpSpPr>
      <xdr:grpSpPr bwMode="auto">
        <a:xfrm>
          <a:off x="4905375" y="2019300"/>
          <a:ext cx="1066800" cy="628650"/>
          <a:chOff x="4752" y="2928"/>
          <a:chExt cx="1534" cy="1015"/>
        </a:xfrm>
      </xdr:grpSpPr>
      <xdr:sp macro="" textlink="">
        <xdr:nvSpPr>
          <xdr:cNvPr id="5213" name="Freeform 93"/>
          <xdr:cNvSpPr>
            <a:spLocks/>
          </xdr:cNvSpPr>
        </xdr:nvSpPr>
        <xdr:spPr bwMode="auto">
          <a:xfrm>
            <a:off x="4752" y="2928"/>
            <a:ext cx="1534" cy="1015"/>
          </a:xfrm>
          <a:custGeom>
            <a:avLst/>
            <a:gdLst>
              <a:gd name="T0" fmla="*/ 526 w 1364"/>
              <a:gd name="T1" fmla="*/ 41 h 1015"/>
              <a:gd name="T2" fmla="*/ 334 w 1364"/>
              <a:gd name="T3" fmla="*/ 68 h 1015"/>
              <a:gd name="T4" fmla="*/ 252 w 1364"/>
              <a:gd name="T5" fmla="*/ 96 h 1015"/>
              <a:gd name="T6" fmla="*/ 211 w 1364"/>
              <a:gd name="T7" fmla="*/ 110 h 1015"/>
              <a:gd name="T8" fmla="*/ 115 w 1364"/>
              <a:gd name="T9" fmla="*/ 233 h 1015"/>
              <a:gd name="T10" fmla="*/ 101 w 1364"/>
              <a:gd name="T11" fmla="*/ 274 h 1015"/>
              <a:gd name="T12" fmla="*/ 74 w 1364"/>
              <a:gd name="T13" fmla="*/ 302 h 1015"/>
              <a:gd name="T14" fmla="*/ 46 w 1364"/>
              <a:gd name="T15" fmla="*/ 384 h 1015"/>
              <a:gd name="T16" fmla="*/ 33 w 1364"/>
              <a:gd name="T17" fmla="*/ 425 h 1015"/>
              <a:gd name="T18" fmla="*/ 19 w 1364"/>
              <a:gd name="T19" fmla="*/ 466 h 1015"/>
              <a:gd name="T20" fmla="*/ 74 w 1364"/>
              <a:gd name="T21" fmla="*/ 740 h 1015"/>
              <a:gd name="T22" fmla="*/ 238 w 1364"/>
              <a:gd name="T23" fmla="*/ 891 h 1015"/>
              <a:gd name="T24" fmla="*/ 307 w 1364"/>
              <a:gd name="T25" fmla="*/ 932 h 1015"/>
              <a:gd name="T26" fmla="*/ 334 w 1364"/>
              <a:gd name="T27" fmla="*/ 960 h 1015"/>
              <a:gd name="T28" fmla="*/ 677 w 1364"/>
              <a:gd name="T29" fmla="*/ 1015 h 1015"/>
              <a:gd name="T30" fmla="*/ 1075 w 1364"/>
              <a:gd name="T31" fmla="*/ 1001 h 1015"/>
              <a:gd name="T32" fmla="*/ 1116 w 1364"/>
              <a:gd name="T33" fmla="*/ 974 h 1015"/>
              <a:gd name="T34" fmla="*/ 1281 w 1364"/>
              <a:gd name="T35" fmla="*/ 850 h 1015"/>
              <a:gd name="T36" fmla="*/ 1336 w 1364"/>
              <a:gd name="T37" fmla="*/ 699 h 1015"/>
              <a:gd name="T38" fmla="*/ 1212 w 1364"/>
              <a:gd name="T39" fmla="*/ 247 h 1015"/>
              <a:gd name="T40" fmla="*/ 1130 w 1364"/>
              <a:gd name="T41" fmla="*/ 110 h 1015"/>
              <a:gd name="T42" fmla="*/ 1075 w 1364"/>
              <a:gd name="T43" fmla="*/ 27 h 1015"/>
              <a:gd name="T44" fmla="*/ 965 w 1364"/>
              <a:gd name="T45" fmla="*/ 0 h 1015"/>
              <a:gd name="T46" fmla="*/ 526 w 1364"/>
              <a:gd name="T47" fmla="*/ 41 h 10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</a:cxnLst>
            <a:rect l="0" t="0" r="r" b="b"/>
            <a:pathLst>
              <a:path w="1364" h="1015">
                <a:moveTo>
                  <a:pt x="526" y="41"/>
                </a:moveTo>
                <a:cubicBezTo>
                  <a:pt x="389" y="54"/>
                  <a:pt x="416" y="41"/>
                  <a:pt x="334" y="68"/>
                </a:cubicBezTo>
                <a:cubicBezTo>
                  <a:pt x="307" y="77"/>
                  <a:pt x="279" y="87"/>
                  <a:pt x="252" y="96"/>
                </a:cubicBezTo>
                <a:cubicBezTo>
                  <a:pt x="238" y="101"/>
                  <a:pt x="211" y="110"/>
                  <a:pt x="211" y="110"/>
                </a:cubicBezTo>
                <a:cubicBezTo>
                  <a:pt x="168" y="153"/>
                  <a:pt x="158" y="190"/>
                  <a:pt x="115" y="233"/>
                </a:cubicBezTo>
                <a:cubicBezTo>
                  <a:pt x="110" y="247"/>
                  <a:pt x="108" y="262"/>
                  <a:pt x="101" y="274"/>
                </a:cubicBezTo>
                <a:cubicBezTo>
                  <a:pt x="94" y="285"/>
                  <a:pt x="80" y="290"/>
                  <a:pt x="74" y="302"/>
                </a:cubicBezTo>
                <a:cubicBezTo>
                  <a:pt x="61" y="328"/>
                  <a:pt x="55" y="357"/>
                  <a:pt x="46" y="384"/>
                </a:cubicBezTo>
                <a:cubicBezTo>
                  <a:pt x="41" y="398"/>
                  <a:pt x="37" y="411"/>
                  <a:pt x="33" y="425"/>
                </a:cubicBezTo>
                <a:cubicBezTo>
                  <a:pt x="28" y="439"/>
                  <a:pt x="19" y="466"/>
                  <a:pt x="19" y="466"/>
                </a:cubicBezTo>
                <a:cubicBezTo>
                  <a:pt x="26" y="569"/>
                  <a:pt x="0" y="669"/>
                  <a:pt x="74" y="740"/>
                </a:cubicBezTo>
                <a:cubicBezTo>
                  <a:pt x="97" y="808"/>
                  <a:pt x="171" y="870"/>
                  <a:pt x="238" y="891"/>
                </a:cubicBezTo>
                <a:cubicBezTo>
                  <a:pt x="312" y="965"/>
                  <a:pt x="215" y="876"/>
                  <a:pt x="307" y="932"/>
                </a:cubicBezTo>
                <a:cubicBezTo>
                  <a:pt x="318" y="939"/>
                  <a:pt x="322" y="954"/>
                  <a:pt x="334" y="960"/>
                </a:cubicBezTo>
                <a:cubicBezTo>
                  <a:pt x="434" y="1010"/>
                  <a:pt x="574" y="1008"/>
                  <a:pt x="677" y="1015"/>
                </a:cubicBezTo>
                <a:cubicBezTo>
                  <a:pt x="810" y="1010"/>
                  <a:pt x="943" y="1013"/>
                  <a:pt x="1075" y="1001"/>
                </a:cubicBezTo>
                <a:cubicBezTo>
                  <a:pt x="1091" y="999"/>
                  <a:pt x="1102" y="982"/>
                  <a:pt x="1116" y="974"/>
                </a:cubicBezTo>
                <a:cubicBezTo>
                  <a:pt x="1178" y="939"/>
                  <a:pt x="1222" y="890"/>
                  <a:pt x="1281" y="850"/>
                </a:cubicBezTo>
                <a:cubicBezTo>
                  <a:pt x="1315" y="798"/>
                  <a:pt x="1323" y="761"/>
                  <a:pt x="1336" y="699"/>
                </a:cubicBezTo>
                <a:cubicBezTo>
                  <a:pt x="1324" y="453"/>
                  <a:pt x="1364" y="394"/>
                  <a:pt x="1212" y="247"/>
                </a:cubicBezTo>
                <a:cubicBezTo>
                  <a:pt x="1193" y="192"/>
                  <a:pt x="1164" y="158"/>
                  <a:pt x="1130" y="110"/>
                </a:cubicBezTo>
                <a:cubicBezTo>
                  <a:pt x="1111" y="83"/>
                  <a:pt x="1108" y="33"/>
                  <a:pt x="1075" y="27"/>
                </a:cubicBezTo>
                <a:cubicBezTo>
                  <a:pt x="992" y="11"/>
                  <a:pt x="1028" y="22"/>
                  <a:pt x="965" y="0"/>
                </a:cubicBezTo>
                <a:cubicBezTo>
                  <a:pt x="792" y="9"/>
                  <a:pt x="687" y="25"/>
                  <a:pt x="526" y="41"/>
                </a:cubicBezTo>
                <a:close/>
              </a:path>
            </a:pathLst>
          </a:custGeom>
          <a:solidFill>
            <a:srgbClr val="CCFFCC"/>
          </a:solidFill>
          <a:ln w="57150" cmpd="sng">
            <a:solidFill>
              <a:srgbClr val="339966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214" name="AutoShape 94"/>
          <xdr:cNvSpPr>
            <a:spLocks noChangeArrowheads="1"/>
          </xdr:cNvSpPr>
        </xdr:nvSpPr>
        <xdr:spPr bwMode="auto">
          <a:xfrm>
            <a:off x="5501" y="3113"/>
            <a:ext cx="172" cy="173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15" name="AutoShape 95"/>
          <xdr:cNvSpPr>
            <a:spLocks noChangeArrowheads="1"/>
          </xdr:cNvSpPr>
        </xdr:nvSpPr>
        <xdr:spPr bwMode="auto">
          <a:xfrm>
            <a:off x="5299" y="3065"/>
            <a:ext cx="172" cy="173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16" name="AutoShape 96"/>
          <xdr:cNvSpPr>
            <a:spLocks noChangeArrowheads="1"/>
          </xdr:cNvSpPr>
        </xdr:nvSpPr>
        <xdr:spPr bwMode="auto">
          <a:xfrm>
            <a:off x="5721" y="2998"/>
            <a:ext cx="172" cy="173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17" name="AutoShape 97"/>
          <xdr:cNvSpPr>
            <a:spLocks noChangeArrowheads="1"/>
          </xdr:cNvSpPr>
        </xdr:nvSpPr>
        <xdr:spPr bwMode="auto">
          <a:xfrm>
            <a:off x="5577" y="3382"/>
            <a:ext cx="172" cy="173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18" name="AutoShape 98"/>
          <xdr:cNvSpPr>
            <a:spLocks noChangeArrowheads="1"/>
          </xdr:cNvSpPr>
        </xdr:nvSpPr>
        <xdr:spPr bwMode="auto">
          <a:xfrm>
            <a:off x="5673" y="3209"/>
            <a:ext cx="172" cy="173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19" name="AutoShape 99"/>
          <xdr:cNvSpPr>
            <a:spLocks noChangeArrowheads="1"/>
          </xdr:cNvSpPr>
        </xdr:nvSpPr>
        <xdr:spPr bwMode="auto">
          <a:xfrm>
            <a:off x="5817" y="3382"/>
            <a:ext cx="172" cy="173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20" name="AutoShape 100"/>
          <xdr:cNvSpPr>
            <a:spLocks noChangeArrowheads="1"/>
          </xdr:cNvSpPr>
        </xdr:nvSpPr>
        <xdr:spPr bwMode="auto">
          <a:xfrm>
            <a:off x="5913" y="3209"/>
            <a:ext cx="172" cy="173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21" name="AutoShape 101"/>
          <xdr:cNvSpPr>
            <a:spLocks noChangeArrowheads="1"/>
          </xdr:cNvSpPr>
        </xdr:nvSpPr>
        <xdr:spPr bwMode="auto">
          <a:xfrm>
            <a:off x="5069" y="3065"/>
            <a:ext cx="172" cy="173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22" name="AutoShape 102"/>
          <xdr:cNvSpPr>
            <a:spLocks noChangeArrowheads="1"/>
          </xdr:cNvSpPr>
        </xdr:nvSpPr>
        <xdr:spPr bwMode="auto">
          <a:xfrm>
            <a:off x="5145" y="3248"/>
            <a:ext cx="172" cy="173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23" name="AutoShape 103"/>
          <xdr:cNvSpPr>
            <a:spLocks noChangeArrowheads="1"/>
          </xdr:cNvSpPr>
        </xdr:nvSpPr>
        <xdr:spPr bwMode="auto">
          <a:xfrm>
            <a:off x="5097" y="3449"/>
            <a:ext cx="172" cy="173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24" name="AutoShape 104"/>
          <xdr:cNvSpPr>
            <a:spLocks noChangeArrowheads="1"/>
          </xdr:cNvSpPr>
        </xdr:nvSpPr>
        <xdr:spPr bwMode="auto">
          <a:xfrm>
            <a:off x="5357" y="3305"/>
            <a:ext cx="172" cy="173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25" name="AutoShape 105"/>
          <xdr:cNvSpPr>
            <a:spLocks noChangeArrowheads="1"/>
          </xdr:cNvSpPr>
        </xdr:nvSpPr>
        <xdr:spPr bwMode="auto">
          <a:xfrm>
            <a:off x="4925" y="3257"/>
            <a:ext cx="172" cy="173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26" name="AutoShape 106"/>
          <xdr:cNvSpPr>
            <a:spLocks noChangeArrowheads="1"/>
          </xdr:cNvSpPr>
        </xdr:nvSpPr>
        <xdr:spPr bwMode="auto">
          <a:xfrm>
            <a:off x="5481" y="3689"/>
            <a:ext cx="172" cy="173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27" name="AutoShape 107"/>
          <xdr:cNvSpPr>
            <a:spLocks noChangeArrowheads="1"/>
          </xdr:cNvSpPr>
        </xdr:nvSpPr>
        <xdr:spPr bwMode="auto">
          <a:xfrm>
            <a:off x="5673" y="3689"/>
            <a:ext cx="172" cy="173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28" name="AutoShape 108"/>
          <xdr:cNvSpPr>
            <a:spLocks noChangeArrowheads="1"/>
          </xdr:cNvSpPr>
        </xdr:nvSpPr>
        <xdr:spPr bwMode="auto">
          <a:xfrm>
            <a:off x="5269" y="3670"/>
            <a:ext cx="172" cy="173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29" name="AutoShape 109"/>
          <xdr:cNvSpPr>
            <a:spLocks noChangeArrowheads="1"/>
          </xdr:cNvSpPr>
        </xdr:nvSpPr>
        <xdr:spPr bwMode="auto">
          <a:xfrm>
            <a:off x="5385" y="3497"/>
            <a:ext cx="172" cy="173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30" name="AutoShape 110"/>
          <xdr:cNvSpPr>
            <a:spLocks noChangeArrowheads="1"/>
          </xdr:cNvSpPr>
        </xdr:nvSpPr>
        <xdr:spPr bwMode="auto">
          <a:xfrm>
            <a:off x="5049" y="3641"/>
            <a:ext cx="172" cy="173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31" name="AutoShape 111"/>
          <xdr:cNvSpPr>
            <a:spLocks noChangeArrowheads="1"/>
          </xdr:cNvSpPr>
        </xdr:nvSpPr>
        <xdr:spPr bwMode="auto">
          <a:xfrm>
            <a:off x="4905" y="3497"/>
            <a:ext cx="172" cy="173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32" name="AutoShape 112"/>
          <xdr:cNvSpPr>
            <a:spLocks noChangeArrowheads="1"/>
          </xdr:cNvSpPr>
        </xdr:nvSpPr>
        <xdr:spPr bwMode="auto">
          <a:xfrm>
            <a:off x="5721" y="3497"/>
            <a:ext cx="172" cy="173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33" name="AutoShape 113"/>
          <xdr:cNvSpPr>
            <a:spLocks noChangeArrowheads="1"/>
          </xdr:cNvSpPr>
        </xdr:nvSpPr>
        <xdr:spPr bwMode="auto">
          <a:xfrm>
            <a:off x="5885" y="3641"/>
            <a:ext cx="172" cy="173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34" name="AutoShape 114"/>
          <xdr:cNvSpPr>
            <a:spLocks noChangeArrowheads="1"/>
          </xdr:cNvSpPr>
        </xdr:nvSpPr>
        <xdr:spPr bwMode="auto">
          <a:xfrm>
            <a:off x="6029" y="3449"/>
            <a:ext cx="172" cy="173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523875</xdr:colOff>
      <xdr:row>8</xdr:row>
      <xdr:rowOff>133350</xdr:rowOff>
    </xdr:from>
    <xdr:to>
      <xdr:col>10</xdr:col>
      <xdr:colOff>304800</xdr:colOff>
      <xdr:row>15</xdr:row>
      <xdr:rowOff>142875</xdr:rowOff>
    </xdr:to>
    <xdr:sp macro="" textlink="">
      <xdr:nvSpPr>
        <xdr:cNvPr id="5235" name="AutoShape 115"/>
        <xdr:cNvSpPr>
          <a:spLocks noChangeArrowheads="1"/>
        </xdr:cNvSpPr>
      </xdr:nvSpPr>
      <xdr:spPr bwMode="auto">
        <a:xfrm flipH="1">
          <a:off x="5867400" y="1362075"/>
          <a:ext cx="390525" cy="1066800"/>
        </a:xfrm>
        <a:prstGeom prst="curvedRightArrow">
          <a:avLst>
            <a:gd name="adj1" fmla="val 54634"/>
            <a:gd name="adj2" fmla="val 109268"/>
            <a:gd name="adj3" fmla="val 33333"/>
          </a:avLst>
        </a:prstGeom>
        <a:solidFill>
          <a:srgbClr val="00CC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304800</xdr:colOff>
      <xdr:row>2</xdr:row>
      <xdr:rowOff>123825</xdr:rowOff>
    </xdr:from>
    <xdr:to>
      <xdr:col>10</xdr:col>
      <xdr:colOff>238125</xdr:colOff>
      <xdr:row>11</xdr:row>
      <xdr:rowOff>66675</xdr:rowOff>
    </xdr:to>
    <xdr:grpSp>
      <xdr:nvGrpSpPr>
        <xdr:cNvPr id="5236" name="Group 116"/>
        <xdr:cNvGrpSpPr>
          <a:grpSpLocks/>
        </xdr:cNvGrpSpPr>
      </xdr:nvGrpSpPr>
      <xdr:grpSpPr bwMode="auto">
        <a:xfrm>
          <a:off x="4419600" y="381000"/>
          <a:ext cx="1771650" cy="1400175"/>
          <a:chOff x="691" y="1796"/>
          <a:chExt cx="1613" cy="1325"/>
        </a:xfrm>
      </xdr:grpSpPr>
      <xdr:sp macro="" textlink="">
        <xdr:nvSpPr>
          <xdr:cNvPr id="5237" name="Oval 117"/>
          <xdr:cNvSpPr>
            <a:spLocks noChangeArrowheads="1"/>
          </xdr:cNvSpPr>
        </xdr:nvSpPr>
        <xdr:spPr bwMode="auto">
          <a:xfrm>
            <a:off x="691" y="1796"/>
            <a:ext cx="1613" cy="1325"/>
          </a:xfrm>
          <a:prstGeom prst="ellipse">
            <a:avLst/>
          </a:prstGeom>
          <a:solidFill>
            <a:srgbClr val="CCFFFF"/>
          </a:solidFill>
          <a:ln w="222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38" name="AutoShape 118"/>
          <xdr:cNvSpPr>
            <a:spLocks noChangeArrowheads="1"/>
          </xdr:cNvSpPr>
        </xdr:nvSpPr>
        <xdr:spPr bwMode="auto">
          <a:xfrm>
            <a:off x="1094" y="1967"/>
            <a:ext cx="116" cy="115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39" name="AutoShape 119"/>
          <xdr:cNvSpPr>
            <a:spLocks noChangeArrowheads="1"/>
          </xdr:cNvSpPr>
        </xdr:nvSpPr>
        <xdr:spPr bwMode="auto">
          <a:xfrm>
            <a:off x="1210" y="2083"/>
            <a:ext cx="115" cy="115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40" name="AutoShape 120"/>
          <xdr:cNvSpPr>
            <a:spLocks noChangeArrowheads="1"/>
          </xdr:cNvSpPr>
        </xdr:nvSpPr>
        <xdr:spPr bwMode="auto">
          <a:xfrm>
            <a:off x="1382" y="2198"/>
            <a:ext cx="116" cy="116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41" name="AutoShape 121"/>
          <xdr:cNvSpPr>
            <a:spLocks noChangeArrowheads="1"/>
          </xdr:cNvSpPr>
        </xdr:nvSpPr>
        <xdr:spPr bwMode="auto">
          <a:xfrm>
            <a:off x="1325" y="2314"/>
            <a:ext cx="115" cy="115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42" name="AutoShape 122"/>
          <xdr:cNvSpPr>
            <a:spLocks noChangeArrowheads="1"/>
          </xdr:cNvSpPr>
        </xdr:nvSpPr>
        <xdr:spPr bwMode="auto">
          <a:xfrm>
            <a:off x="1478" y="2351"/>
            <a:ext cx="116" cy="115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43" name="AutoShape 123"/>
          <xdr:cNvSpPr>
            <a:spLocks noChangeArrowheads="1"/>
          </xdr:cNvSpPr>
        </xdr:nvSpPr>
        <xdr:spPr bwMode="auto">
          <a:xfrm>
            <a:off x="1498" y="2486"/>
            <a:ext cx="115" cy="116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44" name="AutoShape 124"/>
          <xdr:cNvSpPr>
            <a:spLocks noChangeArrowheads="1"/>
          </xdr:cNvSpPr>
        </xdr:nvSpPr>
        <xdr:spPr bwMode="auto">
          <a:xfrm>
            <a:off x="1670" y="2543"/>
            <a:ext cx="116" cy="115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45" name="AutoShape 125"/>
          <xdr:cNvSpPr>
            <a:spLocks noChangeArrowheads="1"/>
          </xdr:cNvSpPr>
        </xdr:nvSpPr>
        <xdr:spPr bwMode="auto">
          <a:xfrm>
            <a:off x="922" y="2141"/>
            <a:ext cx="115" cy="115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46" name="AutoShape 126"/>
          <xdr:cNvSpPr>
            <a:spLocks noChangeArrowheads="1"/>
          </xdr:cNvSpPr>
        </xdr:nvSpPr>
        <xdr:spPr bwMode="auto">
          <a:xfrm>
            <a:off x="1018" y="2237"/>
            <a:ext cx="115" cy="115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47" name="AutoShape 127"/>
          <xdr:cNvSpPr>
            <a:spLocks noChangeArrowheads="1"/>
          </xdr:cNvSpPr>
        </xdr:nvSpPr>
        <xdr:spPr bwMode="auto">
          <a:xfrm>
            <a:off x="1152" y="2256"/>
            <a:ext cx="115" cy="115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48" name="AutoShape 128"/>
          <xdr:cNvSpPr>
            <a:spLocks noChangeArrowheads="1"/>
          </xdr:cNvSpPr>
        </xdr:nvSpPr>
        <xdr:spPr bwMode="auto">
          <a:xfrm>
            <a:off x="1210" y="2429"/>
            <a:ext cx="115" cy="115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49" name="AutoShape 129"/>
          <xdr:cNvSpPr>
            <a:spLocks noChangeArrowheads="1"/>
          </xdr:cNvSpPr>
        </xdr:nvSpPr>
        <xdr:spPr bwMode="auto">
          <a:xfrm>
            <a:off x="1306" y="2525"/>
            <a:ext cx="115" cy="115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50" name="AutoShape 130"/>
          <xdr:cNvSpPr>
            <a:spLocks noChangeArrowheads="1"/>
          </xdr:cNvSpPr>
        </xdr:nvSpPr>
        <xdr:spPr bwMode="auto">
          <a:xfrm>
            <a:off x="1402" y="2621"/>
            <a:ext cx="115" cy="115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51" name="AutoShape 131"/>
          <xdr:cNvSpPr>
            <a:spLocks noChangeArrowheads="1"/>
          </xdr:cNvSpPr>
        </xdr:nvSpPr>
        <xdr:spPr bwMode="auto">
          <a:xfrm>
            <a:off x="1498" y="2717"/>
            <a:ext cx="115" cy="115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52" name="AutoShape 132"/>
          <xdr:cNvSpPr>
            <a:spLocks noChangeArrowheads="1"/>
          </xdr:cNvSpPr>
        </xdr:nvSpPr>
        <xdr:spPr bwMode="auto">
          <a:xfrm>
            <a:off x="1267" y="1853"/>
            <a:ext cx="115" cy="115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53" name="AutoShape 133"/>
          <xdr:cNvSpPr>
            <a:spLocks noChangeArrowheads="1"/>
          </xdr:cNvSpPr>
        </xdr:nvSpPr>
        <xdr:spPr bwMode="auto">
          <a:xfrm>
            <a:off x="1382" y="2026"/>
            <a:ext cx="116" cy="115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54" name="AutoShape 134"/>
          <xdr:cNvSpPr>
            <a:spLocks noChangeArrowheads="1"/>
          </xdr:cNvSpPr>
        </xdr:nvSpPr>
        <xdr:spPr bwMode="auto">
          <a:xfrm>
            <a:off x="1555" y="1968"/>
            <a:ext cx="115" cy="115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55" name="AutoShape 135"/>
          <xdr:cNvSpPr>
            <a:spLocks noChangeArrowheads="1"/>
          </xdr:cNvSpPr>
        </xdr:nvSpPr>
        <xdr:spPr bwMode="auto">
          <a:xfrm>
            <a:off x="1555" y="2141"/>
            <a:ext cx="115" cy="115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56" name="AutoShape 136"/>
          <xdr:cNvSpPr>
            <a:spLocks noChangeArrowheads="1"/>
          </xdr:cNvSpPr>
        </xdr:nvSpPr>
        <xdr:spPr bwMode="auto">
          <a:xfrm>
            <a:off x="1651" y="2237"/>
            <a:ext cx="115" cy="115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57" name="AutoShape 137"/>
          <xdr:cNvSpPr>
            <a:spLocks noChangeArrowheads="1"/>
          </xdr:cNvSpPr>
        </xdr:nvSpPr>
        <xdr:spPr bwMode="auto">
          <a:xfrm>
            <a:off x="1613" y="2371"/>
            <a:ext cx="115" cy="115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58" name="AutoShape 138"/>
          <xdr:cNvSpPr>
            <a:spLocks noChangeArrowheads="1"/>
          </xdr:cNvSpPr>
        </xdr:nvSpPr>
        <xdr:spPr bwMode="auto">
          <a:xfrm>
            <a:off x="1786" y="2429"/>
            <a:ext cx="115" cy="115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59" name="AutoShape 139"/>
          <xdr:cNvSpPr>
            <a:spLocks noChangeArrowheads="1"/>
          </xdr:cNvSpPr>
        </xdr:nvSpPr>
        <xdr:spPr bwMode="auto">
          <a:xfrm>
            <a:off x="1939" y="2525"/>
            <a:ext cx="115" cy="115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60" name="AutoShape 140"/>
          <xdr:cNvSpPr>
            <a:spLocks noChangeArrowheads="1"/>
          </xdr:cNvSpPr>
        </xdr:nvSpPr>
        <xdr:spPr bwMode="auto">
          <a:xfrm>
            <a:off x="2035" y="2621"/>
            <a:ext cx="115" cy="115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61" name="AutoShape 141"/>
          <xdr:cNvSpPr>
            <a:spLocks noChangeArrowheads="1"/>
          </xdr:cNvSpPr>
        </xdr:nvSpPr>
        <xdr:spPr bwMode="auto">
          <a:xfrm>
            <a:off x="1901" y="2717"/>
            <a:ext cx="115" cy="115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62" name="AutoShape 142"/>
          <xdr:cNvSpPr>
            <a:spLocks noChangeArrowheads="1"/>
          </xdr:cNvSpPr>
        </xdr:nvSpPr>
        <xdr:spPr bwMode="auto">
          <a:xfrm>
            <a:off x="806" y="2256"/>
            <a:ext cx="116" cy="115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63" name="AutoShape 143"/>
          <xdr:cNvSpPr>
            <a:spLocks noChangeArrowheads="1"/>
          </xdr:cNvSpPr>
        </xdr:nvSpPr>
        <xdr:spPr bwMode="auto">
          <a:xfrm>
            <a:off x="902" y="2352"/>
            <a:ext cx="116" cy="115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64" name="AutoShape 144"/>
          <xdr:cNvSpPr>
            <a:spLocks noChangeArrowheads="1"/>
          </xdr:cNvSpPr>
        </xdr:nvSpPr>
        <xdr:spPr bwMode="auto">
          <a:xfrm>
            <a:off x="998" y="2448"/>
            <a:ext cx="116" cy="115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65" name="AutoShape 145"/>
          <xdr:cNvSpPr>
            <a:spLocks noChangeArrowheads="1"/>
          </xdr:cNvSpPr>
        </xdr:nvSpPr>
        <xdr:spPr bwMode="auto">
          <a:xfrm>
            <a:off x="1094" y="2544"/>
            <a:ext cx="116" cy="115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66" name="AutoShape 146"/>
          <xdr:cNvSpPr>
            <a:spLocks noChangeArrowheads="1"/>
          </xdr:cNvSpPr>
        </xdr:nvSpPr>
        <xdr:spPr bwMode="auto">
          <a:xfrm>
            <a:off x="1190" y="2640"/>
            <a:ext cx="116" cy="115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67" name="AutoShape 147"/>
          <xdr:cNvSpPr>
            <a:spLocks noChangeArrowheads="1"/>
          </xdr:cNvSpPr>
        </xdr:nvSpPr>
        <xdr:spPr bwMode="auto">
          <a:xfrm>
            <a:off x="1210" y="2774"/>
            <a:ext cx="115" cy="116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68" name="AutoShape 148"/>
          <xdr:cNvSpPr>
            <a:spLocks noChangeArrowheads="1"/>
          </xdr:cNvSpPr>
        </xdr:nvSpPr>
        <xdr:spPr bwMode="auto">
          <a:xfrm>
            <a:off x="1382" y="2832"/>
            <a:ext cx="116" cy="115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69" name="AutoShape 149"/>
          <xdr:cNvSpPr>
            <a:spLocks noChangeArrowheads="1"/>
          </xdr:cNvSpPr>
        </xdr:nvSpPr>
        <xdr:spPr bwMode="auto">
          <a:xfrm>
            <a:off x="1478" y="2928"/>
            <a:ext cx="116" cy="115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70" name="AutoShape 150"/>
          <xdr:cNvSpPr>
            <a:spLocks noChangeArrowheads="1"/>
          </xdr:cNvSpPr>
        </xdr:nvSpPr>
        <xdr:spPr bwMode="auto">
          <a:xfrm>
            <a:off x="1594" y="2813"/>
            <a:ext cx="115" cy="115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71" name="AutoShape 151"/>
          <xdr:cNvSpPr>
            <a:spLocks noChangeArrowheads="1"/>
          </xdr:cNvSpPr>
        </xdr:nvSpPr>
        <xdr:spPr bwMode="auto">
          <a:xfrm>
            <a:off x="1690" y="2909"/>
            <a:ext cx="115" cy="115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72" name="AutoShape 152"/>
          <xdr:cNvSpPr>
            <a:spLocks noChangeArrowheads="1"/>
          </xdr:cNvSpPr>
        </xdr:nvSpPr>
        <xdr:spPr bwMode="auto">
          <a:xfrm>
            <a:off x="1766" y="2639"/>
            <a:ext cx="116" cy="115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73" name="AutoShape 153"/>
          <xdr:cNvSpPr>
            <a:spLocks noChangeArrowheads="1"/>
          </xdr:cNvSpPr>
        </xdr:nvSpPr>
        <xdr:spPr bwMode="auto">
          <a:xfrm>
            <a:off x="1728" y="2774"/>
            <a:ext cx="115" cy="116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74" name="AutoShape 154"/>
          <xdr:cNvSpPr>
            <a:spLocks noChangeArrowheads="1"/>
          </xdr:cNvSpPr>
        </xdr:nvSpPr>
        <xdr:spPr bwMode="auto">
          <a:xfrm>
            <a:off x="1440" y="1853"/>
            <a:ext cx="115" cy="115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75" name="AutoShape 155"/>
          <xdr:cNvSpPr>
            <a:spLocks noChangeArrowheads="1"/>
          </xdr:cNvSpPr>
        </xdr:nvSpPr>
        <xdr:spPr bwMode="auto">
          <a:xfrm>
            <a:off x="1670" y="2026"/>
            <a:ext cx="116" cy="115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76" name="AutoShape 156"/>
          <xdr:cNvSpPr>
            <a:spLocks noChangeArrowheads="1"/>
          </xdr:cNvSpPr>
        </xdr:nvSpPr>
        <xdr:spPr bwMode="auto">
          <a:xfrm>
            <a:off x="1747" y="2160"/>
            <a:ext cx="115" cy="115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77" name="AutoShape 157"/>
          <xdr:cNvSpPr>
            <a:spLocks noChangeArrowheads="1"/>
          </xdr:cNvSpPr>
        </xdr:nvSpPr>
        <xdr:spPr bwMode="auto">
          <a:xfrm>
            <a:off x="1728" y="1910"/>
            <a:ext cx="115" cy="116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78" name="AutoShape 158"/>
          <xdr:cNvSpPr>
            <a:spLocks noChangeArrowheads="1"/>
          </xdr:cNvSpPr>
        </xdr:nvSpPr>
        <xdr:spPr bwMode="auto">
          <a:xfrm>
            <a:off x="1843" y="2026"/>
            <a:ext cx="115" cy="115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79" name="AutoShape 159"/>
          <xdr:cNvSpPr>
            <a:spLocks noChangeArrowheads="1"/>
          </xdr:cNvSpPr>
        </xdr:nvSpPr>
        <xdr:spPr bwMode="auto">
          <a:xfrm>
            <a:off x="1939" y="2122"/>
            <a:ext cx="115" cy="115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80" name="AutoShape 160"/>
          <xdr:cNvSpPr>
            <a:spLocks noChangeArrowheads="1"/>
          </xdr:cNvSpPr>
        </xdr:nvSpPr>
        <xdr:spPr bwMode="auto">
          <a:xfrm>
            <a:off x="2035" y="2218"/>
            <a:ext cx="115" cy="115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81" name="AutoShape 161"/>
          <xdr:cNvSpPr>
            <a:spLocks noChangeArrowheads="1"/>
          </xdr:cNvSpPr>
        </xdr:nvSpPr>
        <xdr:spPr bwMode="auto">
          <a:xfrm>
            <a:off x="1843" y="2256"/>
            <a:ext cx="115" cy="115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82" name="AutoShape 162"/>
          <xdr:cNvSpPr>
            <a:spLocks noChangeArrowheads="1"/>
          </xdr:cNvSpPr>
        </xdr:nvSpPr>
        <xdr:spPr bwMode="auto">
          <a:xfrm>
            <a:off x="1939" y="2352"/>
            <a:ext cx="115" cy="115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83" name="AutoShape 163"/>
          <xdr:cNvSpPr>
            <a:spLocks noChangeArrowheads="1"/>
          </xdr:cNvSpPr>
        </xdr:nvSpPr>
        <xdr:spPr bwMode="auto">
          <a:xfrm>
            <a:off x="2035" y="2448"/>
            <a:ext cx="115" cy="115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84" name="AutoShape 164"/>
          <xdr:cNvSpPr>
            <a:spLocks noChangeArrowheads="1"/>
          </xdr:cNvSpPr>
        </xdr:nvSpPr>
        <xdr:spPr bwMode="auto">
          <a:xfrm>
            <a:off x="2131" y="2371"/>
            <a:ext cx="115" cy="115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85" name="AutoShape 165"/>
          <xdr:cNvSpPr>
            <a:spLocks noChangeArrowheads="1"/>
          </xdr:cNvSpPr>
        </xdr:nvSpPr>
        <xdr:spPr bwMode="auto">
          <a:xfrm>
            <a:off x="749" y="2429"/>
            <a:ext cx="115" cy="115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86" name="AutoShape 166"/>
          <xdr:cNvSpPr>
            <a:spLocks noChangeArrowheads="1"/>
          </xdr:cNvSpPr>
        </xdr:nvSpPr>
        <xdr:spPr bwMode="auto">
          <a:xfrm>
            <a:off x="845" y="2525"/>
            <a:ext cx="115" cy="115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87" name="AutoShape 167"/>
          <xdr:cNvSpPr>
            <a:spLocks noChangeArrowheads="1"/>
          </xdr:cNvSpPr>
        </xdr:nvSpPr>
        <xdr:spPr bwMode="auto">
          <a:xfrm>
            <a:off x="941" y="2621"/>
            <a:ext cx="115" cy="115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88" name="AutoShape 168"/>
          <xdr:cNvSpPr>
            <a:spLocks noChangeArrowheads="1"/>
          </xdr:cNvSpPr>
        </xdr:nvSpPr>
        <xdr:spPr bwMode="auto">
          <a:xfrm>
            <a:off x="1037" y="2717"/>
            <a:ext cx="115" cy="115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89" name="AutoShape 169"/>
          <xdr:cNvSpPr>
            <a:spLocks noChangeArrowheads="1"/>
          </xdr:cNvSpPr>
        </xdr:nvSpPr>
        <xdr:spPr bwMode="auto">
          <a:xfrm>
            <a:off x="806" y="2659"/>
            <a:ext cx="116" cy="115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90" name="AutoShape 170"/>
          <xdr:cNvSpPr>
            <a:spLocks noChangeArrowheads="1"/>
          </xdr:cNvSpPr>
        </xdr:nvSpPr>
        <xdr:spPr bwMode="auto">
          <a:xfrm>
            <a:off x="902" y="2755"/>
            <a:ext cx="116" cy="115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91" name="AutoShape 171"/>
          <xdr:cNvSpPr>
            <a:spLocks noChangeArrowheads="1"/>
          </xdr:cNvSpPr>
        </xdr:nvSpPr>
        <xdr:spPr bwMode="auto">
          <a:xfrm>
            <a:off x="1094" y="2890"/>
            <a:ext cx="116" cy="115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92" name="AutoShape 172"/>
          <xdr:cNvSpPr>
            <a:spLocks noChangeArrowheads="1"/>
          </xdr:cNvSpPr>
        </xdr:nvSpPr>
        <xdr:spPr bwMode="auto">
          <a:xfrm>
            <a:off x="1267" y="2947"/>
            <a:ext cx="115" cy="115"/>
          </a:xfrm>
          <a:prstGeom prst="smileyFace">
            <a:avLst>
              <a:gd name="adj" fmla="val 4653"/>
            </a:avLst>
          </a:prstGeom>
          <a:solidFill>
            <a:srgbClr val="00FF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8</xdr:col>
      <xdr:colOff>447675</xdr:colOff>
      <xdr:row>39</xdr:row>
      <xdr:rowOff>19050</xdr:rowOff>
    </xdr:from>
    <xdr:to>
      <xdr:col>10</xdr:col>
      <xdr:colOff>419100</xdr:colOff>
      <xdr:row>44</xdr:row>
      <xdr:rowOff>0</xdr:rowOff>
    </xdr:to>
    <xdr:pic>
      <xdr:nvPicPr>
        <xdr:cNvPr id="5294" name="Picture 174" descr="cemeq_logo_cop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6191250"/>
          <a:ext cx="119062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571500</xdr:colOff>
      <xdr:row>31</xdr:row>
      <xdr:rowOff>57150</xdr:rowOff>
    </xdr:from>
    <xdr:to>
      <xdr:col>11</xdr:col>
      <xdr:colOff>533400</xdr:colOff>
      <xdr:row>36</xdr:row>
      <xdr:rowOff>142875</xdr:rowOff>
    </xdr:to>
    <xdr:pic>
      <xdr:nvPicPr>
        <xdr:cNvPr id="18433" name="Picture 1" descr="cemeq_logo_cop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675" y="5153025"/>
          <a:ext cx="1400175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381000</xdr:colOff>
      <xdr:row>31</xdr:row>
      <xdr:rowOff>142875</xdr:rowOff>
    </xdr:from>
    <xdr:to>
      <xdr:col>13</xdr:col>
      <xdr:colOff>428625</xdr:colOff>
      <xdr:row>37</xdr:row>
      <xdr:rowOff>152400</xdr:rowOff>
    </xdr:to>
    <xdr:pic>
      <xdr:nvPicPr>
        <xdr:cNvPr id="20481" name="Picture 1" descr="cemeq_logo_cop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5086350"/>
          <a:ext cx="1400175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514350</xdr:colOff>
      <xdr:row>34</xdr:row>
      <xdr:rowOff>0</xdr:rowOff>
    </xdr:from>
    <xdr:to>
      <xdr:col>12</xdr:col>
      <xdr:colOff>561975</xdr:colOff>
      <xdr:row>39</xdr:row>
      <xdr:rowOff>104775</xdr:rowOff>
    </xdr:to>
    <xdr:pic>
      <xdr:nvPicPr>
        <xdr:cNvPr id="22529" name="Picture 1" descr="cemeq_logo_cop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5372100"/>
          <a:ext cx="1400175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28575</xdr:colOff>
      <xdr:row>33</xdr:row>
      <xdr:rowOff>76200</xdr:rowOff>
    </xdr:from>
    <xdr:to>
      <xdr:col>26</xdr:col>
      <xdr:colOff>0</xdr:colOff>
      <xdr:row>39</xdr:row>
      <xdr:rowOff>76200</xdr:rowOff>
    </xdr:to>
    <xdr:pic>
      <xdr:nvPicPr>
        <xdr:cNvPr id="21505" name="Picture 1" descr="cemeq_logo_cop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6300" y="5372100"/>
          <a:ext cx="1400175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23</xdr:row>
      <xdr:rowOff>104775</xdr:rowOff>
    </xdr:from>
    <xdr:to>
      <xdr:col>8</xdr:col>
      <xdr:colOff>219075</xdr:colOff>
      <xdr:row>28</xdr:row>
      <xdr:rowOff>85725</xdr:rowOff>
    </xdr:to>
    <xdr:pic>
      <xdr:nvPicPr>
        <xdr:cNvPr id="6145" name="Picture 1" descr="cemeq_logo_cop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3943350"/>
          <a:ext cx="119062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95250</xdr:colOff>
      <xdr:row>19</xdr:row>
      <xdr:rowOff>47625</xdr:rowOff>
    </xdr:from>
    <xdr:to>
      <xdr:col>15</xdr:col>
      <xdr:colOff>66675</xdr:colOff>
      <xdr:row>24</xdr:row>
      <xdr:rowOff>19050</xdr:rowOff>
    </xdr:to>
    <xdr:pic>
      <xdr:nvPicPr>
        <xdr:cNvPr id="2" name="Picture 1" descr="cemeq_logo_cop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3181350"/>
          <a:ext cx="119062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485775</xdr:colOff>
      <xdr:row>24</xdr:row>
      <xdr:rowOff>95250</xdr:rowOff>
    </xdr:from>
    <xdr:to>
      <xdr:col>6</xdr:col>
      <xdr:colOff>561975</xdr:colOff>
      <xdr:row>29</xdr:row>
      <xdr:rowOff>76200</xdr:rowOff>
    </xdr:to>
    <xdr:pic>
      <xdr:nvPicPr>
        <xdr:cNvPr id="9217" name="Picture 1" descr="cemeq_logo_cop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4076700"/>
          <a:ext cx="119062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28</xdr:row>
      <xdr:rowOff>47625</xdr:rowOff>
    </xdr:from>
    <xdr:to>
      <xdr:col>6</xdr:col>
      <xdr:colOff>323850</xdr:colOff>
      <xdr:row>33</xdr:row>
      <xdr:rowOff>28575</xdr:rowOff>
    </xdr:to>
    <xdr:pic>
      <xdr:nvPicPr>
        <xdr:cNvPr id="11265" name="Picture 1" descr="cemeq_logo_cop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4514850"/>
          <a:ext cx="119062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29</xdr:row>
      <xdr:rowOff>47625</xdr:rowOff>
    </xdr:from>
    <xdr:to>
      <xdr:col>6</xdr:col>
      <xdr:colOff>323850</xdr:colOff>
      <xdr:row>34</xdr:row>
      <xdr:rowOff>28575</xdr:rowOff>
    </xdr:to>
    <xdr:pic>
      <xdr:nvPicPr>
        <xdr:cNvPr id="19457" name="Picture 1" descr="cemeq_logo_cop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4676775"/>
          <a:ext cx="119062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20</xdr:row>
      <xdr:rowOff>47625</xdr:rowOff>
    </xdr:from>
    <xdr:to>
      <xdr:col>6</xdr:col>
      <xdr:colOff>352425</xdr:colOff>
      <xdr:row>25</xdr:row>
      <xdr:rowOff>28575</xdr:rowOff>
    </xdr:to>
    <xdr:pic>
      <xdr:nvPicPr>
        <xdr:cNvPr id="10241" name="Picture 1" descr="cemeq_logo_cop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3362325"/>
          <a:ext cx="119062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200025</xdr:colOff>
      <xdr:row>13</xdr:row>
      <xdr:rowOff>152400</xdr:rowOff>
    </xdr:from>
    <xdr:to>
      <xdr:col>14</xdr:col>
      <xdr:colOff>219075</xdr:colOff>
      <xdr:row>18</xdr:row>
      <xdr:rowOff>104318</xdr:rowOff>
    </xdr:to>
    <xdr:pic>
      <xdr:nvPicPr>
        <xdr:cNvPr id="2" name="Picture 1" descr="cemeq_logo_cop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695575"/>
          <a:ext cx="1362075" cy="9044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200025</xdr:colOff>
      <xdr:row>36</xdr:row>
      <xdr:rowOff>9525</xdr:rowOff>
    </xdr:from>
    <xdr:to>
      <xdr:col>8</xdr:col>
      <xdr:colOff>171450</xdr:colOff>
      <xdr:row>40</xdr:row>
      <xdr:rowOff>152400</xdr:rowOff>
    </xdr:to>
    <xdr:pic>
      <xdr:nvPicPr>
        <xdr:cNvPr id="7169" name="Picture 1" descr="cemeq_logo_cop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5819775"/>
          <a:ext cx="119062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438150</xdr:colOff>
      <xdr:row>14</xdr:row>
      <xdr:rowOff>85725</xdr:rowOff>
    </xdr:from>
    <xdr:to>
      <xdr:col>7</xdr:col>
      <xdr:colOff>428625</xdr:colOff>
      <xdr:row>19</xdr:row>
      <xdr:rowOff>28575</xdr:rowOff>
    </xdr:to>
    <xdr:pic>
      <xdr:nvPicPr>
        <xdr:cNvPr id="12289" name="Picture 1" descr="cemeq_logo_cop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1375" y="2409825"/>
          <a:ext cx="119062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666750</xdr:colOff>
      <xdr:row>3</xdr:row>
      <xdr:rowOff>66675</xdr:rowOff>
    </xdr:from>
    <xdr:to>
      <xdr:col>7</xdr:col>
      <xdr:colOff>504825</xdr:colOff>
      <xdr:row>11</xdr:row>
      <xdr:rowOff>47625</xdr:rowOff>
    </xdr:to>
    <xdr:pic>
      <xdr:nvPicPr>
        <xdr:cNvPr id="2049" name="Picture 1" descr="cemeq_logo_cop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581025"/>
          <a:ext cx="1981200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161925</xdr:rowOff>
        </xdr:from>
        <xdr:to>
          <xdr:col>5</xdr:col>
          <xdr:colOff>600075</xdr:colOff>
          <xdr:row>11</xdr:row>
          <xdr:rowOff>152400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20</xdr:row>
          <xdr:rowOff>152400</xdr:rowOff>
        </xdr:from>
        <xdr:to>
          <xdr:col>6</xdr:col>
          <xdr:colOff>304800</xdr:colOff>
          <xdr:row>24</xdr:row>
          <xdr:rowOff>38100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11</xdr:col>
      <xdr:colOff>523875</xdr:colOff>
      <xdr:row>27</xdr:row>
      <xdr:rowOff>9525</xdr:rowOff>
    </xdr:from>
    <xdr:to>
      <xdr:col>13</xdr:col>
      <xdr:colOff>495300</xdr:colOff>
      <xdr:row>31</xdr:row>
      <xdr:rowOff>152400</xdr:rowOff>
    </xdr:to>
    <xdr:pic>
      <xdr:nvPicPr>
        <xdr:cNvPr id="3078" name="Picture 6" descr="cemeq_logo_cop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0" y="4514850"/>
          <a:ext cx="119062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9</xdr:row>
          <xdr:rowOff>0</xdr:rowOff>
        </xdr:from>
        <xdr:to>
          <xdr:col>13</xdr:col>
          <xdr:colOff>0</xdr:colOff>
          <xdr:row>12</xdr:row>
          <xdr:rowOff>28575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20</xdr:row>
          <xdr:rowOff>142875</xdr:rowOff>
        </xdr:from>
        <xdr:to>
          <xdr:col>13</xdr:col>
          <xdr:colOff>304800</xdr:colOff>
          <xdr:row>24</xdr:row>
          <xdr:rowOff>38100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8</xdr:row>
          <xdr:rowOff>142875</xdr:rowOff>
        </xdr:from>
        <xdr:to>
          <xdr:col>5</xdr:col>
          <xdr:colOff>466725</xdr:colOff>
          <xdr:row>11</xdr:row>
          <xdr:rowOff>114300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19</xdr:row>
          <xdr:rowOff>142875</xdr:rowOff>
        </xdr:from>
        <xdr:to>
          <xdr:col>5</xdr:col>
          <xdr:colOff>581025</xdr:colOff>
          <xdr:row>23</xdr:row>
          <xdr:rowOff>19050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6</xdr:col>
      <xdr:colOff>438150</xdr:colOff>
      <xdr:row>18</xdr:row>
      <xdr:rowOff>66675</xdr:rowOff>
    </xdr:from>
    <xdr:to>
      <xdr:col>8</xdr:col>
      <xdr:colOff>409575</xdr:colOff>
      <xdr:row>23</xdr:row>
      <xdr:rowOff>19050</xdr:rowOff>
    </xdr:to>
    <xdr:pic>
      <xdr:nvPicPr>
        <xdr:cNvPr id="4099" name="Picture 3" descr="cemeq_logo_cop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3086100"/>
          <a:ext cx="119062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30</xdr:row>
      <xdr:rowOff>95250</xdr:rowOff>
    </xdr:from>
    <xdr:to>
      <xdr:col>12</xdr:col>
      <xdr:colOff>219075</xdr:colOff>
      <xdr:row>35</xdr:row>
      <xdr:rowOff>57150</xdr:rowOff>
    </xdr:to>
    <xdr:pic>
      <xdr:nvPicPr>
        <xdr:cNvPr id="14337" name="Picture 1" descr="cemeq_logo_cop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5" y="5029200"/>
          <a:ext cx="119062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514350</xdr:colOff>
      <xdr:row>30</xdr:row>
      <xdr:rowOff>104775</xdr:rowOff>
    </xdr:from>
    <xdr:to>
      <xdr:col>12</xdr:col>
      <xdr:colOff>238125</xdr:colOff>
      <xdr:row>35</xdr:row>
      <xdr:rowOff>66675</xdr:rowOff>
    </xdr:to>
    <xdr:pic>
      <xdr:nvPicPr>
        <xdr:cNvPr id="15361" name="Picture 1" descr="cemeq_logo_cop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5" y="5038725"/>
          <a:ext cx="119062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4.emf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6.emf"/><Relationship Id="rId5" Type="http://schemas.openxmlformats.org/officeDocument/2006/relationships/image" Target="../media/image3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5.emf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8.emf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6.bin"/><Relationship Id="rId5" Type="http://schemas.openxmlformats.org/officeDocument/2006/relationships/image" Target="../media/image7.emf"/><Relationship Id="rId4" Type="http://schemas.openxmlformats.org/officeDocument/2006/relationships/oleObject" Target="../embeddings/oleObject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K38"/>
  <sheetViews>
    <sheetView showRowColHeaders="0" workbookViewId="0">
      <selection activeCell="D6" sqref="D6"/>
    </sheetView>
  </sheetViews>
  <sheetFormatPr defaultRowHeight="12.75" x14ac:dyDescent="0.2"/>
  <cols>
    <col min="1" max="1" width="5.7109375" customWidth="1"/>
    <col min="2" max="2" width="13" customWidth="1"/>
    <col min="5" max="5" width="20.5703125" bestFit="1" customWidth="1"/>
    <col min="6" max="6" width="16" customWidth="1"/>
    <col min="8" max="11" width="9.140625" style="30"/>
  </cols>
  <sheetData>
    <row r="1" spans="1:11" ht="13.5" thickBot="1" x14ac:dyDescent="0.25">
      <c r="A1" s="26"/>
      <c r="B1" s="26"/>
      <c r="C1" s="26"/>
      <c r="D1" s="26"/>
      <c r="E1" s="26"/>
      <c r="F1" s="26"/>
      <c r="G1" s="26"/>
      <c r="H1" s="26"/>
      <c r="I1" s="33"/>
      <c r="J1" s="33"/>
      <c r="K1" s="33"/>
    </row>
    <row r="2" spans="1:11" ht="13.5" thickBot="1" x14ac:dyDescent="0.25">
      <c r="A2" s="26"/>
      <c r="B2" s="43" t="s">
        <v>32</v>
      </c>
      <c r="C2" s="44"/>
      <c r="D2" s="45"/>
      <c r="E2" s="26"/>
      <c r="F2" s="26"/>
      <c r="G2" s="26"/>
      <c r="H2" s="26"/>
      <c r="I2" s="33"/>
      <c r="J2" s="33"/>
      <c r="K2" s="33"/>
    </row>
    <row r="3" spans="1:11" x14ac:dyDescent="0.2">
      <c r="A3" s="26"/>
      <c r="B3" s="26"/>
      <c r="C3" s="26"/>
      <c r="D3" s="26"/>
      <c r="E3" s="26"/>
      <c r="F3" s="26"/>
      <c r="G3" s="26"/>
      <c r="H3" s="26"/>
      <c r="I3" s="33"/>
      <c r="J3" s="33"/>
      <c r="K3" s="33"/>
    </row>
    <row r="4" spans="1:11" x14ac:dyDescent="0.2">
      <c r="A4" s="26"/>
      <c r="B4" s="26"/>
      <c r="C4" s="26"/>
      <c r="D4" s="26"/>
      <c r="E4" s="26"/>
      <c r="F4" s="26"/>
      <c r="G4" s="26"/>
      <c r="H4" s="26"/>
      <c r="I4" s="33"/>
      <c r="J4" s="33"/>
      <c r="K4" s="33"/>
    </row>
    <row r="5" spans="1:11" ht="13.5" thickBot="1" x14ac:dyDescent="0.25">
      <c r="A5" s="26"/>
      <c r="B5" s="26"/>
      <c r="C5" s="27" t="s">
        <v>0</v>
      </c>
      <c r="D5" s="27" t="s">
        <v>1</v>
      </c>
      <c r="E5" s="26"/>
      <c r="F5" s="26"/>
      <c r="G5" s="26"/>
      <c r="H5" s="26"/>
      <c r="I5" s="33">
        <f>C8/D8</f>
        <v>0.5</v>
      </c>
      <c r="J5" s="34">
        <f>1/I5</f>
        <v>2</v>
      </c>
      <c r="K5" s="33"/>
    </row>
    <row r="6" spans="1:11" x14ac:dyDescent="0.2">
      <c r="A6" s="26"/>
      <c r="B6" s="28" t="s">
        <v>2</v>
      </c>
      <c r="C6" s="46">
        <v>14</v>
      </c>
      <c r="D6" s="47">
        <v>95</v>
      </c>
      <c r="E6" s="26"/>
      <c r="F6" s="26"/>
      <c r="G6" s="26"/>
      <c r="H6" s="26"/>
      <c r="I6" s="33">
        <f>INT(I5)</f>
        <v>0</v>
      </c>
      <c r="J6" s="33">
        <f>INT(J5)</f>
        <v>2</v>
      </c>
      <c r="K6" s="33"/>
    </row>
    <row r="7" spans="1:11" ht="13.5" thickBot="1" x14ac:dyDescent="0.25">
      <c r="A7" s="26"/>
      <c r="B7" s="28" t="s">
        <v>3</v>
      </c>
      <c r="C7" s="48">
        <v>53</v>
      </c>
      <c r="D7" s="49">
        <v>39</v>
      </c>
      <c r="E7" s="26"/>
      <c r="F7" s="26"/>
      <c r="G7" s="26"/>
      <c r="H7" s="26"/>
      <c r="I7" s="35" t="str">
        <f>IF(I5=I6,IF(I5&gt;=1,CONCATENATE(I5," : 1"),"erro"),IF(1/I5=J6,IF(J5&gt;=1,CONCATENATE("1 : ",J6),"erro"),CONCATENATE("1 : ",ROUND(J5,2))))</f>
        <v>1 : 2</v>
      </c>
      <c r="J7" s="33"/>
      <c r="K7" s="33"/>
    </row>
    <row r="8" spans="1:11" x14ac:dyDescent="0.2">
      <c r="A8" s="26"/>
      <c r="B8" s="28" t="s">
        <v>4</v>
      </c>
      <c r="C8" s="26">
        <f>SUM(C6:C7)</f>
        <v>67</v>
      </c>
      <c r="D8" s="26">
        <f>SUM(D6:D7)</f>
        <v>134</v>
      </c>
      <c r="E8" s="26"/>
      <c r="F8" s="26"/>
      <c r="G8" s="26"/>
      <c r="H8" s="26"/>
      <c r="I8" s="35" t="str">
        <f>IF(I5&gt;=1,CONCATENATE(ROUND(I5,2)," : 1"),CONCATENATE("1 : ",ROUND(J5,2)))</f>
        <v>1 : 2</v>
      </c>
      <c r="J8" s="33"/>
      <c r="K8" s="33"/>
    </row>
    <row r="9" spans="1:11" x14ac:dyDescent="0.2">
      <c r="A9" s="26"/>
      <c r="B9" s="26"/>
      <c r="C9" s="26"/>
      <c r="D9" s="26"/>
      <c r="E9" s="26"/>
      <c r="F9" s="26"/>
      <c r="G9" s="26"/>
      <c r="H9" s="26"/>
      <c r="I9" s="33"/>
      <c r="J9" s="33"/>
      <c r="K9" s="33"/>
    </row>
    <row r="10" spans="1:11" x14ac:dyDescent="0.2">
      <c r="A10" s="26"/>
      <c r="B10" s="26"/>
      <c r="C10" s="26"/>
      <c r="D10" s="26"/>
      <c r="E10" s="26"/>
      <c r="F10" s="26"/>
      <c r="G10" s="26"/>
      <c r="H10" s="26"/>
      <c r="I10" s="33"/>
      <c r="J10" s="33"/>
      <c r="K10" s="33"/>
    </row>
    <row r="11" spans="1:11" ht="13.5" thickBot="1" x14ac:dyDescent="0.25">
      <c r="A11" s="26"/>
      <c r="B11" s="26"/>
      <c r="C11" s="27" t="s">
        <v>0</v>
      </c>
      <c r="D11" s="27" t="s">
        <v>1</v>
      </c>
      <c r="E11" s="26"/>
      <c r="F11" s="26"/>
      <c r="G11" s="26"/>
      <c r="H11" s="26"/>
      <c r="I11" s="33"/>
      <c r="J11" s="33"/>
      <c r="K11" s="33"/>
    </row>
    <row r="12" spans="1:11" x14ac:dyDescent="0.2">
      <c r="A12" s="26"/>
      <c r="B12" s="28" t="s">
        <v>2</v>
      </c>
      <c r="C12" s="6">
        <f>C6/C8</f>
        <v>0.20895522388059701</v>
      </c>
      <c r="D12" s="7">
        <f>D6/D8</f>
        <v>0.70895522388059706</v>
      </c>
      <c r="E12" s="26"/>
      <c r="F12" s="31" t="s">
        <v>22</v>
      </c>
      <c r="G12" s="26"/>
      <c r="H12" s="26"/>
      <c r="I12" s="33"/>
      <c r="J12" s="33"/>
      <c r="K12" s="33"/>
    </row>
    <row r="13" spans="1:11" ht="13.5" thickBot="1" x14ac:dyDescent="0.25">
      <c r="A13" s="26"/>
      <c r="B13" s="28" t="s">
        <v>3</v>
      </c>
      <c r="C13" s="8">
        <f>C7/C8</f>
        <v>0.79104477611940294</v>
      </c>
      <c r="D13" s="9">
        <f>D7/D8</f>
        <v>0.29104477611940299</v>
      </c>
      <c r="E13" s="26"/>
      <c r="F13" s="31" t="s">
        <v>23</v>
      </c>
      <c r="G13" s="26"/>
      <c r="H13" s="26"/>
      <c r="I13" s="33"/>
      <c r="J13" s="33"/>
      <c r="K13" s="33"/>
    </row>
    <row r="14" spans="1:11" x14ac:dyDescent="0.2">
      <c r="A14" s="26"/>
      <c r="B14" s="28" t="s">
        <v>4</v>
      </c>
      <c r="C14" s="29">
        <f>SUM(C12:C13)</f>
        <v>1</v>
      </c>
      <c r="D14" s="29">
        <f>SUM(D12:D13)</f>
        <v>1</v>
      </c>
      <c r="E14" s="26"/>
      <c r="F14" s="32" t="s">
        <v>25</v>
      </c>
      <c r="G14" s="26"/>
      <c r="H14" s="26"/>
      <c r="I14" s="33"/>
      <c r="J14" s="33"/>
      <c r="K14" s="33"/>
    </row>
    <row r="15" spans="1:11" x14ac:dyDescent="0.2">
      <c r="A15" s="26"/>
      <c r="B15" s="26"/>
      <c r="C15" s="26"/>
      <c r="D15" s="26"/>
      <c r="E15" s="26"/>
      <c r="F15" s="26"/>
      <c r="G15" s="26"/>
      <c r="H15" s="26"/>
      <c r="I15" s="33"/>
      <c r="J15" s="33"/>
      <c r="K15" s="33"/>
    </row>
    <row r="16" spans="1:11" ht="13.5" thickBot="1" x14ac:dyDescent="0.25">
      <c r="A16" s="26"/>
      <c r="B16" s="26"/>
      <c r="C16" s="26"/>
      <c r="D16" s="26"/>
      <c r="E16" s="26"/>
      <c r="F16" s="26"/>
      <c r="G16" s="26"/>
      <c r="H16" s="26"/>
      <c r="I16" s="33"/>
      <c r="J16" s="33"/>
      <c r="K16" s="33"/>
    </row>
    <row r="17" spans="1:11" x14ac:dyDescent="0.2">
      <c r="A17" s="26"/>
      <c r="B17" s="1" t="s">
        <v>5</v>
      </c>
      <c r="C17" s="4">
        <f>C8</f>
        <v>67</v>
      </c>
      <c r="D17" s="26"/>
      <c r="E17" s="1" t="s">
        <v>9</v>
      </c>
      <c r="F17" s="13"/>
      <c r="G17" s="26"/>
      <c r="H17" s="26"/>
      <c r="I17" s="33"/>
      <c r="J17" s="33"/>
      <c r="K17" s="33"/>
    </row>
    <row r="18" spans="1:11" x14ac:dyDescent="0.2">
      <c r="A18" s="26"/>
      <c r="B18" s="2" t="s">
        <v>6</v>
      </c>
      <c r="C18" s="11">
        <f>D8</f>
        <v>134</v>
      </c>
      <c r="D18" s="26"/>
      <c r="E18" s="2" t="s">
        <v>15</v>
      </c>
      <c r="F18" s="14">
        <f>(C20*(C6*D7-D6*C7)^2)/(C8*D8*(C6+D6)*(C7+D7))</f>
        <v>44.988482249700837</v>
      </c>
      <c r="G18" s="26"/>
      <c r="H18" s="26"/>
      <c r="I18" s="33"/>
      <c r="J18" s="33"/>
      <c r="K18" s="33"/>
    </row>
    <row r="19" spans="1:11" x14ac:dyDescent="0.2">
      <c r="A19" s="26"/>
      <c r="B19" s="2" t="s">
        <v>16</v>
      </c>
      <c r="C19" s="19" t="str">
        <f>I8</f>
        <v>1 : 2</v>
      </c>
      <c r="D19" s="26"/>
      <c r="E19" s="2" t="s">
        <v>11</v>
      </c>
      <c r="F19" s="11">
        <v>1</v>
      </c>
      <c r="G19" s="26"/>
      <c r="H19" s="26"/>
      <c r="I19" s="33"/>
      <c r="J19" s="33"/>
      <c r="K19" s="33"/>
    </row>
    <row r="20" spans="1:11" ht="13.5" thickBot="1" x14ac:dyDescent="0.25">
      <c r="A20" s="26"/>
      <c r="B20" s="3" t="s">
        <v>7</v>
      </c>
      <c r="C20" s="5">
        <f>C17+C18</f>
        <v>201</v>
      </c>
      <c r="D20" s="26"/>
      <c r="E20" s="2" t="s">
        <v>10</v>
      </c>
      <c r="F20" s="51">
        <v>0.05</v>
      </c>
      <c r="G20" s="26"/>
      <c r="H20" s="26"/>
      <c r="I20" s="33"/>
      <c r="J20" s="33"/>
      <c r="K20" s="33"/>
    </row>
    <row r="21" spans="1:11" ht="13.5" thickBot="1" x14ac:dyDescent="0.25">
      <c r="A21" s="26"/>
      <c r="B21" s="26"/>
      <c r="C21" s="26"/>
      <c r="D21" s="26"/>
      <c r="E21" s="2" t="s">
        <v>12</v>
      </c>
      <c r="F21" s="14">
        <f>CHIINV(F20,F19)</f>
        <v>3.8414588206941236</v>
      </c>
      <c r="G21" s="26"/>
      <c r="H21" s="26"/>
      <c r="I21" s="33"/>
      <c r="J21" s="33"/>
      <c r="K21" s="33"/>
    </row>
    <row r="22" spans="1:11" x14ac:dyDescent="0.2">
      <c r="A22" s="26"/>
      <c r="B22" s="20" t="s">
        <v>8</v>
      </c>
      <c r="C22" s="21">
        <f>(C6*D7)/(C7*D6)</f>
        <v>0.10844091360476664</v>
      </c>
      <c r="D22" s="26"/>
      <c r="E22" s="2" t="s">
        <v>13</v>
      </c>
      <c r="F22" s="18" t="str">
        <f>IF(CHIDIST(F18,F19)&gt;=0.001,CHIDIST(F18,F19),"menor que 0,001")</f>
        <v>menor que 0,001</v>
      </c>
      <c r="G22" s="26"/>
      <c r="H22" s="26"/>
      <c r="I22" s="33"/>
      <c r="J22" s="33"/>
      <c r="K22" s="33"/>
    </row>
    <row r="23" spans="1:11" ht="13.5" thickBot="1" x14ac:dyDescent="0.25">
      <c r="A23" s="26"/>
      <c r="B23" s="3" t="s">
        <v>17</v>
      </c>
      <c r="C23" s="15">
        <f>1/C22</f>
        <v>9.2216117216117208</v>
      </c>
      <c r="D23" s="26"/>
      <c r="E23" s="3" t="s">
        <v>14</v>
      </c>
      <c r="F23" s="17" t="str">
        <f>IF(F18&gt;F21,"Rejeitamos H0","Não rejeitamos H0")</f>
        <v>Rejeitamos H0</v>
      </c>
      <c r="G23" s="26"/>
      <c r="H23" s="26"/>
      <c r="I23" s="33"/>
      <c r="J23" s="33"/>
      <c r="K23" s="33"/>
    </row>
    <row r="24" spans="1:11" ht="13.5" thickBot="1" x14ac:dyDescent="0.25">
      <c r="A24" s="26"/>
      <c r="B24" s="26"/>
      <c r="C24" s="26"/>
      <c r="D24" s="26"/>
      <c r="E24" s="26"/>
      <c r="F24" s="26"/>
      <c r="G24" s="26"/>
      <c r="H24" s="26"/>
      <c r="I24" s="33"/>
      <c r="J24" s="33"/>
      <c r="K24" s="33"/>
    </row>
    <row r="25" spans="1:11" x14ac:dyDescent="0.2">
      <c r="A25" s="26"/>
      <c r="B25" s="1" t="s">
        <v>18</v>
      </c>
      <c r="C25" s="22"/>
      <c r="D25" s="22"/>
      <c r="E25" s="21">
        <f>LN(C22)</f>
        <v>-2.2215498294077576</v>
      </c>
      <c r="F25" s="26"/>
      <c r="G25" s="26"/>
      <c r="H25" s="26"/>
      <c r="I25" s="33"/>
      <c r="J25" s="33"/>
      <c r="K25" s="33"/>
    </row>
    <row r="26" spans="1:11" x14ac:dyDescent="0.2">
      <c r="A26" s="26"/>
      <c r="B26" s="2" t="s">
        <v>24</v>
      </c>
      <c r="C26" s="16"/>
      <c r="D26" s="16"/>
      <c r="E26" s="23">
        <f>SQRT(1/C6+1/D6+1/C7+1/D7)</f>
        <v>0.35561754370021259</v>
      </c>
      <c r="F26" s="26"/>
      <c r="G26" s="26"/>
      <c r="H26" s="26"/>
      <c r="I26" s="33">
        <f>EXP(E25-I29*E26)</f>
        <v>5.4012087907440852E-2</v>
      </c>
      <c r="J26" s="33"/>
      <c r="K26" s="33"/>
    </row>
    <row r="27" spans="1:11" x14ac:dyDescent="0.2">
      <c r="A27" s="26"/>
      <c r="B27" s="2" t="s">
        <v>20</v>
      </c>
      <c r="C27" s="16"/>
      <c r="D27" s="16"/>
      <c r="E27" s="50">
        <v>0.95</v>
      </c>
      <c r="F27" s="524"/>
      <c r="G27" s="524"/>
      <c r="H27" s="524"/>
      <c r="I27" s="33">
        <f>EXP(E25+I29*E26)</f>
        <v>0.21771851818778609</v>
      </c>
      <c r="J27" s="33"/>
      <c r="K27" s="33"/>
    </row>
    <row r="28" spans="1:11" x14ac:dyDescent="0.2">
      <c r="A28" s="26"/>
      <c r="B28" s="36" t="s">
        <v>8</v>
      </c>
      <c r="C28" s="16"/>
      <c r="D28" s="16"/>
      <c r="E28" s="37">
        <f>C22</f>
        <v>0.10844091360476664</v>
      </c>
      <c r="F28" s="524"/>
      <c r="G28" s="524"/>
      <c r="H28" s="524"/>
      <c r="I28" s="33"/>
      <c r="J28" s="33"/>
      <c r="K28" s="33"/>
    </row>
    <row r="29" spans="1:11" ht="13.5" thickBot="1" x14ac:dyDescent="0.25">
      <c r="A29" s="26"/>
      <c r="B29" s="3" t="s">
        <v>21</v>
      </c>
      <c r="C29" s="24"/>
      <c r="D29" s="25">
        <f>E27</f>
        <v>0.95</v>
      </c>
      <c r="E29" s="17" t="str">
        <f>CONCATENATE("( ",ROUND(I26,2)," ; ",ROUND(I27,2)," )")</f>
        <v>( 0,05 ; 0,22 )</v>
      </c>
      <c r="F29" s="524"/>
      <c r="G29" s="524"/>
      <c r="H29" s="524"/>
      <c r="I29" s="33">
        <f>NORMSINV((1+E27)/2)</f>
        <v>1.9599639845400536</v>
      </c>
      <c r="J29" s="33"/>
      <c r="K29" s="33"/>
    </row>
    <row r="30" spans="1:11" ht="13.5" thickBot="1" x14ac:dyDescent="0.25">
      <c r="A30" s="26"/>
      <c r="B30" s="26"/>
      <c r="C30" s="26"/>
      <c r="D30" s="26"/>
      <c r="E30" s="26"/>
      <c r="F30" s="524"/>
      <c r="G30" s="524"/>
      <c r="H30" s="524"/>
      <c r="I30" s="33"/>
      <c r="J30" s="33"/>
      <c r="K30" s="33"/>
    </row>
    <row r="31" spans="1:11" x14ac:dyDescent="0.2">
      <c r="A31" s="26"/>
      <c r="B31" s="1" t="s">
        <v>319</v>
      </c>
      <c r="C31" s="77"/>
      <c r="D31" s="523"/>
      <c r="E31" s="483">
        <f>(C6*D7-D6*C7)/(D7*(C6+C7))</f>
        <v>-1.7179487179487178</v>
      </c>
      <c r="F31" s="524"/>
      <c r="G31" s="524"/>
      <c r="H31" s="524"/>
    </row>
    <row r="32" spans="1:11" ht="13.5" thickBot="1" x14ac:dyDescent="0.25">
      <c r="A32" s="26"/>
      <c r="B32" s="3" t="s">
        <v>21</v>
      </c>
      <c r="C32" s="24"/>
      <c r="D32" s="25">
        <f>E27</f>
        <v>0.95</v>
      </c>
      <c r="E32" s="17" t="str">
        <f>CONCATENATE("( ",ROUND(G32,4)," ; ",ROUND(G33,4)," )")</f>
        <v>( -7,8866 ; -0,8188 )</v>
      </c>
      <c r="F32" s="524">
        <f>I29*D7*D8/(C6*D8-D6*C8)*SQRT(C6/(C7*C8)+D6/(D7*D8))</f>
        <v>-0.33936667522588176</v>
      </c>
      <c r="G32" s="524">
        <f>1/(1+(1-E31)/E31*EXP(F32))</f>
        <v>-7.8865725213222992</v>
      </c>
      <c r="H32" s="524"/>
    </row>
    <row r="33" spans="1:8" ht="13.5" thickBot="1" x14ac:dyDescent="0.25">
      <c r="A33" s="26"/>
      <c r="B33" s="26"/>
      <c r="C33" s="26"/>
      <c r="D33" s="26"/>
      <c r="E33" s="26"/>
      <c r="F33" s="524"/>
      <c r="G33" s="524">
        <f>1/(1+(1-E31)/E31*EXP(-F32))</f>
        <v>-0.81876905192161908</v>
      </c>
      <c r="H33" s="524"/>
    </row>
    <row r="34" spans="1:8" x14ac:dyDescent="0.2">
      <c r="A34" s="26"/>
      <c r="B34" s="484" t="s">
        <v>40</v>
      </c>
      <c r="C34" s="485"/>
      <c r="D34" s="485"/>
      <c r="E34" s="486"/>
      <c r="F34" s="524"/>
      <c r="G34" s="524"/>
      <c r="H34" s="524"/>
    </row>
    <row r="35" spans="1:8" x14ac:dyDescent="0.2">
      <c r="A35" s="26"/>
      <c r="B35" s="525" t="s">
        <v>320</v>
      </c>
      <c r="C35" s="488"/>
      <c r="D35" s="488"/>
      <c r="E35" s="489"/>
      <c r="F35" s="26"/>
      <c r="G35" s="26"/>
      <c r="H35" s="26"/>
    </row>
    <row r="36" spans="1:8" ht="13.5" thickBot="1" x14ac:dyDescent="0.25">
      <c r="A36" s="26"/>
      <c r="B36" s="490" t="s">
        <v>321</v>
      </c>
      <c r="C36" s="491"/>
      <c r="D36" s="491"/>
      <c r="E36" s="492"/>
      <c r="F36" s="26"/>
      <c r="G36" s="26"/>
      <c r="H36" s="26"/>
    </row>
    <row r="37" spans="1:8" x14ac:dyDescent="0.2">
      <c r="A37" s="26"/>
      <c r="B37" s="26"/>
      <c r="C37" s="26"/>
      <c r="D37" s="26"/>
      <c r="E37" s="26"/>
      <c r="F37" s="26"/>
      <c r="G37" s="26"/>
      <c r="H37" s="26"/>
    </row>
    <row r="38" spans="1:8" x14ac:dyDescent="0.2">
      <c r="A38" s="26"/>
      <c r="B38" s="26"/>
      <c r="C38" s="26"/>
      <c r="D38" s="26"/>
      <c r="E38" s="26"/>
      <c r="F38" s="26"/>
      <c r="G38" s="26"/>
      <c r="H38" s="26"/>
    </row>
  </sheetData>
  <sheetProtection password="EA04" sheet="1" objects="1" scenarios="1" selectLockedCells="1"/>
  <phoneticPr fontId="4" type="noConversion"/>
  <pageMargins left="0.54" right="0.46" top="0.984251969" bottom="0.984251969" header="0.49212598499999999" footer="0.49212598499999999"/>
  <pageSetup orientation="portrait" horizontalDpi="200" verticalDpi="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/>
  <dimension ref="A1:I24"/>
  <sheetViews>
    <sheetView showRowColHeaders="0" workbookViewId="0">
      <selection activeCell="F3" sqref="F3"/>
    </sheetView>
  </sheetViews>
  <sheetFormatPr defaultRowHeight="12.75" x14ac:dyDescent="0.2"/>
  <cols>
    <col min="1" max="1" width="4" customWidth="1"/>
    <col min="2" max="2" width="9.7109375" customWidth="1"/>
    <col min="3" max="3" width="10" customWidth="1"/>
    <col min="4" max="5" width="9.42578125" customWidth="1"/>
    <col min="7" max="7" width="8.85546875" customWidth="1"/>
    <col min="9" max="9" width="5" customWidth="1"/>
  </cols>
  <sheetData>
    <row r="1" spans="1:9" ht="13.5" thickBot="1" x14ac:dyDescent="0.25">
      <c r="A1" s="26"/>
      <c r="B1" s="26"/>
      <c r="C1" s="26"/>
      <c r="D1" s="26"/>
      <c r="E1" s="26"/>
      <c r="F1" s="26"/>
      <c r="G1" s="26"/>
      <c r="H1" s="26"/>
      <c r="I1" s="26"/>
    </row>
    <row r="2" spans="1:9" x14ac:dyDescent="0.2">
      <c r="A2" s="26"/>
      <c r="B2" s="10" t="s">
        <v>169</v>
      </c>
      <c r="C2" s="38"/>
      <c r="D2" s="38"/>
      <c r="E2" s="4"/>
      <c r="F2" s="26"/>
      <c r="G2" s="26"/>
      <c r="H2" s="26"/>
      <c r="I2" s="26"/>
    </row>
    <row r="3" spans="1:9" x14ac:dyDescent="0.2">
      <c r="A3" s="26"/>
      <c r="B3" s="56" t="s">
        <v>157</v>
      </c>
      <c r="C3" s="57"/>
      <c r="D3" s="57"/>
      <c r="E3" s="11"/>
      <c r="F3" s="26"/>
      <c r="G3" s="26"/>
      <c r="H3" s="26"/>
      <c r="I3" s="26"/>
    </row>
    <row r="4" spans="1:9" ht="13.5" thickBot="1" x14ac:dyDescent="0.25">
      <c r="A4" s="26"/>
      <c r="B4" s="222" t="s">
        <v>170</v>
      </c>
      <c r="C4" s="39"/>
      <c r="D4" s="39"/>
      <c r="E4" s="5"/>
      <c r="F4" s="26"/>
      <c r="G4" s="26"/>
      <c r="H4" s="26"/>
      <c r="I4" s="26"/>
    </row>
    <row r="5" spans="1:9" ht="13.5" thickBot="1" x14ac:dyDescent="0.25">
      <c r="A5" s="26"/>
      <c r="B5" s="26"/>
      <c r="C5" s="26"/>
      <c r="D5" s="26"/>
      <c r="E5" s="26"/>
      <c r="F5" s="26"/>
      <c r="G5" s="26"/>
      <c r="H5" s="26"/>
      <c r="I5" s="26"/>
    </row>
    <row r="6" spans="1:9" x14ac:dyDescent="0.2">
      <c r="A6" s="26"/>
      <c r="B6" s="216" t="s">
        <v>159</v>
      </c>
      <c r="C6" s="38"/>
      <c r="D6" s="38"/>
      <c r="E6" s="38"/>
      <c r="F6" s="38"/>
      <c r="G6" s="4"/>
      <c r="H6" s="26"/>
      <c r="I6" s="26"/>
    </row>
    <row r="7" spans="1:9" x14ac:dyDescent="0.2">
      <c r="A7" s="26"/>
      <c r="B7" s="217" t="s">
        <v>171</v>
      </c>
      <c r="C7" s="57"/>
      <c r="D7" s="57"/>
      <c r="E7" s="57"/>
      <c r="F7" s="57"/>
      <c r="G7" s="11"/>
      <c r="H7" s="26"/>
      <c r="I7" s="26"/>
    </row>
    <row r="8" spans="1:9" ht="13.5" thickBot="1" x14ac:dyDescent="0.25">
      <c r="A8" s="26"/>
      <c r="B8" s="218" t="s">
        <v>172</v>
      </c>
      <c r="C8" s="39"/>
      <c r="D8" s="39"/>
      <c r="E8" s="39"/>
      <c r="F8" s="39"/>
      <c r="G8" s="5"/>
      <c r="H8" s="26"/>
      <c r="I8" s="26"/>
    </row>
    <row r="9" spans="1:9" ht="13.5" thickBot="1" x14ac:dyDescent="0.25">
      <c r="A9" s="26"/>
      <c r="B9" s="26"/>
      <c r="C9" s="26"/>
      <c r="D9" s="26"/>
      <c r="E9" s="26"/>
      <c r="F9" s="26"/>
      <c r="G9" s="26"/>
      <c r="H9" s="26"/>
      <c r="I9" s="26"/>
    </row>
    <row r="10" spans="1:9" x14ac:dyDescent="0.2">
      <c r="A10" s="26"/>
      <c r="B10" s="1" t="s">
        <v>162</v>
      </c>
      <c r="C10" s="22"/>
      <c r="D10" s="47">
        <v>0.45</v>
      </c>
      <c r="E10" s="26"/>
      <c r="F10" s="26"/>
      <c r="G10" s="26"/>
      <c r="H10" s="26"/>
      <c r="I10" s="26"/>
    </row>
    <row r="11" spans="1:9" x14ac:dyDescent="0.2">
      <c r="A11" s="26"/>
      <c r="B11" s="2" t="s">
        <v>173</v>
      </c>
      <c r="C11" s="219"/>
      <c r="D11" s="51">
        <v>1.5</v>
      </c>
      <c r="E11" s="26"/>
      <c r="F11" s="26"/>
      <c r="G11" s="26"/>
      <c r="H11" s="26"/>
      <c r="I11" s="26"/>
    </row>
    <row r="12" spans="1:9" x14ac:dyDescent="0.2">
      <c r="A12" s="26"/>
      <c r="B12" s="2" t="s">
        <v>164</v>
      </c>
      <c r="C12" s="16"/>
      <c r="D12" s="212">
        <v>0.1</v>
      </c>
      <c r="E12" s="26"/>
      <c r="F12" s="26"/>
      <c r="G12" s="26"/>
      <c r="H12" s="26"/>
      <c r="I12" s="26"/>
    </row>
    <row r="13" spans="1:9" ht="13.5" thickBot="1" x14ac:dyDescent="0.25">
      <c r="A13" s="26"/>
      <c r="B13" s="3" t="s">
        <v>165</v>
      </c>
      <c r="C13" s="54"/>
      <c r="D13" s="84">
        <v>0.95</v>
      </c>
      <c r="E13" s="26"/>
      <c r="F13" s="26"/>
      <c r="G13" s="26"/>
      <c r="H13" s="26"/>
      <c r="I13" s="26"/>
    </row>
    <row r="14" spans="1:9" ht="13.5" thickBot="1" x14ac:dyDescent="0.25">
      <c r="A14" s="26"/>
      <c r="B14" s="26"/>
      <c r="C14" s="26"/>
      <c r="D14" s="26"/>
      <c r="E14" s="26"/>
      <c r="F14" s="26"/>
      <c r="G14" s="26"/>
      <c r="H14" s="26"/>
      <c r="I14" s="26"/>
    </row>
    <row r="15" spans="1:9" ht="13.5" thickBot="1" x14ac:dyDescent="0.25">
      <c r="A15" s="26"/>
      <c r="B15" s="67" t="s">
        <v>166</v>
      </c>
      <c r="C15" s="68"/>
      <c r="D15" s="220">
        <f>D11*D10</f>
        <v>0.67500000000000004</v>
      </c>
      <c r="E15" s="26"/>
      <c r="F15" s="26"/>
      <c r="G15" s="26"/>
      <c r="H15" s="26"/>
      <c r="I15" s="26"/>
    </row>
    <row r="16" spans="1:9" ht="13.5" thickBot="1" x14ac:dyDescent="0.25">
      <c r="A16" s="26"/>
      <c r="B16" s="26"/>
      <c r="C16" s="26"/>
      <c r="D16" s="26"/>
      <c r="E16" s="26"/>
      <c r="F16" s="26"/>
      <c r="G16" s="26"/>
      <c r="H16" s="26"/>
      <c r="I16" s="26"/>
    </row>
    <row r="17" spans="1:9" ht="13.5" thickBot="1" x14ac:dyDescent="0.25">
      <c r="A17" s="26"/>
      <c r="B17" s="221" t="s">
        <v>167</v>
      </c>
      <c r="C17" s="68"/>
      <c r="D17" s="53">
        <f>ROUNDUP(NORMSINV((1+D13)/2)*NORMSINV((1+D13)/2)*((1-D10)/D10+(1-D15)/D15)/(LN(1-D12)*LN(1-D12)),0)</f>
        <v>590</v>
      </c>
      <c r="E17" s="26"/>
      <c r="F17" s="26"/>
      <c r="G17" s="26"/>
      <c r="H17" s="26"/>
      <c r="I17" s="26"/>
    </row>
    <row r="18" spans="1:9" x14ac:dyDescent="0.2">
      <c r="A18" s="26"/>
      <c r="B18" s="26"/>
      <c r="C18" s="26"/>
      <c r="D18" s="26"/>
      <c r="E18" s="26"/>
      <c r="F18" s="26"/>
      <c r="G18" s="26"/>
      <c r="H18" s="26"/>
      <c r="I18" s="26"/>
    </row>
    <row r="19" spans="1:9" x14ac:dyDescent="0.2">
      <c r="A19" s="26"/>
      <c r="B19" s="26"/>
      <c r="C19" s="26"/>
      <c r="D19" s="26"/>
      <c r="E19" s="26"/>
      <c r="F19" s="26"/>
      <c r="G19" s="26"/>
      <c r="H19" s="26"/>
      <c r="I19" s="26"/>
    </row>
    <row r="20" spans="1:9" ht="13.5" thickBot="1" x14ac:dyDescent="0.25">
      <c r="A20" s="26"/>
      <c r="B20" s="26"/>
      <c r="C20" s="26"/>
      <c r="D20" s="26"/>
      <c r="E20" s="26"/>
      <c r="F20" s="26"/>
      <c r="G20" s="26"/>
      <c r="H20" s="26"/>
      <c r="I20" s="26"/>
    </row>
    <row r="21" spans="1:9" x14ac:dyDescent="0.2">
      <c r="A21" s="26"/>
      <c r="B21" s="10" t="s">
        <v>40</v>
      </c>
      <c r="C21" s="38"/>
      <c r="D21" s="38"/>
      <c r="E21" s="38"/>
      <c r="F21" s="38"/>
      <c r="G21" s="38"/>
      <c r="H21" s="4"/>
      <c r="I21" s="26"/>
    </row>
    <row r="22" spans="1:9" x14ac:dyDescent="0.2">
      <c r="A22" s="26"/>
      <c r="B22" s="56" t="s">
        <v>232</v>
      </c>
      <c r="C22" s="57"/>
      <c r="D22" s="57"/>
      <c r="E22" s="57"/>
      <c r="F22" s="57"/>
      <c r="G22" s="57"/>
      <c r="H22" s="11"/>
      <c r="I22" s="26"/>
    </row>
    <row r="23" spans="1:9" ht="13.5" thickBot="1" x14ac:dyDescent="0.25">
      <c r="A23" s="26"/>
      <c r="B23" s="58" t="s">
        <v>233</v>
      </c>
      <c r="C23" s="39"/>
      <c r="D23" s="39"/>
      <c r="E23" s="39"/>
      <c r="F23" s="39"/>
      <c r="G23" s="39"/>
      <c r="H23" s="5"/>
      <c r="I23" s="26"/>
    </row>
    <row r="24" spans="1:9" x14ac:dyDescent="0.2">
      <c r="A24" s="26"/>
      <c r="B24" s="26"/>
      <c r="C24" s="26"/>
      <c r="D24" s="26"/>
      <c r="E24" s="26"/>
      <c r="F24" s="26"/>
      <c r="G24" s="26"/>
      <c r="H24" s="26"/>
      <c r="I24" s="26"/>
    </row>
  </sheetData>
  <sheetProtection password="EA44" sheet="1" objects="1" scenarios="1" selectLockedCells="1"/>
  <phoneticPr fontId="4" type="noConversion"/>
  <pageMargins left="0.78740157499999996" right="0.78740157499999996" top="0.984251969" bottom="0.984251969" header="0.49212598499999999" footer="0.49212598499999999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/>
  <dimension ref="A1:K58"/>
  <sheetViews>
    <sheetView showRowColHeaders="0" workbookViewId="0">
      <selection activeCell="F10" sqref="F10"/>
    </sheetView>
  </sheetViews>
  <sheetFormatPr defaultRowHeight="12.75" x14ac:dyDescent="0.2"/>
  <cols>
    <col min="1" max="1" width="4.140625" customWidth="1"/>
    <col min="2" max="2" width="10" customWidth="1"/>
    <col min="6" max="7" width="10.85546875" customWidth="1"/>
    <col min="9" max="9" width="6.28515625" customWidth="1"/>
  </cols>
  <sheetData>
    <row r="1" spans="1:9" ht="13.5" thickBot="1" x14ac:dyDescent="0.25">
      <c r="A1" s="26"/>
      <c r="B1" s="26"/>
      <c r="C1" s="26"/>
      <c r="D1" s="26"/>
      <c r="E1" s="26"/>
      <c r="F1" s="26"/>
      <c r="G1" s="26"/>
      <c r="H1" s="26"/>
      <c r="I1" s="26"/>
    </row>
    <row r="2" spans="1:9" ht="13.5" thickBot="1" x14ac:dyDescent="0.25">
      <c r="A2" s="26"/>
      <c r="B2" s="43" t="s">
        <v>53</v>
      </c>
      <c r="C2" s="44"/>
      <c r="D2" s="44"/>
      <c r="E2" s="44"/>
      <c r="F2" s="44"/>
      <c r="G2" s="45"/>
      <c r="H2" s="26"/>
      <c r="I2" s="26"/>
    </row>
    <row r="3" spans="1:9" ht="13.5" thickBot="1" x14ac:dyDescent="0.25">
      <c r="A3" s="26"/>
      <c r="B3" s="26"/>
      <c r="C3" s="26"/>
      <c r="D3" s="26"/>
      <c r="E3" s="26"/>
      <c r="F3" s="26"/>
      <c r="G3" s="26"/>
      <c r="H3" s="26"/>
      <c r="I3" s="26"/>
    </row>
    <row r="4" spans="1:9" ht="13.5" thickBot="1" x14ac:dyDescent="0.25">
      <c r="A4" s="26"/>
      <c r="B4" s="43" t="s">
        <v>52</v>
      </c>
      <c r="C4" s="44"/>
      <c r="D4" s="44"/>
      <c r="E4" s="44"/>
      <c r="F4" s="45"/>
      <c r="G4" s="26"/>
      <c r="H4" s="26"/>
      <c r="I4" s="26"/>
    </row>
    <row r="5" spans="1:9" ht="8.25" customHeight="1" thickBot="1" x14ac:dyDescent="0.25">
      <c r="A5" s="26"/>
      <c r="B5" s="26"/>
      <c r="C5" s="26"/>
      <c r="D5" s="26"/>
      <c r="E5" s="26"/>
      <c r="F5" s="26"/>
      <c r="G5" s="26"/>
      <c r="H5" s="26"/>
      <c r="I5" s="26"/>
    </row>
    <row r="6" spans="1:9" x14ac:dyDescent="0.2">
      <c r="A6" s="26"/>
      <c r="B6" s="1" t="s">
        <v>54</v>
      </c>
      <c r="C6" s="22"/>
      <c r="D6" s="22"/>
      <c r="E6" s="22"/>
      <c r="F6" s="47">
        <v>120</v>
      </c>
      <c r="G6" s="26"/>
      <c r="H6" s="26"/>
      <c r="I6" s="26"/>
    </row>
    <row r="7" spans="1:9" x14ac:dyDescent="0.2">
      <c r="A7" s="26"/>
      <c r="B7" s="2" t="s">
        <v>55</v>
      </c>
      <c r="C7" s="16"/>
      <c r="D7" s="16"/>
      <c r="E7" s="16"/>
      <c r="F7" s="51">
        <v>130</v>
      </c>
      <c r="G7" s="26"/>
      <c r="H7" s="26"/>
      <c r="I7" s="26"/>
    </row>
    <row r="8" spans="1:9" ht="13.5" thickBot="1" x14ac:dyDescent="0.25">
      <c r="A8" s="26"/>
      <c r="B8" s="3" t="s">
        <v>56</v>
      </c>
      <c r="C8" s="54"/>
      <c r="D8" s="54"/>
      <c r="E8" s="54"/>
      <c r="F8" s="55">
        <f>ABS(F6-F7)</f>
        <v>10</v>
      </c>
      <c r="G8" s="26"/>
      <c r="H8" s="26"/>
      <c r="I8" s="26"/>
    </row>
    <row r="9" spans="1:9" ht="8.25" customHeight="1" thickBot="1" x14ac:dyDescent="0.25">
      <c r="A9" s="26"/>
      <c r="B9" s="26"/>
      <c r="C9" s="26"/>
      <c r="D9" s="26"/>
      <c r="E9" s="26"/>
      <c r="F9" s="26"/>
      <c r="G9" s="26"/>
      <c r="H9" s="26"/>
      <c r="I9" s="26"/>
    </row>
    <row r="10" spans="1:9" ht="13.5" thickBot="1" x14ac:dyDescent="0.25">
      <c r="A10" s="26"/>
      <c r="B10" s="67" t="s">
        <v>60</v>
      </c>
      <c r="C10" s="68"/>
      <c r="D10" s="68"/>
      <c r="E10" s="68"/>
      <c r="F10" s="76">
        <v>20</v>
      </c>
      <c r="G10" s="59" t="str">
        <f>IF(F10&lt;=0,"A variância deve ser maior que zero","")</f>
        <v/>
      </c>
      <c r="H10" s="26"/>
      <c r="I10" s="26"/>
    </row>
    <row r="11" spans="1:9" ht="7.5" customHeight="1" thickBot="1" x14ac:dyDescent="0.25">
      <c r="A11" s="26"/>
      <c r="B11" s="26"/>
      <c r="C11" s="26"/>
      <c r="D11" s="26"/>
      <c r="E11" s="26"/>
      <c r="F11" s="26"/>
      <c r="G11" s="26"/>
      <c r="H11" s="26"/>
      <c r="I11" s="26"/>
    </row>
    <row r="12" spans="1:9" ht="13.5" thickBot="1" x14ac:dyDescent="0.25">
      <c r="A12" s="26"/>
      <c r="B12" s="67" t="s">
        <v>57</v>
      </c>
      <c r="C12" s="68"/>
      <c r="D12" s="68"/>
      <c r="E12" s="68"/>
      <c r="F12" s="76">
        <v>1</v>
      </c>
      <c r="G12" s="59" t="str">
        <f>IF(F12=0,"Erro!","")</f>
        <v/>
      </c>
      <c r="H12" s="26"/>
      <c r="I12" s="26"/>
    </row>
    <row r="13" spans="1:9" ht="13.5" thickBot="1" x14ac:dyDescent="0.25">
      <c r="A13" s="26"/>
      <c r="B13" s="26"/>
      <c r="C13" s="26"/>
      <c r="D13" s="26"/>
      <c r="E13" s="26"/>
      <c r="F13" s="26"/>
      <c r="G13" s="26"/>
      <c r="H13" s="26"/>
      <c r="I13" s="26"/>
    </row>
    <row r="14" spans="1:9" ht="13.5" thickBot="1" x14ac:dyDescent="0.25">
      <c r="A14" s="26"/>
      <c r="B14" s="70" t="s">
        <v>58</v>
      </c>
      <c r="C14" s="26"/>
      <c r="D14" s="26"/>
      <c r="E14" s="26"/>
      <c r="F14" s="26"/>
      <c r="G14" s="26"/>
      <c r="H14" s="26"/>
      <c r="I14" s="26"/>
    </row>
    <row r="15" spans="1:9" ht="13.5" thickBot="1" x14ac:dyDescent="0.25">
      <c r="A15" s="26"/>
      <c r="B15" s="61"/>
      <c r="C15" s="39"/>
      <c r="D15" s="39"/>
      <c r="E15" s="62" t="s">
        <v>46</v>
      </c>
      <c r="F15" s="39"/>
      <c r="G15" s="39"/>
      <c r="H15" s="39"/>
      <c r="I15" s="26"/>
    </row>
    <row r="16" spans="1:9" ht="13.5" thickBot="1" x14ac:dyDescent="0.25">
      <c r="A16" s="26"/>
      <c r="B16" s="66" t="s">
        <v>43</v>
      </c>
      <c r="C16" s="39">
        <v>1E-3</v>
      </c>
      <c r="D16" s="64">
        <v>0.01</v>
      </c>
      <c r="E16" s="64">
        <v>0.02</v>
      </c>
      <c r="F16" s="64">
        <v>0.05</v>
      </c>
      <c r="G16" s="64">
        <v>0.1</v>
      </c>
      <c r="H16" s="71">
        <v>0.15</v>
      </c>
      <c r="I16" s="26"/>
    </row>
    <row r="17" spans="1:9" x14ac:dyDescent="0.2">
      <c r="A17" s="26"/>
      <c r="B17" s="61">
        <v>1E-3</v>
      </c>
      <c r="C17" s="61">
        <f t="shared" ref="C17:H17" si="0">ROUNDUP(C43*($F$12+1)/2,0)</f>
        <v>329</v>
      </c>
      <c r="D17" s="61">
        <f t="shared" si="0"/>
        <v>259</v>
      </c>
      <c r="E17" s="61">
        <f t="shared" si="0"/>
        <v>237</v>
      </c>
      <c r="F17" s="61">
        <f t="shared" si="0"/>
        <v>205</v>
      </c>
      <c r="G17" s="61">
        <f t="shared" si="0"/>
        <v>181</v>
      </c>
      <c r="H17" s="61">
        <f t="shared" si="0"/>
        <v>165</v>
      </c>
      <c r="I17" s="26"/>
    </row>
    <row r="18" spans="1:9" x14ac:dyDescent="0.2">
      <c r="A18" s="26"/>
      <c r="B18" s="63">
        <v>0.01</v>
      </c>
      <c r="C18" s="61">
        <f t="shared" ref="C18:H23" si="1">ROUNDUP(C44*($F$12+1)/2,0)</f>
        <v>256</v>
      </c>
      <c r="D18" s="61">
        <f t="shared" si="1"/>
        <v>194</v>
      </c>
      <c r="E18" s="61">
        <f t="shared" si="1"/>
        <v>175</v>
      </c>
      <c r="F18" s="61">
        <f t="shared" si="1"/>
        <v>148</v>
      </c>
      <c r="G18" s="61">
        <f t="shared" si="1"/>
        <v>127</v>
      </c>
      <c r="H18" s="61">
        <f t="shared" si="1"/>
        <v>114</v>
      </c>
      <c r="I18" s="26"/>
    </row>
    <row r="19" spans="1:9" x14ac:dyDescent="0.2">
      <c r="A19" s="26"/>
      <c r="B19" s="63">
        <v>0.02</v>
      </c>
      <c r="C19" s="61">
        <f t="shared" si="1"/>
        <v>232</v>
      </c>
      <c r="D19" s="61">
        <f t="shared" si="1"/>
        <v>174</v>
      </c>
      <c r="E19" s="61">
        <f t="shared" si="1"/>
        <v>155</v>
      </c>
      <c r="F19" s="61">
        <f t="shared" si="1"/>
        <v>130</v>
      </c>
      <c r="G19" s="61">
        <f t="shared" si="1"/>
        <v>111</v>
      </c>
      <c r="H19" s="61">
        <f t="shared" si="1"/>
        <v>99</v>
      </c>
      <c r="I19" s="26"/>
    </row>
    <row r="20" spans="1:9" x14ac:dyDescent="0.2">
      <c r="A20" s="26"/>
      <c r="B20" s="63">
        <v>0.05</v>
      </c>
      <c r="C20" s="61">
        <f t="shared" si="1"/>
        <v>198</v>
      </c>
      <c r="D20" s="61">
        <f t="shared" si="1"/>
        <v>145</v>
      </c>
      <c r="E20" s="61">
        <f t="shared" si="1"/>
        <v>128</v>
      </c>
      <c r="F20" s="61">
        <f t="shared" si="1"/>
        <v>105</v>
      </c>
      <c r="G20" s="61">
        <f t="shared" si="1"/>
        <v>88</v>
      </c>
      <c r="H20" s="61">
        <f t="shared" si="1"/>
        <v>77</v>
      </c>
      <c r="I20" s="26"/>
    </row>
    <row r="21" spans="1:9" x14ac:dyDescent="0.2">
      <c r="A21" s="26"/>
      <c r="B21" s="63">
        <v>0.1</v>
      </c>
      <c r="C21" s="61">
        <f t="shared" si="1"/>
        <v>170</v>
      </c>
      <c r="D21" s="61">
        <f t="shared" si="1"/>
        <v>121</v>
      </c>
      <c r="E21" s="61">
        <f t="shared" si="1"/>
        <v>106</v>
      </c>
      <c r="F21" s="61">
        <f t="shared" si="1"/>
        <v>86</v>
      </c>
      <c r="G21" s="61">
        <f t="shared" si="1"/>
        <v>70</v>
      </c>
      <c r="H21" s="61">
        <f t="shared" si="1"/>
        <v>60</v>
      </c>
      <c r="I21" s="26"/>
    </row>
    <row r="22" spans="1:9" x14ac:dyDescent="0.2">
      <c r="A22" s="26"/>
      <c r="B22" s="63">
        <v>0.2</v>
      </c>
      <c r="C22" s="61">
        <f t="shared" si="1"/>
        <v>140</v>
      </c>
      <c r="D22" s="61">
        <f t="shared" si="1"/>
        <v>96</v>
      </c>
      <c r="E22" s="61">
        <f t="shared" si="1"/>
        <v>82</v>
      </c>
      <c r="F22" s="61">
        <f t="shared" si="1"/>
        <v>64</v>
      </c>
      <c r="G22" s="61">
        <f t="shared" si="1"/>
        <v>51</v>
      </c>
      <c r="H22" s="61">
        <f t="shared" si="1"/>
        <v>43</v>
      </c>
      <c r="I22" s="26"/>
    </row>
    <row r="23" spans="1:9" x14ac:dyDescent="0.2">
      <c r="A23" s="26"/>
      <c r="B23" s="72">
        <v>0.25</v>
      </c>
      <c r="C23" s="61">
        <f t="shared" si="1"/>
        <v>129</v>
      </c>
      <c r="D23" s="61">
        <f t="shared" si="1"/>
        <v>87</v>
      </c>
      <c r="E23" s="61">
        <f t="shared" si="1"/>
        <v>74</v>
      </c>
      <c r="F23" s="61">
        <f t="shared" si="1"/>
        <v>57</v>
      </c>
      <c r="G23" s="61">
        <f t="shared" si="1"/>
        <v>44</v>
      </c>
      <c r="H23" s="61">
        <f t="shared" si="1"/>
        <v>37</v>
      </c>
      <c r="I23" s="26"/>
    </row>
    <row r="24" spans="1:9" ht="13.5" thickBot="1" x14ac:dyDescent="0.25">
      <c r="A24" s="26"/>
      <c r="B24" s="26"/>
      <c r="C24" s="26"/>
      <c r="D24" s="26"/>
      <c r="E24" s="26"/>
      <c r="F24" s="26"/>
      <c r="G24" s="26"/>
      <c r="H24" s="26"/>
      <c r="I24" s="26"/>
    </row>
    <row r="25" spans="1:9" ht="13.5" thickBot="1" x14ac:dyDescent="0.25">
      <c r="A25" s="26"/>
      <c r="B25" s="70" t="s">
        <v>59</v>
      </c>
      <c r="C25" s="61"/>
      <c r="D25" s="61"/>
      <c r="E25" s="61"/>
      <c r="F25" s="61"/>
      <c r="G25" s="61"/>
      <c r="H25" s="61"/>
      <c r="I25" s="26"/>
    </row>
    <row r="26" spans="1:9" ht="13.5" thickBot="1" x14ac:dyDescent="0.25">
      <c r="A26" s="26"/>
      <c r="B26" s="61"/>
      <c r="C26" s="39"/>
      <c r="D26" s="39"/>
      <c r="E26" s="62" t="s">
        <v>46</v>
      </c>
      <c r="F26" s="39"/>
      <c r="G26" s="39"/>
      <c r="H26" s="39"/>
      <c r="I26" s="26"/>
    </row>
    <row r="27" spans="1:9" ht="13.5" thickBot="1" x14ac:dyDescent="0.25">
      <c r="A27" s="26"/>
      <c r="B27" s="66" t="s">
        <v>43</v>
      </c>
      <c r="C27" s="39">
        <v>1E-3</v>
      </c>
      <c r="D27" s="64">
        <v>0.01</v>
      </c>
      <c r="E27" s="64">
        <v>0.02</v>
      </c>
      <c r="F27" s="64">
        <v>0.05</v>
      </c>
      <c r="G27" s="64">
        <v>0.1</v>
      </c>
      <c r="H27" s="39">
        <f>H16</f>
        <v>0.15</v>
      </c>
      <c r="I27" s="26"/>
    </row>
    <row r="28" spans="1:9" x14ac:dyDescent="0.2">
      <c r="A28" s="26"/>
      <c r="B28" s="61">
        <v>1E-3</v>
      </c>
      <c r="C28" s="61">
        <f t="shared" ref="C28:H32" si="2">ROUNDUP(C43*($F$12+1)/(2*$F$12),0)</f>
        <v>329</v>
      </c>
      <c r="D28" s="61">
        <f t="shared" si="2"/>
        <v>259</v>
      </c>
      <c r="E28" s="61">
        <f t="shared" si="2"/>
        <v>237</v>
      </c>
      <c r="F28" s="61">
        <f t="shared" si="2"/>
        <v>205</v>
      </c>
      <c r="G28" s="61">
        <f t="shared" si="2"/>
        <v>181</v>
      </c>
      <c r="H28" s="61">
        <f t="shared" si="2"/>
        <v>165</v>
      </c>
      <c r="I28" s="26"/>
    </row>
    <row r="29" spans="1:9" x14ac:dyDescent="0.2">
      <c r="A29" s="26"/>
      <c r="B29" s="63">
        <v>0.01</v>
      </c>
      <c r="C29" s="61">
        <f t="shared" si="2"/>
        <v>256</v>
      </c>
      <c r="D29" s="61">
        <f t="shared" si="2"/>
        <v>194</v>
      </c>
      <c r="E29" s="61">
        <f t="shared" si="2"/>
        <v>175</v>
      </c>
      <c r="F29" s="61">
        <f t="shared" si="2"/>
        <v>148</v>
      </c>
      <c r="G29" s="61">
        <f t="shared" si="2"/>
        <v>127</v>
      </c>
      <c r="H29" s="61">
        <f t="shared" si="2"/>
        <v>114</v>
      </c>
      <c r="I29" s="26"/>
    </row>
    <row r="30" spans="1:9" x14ac:dyDescent="0.2">
      <c r="A30" s="26"/>
      <c r="B30" s="63">
        <v>0.02</v>
      </c>
      <c r="C30" s="61">
        <f t="shared" si="2"/>
        <v>232</v>
      </c>
      <c r="D30" s="61">
        <f t="shared" si="2"/>
        <v>174</v>
      </c>
      <c r="E30" s="61">
        <f t="shared" si="2"/>
        <v>155</v>
      </c>
      <c r="F30" s="61">
        <f t="shared" si="2"/>
        <v>130</v>
      </c>
      <c r="G30" s="61">
        <f t="shared" si="2"/>
        <v>111</v>
      </c>
      <c r="H30" s="61">
        <f t="shared" si="2"/>
        <v>99</v>
      </c>
      <c r="I30" s="26"/>
    </row>
    <row r="31" spans="1:9" x14ac:dyDescent="0.2">
      <c r="A31" s="26"/>
      <c r="B31" s="63">
        <v>0.05</v>
      </c>
      <c r="C31" s="61">
        <f t="shared" si="2"/>
        <v>198</v>
      </c>
      <c r="D31" s="61">
        <f t="shared" si="2"/>
        <v>145</v>
      </c>
      <c r="E31" s="61">
        <f t="shared" si="2"/>
        <v>128</v>
      </c>
      <c r="F31" s="61">
        <f t="shared" si="2"/>
        <v>105</v>
      </c>
      <c r="G31" s="61">
        <f t="shared" si="2"/>
        <v>88</v>
      </c>
      <c r="H31" s="61">
        <f t="shared" si="2"/>
        <v>77</v>
      </c>
      <c r="I31" s="26"/>
    </row>
    <row r="32" spans="1:9" x14ac:dyDescent="0.2">
      <c r="A32" s="26"/>
      <c r="B32" s="63">
        <v>0.1</v>
      </c>
      <c r="C32" s="61">
        <f t="shared" si="2"/>
        <v>170</v>
      </c>
      <c r="D32" s="61">
        <f t="shared" si="2"/>
        <v>121</v>
      </c>
      <c r="E32" s="61">
        <f t="shared" si="2"/>
        <v>106</v>
      </c>
      <c r="F32" s="61">
        <f t="shared" si="2"/>
        <v>86</v>
      </c>
      <c r="G32" s="61">
        <f t="shared" si="2"/>
        <v>70</v>
      </c>
      <c r="H32" s="61">
        <f t="shared" si="2"/>
        <v>60</v>
      </c>
      <c r="I32" s="26"/>
    </row>
    <row r="33" spans="1:11" x14ac:dyDescent="0.2">
      <c r="A33" s="26"/>
      <c r="B33" s="63">
        <v>0.2</v>
      </c>
      <c r="C33" s="61">
        <f t="shared" ref="C33:H33" si="3">ROUNDUP(C48*($F$12+1)/(2*$F$12),0)</f>
        <v>140</v>
      </c>
      <c r="D33" s="61">
        <f t="shared" si="3"/>
        <v>96</v>
      </c>
      <c r="E33" s="61">
        <f t="shared" si="3"/>
        <v>82</v>
      </c>
      <c r="F33" s="61">
        <f t="shared" si="3"/>
        <v>64</v>
      </c>
      <c r="G33" s="61">
        <f t="shared" si="3"/>
        <v>51</v>
      </c>
      <c r="H33" s="61">
        <f t="shared" si="3"/>
        <v>43</v>
      </c>
      <c r="I33" s="26"/>
    </row>
    <row r="34" spans="1:11" x14ac:dyDescent="0.2">
      <c r="A34" s="26"/>
      <c r="B34" s="61">
        <f>B23</f>
        <v>0.25</v>
      </c>
      <c r="C34" s="61">
        <f t="shared" ref="C34:H34" si="4">ROUNDUP(C49*($F$12+1)/(2*$F$12),0)</f>
        <v>129</v>
      </c>
      <c r="D34" s="61">
        <f t="shared" si="4"/>
        <v>87</v>
      </c>
      <c r="E34" s="61">
        <f t="shared" si="4"/>
        <v>74</v>
      </c>
      <c r="F34" s="61">
        <f t="shared" si="4"/>
        <v>57</v>
      </c>
      <c r="G34" s="61">
        <f t="shared" si="4"/>
        <v>44</v>
      </c>
      <c r="H34" s="61">
        <f t="shared" si="4"/>
        <v>37</v>
      </c>
      <c r="I34" s="26"/>
    </row>
    <row r="35" spans="1:11" ht="13.5" thickBot="1" x14ac:dyDescent="0.25">
      <c r="A35" s="26"/>
      <c r="B35" s="26"/>
      <c r="C35" s="26"/>
      <c r="D35" s="26"/>
      <c r="E35" s="26"/>
      <c r="F35" s="26"/>
      <c r="G35" s="26"/>
      <c r="H35" s="26"/>
      <c r="I35" s="26"/>
    </row>
    <row r="36" spans="1:11" x14ac:dyDescent="0.2">
      <c r="A36" s="26"/>
      <c r="B36" s="10" t="s">
        <v>40</v>
      </c>
      <c r="C36" s="38"/>
      <c r="D36" s="38"/>
      <c r="E36" s="38"/>
      <c r="F36" s="38"/>
      <c r="G36" s="38"/>
      <c r="H36" s="4"/>
      <c r="I36" s="26"/>
    </row>
    <row r="37" spans="1:11" x14ac:dyDescent="0.2">
      <c r="A37" s="26"/>
      <c r="B37" s="56" t="s">
        <v>61</v>
      </c>
      <c r="C37" s="57"/>
      <c r="D37" s="57"/>
      <c r="E37" s="57"/>
      <c r="F37" s="57"/>
      <c r="G37" s="57"/>
      <c r="H37" s="11"/>
      <c r="I37" s="26"/>
    </row>
    <row r="38" spans="1:11" x14ac:dyDescent="0.2">
      <c r="A38" s="26"/>
      <c r="B38" s="56" t="s">
        <v>62</v>
      </c>
      <c r="C38" s="57"/>
      <c r="D38" s="57"/>
      <c r="E38" s="57"/>
      <c r="F38" s="57"/>
      <c r="G38" s="57"/>
      <c r="H38" s="11"/>
      <c r="I38" s="26"/>
    </row>
    <row r="39" spans="1:11" ht="13.5" thickBot="1" x14ac:dyDescent="0.25">
      <c r="A39" s="26"/>
      <c r="B39" s="75" t="s">
        <v>63</v>
      </c>
      <c r="C39" s="39"/>
      <c r="D39" s="39"/>
      <c r="E39" s="39"/>
      <c r="F39" s="39"/>
      <c r="G39" s="39"/>
      <c r="H39" s="5"/>
      <c r="I39" s="26"/>
    </row>
    <row r="40" spans="1:11" x14ac:dyDescent="0.2">
      <c r="A40" s="26"/>
      <c r="B40" s="26"/>
      <c r="C40" s="26"/>
      <c r="D40" s="26"/>
      <c r="E40" s="26"/>
      <c r="F40" s="26"/>
      <c r="G40" s="26"/>
      <c r="H40" s="26"/>
      <c r="I40" s="26"/>
      <c r="J40" s="74"/>
      <c r="K40" s="74"/>
    </row>
    <row r="41" spans="1:11" x14ac:dyDescent="0.2">
      <c r="A41" s="79"/>
      <c r="B41" s="79"/>
      <c r="C41" s="79"/>
      <c r="D41" s="79"/>
      <c r="E41" s="79"/>
      <c r="F41" s="79"/>
      <c r="G41" s="79"/>
      <c r="H41" s="79"/>
      <c r="I41" s="79"/>
      <c r="J41" s="74"/>
      <c r="K41" s="74"/>
    </row>
    <row r="42" spans="1:11" x14ac:dyDescent="0.2">
      <c r="A42" s="141"/>
      <c r="B42" s="142" t="s">
        <v>43</v>
      </c>
      <c r="C42" s="141">
        <v>1E-3</v>
      </c>
      <c r="D42" s="143">
        <v>0.01</v>
      </c>
      <c r="E42" s="143">
        <v>0.02</v>
      </c>
      <c r="F42" s="143">
        <v>0.05</v>
      </c>
      <c r="G42" s="143">
        <v>0.1</v>
      </c>
      <c r="H42" s="141">
        <v>0.15</v>
      </c>
      <c r="I42" s="141"/>
      <c r="J42" s="74"/>
      <c r="K42" s="74"/>
    </row>
    <row r="43" spans="1:11" x14ac:dyDescent="0.2">
      <c r="A43" s="141"/>
      <c r="B43" s="141">
        <v>1E-3</v>
      </c>
      <c r="C43" s="141">
        <f>2*$F$10*$F$10*(NORMSINV(1-C$42/2)+NORMSINV(1-$B43))*(NORMSINV(1-C$16/2)+NORMSINV(1-$B43))/($F$8*$F$8)+NORMSINV(1-C$16/2)*NORMSINV(1-C$16/2)/4</f>
        <v>328.41957871607724</v>
      </c>
      <c r="D43" s="141">
        <f>2*$F$10*$F$10*(NORMSINV(1-D$42/2)+NORMSINV(1-$B43))*(NORMSINV(1-D$16/2)+NORMSINV(1-$B43))/($F$8*$F$8)+NORMSINV(1-D$16/2)*NORMSINV(1-D$16/2)/4</f>
        <v>258.49275747109971</v>
      </c>
      <c r="E43" s="141">
        <f>2*$F$10*$F$10*(NORMSINV(1-E$42/2)+NORMSINV(1-$B43))*(NORMSINV(1-E$16/2)+NORMSINV(1-$B43))/($F$8*$F$8)+NORMSINV(1-E$16/2)*NORMSINV(1-E$16/2)/4</f>
        <v>236.06770039679728</v>
      </c>
      <c r="F43" s="141">
        <f>2*$F$10*$F$10*(NORMSINV(1-F$42/2)+NORMSINV(1-$B43))*(NORMSINV(1-F$16/2)+NORMSINV(1-$B43))/($F$8*$F$8)+NORMSINV(1-F$16/2)*NORMSINV(1-F$16/2)/4</f>
        <v>204.99622530260947</v>
      </c>
      <c r="G43" s="141">
        <f>2*$F$10*$F$10*(NORMSINV(1-G$42/2)+NORMSINV(1-$B43))*(NORMSINV(1-G$16/2)+NORMSINV(1-$B43))/($F$8*$F$8)+NORMSINV(1-G$16/2)*NORMSINV(1-G$16/2)/4</f>
        <v>180.04469621571684</v>
      </c>
      <c r="H43" s="141">
        <f>2*$F$10*$F$10*(NORMSINV(1-H$16/2)+NORMSINV(1-$B17))*(NORMSINV(1-H$16/2)+NORMSINV(1-$B17))/($F$8*$F$8)+NORMSINV(1-H$16/2)*NORMSINV(1-H$16/2)/4</f>
        <v>164.66814172502805</v>
      </c>
      <c r="I43" s="141"/>
      <c r="J43" s="74"/>
      <c r="K43" s="74"/>
    </row>
    <row r="44" spans="1:11" x14ac:dyDescent="0.2">
      <c r="A44" s="141"/>
      <c r="B44" s="143">
        <v>0.01</v>
      </c>
      <c r="C44" s="141">
        <f>2*$F$10*$F$10*(NORMSINV(1-C$42/2)+NORMSINV(1-$B44))*(NORMSINV(1-C$42/2)+NORMSINV(1-$B44))/($F$8*$F$8)+NORMSINV(1-C$16/2)*NORMSINV(1-C$16/2)/4</f>
        <v>255.1011342168967</v>
      </c>
      <c r="D44" s="141">
        <f t="shared" ref="D44:G48" si="5">2*$F$10*$F$10*(NORMSINV(1-D$42/2)+NORMSINV(1-$B44))*(NORMSINV(1-D$42/2)+NORMSINV(1-$B44))/($F$8*$F$8)+NORMSINV(1-D$16/2)*NORMSINV(1-D$16/2)/4</f>
        <v>193.90945279410897</v>
      </c>
      <c r="E44" s="141">
        <f t="shared" si="5"/>
        <v>174.53359540150242</v>
      </c>
      <c r="F44" s="141">
        <f t="shared" si="5"/>
        <v>147.94011949726317</v>
      </c>
      <c r="G44" s="141">
        <f t="shared" si="5"/>
        <v>126.83991675539261</v>
      </c>
      <c r="H44" s="141">
        <f t="shared" ref="H44:H49" si="6">2*$F$10*$F$10*(NORMSINV(1-H$16/2)+NORMSINV(1-$B18))*(NORMSINV(1-H$16/2)+NORMSINV(1-$B18))/($F$8*$F$8)+NORMSINV(1-H$16/2)*NORMSINV(1-H$16/2)/4</f>
        <v>113.97284064148916</v>
      </c>
      <c r="I44" s="141"/>
      <c r="J44" s="74"/>
      <c r="K44" s="74"/>
    </row>
    <row r="45" spans="1:11" x14ac:dyDescent="0.2">
      <c r="A45" s="141"/>
      <c r="B45" s="143">
        <v>0.02</v>
      </c>
      <c r="C45" s="141">
        <f>2*$F$10*$F$10*(NORMSINV(1-C$42/2)+NORMSINV(1-$B45))*(NORMSINV(1-C$42/2)+NORMSINV(1-$B45))/($F$8*$F$8)+NORMSINV(1-C$16/2)*NORMSINV(1-C$16/2)/4</f>
        <v>231.19714865464334</v>
      </c>
      <c r="D45" s="141">
        <f t="shared" si="5"/>
        <v>173.12267967998937</v>
      </c>
      <c r="E45" s="141">
        <f t="shared" si="5"/>
        <v>154.83495635256196</v>
      </c>
      <c r="F45" s="141">
        <f t="shared" si="5"/>
        <v>129.83949434412557</v>
      </c>
      <c r="G45" s="141">
        <f t="shared" si="5"/>
        <v>110.11367171166447</v>
      </c>
      <c r="H45" s="141">
        <f t="shared" si="6"/>
        <v>98.142125308065872</v>
      </c>
      <c r="I45" s="141"/>
      <c r="J45" s="74"/>
      <c r="K45" s="74"/>
    </row>
    <row r="46" spans="1:11" x14ac:dyDescent="0.2">
      <c r="A46" s="141"/>
      <c r="B46" s="143">
        <v>0.05</v>
      </c>
      <c r="C46" s="141">
        <f>2*$F$10*$F$10*(NORMSINV(1-C$42/2)+NORMSINV(1-$B46))*(NORMSINV(1-C$42/2)+NORMSINV(1-$B46))/($F$8*$F$8)+NORMSINV(1-C$16/2)*NORMSINV(1-C$16/2)/4</f>
        <v>197.57072580273677</v>
      </c>
      <c r="D46" s="141">
        <f t="shared" si="5"/>
        <v>144.17203934879296</v>
      </c>
      <c r="E46" s="141">
        <f t="shared" si="5"/>
        <v>127.51650449963235</v>
      </c>
      <c r="F46" s="141">
        <f t="shared" si="5"/>
        <v>104.91804480212924</v>
      </c>
      <c r="G46" s="141">
        <f t="shared" si="5"/>
        <v>87.253776394577002</v>
      </c>
      <c r="H46" s="141">
        <f t="shared" si="6"/>
        <v>76.625514170639249</v>
      </c>
      <c r="I46" s="141"/>
      <c r="J46" s="74"/>
      <c r="K46" s="74"/>
    </row>
    <row r="47" spans="1:11" x14ac:dyDescent="0.2">
      <c r="A47" s="80"/>
      <c r="B47" s="81">
        <v>0.1</v>
      </c>
      <c r="C47" s="80">
        <f>2*$F$10*$F$10*(NORMSINV(1-C$42/2)+NORMSINV(1-$B47))*(NORMSINV(1-C$42/2)+NORMSINV(1-$B47))/($F$8*$F$8)+NORMSINV(1-C$16/2)*NORMSINV(1-C$16/2)/4</f>
        <v>169.93809117652515</v>
      </c>
      <c r="D47" s="80">
        <f t="shared" si="5"/>
        <v>120.69382150424352</v>
      </c>
      <c r="E47" s="80">
        <f t="shared" si="5"/>
        <v>105.48848053705113</v>
      </c>
      <c r="F47" s="80">
        <f t="shared" si="5"/>
        <v>85.019749196698456</v>
      </c>
      <c r="G47" s="80">
        <f t="shared" si="5"/>
        <v>69.187164668867638</v>
      </c>
      <c r="H47" s="80">
        <f t="shared" si="6"/>
        <v>59.752405845442368</v>
      </c>
      <c r="I47" s="80"/>
      <c r="J47" s="74"/>
      <c r="K47" s="74"/>
    </row>
    <row r="48" spans="1:11" x14ac:dyDescent="0.2">
      <c r="A48" s="80"/>
      <c r="B48" s="81">
        <v>0.2</v>
      </c>
      <c r="C48" s="80">
        <f>2*$F$10*$F$10*(NORMSINV(1-C$42/2)+NORMSINV(1-$B48))*(NORMSINV(1-C$42/2)+NORMSINV(1-$B48))/($F$8*$F$8)+NORMSINV(1-C$16/2)*NORMSINV(1-C$16/2)/4</f>
        <v>139.30406598418176</v>
      </c>
      <c r="D48" s="80">
        <f t="shared" si="5"/>
        <v>95.090469539648751</v>
      </c>
      <c r="E48" s="80">
        <f t="shared" si="5"/>
        <v>81.641199742124343</v>
      </c>
      <c r="F48" s="80">
        <f t="shared" si="5"/>
        <v>63.751402579966239</v>
      </c>
      <c r="G48" s="80">
        <f t="shared" si="5"/>
        <v>50.136843719681984</v>
      </c>
      <c r="H48" s="80">
        <f t="shared" si="6"/>
        <v>42.147324004351901</v>
      </c>
      <c r="I48" s="80"/>
      <c r="J48" s="74"/>
      <c r="K48" s="74"/>
    </row>
    <row r="49" spans="1:11" x14ac:dyDescent="0.2">
      <c r="A49" s="80"/>
      <c r="B49" s="80">
        <v>0.25</v>
      </c>
      <c r="C49" s="80">
        <f>2*$F$10*$F$10*(NORMSINV(1-C$16/2)+NORMSINV(1-$B23))*(NORMSINV(1-C$16/2)+NORMSINV(1-$B23))/($F$8*$F$8)+NORMSINV(1-C$16/2)*NORMSINV(1-C$16/2)/4</f>
        <v>128.47773714312612</v>
      </c>
      <c r="D49" s="80">
        <f>2*$F$10*$F$10*(NORMSINV(1-D$16/2)+NORMSINV(1-$B23))*(NORMSINV(1-D$16/2)+NORMSINV(1-$B23))/($F$8*$F$8)+NORMSINV(1-D$16/2)*NORMSINV(1-D$16/2)/4</f>
        <v>86.175315759356693</v>
      </c>
      <c r="E49" s="80">
        <f>2*$F$10*$F$10*(NORMSINV(1-E$16/2)+NORMSINV(1-$B23))*(NORMSINV(1-E$16/2)+NORMSINV(1-$B23))/($F$8*$F$8)+NORMSINV(1-E$16/2)*NORMSINV(1-E$16/2)/4</f>
        <v>73.393185184050779</v>
      </c>
      <c r="F49" s="80">
        <f>2*$F$10*$F$10*(NORMSINV(1-F$16/2)+NORMSINV(1-$B23))*(NORMSINV(1-F$16/2)+NORMSINV(1-$B23))/($F$8*$F$8)+NORMSINV(1-F$16/2)*NORMSINV(1-F$16/2)/4</f>
        <v>56.483136548894926</v>
      </c>
      <c r="G49" s="80">
        <f>2*$F$10*$F$10*(NORMSINV(1-G$16/2)+NORMSINV(1-$B23))*(NORMSINV(1-G$16/2)+NORMSINV(1-$B23))/($F$8*$F$8)+NORMSINV(1-G$16/2)*NORMSINV(1-G$16/2)/4</f>
        <v>43.711215472469604</v>
      </c>
      <c r="H49" s="80">
        <f t="shared" si="6"/>
        <v>36.270748501212879</v>
      </c>
      <c r="I49" s="80"/>
      <c r="J49" s="74"/>
      <c r="K49" s="74"/>
    </row>
    <row r="50" spans="1:11" x14ac:dyDescent="0.2">
      <c r="A50" s="80"/>
      <c r="B50" s="80"/>
      <c r="C50" s="80"/>
      <c r="D50" s="80"/>
      <c r="E50" s="80"/>
      <c r="F50" s="80"/>
      <c r="G50" s="80"/>
      <c r="H50" s="80"/>
      <c r="I50" s="80"/>
      <c r="J50" s="74"/>
      <c r="K50" s="74"/>
    </row>
    <row r="51" spans="1:11" x14ac:dyDescent="0.2">
      <c r="A51" s="80"/>
      <c r="B51" s="85"/>
      <c r="C51" s="85"/>
      <c r="D51" s="85"/>
      <c r="E51" s="85"/>
      <c r="F51" s="85"/>
      <c r="G51" s="85"/>
      <c r="H51" s="85"/>
      <c r="I51" s="85"/>
      <c r="J51" s="74"/>
      <c r="K51" s="74"/>
    </row>
    <row r="52" spans="1:11" x14ac:dyDescent="0.2">
      <c r="A52" s="82"/>
      <c r="B52" s="86"/>
      <c r="C52" s="86"/>
      <c r="D52" s="86"/>
      <c r="E52" s="86"/>
      <c r="F52" s="86"/>
      <c r="G52" s="86"/>
      <c r="H52" s="86"/>
      <c r="I52" s="86"/>
      <c r="J52" s="74"/>
      <c r="K52" s="74"/>
    </row>
    <row r="53" spans="1:11" x14ac:dyDescent="0.2">
      <c r="A53" s="82"/>
      <c r="B53" s="86"/>
      <c r="C53" s="86"/>
      <c r="D53" s="86"/>
      <c r="E53" s="86"/>
      <c r="F53" s="86"/>
      <c r="G53" s="86"/>
      <c r="H53" s="86"/>
      <c r="I53" s="86"/>
      <c r="J53" s="74"/>
      <c r="K53" s="74"/>
    </row>
    <row r="54" spans="1:11" x14ac:dyDescent="0.2">
      <c r="A54" s="82"/>
      <c r="B54" s="86"/>
      <c r="C54" s="86"/>
      <c r="D54" s="86"/>
      <c r="E54" s="86"/>
      <c r="F54" s="86"/>
      <c r="G54" s="86"/>
      <c r="H54" s="86"/>
      <c r="I54" s="86"/>
      <c r="J54" s="74"/>
      <c r="K54" s="74"/>
    </row>
    <row r="55" spans="1:11" x14ac:dyDescent="0.2">
      <c r="A55" s="83"/>
      <c r="B55" s="87"/>
      <c r="C55" s="87"/>
      <c r="D55" s="87"/>
      <c r="E55" s="87"/>
      <c r="F55" s="87"/>
      <c r="G55" s="87"/>
      <c r="H55" s="87"/>
      <c r="I55" s="87"/>
    </row>
    <row r="56" spans="1:11" x14ac:dyDescent="0.2">
      <c r="A56" s="83"/>
      <c r="B56" s="87"/>
      <c r="C56" s="87"/>
      <c r="D56" s="87"/>
      <c r="E56" s="87"/>
      <c r="F56" s="87"/>
      <c r="G56" s="87"/>
      <c r="H56" s="87"/>
      <c r="I56" s="87"/>
    </row>
    <row r="57" spans="1:11" x14ac:dyDescent="0.2">
      <c r="A57" s="83"/>
      <c r="B57" s="87"/>
      <c r="C57" s="87"/>
      <c r="D57" s="87"/>
      <c r="E57" s="87"/>
      <c r="F57" s="87"/>
      <c r="G57" s="87"/>
      <c r="H57" s="87"/>
      <c r="I57" s="87"/>
    </row>
    <row r="58" spans="1:11" x14ac:dyDescent="0.2">
      <c r="A58" s="83"/>
      <c r="B58" s="83"/>
      <c r="C58" s="83"/>
      <c r="D58" s="83"/>
      <c r="E58" s="83"/>
      <c r="F58" s="83"/>
      <c r="G58" s="83"/>
      <c r="H58" s="83"/>
      <c r="I58" s="83"/>
    </row>
  </sheetData>
  <sheetProtection password="EA44" sheet="1" objects="1" scenarios="1" selectLockedCells="1"/>
  <phoneticPr fontId="4" type="noConversion"/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A1:I31"/>
  <sheetViews>
    <sheetView showRowColHeaders="0" tabSelected="1" zoomScale="140" zoomScaleNormal="140" workbookViewId="0">
      <selection activeCell="H12" sqref="H12"/>
    </sheetView>
  </sheetViews>
  <sheetFormatPr defaultRowHeight="12.75" x14ac:dyDescent="0.2"/>
  <cols>
    <col min="1" max="1" width="5.140625" customWidth="1"/>
  </cols>
  <sheetData>
    <row r="1" spans="1:9" ht="13.5" thickBot="1" x14ac:dyDescent="0.25">
      <c r="A1" s="26"/>
      <c r="B1" s="26"/>
      <c r="C1" s="26"/>
      <c r="D1" s="26"/>
      <c r="E1" s="26"/>
      <c r="F1" s="26"/>
      <c r="G1" s="26"/>
      <c r="H1" s="26"/>
      <c r="I1" s="26"/>
    </row>
    <row r="2" spans="1:9" ht="13.5" thickBot="1" x14ac:dyDescent="0.25">
      <c r="A2" s="26"/>
      <c r="B2" s="43" t="s">
        <v>190</v>
      </c>
      <c r="C2" s="44"/>
      <c r="D2" s="44"/>
      <c r="E2" s="44"/>
      <c r="F2" s="44"/>
      <c r="G2" s="45"/>
      <c r="H2" s="26"/>
      <c r="I2" s="26"/>
    </row>
    <row r="3" spans="1:9" ht="13.5" thickBot="1" x14ac:dyDescent="0.25">
      <c r="A3" s="26"/>
      <c r="B3" s="26"/>
      <c r="C3" s="26"/>
      <c r="D3" s="26"/>
      <c r="E3" s="26"/>
      <c r="F3" s="26"/>
      <c r="G3" s="26"/>
      <c r="H3" s="26"/>
      <c r="I3" s="26"/>
    </row>
    <row r="4" spans="1:9" ht="13.5" thickBot="1" x14ac:dyDescent="0.25">
      <c r="A4" s="26"/>
      <c r="B4" s="43" t="s">
        <v>191</v>
      </c>
      <c r="C4" s="44"/>
      <c r="D4" s="45"/>
      <c r="E4" s="45"/>
      <c r="F4" s="65"/>
      <c r="G4" s="26"/>
      <c r="H4" s="26"/>
      <c r="I4" s="26"/>
    </row>
    <row r="5" spans="1:9" ht="13.5" thickBot="1" x14ac:dyDescent="0.25">
      <c r="A5" s="26"/>
      <c r="B5" s="26"/>
      <c r="C5" s="26"/>
      <c r="D5" s="26"/>
      <c r="E5" s="26"/>
      <c r="F5" s="26"/>
      <c r="G5" s="26"/>
      <c r="H5" s="26"/>
      <c r="I5" s="26"/>
    </row>
    <row r="6" spans="1:9" x14ac:dyDescent="0.2">
      <c r="A6" s="26"/>
      <c r="B6" s="1" t="s">
        <v>192</v>
      </c>
      <c r="C6" s="22"/>
      <c r="D6" s="22"/>
      <c r="E6" s="22"/>
      <c r="F6" s="259">
        <v>0.36799999999999999</v>
      </c>
      <c r="G6" s="59" t="str">
        <f>IF(F6&lt;=1,IF(F6&lt;0,"Insira um número entre 0 e 1",""),"Insira um número entre 0 e 1")</f>
        <v/>
      </c>
      <c r="H6" s="26"/>
      <c r="I6" s="26"/>
    </row>
    <row r="7" spans="1:9" ht="13.5" thickBot="1" x14ac:dyDescent="0.25">
      <c r="A7" s="26"/>
      <c r="B7" s="3" t="s">
        <v>193</v>
      </c>
      <c r="C7" s="54"/>
      <c r="D7" s="54"/>
      <c r="E7" s="54"/>
      <c r="F7" s="258">
        <v>0.71399999999999997</v>
      </c>
      <c r="G7" s="59" t="str">
        <f>IF(F7&lt;=1,IF(F7&lt;0,"Insira um número entre 0 e 1",""),"Insira um número entre 0 e 1")</f>
        <v/>
      </c>
      <c r="H7" s="26"/>
      <c r="I7" s="26"/>
    </row>
    <row r="8" spans="1:9" ht="13.5" thickBot="1" x14ac:dyDescent="0.25">
      <c r="A8" s="26"/>
      <c r="B8" s="26"/>
      <c r="C8" s="26"/>
      <c r="D8" s="26"/>
      <c r="E8" s="26"/>
      <c r="F8" s="26"/>
      <c r="G8" s="59"/>
      <c r="H8" s="26"/>
      <c r="I8" s="26"/>
    </row>
    <row r="9" spans="1:9" ht="13.5" thickBot="1" x14ac:dyDescent="0.25">
      <c r="A9" s="26"/>
      <c r="B9" s="67" t="s">
        <v>196</v>
      </c>
      <c r="C9" s="68"/>
      <c r="D9" s="68"/>
      <c r="E9" s="68"/>
      <c r="F9" s="261">
        <f>F6-F7</f>
        <v>-0.34599999999999997</v>
      </c>
      <c r="G9" s="59"/>
      <c r="H9" s="26"/>
      <c r="I9" s="26"/>
    </row>
    <row r="10" spans="1:9" x14ac:dyDescent="0.2">
      <c r="A10" s="26"/>
      <c r="B10" s="26"/>
      <c r="C10" s="26"/>
      <c r="D10" s="26"/>
      <c r="E10" s="26"/>
      <c r="F10" s="26"/>
      <c r="G10" s="26"/>
      <c r="H10" s="26"/>
      <c r="I10" s="26"/>
    </row>
    <row r="11" spans="1:9" ht="13.5" thickBot="1" x14ac:dyDescent="0.25">
      <c r="A11" s="26"/>
      <c r="B11" s="61"/>
      <c r="C11" s="39"/>
      <c r="D11" s="39"/>
      <c r="E11" s="62" t="s">
        <v>46</v>
      </c>
      <c r="F11" s="39"/>
      <c r="G11" s="39"/>
      <c r="H11" s="39"/>
      <c r="I11" s="26"/>
    </row>
    <row r="12" spans="1:9" ht="13.5" thickBot="1" x14ac:dyDescent="0.25">
      <c r="A12" s="26"/>
      <c r="B12" s="66" t="s">
        <v>43</v>
      </c>
      <c r="C12" s="39">
        <v>1E-3</v>
      </c>
      <c r="D12" s="64">
        <v>0.01</v>
      </c>
      <c r="E12" s="64">
        <v>0.02</v>
      </c>
      <c r="F12" s="64">
        <v>0.05</v>
      </c>
      <c r="G12" s="64">
        <v>0.1</v>
      </c>
      <c r="H12" s="71">
        <v>0.15</v>
      </c>
      <c r="I12" s="26"/>
    </row>
    <row r="13" spans="1:9" x14ac:dyDescent="0.2">
      <c r="A13" s="26"/>
      <c r="B13" s="61">
        <v>1E-3</v>
      </c>
      <c r="C13" s="61">
        <f>ROUNDUP(($F$6*(1-$F$6)+$F$7*(1-$F$7))*(NORMSINV(1-C$12/2)+NORMSINV(1-$B13))*(NORMSINV(1-C$12/2)+NORMSINV(1-$B13))/(($F$6-$F$7)*($F$6-$F$7)),0)</f>
        <v>149</v>
      </c>
      <c r="D13" s="61">
        <f t="shared" ref="D13:H19" si="0">ROUNDUP(($F$6*(1-$F$6)+$F$7*(1-$F$7))*(NORMSINV(1-D$12/2)+NORMSINV(1-$B13))*(NORMSINV(1-D$12/2)+NORMSINV(1-$B13))/(($F$6-$F$7)*($F$6-$F$7)),0)</f>
        <v>118</v>
      </c>
      <c r="E13" s="61">
        <f t="shared" si="0"/>
        <v>108</v>
      </c>
      <c r="F13" s="61">
        <f t="shared" si="0"/>
        <v>94</v>
      </c>
      <c r="G13" s="61">
        <f t="shared" si="0"/>
        <v>82</v>
      </c>
      <c r="H13" s="61">
        <f t="shared" si="0"/>
        <v>75</v>
      </c>
      <c r="I13" s="26"/>
    </row>
    <row r="14" spans="1:9" x14ac:dyDescent="0.2">
      <c r="A14" s="26"/>
      <c r="B14" s="63">
        <v>0.01</v>
      </c>
      <c r="C14" s="61">
        <f t="shared" ref="C14:C19" si="1">ROUNDUP(($F$6*(1-$F$6)+$F$7*(1-$F$7))*(NORMSINV(1-C$12/2)+NORMSINV(1-$B14))*(NORMSINV(1-C$12/2)+NORMSINV(1-$B14))/(($F$6-$F$7)*($F$6-$F$7)),0)</f>
        <v>116</v>
      </c>
      <c r="D14" s="61">
        <f t="shared" si="0"/>
        <v>88</v>
      </c>
      <c r="E14" s="61">
        <f t="shared" si="0"/>
        <v>79</v>
      </c>
      <c r="F14" s="61">
        <f t="shared" si="0"/>
        <v>68</v>
      </c>
      <c r="G14" s="61">
        <f t="shared" si="0"/>
        <v>58</v>
      </c>
      <c r="H14" s="61">
        <f t="shared" si="0"/>
        <v>52</v>
      </c>
      <c r="I14" s="26"/>
    </row>
    <row r="15" spans="1:9" x14ac:dyDescent="0.2">
      <c r="A15" s="26"/>
      <c r="B15" s="63">
        <v>0.02</v>
      </c>
      <c r="C15" s="61">
        <f t="shared" si="1"/>
        <v>105</v>
      </c>
      <c r="D15" s="61">
        <f t="shared" si="0"/>
        <v>79</v>
      </c>
      <c r="E15" s="61">
        <f t="shared" si="0"/>
        <v>70</v>
      </c>
      <c r="F15" s="61">
        <f t="shared" si="0"/>
        <v>59</v>
      </c>
      <c r="G15" s="61">
        <f t="shared" si="0"/>
        <v>50</v>
      </c>
      <c r="H15" s="61">
        <f t="shared" si="0"/>
        <v>45</v>
      </c>
      <c r="I15" s="26"/>
    </row>
    <row r="16" spans="1:9" x14ac:dyDescent="0.2">
      <c r="A16" s="26"/>
      <c r="B16" s="63">
        <v>0.05</v>
      </c>
      <c r="C16" s="61">
        <f t="shared" si="1"/>
        <v>89</v>
      </c>
      <c r="D16" s="61">
        <f t="shared" si="0"/>
        <v>65</v>
      </c>
      <c r="E16" s="61">
        <f t="shared" si="0"/>
        <v>58</v>
      </c>
      <c r="F16" s="61">
        <f t="shared" si="0"/>
        <v>48</v>
      </c>
      <c r="G16" s="61">
        <f t="shared" si="0"/>
        <v>40</v>
      </c>
      <c r="H16" s="61">
        <f t="shared" si="0"/>
        <v>35</v>
      </c>
      <c r="I16" s="26"/>
    </row>
    <row r="17" spans="1:9" x14ac:dyDescent="0.2">
      <c r="A17" s="26"/>
      <c r="B17" s="63">
        <v>0.1</v>
      </c>
      <c r="C17" s="61">
        <f t="shared" si="1"/>
        <v>77</v>
      </c>
      <c r="D17" s="61">
        <f t="shared" si="0"/>
        <v>55</v>
      </c>
      <c r="E17" s="61">
        <f t="shared" si="0"/>
        <v>48</v>
      </c>
      <c r="F17" s="61">
        <f t="shared" si="0"/>
        <v>39</v>
      </c>
      <c r="G17" s="61">
        <f t="shared" si="0"/>
        <v>32</v>
      </c>
      <c r="H17" s="61">
        <f t="shared" si="0"/>
        <v>28</v>
      </c>
      <c r="I17" s="26"/>
    </row>
    <row r="18" spans="1:9" x14ac:dyDescent="0.2">
      <c r="A18" s="26"/>
      <c r="B18" s="63">
        <v>0.2</v>
      </c>
      <c r="C18" s="61">
        <f t="shared" si="1"/>
        <v>63</v>
      </c>
      <c r="D18" s="61">
        <f t="shared" si="0"/>
        <v>43</v>
      </c>
      <c r="E18" s="61">
        <f t="shared" si="0"/>
        <v>37</v>
      </c>
      <c r="F18" s="61">
        <f t="shared" si="0"/>
        <v>29</v>
      </c>
      <c r="G18" s="61">
        <f t="shared" si="0"/>
        <v>23</v>
      </c>
      <c r="H18" s="61">
        <f t="shared" si="0"/>
        <v>19</v>
      </c>
      <c r="I18" s="26"/>
    </row>
    <row r="19" spans="1:9" x14ac:dyDescent="0.2">
      <c r="A19" s="26"/>
      <c r="B19" s="72">
        <v>0.2</v>
      </c>
      <c r="C19" s="61">
        <f t="shared" si="1"/>
        <v>63</v>
      </c>
      <c r="D19" s="61">
        <f t="shared" si="0"/>
        <v>43</v>
      </c>
      <c r="E19" s="61">
        <f t="shared" si="0"/>
        <v>37</v>
      </c>
      <c r="F19" s="61">
        <f t="shared" si="0"/>
        <v>29</v>
      </c>
      <c r="G19" s="61">
        <f t="shared" si="0"/>
        <v>23</v>
      </c>
      <c r="H19" s="61">
        <f t="shared" si="0"/>
        <v>19</v>
      </c>
      <c r="I19" s="26"/>
    </row>
    <row r="20" spans="1:9" ht="13.5" thickBot="1" x14ac:dyDescent="0.25">
      <c r="A20" s="26"/>
      <c r="B20" s="26"/>
      <c r="C20" s="26"/>
      <c r="D20" s="26"/>
      <c r="E20" s="26"/>
      <c r="F20" s="26"/>
      <c r="G20" s="26"/>
      <c r="H20" s="26"/>
      <c r="I20" s="26"/>
    </row>
    <row r="21" spans="1:9" ht="13.5" thickBot="1" x14ac:dyDescent="0.25">
      <c r="A21" s="26"/>
      <c r="B21" s="43" t="s">
        <v>44</v>
      </c>
      <c r="C21" s="44"/>
      <c r="D21" s="44"/>
      <c r="E21" s="44"/>
      <c r="F21" s="44"/>
      <c r="G21" s="44"/>
      <c r="H21" s="45"/>
      <c r="I21" s="26"/>
    </row>
    <row r="22" spans="1:9" ht="13.5" thickBot="1" x14ac:dyDescent="0.25">
      <c r="A22" s="26"/>
      <c r="B22" s="26"/>
      <c r="C22" s="26"/>
      <c r="D22" s="26"/>
      <c r="E22" s="26"/>
      <c r="F22" s="26"/>
      <c r="G22" s="26"/>
      <c r="H22" s="26"/>
      <c r="I22" s="26"/>
    </row>
    <row r="23" spans="1:9" x14ac:dyDescent="0.2">
      <c r="A23" s="26"/>
      <c r="B23" s="10" t="s">
        <v>40</v>
      </c>
      <c r="C23" s="38"/>
      <c r="D23" s="38"/>
      <c r="E23" s="38"/>
      <c r="F23" s="38"/>
      <c r="G23" s="38"/>
      <c r="H23" s="4"/>
      <c r="I23" s="26"/>
    </row>
    <row r="24" spans="1:9" x14ac:dyDescent="0.2">
      <c r="A24" s="26"/>
      <c r="B24" s="56" t="s">
        <v>194</v>
      </c>
      <c r="C24" s="57"/>
      <c r="D24" s="57"/>
      <c r="E24" s="57"/>
      <c r="F24" s="57"/>
      <c r="G24" s="57"/>
      <c r="H24" s="11"/>
      <c r="I24" s="26"/>
    </row>
    <row r="25" spans="1:9" ht="13.5" thickBot="1" x14ac:dyDescent="0.25">
      <c r="A25" s="26"/>
      <c r="B25" s="58" t="s">
        <v>195</v>
      </c>
      <c r="C25" s="39"/>
      <c r="D25" s="39"/>
      <c r="E25" s="39"/>
      <c r="F25" s="39"/>
      <c r="G25" s="39"/>
      <c r="H25" s="5"/>
      <c r="I25" s="26"/>
    </row>
    <row r="26" spans="1:9" x14ac:dyDescent="0.2">
      <c r="A26" s="26"/>
      <c r="B26" s="26"/>
      <c r="C26" s="26"/>
      <c r="D26" s="26"/>
      <c r="E26" s="26"/>
      <c r="F26" s="26"/>
      <c r="G26" s="26"/>
      <c r="H26" s="26"/>
      <c r="I26" s="26"/>
    </row>
    <row r="27" spans="1:9" x14ac:dyDescent="0.2">
      <c r="A27" s="26"/>
      <c r="B27" s="26"/>
      <c r="C27" s="26"/>
      <c r="D27" s="26"/>
      <c r="E27" s="26"/>
      <c r="F27" s="26"/>
      <c r="G27" s="26"/>
      <c r="H27" s="26"/>
      <c r="I27" s="26"/>
    </row>
    <row r="28" spans="1:9" x14ac:dyDescent="0.2">
      <c r="A28" s="26"/>
      <c r="B28" s="26"/>
      <c r="C28" s="26"/>
      <c r="D28" s="26"/>
      <c r="E28" s="26"/>
      <c r="F28" s="26"/>
      <c r="G28" s="26"/>
      <c r="H28" s="26"/>
      <c r="I28" s="26"/>
    </row>
    <row r="29" spans="1:9" x14ac:dyDescent="0.2">
      <c r="A29" s="26"/>
      <c r="B29" s="26"/>
      <c r="C29" s="26"/>
      <c r="D29" s="26"/>
      <c r="E29" s="26"/>
      <c r="F29" s="26"/>
      <c r="G29" s="26"/>
      <c r="H29" s="26"/>
      <c r="I29" s="26"/>
    </row>
    <row r="30" spans="1:9" x14ac:dyDescent="0.2">
      <c r="A30" s="26"/>
      <c r="B30" s="26"/>
      <c r="C30" s="26"/>
      <c r="D30" s="26"/>
      <c r="E30" s="26"/>
      <c r="F30" s="26"/>
      <c r="G30" s="26"/>
      <c r="H30" s="26"/>
      <c r="I30" s="26"/>
    </row>
    <row r="31" spans="1:9" x14ac:dyDescent="0.2">
      <c r="A31" s="26"/>
      <c r="B31" s="26"/>
      <c r="C31" s="26"/>
      <c r="D31" s="26"/>
      <c r="E31" s="26"/>
      <c r="F31" s="26"/>
      <c r="G31" s="26"/>
      <c r="H31" s="26"/>
      <c r="I31" s="26"/>
    </row>
  </sheetData>
  <sheetProtection password="EA44" sheet="1" objects="1" scenarios="1" selectLockedCells="1"/>
  <phoneticPr fontId="4" type="noConversion"/>
  <pageMargins left="0.78740157499999996" right="0.78740157499999996" top="0.984251969" bottom="0.984251969" header="0.49212598499999999" footer="0.49212598499999999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S37"/>
  <sheetViews>
    <sheetView showRowColHeaders="0" workbookViewId="0">
      <selection activeCell="H18" sqref="H18"/>
    </sheetView>
  </sheetViews>
  <sheetFormatPr defaultRowHeight="12.75" x14ac:dyDescent="0.2"/>
  <cols>
    <col min="1" max="1" width="5.42578125" customWidth="1"/>
    <col min="9" max="9" width="4" customWidth="1"/>
    <col min="10" max="10" width="2.7109375" customWidth="1"/>
    <col min="11" max="11" width="4.140625" customWidth="1"/>
    <col min="13" max="13" width="9.42578125" customWidth="1"/>
    <col min="16" max="18" width="9.5703125" customWidth="1"/>
  </cols>
  <sheetData>
    <row r="1" spans="1:19" ht="13.5" thickBot="1" x14ac:dyDescent="0.25">
      <c r="A1" s="26"/>
      <c r="B1" s="26"/>
      <c r="C1" s="26"/>
      <c r="D1" s="26"/>
      <c r="E1" s="26"/>
      <c r="F1" s="26"/>
      <c r="G1" s="26"/>
      <c r="H1" s="26"/>
      <c r="I1" s="26"/>
      <c r="J1" s="61"/>
      <c r="K1" s="79"/>
      <c r="L1" s="79"/>
      <c r="M1" s="79"/>
      <c r="N1" s="79"/>
      <c r="O1" s="79"/>
      <c r="P1" s="79"/>
      <c r="Q1" s="79"/>
      <c r="R1" s="79"/>
      <c r="S1" s="79"/>
    </row>
    <row r="2" spans="1:19" x14ac:dyDescent="0.2">
      <c r="A2" s="26"/>
      <c r="B2" s="216" t="s">
        <v>197</v>
      </c>
      <c r="C2" s="38"/>
      <c r="D2" s="38"/>
      <c r="E2" s="38"/>
      <c r="F2" s="38"/>
      <c r="G2" s="38"/>
      <c r="H2" s="4"/>
      <c r="I2" s="26"/>
      <c r="J2" s="61"/>
      <c r="K2" s="79"/>
      <c r="L2" s="342" t="s">
        <v>197</v>
      </c>
      <c r="M2" s="181"/>
      <c r="N2" s="181"/>
      <c r="O2" s="181"/>
      <c r="P2" s="181"/>
      <c r="Q2" s="181"/>
      <c r="R2" s="182"/>
      <c r="S2" s="79"/>
    </row>
    <row r="3" spans="1:19" ht="13.5" thickBot="1" x14ac:dyDescent="0.25">
      <c r="A3" s="26"/>
      <c r="B3" s="58" t="s">
        <v>234</v>
      </c>
      <c r="C3" s="39"/>
      <c r="D3" s="39"/>
      <c r="E3" s="39"/>
      <c r="F3" s="39"/>
      <c r="G3" s="39"/>
      <c r="H3" s="5"/>
      <c r="I3" s="26"/>
      <c r="J3" s="61"/>
      <c r="K3" s="79"/>
      <c r="L3" s="343" t="s">
        <v>235</v>
      </c>
      <c r="M3" s="187"/>
      <c r="N3" s="187"/>
      <c r="O3" s="187"/>
      <c r="P3" s="187"/>
      <c r="Q3" s="187"/>
      <c r="R3" s="188"/>
      <c r="S3" s="79"/>
    </row>
    <row r="4" spans="1:19" ht="13.5" thickBot="1" x14ac:dyDescent="0.25">
      <c r="A4" s="26"/>
      <c r="B4" s="26"/>
      <c r="C4" s="26"/>
      <c r="D4" s="26"/>
      <c r="E4" s="26"/>
      <c r="F4" s="26"/>
      <c r="G4" s="26"/>
      <c r="H4" s="26"/>
      <c r="I4" s="26"/>
      <c r="J4" s="61"/>
      <c r="K4" s="79"/>
      <c r="L4" s="79"/>
      <c r="M4" s="79"/>
      <c r="N4" s="79"/>
      <c r="O4" s="79"/>
      <c r="P4" s="79"/>
      <c r="Q4" s="79"/>
      <c r="R4" s="79"/>
      <c r="S4" s="79"/>
    </row>
    <row r="5" spans="1:19" ht="13.5" thickBot="1" x14ac:dyDescent="0.25">
      <c r="A5" s="26"/>
      <c r="B5" s="43" t="s">
        <v>191</v>
      </c>
      <c r="C5" s="44"/>
      <c r="D5" s="44"/>
      <c r="E5" s="45"/>
      <c r="F5" s="65"/>
      <c r="G5" s="26"/>
      <c r="H5" s="26"/>
      <c r="I5" s="26"/>
      <c r="J5" s="61"/>
      <c r="K5" s="79"/>
      <c r="L5" s="344" t="s">
        <v>191</v>
      </c>
      <c r="M5" s="163"/>
      <c r="N5" s="163"/>
      <c r="O5" s="164"/>
      <c r="P5" s="345"/>
      <c r="Q5" s="79"/>
      <c r="R5" s="79"/>
      <c r="S5" s="79"/>
    </row>
    <row r="6" spans="1:19" ht="13.5" thickBot="1" x14ac:dyDescent="0.25">
      <c r="A6" s="26"/>
      <c r="B6" s="26"/>
      <c r="C6" s="26"/>
      <c r="D6" s="26"/>
      <c r="E6" s="26"/>
      <c r="F6" s="26"/>
      <c r="G6" s="26"/>
      <c r="H6" s="26"/>
      <c r="I6" s="26"/>
      <c r="J6" s="61"/>
      <c r="K6" s="79"/>
      <c r="L6" s="79"/>
      <c r="M6" s="79"/>
      <c r="N6" s="79"/>
      <c r="O6" s="79"/>
      <c r="P6" s="79"/>
      <c r="Q6" s="79"/>
      <c r="R6" s="79"/>
      <c r="S6" s="79"/>
    </row>
    <row r="7" spans="1:19" x14ac:dyDescent="0.2">
      <c r="A7" s="26"/>
      <c r="B7" s="1" t="s">
        <v>200</v>
      </c>
      <c r="C7" s="22"/>
      <c r="D7" s="22"/>
      <c r="E7" s="22"/>
      <c r="F7" s="22"/>
      <c r="G7" s="259">
        <v>0.1</v>
      </c>
      <c r="H7" s="59" t="str">
        <f>IF(G7&lt;=1,IF(G7&lt;0,"Insira um número entre 0 e 1",""),"Insira um número entre 0 e 1")</f>
        <v/>
      </c>
      <c r="I7" s="26"/>
      <c r="J7" s="61"/>
      <c r="K7" s="79"/>
      <c r="L7" s="167" t="s">
        <v>236</v>
      </c>
      <c r="M7" s="168"/>
      <c r="N7" s="168"/>
      <c r="O7" s="168"/>
      <c r="P7" s="168"/>
      <c r="Q7" s="168"/>
      <c r="R7" s="259">
        <v>10</v>
      </c>
      <c r="S7" s="102"/>
    </row>
    <row r="8" spans="1:19" ht="13.5" thickBot="1" x14ac:dyDescent="0.25">
      <c r="A8" s="26"/>
      <c r="B8" s="3" t="s">
        <v>201</v>
      </c>
      <c r="C8" s="54"/>
      <c r="D8" s="54"/>
      <c r="E8" s="54"/>
      <c r="F8" s="54"/>
      <c r="G8" s="258">
        <v>0.05</v>
      </c>
      <c r="H8" s="59" t="str">
        <f>IF(G8&lt;=1,IF(G8&lt;0,"Insira um número entre 0 e 1",""),"Insira um número entre 0 e 1")</f>
        <v/>
      </c>
      <c r="I8" s="26"/>
      <c r="J8" s="61"/>
      <c r="K8" s="79"/>
      <c r="L8" s="346" t="s">
        <v>237</v>
      </c>
      <c r="M8" s="172"/>
      <c r="N8" s="172"/>
      <c r="O8" s="172"/>
      <c r="P8" s="172"/>
      <c r="Q8" s="172"/>
      <c r="R8" s="341">
        <v>7.5</v>
      </c>
      <c r="S8" s="102"/>
    </row>
    <row r="9" spans="1:19" ht="13.5" thickBot="1" x14ac:dyDescent="0.25">
      <c r="A9" s="26"/>
      <c r="B9" s="26"/>
      <c r="C9" s="26"/>
      <c r="D9" s="26"/>
      <c r="E9" s="26"/>
      <c r="F9" s="26"/>
      <c r="G9" s="59"/>
      <c r="H9" s="26"/>
      <c r="I9" s="26"/>
      <c r="J9" s="61"/>
      <c r="K9" s="79"/>
      <c r="L9" s="347" t="s">
        <v>238</v>
      </c>
      <c r="M9" s="177"/>
      <c r="N9" s="177"/>
      <c r="O9" s="177"/>
      <c r="P9" s="177"/>
      <c r="Q9" s="177"/>
      <c r="R9" s="348">
        <f>R8/R7</f>
        <v>0.75</v>
      </c>
      <c r="S9" s="102"/>
    </row>
    <row r="10" spans="1:19" ht="13.5" thickBot="1" x14ac:dyDescent="0.25">
      <c r="A10" s="26"/>
      <c r="B10" s="67" t="s">
        <v>245</v>
      </c>
      <c r="C10" s="68"/>
      <c r="D10" s="68"/>
      <c r="E10" s="68"/>
      <c r="F10" s="68"/>
      <c r="G10" s="260">
        <v>0.15</v>
      </c>
      <c r="H10" s="59"/>
      <c r="I10" s="26"/>
      <c r="J10" s="61"/>
      <c r="K10" s="79"/>
      <c r="L10" s="79"/>
      <c r="M10" s="79"/>
      <c r="N10" s="79"/>
      <c r="O10" s="79"/>
      <c r="P10" s="79"/>
      <c r="Q10" s="79"/>
      <c r="R10" s="102"/>
      <c r="S10" s="79"/>
    </row>
    <row r="11" spans="1:19" x14ac:dyDescent="0.2">
      <c r="A11" s="26"/>
      <c r="B11" s="26"/>
      <c r="C11" s="26"/>
      <c r="D11" s="26"/>
      <c r="E11" s="26"/>
      <c r="F11" s="26"/>
      <c r="G11" s="26"/>
      <c r="H11" s="26"/>
      <c r="I11" s="26"/>
      <c r="J11" s="61"/>
      <c r="K11" s="79"/>
      <c r="L11" s="167" t="s">
        <v>239</v>
      </c>
      <c r="M11" s="168"/>
      <c r="N11" s="168"/>
      <c r="O11" s="168"/>
      <c r="P11" s="168"/>
      <c r="Q11" s="168"/>
      <c r="R11" s="259">
        <v>1</v>
      </c>
      <c r="S11" s="102"/>
    </row>
    <row r="12" spans="1:19" ht="13.5" thickBot="1" x14ac:dyDescent="0.25">
      <c r="A12" s="26"/>
      <c r="B12" s="26"/>
      <c r="C12" s="26"/>
      <c r="D12" s="26"/>
      <c r="E12" s="26"/>
      <c r="F12" s="26"/>
      <c r="G12" s="26"/>
      <c r="H12" s="26"/>
      <c r="I12" s="26"/>
      <c r="J12" s="340"/>
      <c r="K12" s="79"/>
      <c r="L12" s="347" t="s">
        <v>240</v>
      </c>
      <c r="M12" s="177"/>
      <c r="N12" s="177"/>
      <c r="O12" s="177"/>
      <c r="P12" s="177"/>
      <c r="Q12" s="177"/>
      <c r="R12" s="258">
        <v>0.8</v>
      </c>
      <c r="S12" s="79"/>
    </row>
    <row r="13" spans="1:19" ht="13.5" thickBot="1" x14ac:dyDescent="0.25">
      <c r="A13" s="26"/>
      <c r="B13" s="26"/>
      <c r="C13" s="26"/>
      <c r="D13" s="26"/>
      <c r="E13" s="26"/>
      <c r="F13" s="26"/>
      <c r="G13" s="26"/>
      <c r="H13" s="59"/>
      <c r="I13" s="26"/>
      <c r="J13" s="61"/>
      <c r="K13" s="102"/>
      <c r="L13" s="79"/>
      <c r="M13" s="79"/>
      <c r="N13" s="79"/>
      <c r="O13" s="79"/>
      <c r="P13" s="79"/>
      <c r="Q13" s="79"/>
      <c r="R13" s="102"/>
      <c r="S13" s="102"/>
    </row>
    <row r="14" spans="1:19" x14ac:dyDescent="0.2">
      <c r="A14" s="26"/>
      <c r="B14" s="216" t="s">
        <v>202</v>
      </c>
      <c r="C14" s="38"/>
      <c r="D14" s="262" t="s">
        <v>203</v>
      </c>
      <c r="E14" s="4"/>
      <c r="F14" s="26"/>
      <c r="G14" s="26"/>
      <c r="H14" s="26"/>
      <c r="I14" s="59"/>
      <c r="J14" s="61"/>
      <c r="K14" s="79"/>
      <c r="L14" s="342" t="s">
        <v>202</v>
      </c>
      <c r="M14" s="181"/>
      <c r="N14" s="349" t="s">
        <v>241</v>
      </c>
      <c r="O14" s="182"/>
      <c r="P14" s="79"/>
      <c r="Q14" s="79"/>
      <c r="R14" s="79"/>
      <c r="S14" s="79"/>
    </row>
    <row r="15" spans="1:19" ht="13.5" thickBot="1" x14ac:dyDescent="0.25">
      <c r="A15" s="26"/>
      <c r="B15" s="58"/>
      <c r="C15" s="39"/>
      <c r="D15" s="263" t="s">
        <v>204</v>
      </c>
      <c r="E15" s="5"/>
      <c r="F15" s="26"/>
      <c r="G15" s="26"/>
      <c r="H15" s="59"/>
      <c r="I15" s="26"/>
      <c r="J15" s="61"/>
      <c r="K15" s="79"/>
      <c r="L15" s="343"/>
      <c r="M15" s="187"/>
      <c r="N15" s="350" t="s">
        <v>242</v>
      </c>
      <c r="O15" s="188"/>
      <c r="P15" s="79"/>
      <c r="Q15" s="79"/>
      <c r="R15" s="102"/>
      <c r="S15" s="79"/>
    </row>
    <row r="16" spans="1:19" x14ac:dyDescent="0.2">
      <c r="A16" s="26"/>
      <c r="B16" s="26"/>
      <c r="C16" s="26"/>
      <c r="D16" s="26"/>
      <c r="E16" s="26"/>
      <c r="F16" s="26"/>
      <c r="G16" s="26"/>
      <c r="H16" s="26"/>
      <c r="I16" s="26"/>
      <c r="J16" s="61"/>
      <c r="K16" s="79"/>
      <c r="L16" s="79"/>
      <c r="M16" s="79"/>
      <c r="N16" s="79"/>
      <c r="O16" s="79"/>
      <c r="P16" s="79"/>
      <c r="Q16" s="79"/>
      <c r="R16" s="79"/>
      <c r="S16" s="79"/>
    </row>
    <row r="17" spans="1:19" ht="13.5" thickBot="1" x14ac:dyDescent="0.25">
      <c r="A17" s="26"/>
      <c r="B17" s="61"/>
      <c r="C17" s="39"/>
      <c r="D17" s="39"/>
      <c r="E17" s="62" t="s">
        <v>46</v>
      </c>
      <c r="F17" s="39"/>
      <c r="G17" s="39"/>
      <c r="H17" s="39"/>
      <c r="I17" s="26"/>
      <c r="J17" s="61"/>
      <c r="K17" s="79"/>
      <c r="L17" s="351"/>
      <c r="M17" s="187"/>
      <c r="N17" s="187"/>
      <c r="O17" s="352" t="s">
        <v>46</v>
      </c>
      <c r="P17" s="187"/>
      <c r="Q17" s="187"/>
      <c r="R17" s="187"/>
      <c r="S17" s="79"/>
    </row>
    <row r="18" spans="1:19" ht="13.5" thickBot="1" x14ac:dyDescent="0.25">
      <c r="A18" s="26"/>
      <c r="B18" s="66" t="s">
        <v>43</v>
      </c>
      <c r="C18" s="39">
        <v>1E-3</v>
      </c>
      <c r="D18" s="64">
        <v>0.01</v>
      </c>
      <c r="E18" s="64">
        <v>0.02</v>
      </c>
      <c r="F18" s="64">
        <v>0.05</v>
      </c>
      <c r="G18" s="64">
        <v>0.1</v>
      </c>
      <c r="H18" s="71">
        <v>0.15</v>
      </c>
      <c r="I18" s="26"/>
      <c r="J18" s="61"/>
      <c r="K18" s="79"/>
      <c r="L18" s="353" t="s">
        <v>43</v>
      </c>
      <c r="M18" s="187">
        <v>1E-3</v>
      </c>
      <c r="N18" s="354">
        <v>0.01</v>
      </c>
      <c r="O18" s="354">
        <v>0.02</v>
      </c>
      <c r="P18" s="354">
        <v>0.05</v>
      </c>
      <c r="Q18" s="354">
        <v>0.1</v>
      </c>
      <c r="R18" s="71">
        <v>0.15</v>
      </c>
      <c r="S18" s="79"/>
    </row>
    <row r="19" spans="1:19" x14ac:dyDescent="0.2">
      <c r="A19" s="26"/>
      <c r="B19" s="61">
        <v>1E-3</v>
      </c>
      <c r="C19" s="61">
        <f t="shared" ref="C19:H25" si="0">ROUNDUP(($G$7*(1-$G$7)+$G$8*(1-$G$8))*(NORMSINV(1-C$18)+NORMSINV(1-$B19))*(NORMSINV(1-C$18)+NORMSINV(1-$B19))/(($G$7-$G$8-$G$10)*($G$7-$G$8-$G$10)),0)</f>
        <v>526</v>
      </c>
      <c r="D19" s="61">
        <f t="shared" si="0"/>
        <v>404</v>
      </c>
      <c r="E19" s="61">
        <f t="shared" si="0"/>
        <v>364</v>
      </c>
      <c r="F19" s="61">
        <f t="shared" si="0"/>
        <v>309</v>
      </c>
      <c r="G19" s="61">
        <f t="shared" si="0"/>
        <v>263</v>
      </c>
      <c r="H19" s="61">
        <f t="shared" si="0"/>
        <v>235</v>
      </c>
      <c r="I19" s="26"/>
      <c r="J19" s="61"/>
      <c r="K19" s="79"/>
      <c r="L19" s="351">
        <v>1E-3</v>
      </c>
      <c r="M19" s="351">
        <f>ROUNDUP($R$9*$R$9*(NORMSINV(1-M$18)+NORMSINV(1-$B19))*(NORMSINV(1-M$18)+NORMSINV(1-$B19))*(1+$R$12*$R$12)/(($R$11-$R$12)*($R$11-$R$12)),0)</f>
        <v>881</v>
      </c>
      <c r="N19" s="351">
        <f t="shared" ref="N19:R25" si="1">ROUNDUP($R$9*$R$9*(NORMSINV(1-N$18)+NORMSINV(1-$B19))*(NORMSINV(1-N$18)+NORMSINV(1-$B19))*(1+$R$12*$R$12)/(($R$11-$R$12)*($R$11-$R$12)),0)</f>
        <v>677</v>
      </c>
      <c r="O19" s="351">
        <f t="shared" si="1"/>
        <v>611</v>
      </c>
      <c r="P19" s="351">
        <f t="shared" si="1"/>
        <v>518</v>
      </c>
      <c r="Q19" s="351">
        <f t="shared" si="1"/>
        <v>441</v>
      </c>
      <c r="R19" s="351">
        <f t="shared" si="1"/>
        <v>393</v>
      </c>
      <c r="S19" s="79"/>
    </row>
    <row r="20" spans="1:19" x14ac:dyDescent="0.2">
      <c r="A20" s="26"/>
      <c r="B20" s="63">
        <v>0.01</v>
      </c>
      <c r="C20" s="61">
        <f t="shared" si="0"/>
        <v>404</v>
      </c>
      <c r="D20" s="61">
        <f t="shared" si="0"/>
        <v>298</v>
      </c>
      <c r="E20" s="61">
        <f t="shared" si="0"/>
        <v>264</v>
      </c>
      <c r="F20" s="61">
        <f t="shared" si="0"/>
        <v>217</v>
      </c>
      <c r="G20" s="61">
        <f t="shared" si="0"/>
        <v>179</v>
      </c>
      <c r="H20" s="61">
        <f t="shared" si="0"/>
        <v>156</v>
      </c>
      <c r="I20" s="26"/>
      <c r="J20" s="61"/>
      <c r="K20" s="79"/>
      <c r="L20" s="355">
        <v>0.01</v>
      </c>
      <c r="M20" s="351">
        <f t="shared" ref="M20:M25" si="2">ROUNDUP($R$9*$R$9*(NORMSINV(1-M$18)+NORMSINV(1-$B20))*(NORMSINV(1-M$18)+NORMSINV(1-$B20))*(1+$R$12*$R$12)/(($R$11-$R$12)*($R$11-$R$12)),0)</f>
        <v>677</v>
      </c>
      <c r="N20" s="351">
        <f t="shared" si="1"/>
        <v>500</v>
      </c>
      <c r="O20" s="351">
        <f t="shared" si="1"/>
        <v>443</v>
      </c>
      <c r="P20" s="351">
        <f t="shared" si="1"/>
        <v>364</v>
      </c>
      <c r="Q20" s="351">
        <f t="shared" si="1"/>
        <v>301</v>
      </c>
      <c r="R20" s="351">
        <f t="shared" si="1"/>
        <v>261</v>
      </c>
      <c r="S20" s="79"/>
    </row>
    <row r="21" spans="1:19" x14ac:dyDescent="0.2">
      <c r="A21" s="26"/>
      <c r="B21" s="63">
        <v>0.02</v>
      </c>
      <c r="C21" s="61">
        <f t="shared" si="0"/>
        <v>364</v>
      </c>
      <c r="D21" s="61">
        <f t="shared" si="0"/>
        <v>264</v>
      </c>
      <c r="E21" s="61">
        <f t="shared" si="0"/>
        <v>232</v>
      </c>
      <c r="F21" s="61">
        <f t="shared" si="0"/>
        <v>189</v>
      </c>
      <c r="G21" s="61">
        <f t="shared" si="0"/>
        <v>153</v>
      </c>
      <c r="H21" s="61">
        <f t="shared" si="0"/>
        <v>132</v>
      </c>
      <c r="I21" s="26"/>
      <c r="J21" s="61"/>
      <c r="K21" s="79"/>
      <c r="L21" s="355">
        <v>0.02</v>
      </c>
      <c r="M21" s="351">
        <f t="shared" si="2"/>
        <v>611</v>
      </c>
      <c r="N21" s="351">
        <f t="shared" si="1"/>
        <v>443</v>
      </c>
      <c r="O21" s="351">
        <f t="shared" si="1"/>
        <v>390</v>
      </c>
      <c r="P21" s="351">
        <f t="shared" si="1"/>
        <v>316</v>
      </c>
      <c r="Q21" s="351">
        <f t="shared" si="1"/>
        <v>257</v>
      </c>
      <c r="R21" s="351">
        <f t="shared" si="1"/>
        <v>221</v>
      </c>
      <c r="S21" s="79"/>
    </row>
    <row r="22" spans="1:19" x14ac:dyDescent="0.2">
      <c r="A22" s="26"/>
      <c r="B22" s="63">
        <v>0.05</v>
      </c>
      <c r="C22" s="61">
        <f t="shared" si="0"/>
        <v>309</v>
      </c>
      <c r="D22" s="61">
        <f t="shared" si="0"/>
        <v>217</v>
      </c>
      <c r="E22" s="61">
        <f t="shared" si="0"/>
        <v>189</v>
      </c>
      <c r="F22" s="61">
        <f t="shared" si="0"/>
        <v>149</v>
      </c>
      <c r="G22" s="61">
        <f t="shared" si="0"/>
        <v>118</v>
      </c>
      <c r="H22" s="61">
        <f t="shared" si="0"/>
        <v>99</v>
      </c>
      <c r="I22" s="26"/>
      <c r="J22" s="61"/>
      <c r="K22" s="79"/>
      <c r="L22" s="355">
        <v>0.05</v>
      </c>
      <c r="M22" s="351">
        <f t="shared" si="2"/>
        <v>518</v>
      </c>
      <c r="N22" s="351">
        <f t="shared" si="1"/>
        <v>364</v>
      </c>
      <c r="O22" s="351">
        <f t="shared" si="1"/>
        <v>316</v>
      </c>
      <c r="P22" s="351">
        <f t="shared" si="1"/>
        <v>250</v>
      </c>
      <c r="Q22" s="351">
        <f t="shared" si="1"/>
        <v>198</v>
      </c>
      <c r="R22" s="351">
        <f t="shared" si="1"/>
        <v>166</v>
      </c>
      <c r="S22" s="79"/>
    </row>
    <row r="23" spans="1:19" x14ac:dyDescent="0.2">
      <c r="A23" s="26"/>
      <c r="B23" s="63">
        <v>0.1</v>
      </c>
      <c r="C23" s="61">
        <f t="shared" si="0"/>
        <v>263</v>
      </c>
      <c r="D23" s="61">
        <f t="shared" si="0"/>
        <v>179</v>
      </c>
      <c r="E23" s="61">
        <f t="shared" si="0"/>
        <v>153</v>
      </c>
      <c r="F23" s="61">
        <f t="shared" si="0"/>
        <v>118</v>
      </c>
      <c r="G23" s="61">
        <f t="shared" si="0"/>
        <v>91</v>
      </c>
      <c r="H23" s="61">
        <f t="shared" si="0"/>
        <v>74</v>
      </c>
      <c r="I23" s="26"/>
      <c r="J23" s="61"/>
      <c r="K23" s="79"/>
      <c r="L23" s="355">
        <v>0.1</v>
      </c>
      <c r="M23" s="351">
        <f t="shared" si="2"/>
        <v>441</v>
      </c>
      <c r="N23" s="351">
        <f t="shared" si="1"/>
        <v>301</v>
      </c>
      <c r="O23" s="351">
        <f t="shared" si="1"/>
        <v>257</v>
      </c>
      <c r="P23" s="351">
        <f t="shared" si="1"/>
        <v>198</v>
      </c>
      <c r="Q23" s="351">
        <f t="shared" si="1"/>
        <v>152</v>
      </c>
      <c r="R23" s="351">
        <f t="shared" si="1"/>
        <v>124</v>
      </c>
      <c r="S23" s="79"/>
    </row>
    <row r="24" spans="1:19" x14ac:dyDescent="0.2">
      <c r="A24" s="26"/>
      <c r="B24" s="63">
        <v>0.2</v>
      </c>
      <c r="C24" s="61">
        <f t="shared" si="0"/>
        <v>213</v>
      </c>
      <c r="D24" s="61">
        <f t="shared" si="0"/>
        <v>138</v>
      </c>
      <c r="E24" s="61">
        <f t="shared" si="0"/>
        <v>116</v>
      </c>
      <c r="F24" s="61">
        <f t="shared" si="0"/>
        <v>86</v>
      </c>
      <c r="G24" s="61">
        <f t="shared" si="0"/>
        <v>62</v>
      </c>
      <c r="H24" s="61">
        <f t="shared" si="0"/>
        <v>49</v>
      </c>
      <c r="I24" s="26"/>
      <c r="J24" s="61"/>
      <c r="K24" s="79"/>
      <c r="L24" s="355">
        <v>0.2</v>
      </c>
      <c r="M24" s="351">
        <f t="shared" si="2"/>
        <v>357</v>
      </c>
      <c r="N24" s="351">
        <f t="shared" si="1"/>
        <v>232</v>
      </c>
      <c r="O24" s="351">
        <f t="shared" si="1"/>
        <v>194</v>
      </c>
      <c r="P24" s="351">
        <f t="shared" si="1"/>
        <v>143</v>
      </c>
      <c r="Q24" s="351">
        <f t="shared" si="1"/>
        <v>104</v>
      </c>
      <c r="R24" s="351">
        <f t="shared" si="1"/>
        <v>82</v>
      </c>
      <c r="S24" s="79"/>
    </row>
    <row r="25" spans="1:19" x14ac:dyDescent="0.2">
      <c r="A25" s="26"/>
      <c r="B25" s="72">
        <v>0.2</v>
      </c>
      <c r="C25" s="61">
        <f t="shared" si="0"/>
        <v>213</v>
      </c>
      <c r="D25" s="61">
        <f t="shared" si="0"/>
        <v>138</v>
      </c>
      <c r="E25" s="61">
        <f t="shared" si="0"/>
        <v>116</v>
      </c>
      <c r="F25" s="61">
        <f t="shared" si="0"/>
        <v>86</v>
      </c>
      <c r="G25" s="61">
        <f t="shared" si="0"/>
        <v>62</v>
      </c>
      <c r="H25" s="61">
        <f t="shared" si="0"/>
        <v>49</v>
      </c>
      <c r="I25" s="26"/>
      <c r="J25" s="61"/>
      <c r="K25" s="79"/>
      <c r="L25" s="72">
        <v>0.2</v>
      </c>
      <c r="M25" s="351">
        <f t="shared" si="2"/>
        <v>357</v>
      </c>
      <c r="N25" s="351">
        <f t="shared" si="1"/>
        <v>232</v>
      </c>
      <c r="O25" s="351">
        <f t="shared" si="1"/>
        <v>194</v>
      </c>
      <c r="P25" s="351">
        <f t="shared" si="1"/>
        <v>143</v>
      </c>
      <c r="Q25" s="351">
        <f t="shared" si="1"/>
        <v>104</v>
      </c>
      <c r="R25" s="351">
        <f t="shared" si="1"/>
        <v>82</v>
      </c>
      <c r="S25" s="79"/>
    </row>
    <row r="26" spans="1:19" ht="13.5" thickBot="1" x14ac:dyDescent="0.25">
      <c r="A26" s="26"/>
      <c r="B26" s="26"/>
      <c r="C26" s="26"/>
      <c r="D26" s="26"/>
      <c r="E26" s="26"/>
      <c r="F26" s="26"/>
      <c r="G26" s="26"/>
      <c r="H26" s="26"/>
      <c r="I26" s="26"/>
      <c r="J26" s="61"/>
      <c r="K26" s="79"/>
      <c r="L26" s="79"/>
      <c r="M26" s="79"/>
      <c r="N26" s="79"/>
      <c r="O26" s="79"/>
      <c r="P26" s="79"/>
      <c r="Q26" s="79"/>
      <c r="R26" s="79"/>
      <c r="S26" s="79"/>
    </row>
    <row r="27" spans="1:19" ht="13.5" thickBot="1" x14ac:dyDescent="0.25">
      <c r="A27" s="26"/>
      <c r="B27" s="43" t="s">
        <v>44</v>
      </c>
      <c r="C27" s="44"/>
      <c r="D27" s="44"/>
      <c r="E27" s="44"/>
      <c r="F27" s="44"/>
      <c r="G27" s="44"/>
      <c r="H27" s="45"/>
      <c r="I27" s="26"/>
      <c r="J27" s="61"/>
      <c r="K27" s="79"/>
      <c r="L27" s="344" t="s">
        <v>44</v>
      </c>
      <c r="M27" s="163"/>
      <c r="N27" s="163"/>
      <c r="O27" s="163"/>
      <c r="P27" s="163"/>
      <c r="Q27" s="163"/>
      <c r="R27" s="164"/>
      <c r="S27" s="79"/>
    </row>
    <row r="28" spans="1:19" ht="13.5" thickBot="1" x14ac:dyDescent="0.25">
      <c r="A28" s="26"/>
      <c r="B28" s="26"/>
      <c r="C28" s="26"/>
      <c r="D28" s="26"/>
      <c r="E28" s="26"/>
      <c r="F28" s="26"/>
      <c r="G28" s="26"/>
      <c r="H28" s="26"/>
      <c r="I28" s="26"/>
      <c r="J28" s="61"/>
      <c r="K28" s="79"/>
      <c r="L28" s="79"/>
      <c r="M28" s="79"/>
      <c r="N28" s="79"/>
      <c r="O28" s="79"/>
      <c r="P28" s="79"/>
      <c r="Q28" s="79"/>
      <c r="R28" s="79"/>
      <c r="S28" s="79"/>
    </row>
    <row r="29" spans="1:19" x14ac:dyDescent="0.2">
      <c r="A29" s="26"/>
      <c r="B29" s="10" t="s">
        <v>40</v>
      </c>
      <c r="C29" s="38"/>
      <c r="D29" s="38"/>
      <c r="E29" s="38"/>
      <c r="F29" s="38"/>
      <c r="G29" s="38"/>
      <c r="H29" s="4"/>
      <c r="I29" s="26"/>
      <c r="J29" s="61"/>
      <c r="K29" s="79"/>
      <c r="L29" s="180" t="s">
        <v>40</v>
      </c>
      <c r="M29" s="181"/>
      <c r="N29" s="181"/>
      <c r="O29" s="181"/>
      <c r="P29" s="181"/>
      <c r="Q29" s="181"/>
      <c r="R29" s="182"/>
      <c r="S29" s="79"/>
    </row>
    <row r="30" spans="1:19" x14ac:dyDescent="0.2">
      <c r="A30" s="26"/>
      <c r="B30" s="56" t="s">
        <v>198</v>
      </c>
      <c r="C30" s="57"/>
      <c r="D30" s="57"/>
      <c r="E30" s="57"/>
      <c r="F30" s="57"/>
      <c r="G30" s="57"/>
      <c r="H30" s="11"/>
      <c r="I30" s="26"/>
      <c r="J30" s="61"/>
      <c r="K30" s="79"/>
      <c r="L30" s="183" t="s">
        <v>243</v>
      </c>
      <c r="M30" s="184"/>
      <c r="N30" s="184"/>
      <c r="O30" s="184"/>
      <c r="P30" s="184"/>
      <c r="Q30" s="184"/>
      <c r="R30" s="185"/>
      <c r="S30" s="79"/>
    </row>
    <row r="31" spans="1:19" ht="13.5" thickBot="1" x14ac:dyDescent="0.25">
      <c r="A31" s="26"/>
      <c r="B31" s="58" t="s">
        <v>199</v>
      </c>
      <c r="C31" s="39"/>
      <c r="D31" s="39"/>
      <c r="E31" s="39"/>
      <c r="F31" s="39"/>
      <c r="G31" s="39"/>
      <c r="H31" s="5"/>
      <c r="I31" s="26"/>
      <c r="J31" s="61"/>
      <c r="K31" s="79"/>
      <c r="L31" s="343" t="s">
        <v>244</v>
      </c>
      <c r="M31" s="187"/>
      <c r="N31" s="187"/>
      <c r="O31" s="187"/>
      <c r="P31" s="187"/>
      <c r="Q31" s="187"/>
      <c r="R31" s="188"/>
      <c r="S31" s="79"/>
    </row>
    <row r="32" spans="1:19" x14ac:dyDescent="0.2">
      <c r="A32" s="26"/>
      <c r="B32" s="26"/>
      <c r="C32" s="26"/>
      <c r="D32" s="26"/>
      <c r="E32" s="26"/>
      <c r="F32" s="26"/>
      <c r="G32" s="26"/>
      <c r="H32" s="26"/>
      <c r="I32" s="26"/>
      <c r="J32" s="61"/>
      <c r="K32" s="79"/>
      <c r="L32" s="79"/>
      <c r="M32" s="79"/>
      <c r="N32" s="79"/>
      <c r="O32" s="79"/>
      <c r="P32" s="79"/>
      <c r="Q32" s="79"/>
      <c r="R32" s="79"/>
      <c r="S32" s="79"/>
    </row>
    <row r="33" spans="1:19" x14ac:dyDescent="0.2">
      <c r="A33" s="26"/>
      <c r="B33" s="26"/>
      <c r="C33" s="26"/>
      <c r="D33" s="26"/>
      <c r="E33" s="26"/>
      <c r="F33" s="26"/>
      <c r="G33" s="26"/>
      <c r="H33" s="26"/>
      <c r="I33" s="26"/>
      <c r="J33" s="61"/>
      <c r="K33" s="79"/>
      <c r="L33" s="79"/>
      <c r="M33" s="79"/>
      <c r="N33" s="79"/>
      <c r="O33" s="79"/>
      <c r="P33" s="79"/>
      <c r="Q33" s="79"/>
      <c r="R33" s="79"/>
      <c r="S33" s="79"/>
    </row>
    <row r="34" spans="1:19" x14ac:dyDescent="0.2">
      <c r="A34" s="26"/>
      <c r="B34" s="26"/>
      <c r="C34" s="26"/>
      <c r="D34" s="26"/>
      <c r="E34" s="26"/>
      <c r="F34" s="26"/>
      <c r="G34" s="26"/>
      <c r="H34" s="26"/>
      <c r="I34" s="26"/>
      <c r="J34" s="61"/>
      <c r="K34" s="79"/>
      <c r="L34" s="79"/>
      <c r="M34" s="79"/>
      <c r="N34" s="79"/>
      <c r="O34" s="79"/>
      <c r="P34" s="79"/>
      <c r="Q34" s="79"/>
      <c r="R34" s="79"/>
      <c r="S34" s="79"/>
    </row>
    <row r="35" spans="1:19" x14ac:dyDescent="0.2">
      <c r="A35" s="26"/>
      <c r="B35" s="26"/>
      <c r="C35" s="26"/>
      <c r="D35" s="26"/>
      <c r="E35" s="26"/>
      <c r="F35" s="26"/>
      <c r="G35" s="26"/>
      <c r="H35" s="26"/>
      <c r="I35" s="26"/>
      <c r="J35" s="61"/>
      <c r="K35" s="79"/>
      <c r="L35" s="79"/>
      <c r="M35" s="79"/>
      <c r="N35" s="79"/>
      <c r="O35" s="79"/>
      <c r="P35" s="79"/>
      <c r="Q35" s="79"/>
      <c r="R35" s="79"/>
      <c r="S35" s="79"/>
    </row>
    <row r="36" spans="1:19" x14ac:dyDescent="0.2">
      <c r="A36" s="26"/>
      <c r="B36" s="26"/>
      <c r="C36" s="26"/>
      <c r="D36" s="26"/>
      <c r="E36" s="26"/>
      <c r="F36" s="26"/>
      <c r="G36" s="26"/>
      <c r="H36" s="26"/>
      <c r="I36" s="26"/>
      <c r="J36" s="30"/>
      <c r="K36" s="79"/>
      <c r="L36" s="79"/>
      <c r="M36" s="79"/>
      <c r="N36" s="79"/>
      <c r="O36" s="79"/>
      <c r="P36" s="79"/>
      <c r="Q36" s="79"/>
      <c r="R36" s="79"/>
      <c r="S36" s="79"/>
    </row>
    <row r="37" spans="1:19" x14ac:dyDescent="0.2">
      <c r="A37" s="26"/>
      <c r="B37" s="26"/>
      <c r="C37" s="26"/>
      <c r="D37" s="26"/>
      <c r="E37" s="26"/>
      <c r="F37" s="26"/>
      <c r="G37" s="26"/>
      <c r="H37" s="26"/>
      <c r="I37" s="26"/>
      <c r="K37" s="79"/>
      <c r="L37" s="79"/>
      <c r="M37" s="79"/>
      <c r="N37" s="79"/>
      <c r="O37" s="79"/>
      <c r="P37" s="79"/>
      <c r="Q37" s="79"/>
      <c r="R37" s="79"/>
      <c r="S37" s="79"/>
    </row>
  </sheetData>
  <sheetProtection password="EA44" sheet="1" objects="1" scenarios="1" selectLockedCells="1"/>
  <phoneticPr fontId="4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  <ignoredErrors>
    <ignoredError sqref="R9" unlockedFormula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RowColHeaders="0" workbookViewId="0">
      <selection activeCell="D5" sqref="D5"/>
    </sheetView>
  </sheetViews>
  <sheetFormatPr defaultRowHeight="12.75" x14ac:dyDescent="0.2"/>
  <cols>
    <col min="1" max="1" width="5.5703125" customWidth="1"/>
    <col min="2" max="2" width="43.42578125" bestFit="1" customWidth="1"/>
    <col min="5" max="5" width="5.85546875" customWidth="1"/>
    <col min="258" max="258" width="43.42578125" bestFit="1" customWidth="1"/>
    <col min="514" max="514" width="43.42578125" bestFit="1" customWidth="1"/>
    <col min="770" max="770" width="43.42578125" bestFit="1" customWidth="1"/>
    <col min="1026" max="1026" width="43.42578125" bestFit="1" customWidth="1"/>
    <col min="1282" max="1282" width="43.42578125" bestFit="1" customWidth="1"/>
    <col min="1538" max="1538" width="43.42578125" bestFit="1" customWidth="1"/>
    <col min="1794" max="1794" width="43.42578125" bestFit="1" customWidth="1"/>
    <col min="2050" max="2050" width="43.42578125" bestFit="1" customWidth="1"/>
    <col min="2306" max="2306" width="43.42578125" bestFit="1" customWidth="1"/>
    <col min="2562" max="2562" width="43.42578125" bestFit="1" customWidth="1"/>
    <col min="2818" max="2818" width="43.42578125" bestFit="1" customWidth="1"/>
    <col min="3074" max="3074" width="43.42578125" bestFit="1" customWidth="1"/>
    <col min="3330" max="3330" width="43.42578125" bestFit="1" customWidth="1"/>
    <col min="3586" max="3586" width="43.42578125" bestFit="1" customWidth="1"/>
    <col min="3842" max="3842" width="43.42578125" bestFit="1" customWidth="1"/>
    <col min="4098" max="4098" width="43.42578125" bestFit="1" customWidth="1"/>
    <col min="4354" max="4354" width="43.42578125" bestFit="1" customWidth="1"/>
    <col min="4610" max="4610" width="43.42578125" bestFit="1" customWidth="1"/>
    <col min="4866" max="4866" width="43.42578125" bestFit="1" customWidth="1"/>
    <col min="5122" max="5122" width="43.42578125" bestFit="1" customWidth="1"/>
    <col min="5378" max="5378" width="43.42578125" bestFit="1" customWidth="1"/>
    <col min="5634" max="5634" width="43.42578125" bestFit="1" customWidth="1"/>
    <col min="5890" max="5890" width="43.42578125" bestFit="1" customWidth="1"/>
    <col min="6146" max="6146" width="43.42578125" bestFit="1" customWidth="1"/>
    <col min="6402" max="6402" width="43.42578125" bestFit="1" customWidth="1"/>
    <col min="6658" max="6658" width="43.42578125" bestFit="1" customWidth="1"/>
    <col min="6914" max="6914" width="43.42578125" bestFit="1" customWidth="1"/>
    <col min="7170" max="7170" width="43.42578125" bestFit="1" customWidth="1"/>
    <col min="7426" max="7426" width="43.42578125" bestFit="1" customWidth="1"/>
    <col min="7682" max="7682" width="43.42578125" bestFit="1" customWidth="1"/>
    <col min="7938" max="7938" width="43.42578125" bestFit="1" customWidth="1"/>
    <col min="8194" max="8194" width="43.42578125" bestFit="1" customWidth="1"/>
    <col min="8450" max="8450" width="43.42578125" bestFit="1" customWidth="1"/>
    <col min="8706" max="8706" width="43.42578125" bestFit="1" customWidth="1"/>
    <col min="8962" max="8962" width="43.42578125" bestFit="1" customWidth="1"/>
    <col min="9218" max="9218" width="43.42578125" bestFit="1" customWidth="1"/>
    <col min="9474" max="9474" width="43.42578125" bestFit="1" customWidth="1"/>
    <col min="9730" max="9730" width="43.42578125" bestFit="1" customWidth="1"/>
    <col min="9986" max="9986" width="43.42578125" bestFit="1" customWidth="1"/>
    <col min="10242" max="10242" width="43.42578125" bestFit="1" customWidth="1"/>
    <col min="10498" max="10498" width="43.42578125" bestFit="1" customWidth="1"/>
    <col min="10754" max="10754" width="43.42578125" bestFit="1" customWidth="1"/>
    <col min="11010" max="11010" width="43.42578125" bestFit="1" customWidth="1"/>
    <col min="11266" max="11266" width="43.42578125" bestFit="1" customWidth="1"/>
    <col min="11522" max="11522" width="43.42578125" bestFit="1" customWidth="1"/>
    <col min="11778" max="11778" width="43.42578125" bestFit="1" customWidth="1"/>
    <col min="12034" max="12034" width="43.42578125" bestFit="1" customWidth="1"/>
    <col min="12290" max="12290" width="43.42578125" bestFit="1" customWidth="1"/>
    <col min="12546" max="12546" width="43.42578125" bestFit="1" customWidth="1"/>
    <col min="12802" max="12802" width="43.42578125" bestFit="1" customWidth="1"/>
    <col min="13058" max="13058" width="43.42578125" bestFit="1" customWidth="1"/>
    <col min="13314" max="13314" width="43.42578125" bestFit="1" customWidth="1"/>
    <col min="13570" max="13570" width="43.42578125" bestFit="1" customWidth="1"/>
    <col min="13826" max="13826" width="43.42578125" bestFit="1" customWidth="1"/>
    <col min="14082" max="14082" width="43.42578125" bestFit="1" customWidth="1"/>
    <col min="14338" max="14338" width="43.42578125" bestFit="1" customWidth="1"/>
    <col min="14594" max="14594" width="43.42578125" bestFit="1" customWidth="1"/>
    <col min="14850" max="14850" width="43.42578125" bestFit="1" customWidth="1"/>
    <col min="15106" max="15106" width="43.42578125" bestFit="1" customWidth="1"/>
    <col min="15362" max="15362" width="43.42578125" bestFit="1" customWidth="1"/>
    <col min="15618" max="15618" width="43.42578125" bestFit="1" customWidth="1"/>
    <col min="15874" max="15874" width="43.42578125" bestFit="1" customWidth="1"/>
    <col min="16130" max="16130" width="43.42578125" bestFit="1" customWidth="1"/>
  </cols>
  <sheetData>
    <row r="1" spans="1:11" ht="13.5" thickBot="1" x14ac:dyDescent="0.25">
      <c r="A1" s="527"/>
      <c r="B1" s="527"/>
      <c r="C1" s="527"/>
      <c r="D1" s="527"/>
      <c r="E1" s="527"/>
      <c r="F1" s="552"/>
      <c r="G1" s="552"/>
      <c r="H1" s="552"/>
      <c r="I1" s="552"/>
      <c r="J1" s="30"/>
      <c r="K1" s="30"/>
    </row>
    <row r="2" spans="1:11" x14ac:dyDescent="0.2">
      <c r="A2" s="527"/>
      <c r="B2" s="528" t="s">
        <v>322</v>
      </c>
      <c r="C2" s="529"/>
      <c r="D2" s="530"/>
      <c r="E2" s="527"/>
      <c r="F2" s="553"/>
      <c r="G2" s="553"/>
      <c r="H2" s="552"/>
      <c r="I2" s="552"/>
      <c r="J2" s="30"/>
      <c r="K2" s="30"/>
    </row>
    <row r="3" spans="1:11" ht="13.5" thickBot="1" x14ac:dyDescent="0.25">
      <c r="A3" s="527"/>
      <c r="B3" s="531" t="s">
        <v>323</v>
      </c>
      <c r="C3" s="532"/>
      <c r="D3" s="533"/>
      <c r="E3" s="527"/>
      <c r="F3" s="553"/>
      <c r="G3" s="553"/>
      <c r="H3" s="552"/>
      <c r="I3" s="552"/>
      <c r="J3" s="30"/>
      <c r="K3" s="30"/>
    </row>
    <row r="4" spans="1:11" ht="13.5" thickBot="1" x14ac:dyDescent="0.25">
      <c r="A4" s="527"/>
      <c r="B4" s="527"/>
      <c r="C4" s="527"/>
      <c r="D4" s="527"/>
      <c r="E4" s="527"/>
      <c r="F4" s="552"/>
      <c r="G4" s="552"/>
      <c r="H4" s="552"/>
      <c r="I4" s="552"/>
      <c r="J4" s="30"/>
      <c r="K4" s="30"/>
    </row>
    <row r="5" spans="1:11" x14ac:dyDescent="0.2">
      <c r="A5" s="527"/>
      <c r="B5" s="534" t="s">
        <v>324</v>
      </c>
      <c r="C5" s="535"/>
      <c r="D5" s="536">
        <v>2</v>
      </c>
      <c r="E5" s="527"/>
      <c r="F5" s="552"/>
      <c r="G5" s="552"/>
      <c r="H5" s="552"/>
      <c r="I5" s="552"/>
      <c r="J5" s="30"/>
      <c r="K5" s="30"/>
    </row>
    <row r="6" spans="1:11" x14ac:dyDescent="0.2">
      <c r="A6" s="527"/>
      <c r="B6" s="537" t="s">
        <v>325</v>
      </c>
      <c r="C6" s="538"/>
      <c r="D6" s="539">
        <v>0.4</v>
      </c>
      <c r="E6" s="527"/>
      <c r="F6" s="552"/>
      <c r="G6" s="552"/>
      <c r="H6" s="552"/>
      <c r="I6" s="552"/>
      <c r="J6" s="30"/>
      <c r="K6" s="30"/>
    </row>
    <row r="7" spans="1:11" x14ac:dyDescent="0.2">
      <c r="A7" s="527"/>
      <c r="B7" s="537" t="s">
        <v>326</v>
      </c>
      <c r="C7" s="538"/>
      <c r="D7" s="539">
        <v>0.2</v>
      </c>
      <c r="E7" s="527"/>
      <c r="F7" s="552"/>
      <c r="G7" s="552"/>
      <c r="H7" s="552"/>
      <c r="I7" s="552"/>
      <c r="J7" s="30"/>
      <c r="K7" s="30"/>
    </row>
    <row r="8" spans="1:11" ht="13.5" thickBot="1" x14ac:dyDescent="0.25">
      <c r="A8" s="527"/>
      <c r="B8" s="540" t="s">
        <v>327</v>
      </c>
      <c r="C8" s="541"/>
      <c r="D8" s="542">
        <v>0.95</v>
      </c>
      <c r="E8" s="556">
        <f>-_xlfn.NORM.S.INV((1-D8)/2)</f>
        <v>1.9599639845400536</v>
      </c>
      <c r="F8" s="552"/>
      <c r="G8" s="552"/>
      <c r="H8" s="552"/>
      <c r="I8" s="552"/>
      <c r="J8" s="30"/>
      <c r="K8" s="30"/>
    </row>
    <row r="9" spans="1:11" ht="13.5" thickBot="1" x14ac:dyDescent="0.25">
      <c r="A9" s="527"/>
      <c r="B9" s="527"/>
      <c r="C9" s="527"/>
      <c r="D9" s="527"/>
      <c r="E9" s="527"/>
      <c r="F9" s="552"/>
      <c r="G9" s="552"/>
      <c r="H9" s="552"/>
      <c r="I9" s="552"/>
      <c r="J9" s="30"/>
      <c r="K9" s="30"/>
    </row>
    <row r="10" spans="1:11" ht="13.5" thickBot="1" x14ac:dyDescent="0.25">
      <c r="A10" s="527"/>
      <c r="B10" s="543" t="s">
        <v>328</v>
      </c>
      <c r="C10" s="544"/>
      <c r="D10" s="555">
        <f>ROUNDUP(8*E8*E8*((1-D6)*(1-D6)*(1+(D5-1)*D6)*(1+(D5-1)*D6))/(D5*(D5-1)*D7*D7)+1,0)</f>
        <v>273</v>
      </c>
      <c r="E10" s="527"/>
      <c r="F10" s="552"/>
      <c r="G10" s="552"/>
      <c r="H10" s="552"/>
      <c r="I10" s="552"/>
      <c r="J10" s="30"/>
      <c r="K10" s="30"/>
    </row>
    <row r="11" spans="1:11" x14ac:dyDescent="0.2">
      <c r="A11" s="527"/>
      <c r="B11" s="527"/>
      <c r="C11" s="527"/>
      <c r="D11" s="527"/>
      <c r="E11" s="527"/>
      <c r="F11" s="552"/>
      <c r="G11" s="552"/>
      <c r="H11" s="552"/>
      <c r="I11" s="552"/>
      <c r="J11" s="30"/>
      <c r="K11" s="30"/>
    </row>
    <row r="12" spans="1:11" x14ac:dyDescent="0.2">
      <c r="A12" s="527"/>
      <c r="B12" s="527"/>
      <c r="C12" s="527"/>
      <c r="D12" s="527"/>
      <c r="E12" s="527"/>
      <c r="F12" s="30"/>
      <c r="G12" s="30"/>
    </row>
    <row r="13" spans="1:11" ht="13.5" thickBot="1" x14ac:dyDescent="0.25">
      <c r="A13" s="527"/>
      <c r="B13" s="527"/>
      <c r="C13" s="527"/>
      <c r="D13" s="527"/>
      <c r="E13" s="527"/>
      <c r="F13" s="30"/>
    </row>
    <row r="14" spans="1:11" x14ac:dyDescent="0.2">
      <c r="A14" s="527"/>
      <c r="B14" s="10" t="s">
        <v>40</v>
      </c>
      <c r="C14" s="545"/>
      <c r="D14" s="546"/>
      <c r="E14" s="527"/>
      <c r="F14" s="30"/>
    </row>
    <row r="15" spans="1:11" x14ac:dyDescent="0.2">
      <c r="A15" s="527"/>
      <c r="B15" s="547" t="s">
        <v>329</v>
      </c>
      <c r="C15" s="548"/>
      <c r="D15" s="549"/>
      <c r="E15" s="527"/>
      <c r="F15" s="30"/>
    </row>
    <row r="16" spans="1:11" x14ac:dyDescent="0.2">
      <c r="A16" s="527"/>
      <c r="B16" s="547" t="s">
        <v>330</v>
      </c>
      <c r="C16" s="548"/>
      <c r="D16" s="549"/>
      <c r="E16" s="527"/>
    </row>
    <row r="17" spans="1:9" ht="13.5" thickBot="1" x14ac:dyDescent="0.25">
      <c r="A17" s="527"/>
      <c r="B17" s="222" t="s">
        <v>331</v>
      </c>
      <c r="C17" s="550"/>
      <c r="D17" s="551"/>
      <c r="E17" s="527"/>
    </row>
    <row r="18" spans="1:9" x14ac:dyDescent="0.2">
      <c r="A18" s="527"/>
      <c r="B18" s="527"/>
      <c r="C18" s="527"/>
      <c r="D18" s="527"/>
      <c r="E18" s="527"/>
    </row>
    <row r="19" spans="1:9" x14ac:dyDescent="0.2">
      <c r="A19" s="527"/>
      <c r="B19" s="527"/>
      <c r="C19" s="527"/>
      <c r="D19" s="527"/>
      <c r="E19" s="527"/>
    </row>
    <row r="20" spans="1:9" x14ac:dyDescent="0.2">
      <c r="A20" s="527"/>
      <c r="B20" s="527"/>
      <c r="C20" s="527"/>
      <c r="D20" s="527"/>
      <c r="E20" s="527"/>
    </row>
    <row r="21" spans="1:9" x14ac:dyDescent="0.2">
      <c r="A21" s="527"/>
      <c r="B21" s="527"/>
      <c r="C21" s="527"/>
      <c r="D21" s="527"/>
      <c r="E21" s="527"/>
    </row>
    <row r="22" spans="1:9" x14ac:dyDescent="0.2">
      <c r="A22" s="527"/>
      <c r="B22" s="527"/>
      <c r="C22" s="527"/>
      <c r="D22" s="527"/>
      <c r="E22" s="527"/>
      <c r="F22" s="554"/>
      <c r="G22" s="554"/>
      <c r="H22" s="554"/>
      <c r="I22" s="554"/>
    </row>
    <row r="23" spans="1:9" x14ac:dyDescent="0.2">
      <c r="A23" s="527"/>
      <c r="B23" s="527"/>
      <c r="C23" s="527"/>
      <c r="D23" s="527"/>
      <c r="E23" s="527"/>
      <c r="F23" s="554"/>
      <c r="G23" s="554"/>
      <c r="H23" s="554"/>
      <c r="I23" s="554"/>
    </row>
    <row r="24" spans="1:9" x14ac:dyDescent="0.2">
      <c r="A24" s="527"/>
      <c r="B24" s="527"/>
      <c r="C24" s="527"/>
      <c r="D24" s="527"/>
      <c r="E24" s="527"/>
      <c r="F24" s="554"/>
      <c r="G24" s="554"/>
      <c r="H24" s="554"/>
      <c r="I24" s="554"/>
    </row>
    <row r="25" spans="1:9" x14ac:dyDescent="0.2">
      <c r="A25" s="554"/>
      <c r="B25" s="554"/>
      <c r="C25" s="554"/>
      <c r="D25" s="554"/>
      <c r="E25" s="554"/>
      <c r="F25" s="554"/>
      <c r="G25" s="554"/>
      <c r="H25" s="554"/>
      <c r="I25" s="554"/>
    </row>
    <row r="26" spans="1:9" x14ac:dyDescent="0.2">
      <c r="A26" s="554"/>
      <c r="B26" s="554"/>
      <c r="C26" s="554"/>
      <c r="D26" s="554"/>
      <c r="E26" s="554"/>
      <c r="F26" s="554"/>
      <c r="G26" s="554"/>
      <c r="H26" s="554"/>
      <c r="I26" s="554"/>
    </row>
    <row r="27" spans="1:9" x14ac:dyDescent="0.2">
      <c r="A27" s="554"/>
      <c r="B27" s="554"/>
      <c r="C27" s="554"/>
      <c r="D27" s="554"/>
      <c r="E27" s="554"/>
      <c r="F27" s="554"/>
      <c r="G27" s="554"/>
      <c r="H27" s="554"/>
      <c r="I27" s="554"/>
    </row>
    <row r="28" spans="1:9" x14ac:dyDescent="0.2">
      <c r="A28" s="554"/>
      <c r="B28" s="554"/>
      <c r="C28" s="554"/>
      <c r="D28" s="554"/>
      <c r="E28" s="554"/>
      <c r="F28" s="554"/>
      <c r="G28" s="554"/>
      <c r="H28" s="554"/>
      <c r="I28" s="554"/>
    </row>
    <row r="29" spans="1:9" x14ac:dyDescent="0.2">
      <c r="A29" s="554"/>
      <c r="B29" s="554"/>
      <c r="C29" s="554"/>
      <c r="D29" s="554"/>
      <c r="E29" s="554"/>
      <c r="F29" s="554"/>
      <c r="G29" s="554"/>
      <c r="H29" s="554"/>
      <c r="I29" s="554"/>
    </row>
  </sheetData>
  <sheetProtection password="EA44" sheet="1" objects="1" scenarios="1" selectLockedCells="1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/>
  <dimension ref="A1:K45"/>
  <sheetViews>
    <sheetView showRowColHeaders="0" workbookViewId="0">
      <selection activeCell="E17" sqref="E17"/>
    </sheetView>
  </sheetViews>
  <sheetFormatPr defaultRowHeight="12.75" x14ac:dyDescent="0.2"/>
  <cols>
    <col min="1" max="2" width="9.140625" style="83"/>
    <col min="3" max="3" width="4.85546875" style="83" customWidth="1"/>
    <col min="4" max="4" width="13.85546875" style="83" customWidth="1"/>
    <col min="5" max="5" width="8.7109375" style="83" customWidth="1"/>
    <col min="6" max="6" width="2.28515625" style="83" customWidth="1"/>
    <col min="7" max="7" width="13.7109375" style="83" customWidth="1"/>
    <col min="8" max="8" width="9.28515625" style="83" customWidth="1"/>
    <col min="9" max="16384" width="9.140625" style="83"/>
  </cols>
  <sheetData>
    <row r="1" spans="1:11" ht="7.5" customHeight="1" x14ac:dyDescent="0.2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x14ac:dyDescent="0.2">
      <c r="A2" s="79"/>
      <c r="B2" s="79"/>
      <c r="C2" s="79"/>
      <c r="D2" s="102" t="s">
        <v>74</v>
      </c>
      <c r="E2" s="79"/>
      <c r="F2" s="79"/>
      <c r="G2" s="79"/>
      <c r="H2" s="103" t="s">
        <v>75</v>
      </c>
      <c r="I2" s="79"/>
      <c r="J2" s="79"/>
      <c r="K2" s="79"/>
    </row>
    <row r="3" spans="1:11" x14ac:dyDescent="0.2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x14ac:dyDescent="0.2">
      <c r="A4" s="79"/>
      <c r="B4" s="79"/>
      <c r="C4" s="79"/>
      <c r="D4" s="79"/>
      <c r="E4" s="79"/>
      <c r="F4" s="104" t="s">
        <v>76</v>
      </c>
      <c r="G4" s="79"/>
      <c r="H4" s="79"/>
      <c r="I4" s="79"/>
      <c r="J4" s="79"/>
      <c r="K4" s="79"/>
    </row>
    <row r="5" spans="1:11" x14ac:dyDescent="0.2">
      <c r="A5" s="79"/>
      <c r="B5" s="79"/>
      <c r="C5" s="79"/>
      <c r="D5" s="79"/>
      <c r="E5" s="79"/>
      <c r="F5" s="105" t="s">
        <v>77</v>
      </c>
      <c r="G5" s="79"/>
      <c r="H5" s="79"/>
      <c r="I5" s="79"/>
      <c r="J5" s="79"/>
      <c r="K5" s="79"/>
    </row>
    <row r="6" spans="1:11" x14ac:dyDescent="0.2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</row>
    <row r="7" spans="1:11" x14ac:dyDescent="0.2">
      <c r="A7" s="79"/>
      <c r="B7" s="79"/>
      <c r="C7" s="79"/>
      <c r="D7" s="79"/>
      <c r="E7" s="79"/>
      <c r="F7" s="105" t="s">
        <v>78</v>
      </c>
      <c r="G7" s="79"/>
      <c r="H7" s="79"/>
      <c r="I7" s="79"/>
      <c r="J7" s="79"/>
      <c r="K7" s="79"/>
    </row>
    <row r="8" spans="1:11" x14ac:dyDescent="0.2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</row>
    <row r="9" spans="1:11" x14ac:dyDescent="0.2">
      <c r="A9" s="79"/>
      <c r="B9" s="79"/>
      <c r="C9" s="79"/>
      <c r="D9" s="79"/>
      <c r="E9" s="79"/>
      <c r="F9" s="79"/>
      <c r="G9" s="79"/>
      <c r="H9" s="79"/>
      <c r="I9" s="79"/>
      <c r="J9" s="79"/>
      <c r="K9" s="79"/>
    </row>
    <row r="10" spans="1:11" x14ac:dyDescent="0.2">
      <c r="A10" s="79"/>
      <c r="B10" s="79"/>
      <c r="C10" s="79"/>
      <c r="D10" s="79"/>
      <c r="E10" s="79"/>
      <c r="F10" s="79"/>
      <c r="G10" s="79"/>
      <c r="H10" s="79"/>
      <c r="I10" s="79"/>
      <c r="J10" s="79"/>
      <c r="K10" s="79"/>
    </row>
    <row r="11" spans="1:11" x14ac:dyDescent="0.2">
      <c r="A11" s="79"/>
      <c r="B11" s="79"/>
      <c r="C11" s="79"/>
      <c r="D11" s="79"/>
      <c r="E11" s="79"/>
      <c r="F11" s="79"/>
      <c r="G11" s="79"/>
      <c r="H11" s="79"/>
      <c r="I11" s="79"/>
      <c r="J11" s="79"/>
      <c r="K11" s="79"/>
    </row>
    <row r="12" spans="1:11" x14ac:dyDescent="0.2">
      <c r="A12" s="79"/>
      <c r="B12" s="79"/>
      <c r="C12" s="79"/>
      <c r="D12" s="79"/>
      <c r="E12" s="79"/>
      <c r="F12" s="79"/>
      <c r="G12" s="79"/>
      <c r="H12" s="79"/>
      <c r="I12" s="79"/>
      <c r="J12" s="79"/>
      <c r="K12" s="79"/>
    </row>
    <row r="13" spans="1:11" ht="6.75" customHeight="1" x14ac:dyDescent="0.2">
      <c r="A13" s="79"/>
      <c r="B13" s="79"/>
      <c r="C13" s="79"/>
      <c r="D13" s="79"/>
      <c r="E13" s="79"/>
      <c r="F13" s="79"/>
      <c r="G13" s="79"/>
      <c r="H13" s="79"/>
      <c r="I13" s="79"/>
      <c r="J13" s="79"/>
      <c r="K13" s="79"/>
    </row>
    <row r="14" spans="1:11" x14ac:dyDescent="0.2">
      <c r="A14" s="79"/>
      <c r="B14" s="79"/>
      <c r="C14" s="79"/>
      <c r="D14" s="106" t="s">
        <v>58</v>
      </c>
      <c r="E14" s="107"/>
      <c r="F14" s="79"/>
      <c r="G14" s="108" t="s">
        <v>59</v>
      </c>
      <c r="H14" s="109"/>
      <c r="I14" s="79"/>
      <c r="J14" s="79"/>
      <c r="K14" s="79"/>
    </row>
    <row r="15" spans="1:11" x14ac:dyDescent="0.2">
      <c r="A15" s="79"/>
      <c r="B15" s="79"/>
      <c r="C15" s="79"/>
      <c r="D15" s="110" t="s">
        <v>79</v>
      </c>
      <c r="E15" s="98">
        <v>67</v>
      </c>
      <c r="F15" s="79"/>
      <c r="G15" s="111" t="s">
        <v>79</v>
      </c>
      <c r="H15" s="98">
        <v>134</v>
      </c>
      <c r="I15" s="79"/>
      <c r="J15" s="79"/>
      <c r="K15" s="79"/>
    </row>
    <row r="16" spans="1:11" x14ac:dyDescent="0.2">
      <c r="A16" s="79"/>
      <c r="B16" s="79"/>
      <c r="C16" s="79"/>
      <c r="D16" s="112" t="s">
        <v>80</v>
      </c>
      <c r="E16" s="99">
        <v>3.9</v>
      </c>
      <c r="F16" s="79"/>
      <c r="G16" s="113" t="s">
        <v>80</v>
      </c>
      <c r="H16" s="144">
        <v>4.8</v>
      </c>
      <c r="I16" s="79"/>
      <c r="J16" s="79"/>
      <c r="K16" s="79"/>
    </row>
    <row r="17" spans="1:11" x14ac:dyDescent="0.2">
      <c r="A17" s="79"/>
      <c r="B17" s="79"/>
      <c r="C17" s="79"/>
      <c r="D17" s="114" t="s">
        <v>81</v>
      </c>
      <c r="E17" s="100">
        <v>1</v>
      </c>
      <c r="F17" s="79"/>
      <c r="G17" s="115" t="s">
        <v>81</v>
      </c>
      <c r="H17" s="145">
        <v>1.4</v>
      </c>
      <c r="I17" s="79"/>
      <c r="J17" s="79"/>
      <c r="K17" s="79"/>
    </row>
    <row r="18" spans="1:11" x14ac:dyDescent="0.2">
      <c r="A18" s="79"/>
      <c r="B18" s="79"/>
      <c r="C18" s="79"/>
      <c r="D18" s="79"/>
      <c r="E18" s="79"/>
      <c r="F18" s="79"/>
      <c r="G18" s="79"/>
      <c r="H18" s="79"/>
      <c r="I18" s="79"/>
      <c r="J18" s="79"/>
      <c r="K18" s="79"/>
    </row>
    <row r="19" spans="1:11" x14ac:dyDescent="0.2">
      <c r="A19" s="79"/>
      <c r="B19" s="79"/>
      <c r="C19" s="79"/>
      <c r="D19" s="96" t="s">
        <v>82</v>
      </c>
      <c r="E19" s="97"/>
      <c r="F19" s="79"/>
      <c r="G19" s="96" t="s">
        <v>83</v>
      </c>
      <c r="H19" s="97"/>
      <c r="I19" s="79"/>
      <c r="J19" s="79"/>
      <c r="K19" s="79"/>
    </row>
    <row r="20" spans="1:11" x14ac:dyDescent="0.2">
      <c r="A20" s="79"/>
      <c r="B20" s="79"/>
      <c r="C20" s="79"/>
      <c r="D20" s="95" t="s">
        <v>84</v>
      </c>
      <c r="E20" s="207">
        <f>(E16-H16)/SQRT(E22*(1/E15+1/H15))</f>
        <v>-4.6946102862936208</v>
      </c>
      <c r="F20" s="79"/>
      <c r="G20" s="95" t="s">
        <v>84</v>
      </c>
      <c r="H20" s="207">
        <f>(E16-H16)/SQRT(E17*E17/E15+H17*H17/H15)</f>
        <v>-5.2353692237597631</v>
      </c>
      <c r="I20" s="79"/>
      <c r="J20" s="79"/>
      <c r="K20" s="79"/>
    </row>
    <row r="21" spans="1:11" x14ac:dyDescent="0.2">
      <c r="A21" s="79"/>
      <c r="B21" s="79"/>
      <c r="C21" s="79"/>
      <c r="D21" s="95" t="s">
        <v>85</v>
      </c>
      <c r="E21" s="208">
        <f>E15+H15-2</f>
        <v>199</v>
      </c>
      <c r="F21" s="79"/>
      <c r="G21" s="95" t="s">
        <v>85</v>
      </c>
      <c r="H21" s="209">
        <f>((E17*E17/E15+H17*H17/H15)^2)/(((E17*E17/E15)^2/(E15-1))+((H17*H17/H15)^2/(H15-1)))</f>
        <v>175.23245601528413</v>
      </c>
      <c r="I21" s="79"/>
      <c r="J21" s="79"/>
      <c r="K21" s="79"/>
    </row>
    <row r="22" spans="1:11" x14ac:dyDescent="0.2">
      <c r="A22" s="79"/>
      <c r="B22" s="79"/>
      <c r="C22" s="79"/>
      <c r="D22" s="95" t="s">
        <v>86</v>
      </c>
      <c r="E22" s="208">
        <f>((E15-1)*E17*E17+(H15-1)*H17*H17)/(E15+H15-2)</f>
        <v>1.6416080402010047</v>
      </c>
      <c r="F22" s="79"/>
      <c r="G22" s="95" t="s">
        <v>87</v>
      </c>
      <c r="H22" s="99">
        <v>0.05</v>
      </c>
      <c r="I22" s="79"/>
      <c r="J22" s="79"/>
      <c r="K22" s="79"/>
    </row>
    <row r="23" spans="1:11" x14ac:dyDescent="0.2">
      <c r="A23" s="79"/>
      <c r="B23" s="79"/>
      <c r="C23" s="79"/>
      <c r="D23" s="95" t="s">
        <v>88</v>
      </c>
      <c r="E23" s="208">
        <f>SQRT(E22)</f>
        <v>1.2812525278808251</v>
      </c>
      <c r="F23" s="79"/>
      <c r="G23" s="95" t="s">
        <v>101</v>
      </c>
      <c r="H23" s="208">
        <f>TINV(H22,H21)</f>
        <v>1.9736124619543807</v>
      </c>
      <c r="I23" s="79"/>
      <c r="J23" s="79"/>
      <c r="K23" s="79"/>
    </row>
    <row r="24" spans="1:11" x14ac:dyDescent="0.2">
      <c r="A24" s="79"/>
      <c r="B24" s="79"/>
      <c r="C24" s="79"/>
      <c r="D24" s="95" t="s">
        <v>87</v>
      </c>
      <c r="E24" s="99">
        <v>0.05</v>
      </c>
      <c r="F24" s="79"/>
      <c r="G24" s="190" t="s">
        <v>132</v>
      </c>
      <c r="H24" s="210">
        <f>ROUNDUP(TDIST(ABS(H20),H21,2),4)</f>
        <v>1E-4</v>
      </c>
      <c r="I24" s="79"/>
      <c r="J24" s="79"/>
      <c r="K24" s="79"/>
    </row>
    <row r="25" spans="1:11" x14ac:dyDescent="0.2">
      <c r="A25" s="79"/>
      <c r="B25" s="79"/>
      <c r="C25" s="79"/>
      <c r="D25" s="95" t="s">
        <v>101</v>
      </c>
      <c r="E25" s="208">
        <f>TINV(E24,E21)</f>
        <v>1.9719565442517553</v>
      </c>
      <c r="F25" s="79"/>
      <c r="G25" s="79"/>
      <c r="H25" s="79"/>
      <c r="I25" s="79"/>
      <c r="J25" s="79"/>
      <c r="K25" s="79"/>
    </row>
    <row r="26" spans="1:11" x14ac:dyDescent="0.2">
      <c r="A26" s="79"/>
      <c r="B26" s="79"/>
      <c r="C26" s="79"/>
      <c r="D26" s="190" t="s">
        <v>132</v>
      </c>
      <c r="E26" s="210">
        <f>ROUNDUP(TDIST(ABS(E20),E15+H15-2,2),4)</f>
        <v>1E-4</v>
      </c>
      <c r="F26" s="79"/>
      <c r="G26" s="79"/>
      <c r="H26" s="79"/>
      <c r="I26" s="79"/>
      <c r="J26" s="79"/>
      <c r="K26" s="79"/>
    </row>
    <row r="27" spans="1:11" x14ac:dyDescent="0.2">
      <c r="A27" s="79"/>
      <c r="B27" s="79"/>
      <c r="C27" s="79"/>
      <c r="D27" s="79"/>
      <c r="E27" s="79"/>
      <c r="F27" s="79"/>
      <c r="G27" s="79"/>
      <c r="H27" s="79"/>
      <c r="I27" s="79"/>
      <c r="J27" s="79"/>
      <c r="K27" s="79"/>
    </row>
    <row r="28" spans="1:11" x14ac:dyDescent="0.2">
      <c r="A28" s="79"/>
      <c r="B28" s="79"/>
      <c r="C28" s="79"/>
      <c r="D28" s="116" t="s">
        <v>89</v>
      </c>
      <c r="E28" s="117"/>
      <c r="F28" s="117"/>
      <c r="G28" s="117"/>
      <c r="H28" s="118"/>
      <c r="I28" s="79"/>
      <c r="J28" s="79"/>
      <c r="K28" s="79"/>
    </row>
    <row r="29" spans="1:11" x14ac:dyDescent="0.2">
      <c r="A29" s="79"/>
      <c r="B29" s="79"/>
      <c r="C29" s="79"/>
      <c r="D29" s="119" t="s">
        <v>90</v>
      </c>
      <c r="E29" s="207">
        <f>IF(E17&gt;H17,(E17*E17)/(H17*H17),(H17*H17)/(E17*E17))</f>
        <v>1.9599999999999997</v>
      </c>
      <c r="F29" s="79"/>
      <c r="G29" s="120" t="s">
        <v>87</v>
      </c>
      <c r="H29" s="98">
        <v>0.05</v>
      </c>
      <c r="I29" s="79"/>
      <c r="J29" s="79"/>
      <c r="K29" s="79"/>
    </row>
    <row r="30" spans="1:11" x14ac:dyDescent="0.2">
      <c r="A30" s="79"/>
      <c r="B30" s="79"/>
      <c r="C30" s="79"/>
      <c r="D30" s="119" t="s">
        <v>91</v>
      </c>
      <c r="E30" s="208">
        <f>IF(E17&gt;H17,E15-1,H15-1)</f>
        <v>133</v>
      </c>
      <c r="F30" s="79"/>
      <c r="G30" s="121" t="s">
        <v>92</v>
      </c>
      <c r="H30" s="208">
        <f>FINV(H29/2,E30,E31)</f>
        <v>1.5454291815105983</v>
      </c>
      <c r="I30" s="79"/>
      <c r="J30" s="79"/>
      <c r="K30" s="79"/>
    </row>
    <row r="31" spans="1:11" x14ac:dyDescent="0.2">
      <c r="A31" s="79"/>
      <c r="B31" s="79"/>
      <c r="C31" s="79"/>
      <c r="D31" s="122" t="s">
        <v>93</v>
      </c>
      <c r="E31" s="210">
        <f>IF(E17&gt;H17,H15-1,E15-1)</f>
        <v>66</v>
      </c>
      <c r="F31" s="140"/>
      <c r="G31" s="189" t="s">
        <v>132</v>
      </c>
      <c r="H31" s="210">
        <f>ROUNDUP(IF(2*FDIST(E29,E30,E31)&gt;1,1,2*FDIST(E29,E30,E31)),4)</f>
        <v>2.8E-3</v>
      </c>
      <c r="I31" s="79"/>
      <c r="J31" s="79"/>
      <c r="K31" s="79"/>
    </row>
    <row r="32" spans="1:11" x14ac:dyDescent="0.2">
      <c r="A32" s="79"/>
      <c r="B32" s="79"/>
      <c r="C32" s="79"/>
      <c r="D32" s="79"/>
      <c r="E32" s="79"/>
      <c r="F32" s="79"/>
      <c r="G32" s="79"/>
      <c r="H32" s="79"/>
      <c r="I32" s="79"/>
      <c r="J32" s="79"/>
      <c r="K32" s="79"/>
    </row>
    <row r="33" spans="1:11" x14ac:dyDescent="0.2">
      <c r="A33" s="79"/>
      <c r="B33" s="79"/>
      <c r="C33" s="79"/>
      <c r="D33" s="124" t="s">
        <v>94</v>
      </c>
      <c r="E33" s="125"/>
      <c r="F33" s="125"/>
      <c r="G33" s="125"/>
      <c r="H33" s="126"/>
      <c r="I33" s="79"/>
      <c r="J33" s="79"/>
      <c r="K33" s="79"/>
    </row>
    <row r="34" spans="1:11" x14ac:dyDescent="0.2">
      <c r="A34" s="79"/>
      <c r="B34" s="79"/>
      <c r="C34" s="79"/>
      <c r="D34" s="127" t="s">
        <v>95</v>
      </c>
      <c r="E34" s="128"/>
      <c r="F34" s="128"/>
      <c r="G34" s="88"/>
      <c r="H34" s="89">
        <f>E16-H16</f>
        <v>-0.89999999999999991</v>
      </c>
      <c r="I34" s="79"/>
      <c r="J34" s="79"/>
      <c r="K34" s="79"/>
    </row>
    <row r="35" spans="1:11" x14ac:dyDescent="0.2">
      <c r="A35" s="79"/>
      <c r="B35" s="79"/>
      <c r="C35" s="79"/>
      <c r="D35" s="127" t="s">
        <v>67</v>
      </c>
      <c r="E35" s="128"/>
      <c r="F35" s="128"/>
      <c r="G35" s="90"/>
      <c r="H35" s="101">
        <v>0.95</v>
      </c>
      <c r="I35" s="79"/>
      <c r="J35" s="79"/>
      <c r="K35" s="79"/>
    </row>
    <row r="36" spans="1:11" x14ac:dyDescent="0.2">
      <c r="A36" s="79"/>
      <c r="B36" s="79"/>
      <c r="C36" s="79"/>
      <c r="D36" s="127" t="s">
        <v>82</v>
      </c>
      <c r="E36" s="128"/>
      <c r="F36" s="128"/>
      <c r="G36" s="91">
        <f>H34-TINV(1-H35,E21)*SQRT(E22*(1/E15+1/H15))</f>
        <v>-1.2780422189693081</v>
      </c>
      <c r="H36" s="92">
        <f>H34+TINV(1-H35,E21)*SQRT(E22*(1/E15+1/H15))</f>
        <v>-0.52195778103069168</v>
      </c>
      <c r="I36" s="79"/>
      <c r="J36" s="79"/>
      <c r="K36" s="79"/>
    </row>
    <row r="37" spans="1:11" x14ac:dyDescent="0.2">
      <c r="A37" s="79"/>
      <c r="B37" s="79"/>
      <c r="C37" s="79"/>
      <c r="D37" s="129" t="s">
        <v>83</v>
      </c>
      <c r="E37" s="130"/>
      <c r="F37" s="130"/>
      <c r="G37" s="93">
        <f>H34-TINV(1-H35,H21)*SQRT(E17*E17/E15+H17*H17/H15)</f>
        <v>-1.239279072753408</v>
      </c>
      <c r="H37" s="94">
        <f>H34+TINV(1-H35,H21)*SQRT(E17*E17/E15+H17*H17/H15)</f>
        <v>-0.56072092724659184</v>
      </c>
      <c r="I37" s="79"/>
      <c r="J37" s="79"/>
      <c r="K37" s="79"/>
    </row>
    <row r="38" spans="1:11" x14ac:dyDescent="0.2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</row>
    <row r="39" spans="1:11" x14ac:dyDescent="0.2">
      <c r="A39" s="79"/>
      <c r="B39" s="79"/>
      <c r="C39" s="79"/>
      <c r="D39" s="131" t="s">
        <v>99</v>
      </c>
      <c r="E39" s="132"/>
      <c r="F39" s="132"/>
      <c r="G39" s="132"/>
      <c r="H39" s="133"/>
      <c r="I39" s="79"/>
      <c r="J39" s="79"/>
      <c r="K39" s="79"/>
    </row>
    <row r="40" spans="1:11" x14ac:dyDescent="0.2">
      <c r="A40" s="79"/>
      <c r="B40" s="79"/>
      <c r="C40" s="79"/>
      <c r="D40" s="134" t="s">
        <v>100</v>
      </c>
      <c r="E40" s="135"/>
      <c r="F40" s="135"/>
      <c r="G40" s="135"/>
      <c r="H40" s="136"/>
      <c r="I40" s="79"/>
      <c r="J40" s="79"/>
      <c r="K40" s="79"/>
    </row>
    <row r="41" spans="1:11" x14ac:dyDescent="0.2">
      <c r="A41" s="79"/>
      <c r="B41" s="79"/>
      <c r="C41" s="79"/>
      <c r="D41" s="137" t="s">
        <v>96</v>
      </c>
      <c r="E41" s="135"/>
      <c r="F41" s="135"/>
      <c r="G41" s="135"/>
      <c r="H41" s="136"/>
      <c r="I41" s="79"/>
      <c r="J41" s="79"/>
      <c r="K41" s="79"/>
    </row>
    <row r="42" spans="1:11" x14ac:dyDescent="0.2">
      <c r="A42" s="79"/>
      <c r="B42" s="79"/>
      <c r="C42" s="79"/>
      <c r="D42" s="134" t="s">
        <v>97</v>
      </c>
      <c r="E42" s="135"/>
      <c r="F42" s="135"/>
      <c r="G42" s="135"/>
      <c r="H42" s="136"/>
      <c r="I42" s="79"/>
      <c r="J42" s="79"/>
      <c r="K42" s="79"/>
    </row>
    <row r="43" spans="1:11" x14ac:dyDescent="0.2">
      <c r="A43" s="79"/>
      <c r="B43" s="79"/>
      <c r="C43" s="79"/>
      <c r="D43" s="134" t="s">
        <v>22</v>
      </c>
      <c r="E43" s="135"/>
      <c r="F43" s="135"/>
      <c r="G43" s="135"/>
      <c r="H43" s="136"/>
      <c r="I43" s="79"/>
      <c r="J43" s="79"/>
      <c r="K43" s="79"/>
    </row>
    <row r="44" spans="1:11" x14ac:dyDescent="0.2">
      <c r="A44" s="79"/>
      <c r="B44" s="79"/>
      <c r="C44" s="79"/>
      <c r="D44" s="138" t="s">
        <v>98</v>
      </c>
      <c r="E44" s="123"/>
      <c r="F44" s="123"/>
      <c r="G44" s="123"/>
      <c r="H44" s="139"/>
      <c r="I44" s="79"/>
      <c r="J44" s="79"/>
      <c r="K44" s="79"/>
    </row>
    <row r="45" spans="1:11" x14ac:dyDescent="0.2">
      <c r="A45" s="79"/>
      <c r="B45" s="79"/>
      <c r="C45" s="79"/>
      <c r="D45" s="79"/>
      <c r="E45" s="79"/>
      <c r="F45" s="79"/>
      <c r="G45" s="79"/>
      <c r="H45" s="79"/>
      <c r="I45" s="79"/>
      <c r="J45" s="79"/>
      <c r="K45" s="79"/>
    </row>
  </sheetData>
  <sheetProtection password="EA44" sheet="1" objects="1" scenarios="1" selectLockedCells="1"/>
  <phoneticPr fontId="4" type="noConversion"/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/>
  <dimension ref="A1:N45"/>
  <sheetViews>
    <sheetView showRowColHeaders="0" workbookViewId="0">
      <selection activeCell="E15" sqref="E15"/>
    </sheetView>
  </sheetViews>
  <sheetFormatPr defaultRowHeight="12.75" x14ac:dyDescent="0.2"/>
  <cols>
    <col min="1" max="1" width="5.7109375" customWidth="1"/>
    <col min="2" max="2" width="8.28515625" style="299" customWidth="1"/>
    <col min="3" max="3" width="2.140625" style="299" customWidth="1"/>
    <col min="4" max="5" width="9.140625" style="299"/>
    <col min="6" max="6" width="2.140625" style="299" customWidth="1"/>
    <col min="7" max="7" width="12.7109375" style="299" customWidth="1"/>
    <col min="8" max="8" width="2.5703125" customWidth="1"/>
    <col min="10" max="10" width="12.42578125" customWidth="1"/>
    <col min="12" max="12" width="10.5703125" customWidth="1"/>
    <col min="13" max="13" width="2.5703125" customWidth="1"/>
  </cols>
  <sheetData>
    <row r="1" spans="1:13" ht="13.5" thickBo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13.5" thickBot="1" x14ac:dyDescent="0.25">
      <c r="A2" s="26"/>
      <c r="B2" s="264" t="s">
        <v>205</v>
      </c>
      <c r="C2" s="265"/>
      <c r="D2" s="265"/>
      <c r="E2" s="265"/>
      <c r="F2" s="265"/>
      <c r="G2" s="266"/>
      <c r="H2" s="26"/>
      <c r="I2" s="26"/>
      <c r="J2" s="26"/>
      <c r="K2" s="26"/>
      <c r="L2" s="26"/>
      <c r="M2" s="26"/>
    </row>
    <row r="3" spans="1:13" ht="13.5" thickBo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ht="13.5" thickBot="1" x14ac:dyDescent="0.25">
      <c r="A4" s="26"/>
      <c r="B4" s="26"/>
      <c r="C4" s="26"/>
      <c r="D4" s="361" t="s">
        <v>103</v>
      </c>
      <c r="E4" s="362" t="s">
        <v>104</v>
      </c>
      <c r="F4" s="26"/>
      <c r="G4" s="360" t="s">
        <v>206</v>
      </c>
      <c r="H4" s="26"/>
      <c r="I4" s="26"/>
      <c r="J4" s="26"/>
      <c r="K4" s="26"/>
      <c r="L4" s="26"/>
      <c r="M4" s="26"/>
    </row>
    <row r="5" spans="1:13" x14ac:dyDescent="0.2">
      <c r="A5" s="26"/>
      <c r="B5" s="267">
        <f>IF(COUNTA(D5)=1,1,"")</f>
        <v>1</v>
      </c>
      <c r="C5" s="26"/>
      <c r="D5" s="196">
        <v>0.75</v>
      </c>
      <c r="E5" s="197">
        <v>1.08</v>
      </c>
      <c r="F5" s="26"/>
      <c r="G5" s="357">
        <f>IF(COUNT(D5:E5)=2,D5-E5,"")</f>
        <v>-0.33000000000000007</v>
      </c>
      <c r="H5" s="26"/>
      <c r="I5" s="268" t="s">
        <v>207</v>
      </c>
      <c r="J5" s="269"/>
      <c r="K5" s="270">
        <f>G31</f>
        <v>-0.42200000000000004</v>
      </c>
      <c r="L5" s="26"/>
      <c r="M5" s="26"/>
    </row>
    <row r="6" spans="1:13" ht="13.5" thickBot="1" x14ac:dyDescent="0.25">
      <c r="A6" s="26"/>
      <c r="B6" s="271">
        <f>IF(COUNTA(D6)=1,2,"")</f>
        <v>2</v>
      </c>
      <c r="C6" s="26"/>
      <c r="D6" s="196">
        <v>0.79</v>
      </c>
      <c r="E6" s="197">
        <v>1.71</v>
      </c>
      <c r="F6" s="26"/>
      <c r="G6" s="358">
        <f t="shared" ref="G6:G29" si="0">IF(COUNT(D6:E6)=2,D6-E6,"")</f>
        <v>-0.91999999999999993</v>
      </c>
      <c r="H6" s="26"/>
      <c r="I6" s="146" t="s">
        <v>208</v>
      </c>
      <c r="J6" s="272"/>
      <c r="K6" s="273">
        <f>G32</f>
        <v>0.38969503746163126</v>
      </c>
      <c r="L6" s="26"/>
      <c r="M6" s="26"/>
    </row>
    <row r="7" spans="1:13" ht="13.5" thickBot="1" x14ac:dyDescent="0.25">
      <c r="A7" s="26"/>
      <c r="B7" s="271">
        <f>IF(COUNTA(D7)=1,3,"")</f>
        <v>3</v>
      </c>
      <c r="C7" s="26"/>
      <c r="D7" s="196">
        <v>0.55000000000000004</v>
      </c>
      <c r="E7" s="197">
        <v>0.91</v>
      </c>
      <c r="F7" s="26"/>
      <c r="G7" s="358">
        <f t="shared" si="0"/>
        <v>-0.36</v>
      </c>
      <c r="H7" s="26"/>
      <c r="I7" s="26"/>
      <c r="J7" s="26"/>
      <c r="K7" s="26"/>
      <c r="L7" s="26"/>
      <c r="M7" s="26"/>
    </row>
    <row r="8" spans="1:13" x14ac:dyDescent="0.2">
      <c r="A8" s="26"/>
      <c r="B8" s="271">
        <f>IF(COUNTA(D8)=1,4,"")</f>
        <v>4</v>
      </c>
      <c r="C8" s="26"/>
      <c r="D8" s="196">
        <v>0.64</v>
      </c>
      <c r="E8" s="197">
        <v>1.74</v>
      </c>
      <c r="F8" s="26"/>
      <c r="G8" s="358">
        <f t="shared" si="0"/>
        <v>-1.1000000000000001</v>
      </c>
      <c r="H8" s="26"/>
      <c r="I8" s="26"/>
      <c r="J8" s="274" t="s">
        <v>79</v>
      </c>
      <c r="K8" s="270">
        <f>COUNT(G5:G29)</f>
        <v>10</v>
      </c>
      <c r="L8" s="65">
        <f>K5-TINV(1-K17,K8-1)*K6/SQRT(K8)</f>
        <v>-0.70077103627067483</v>
      </c>
      <c r="M8" s="26"/>
    </row>
    <row r="9" spans="1:13" x14ac:dyDescent="0.2">
      <c r="A9" s="26"/>
      <c r="B9" s="271">
        <f>IF(COUNTA(D9)=1,5,"")</f>
        <v>5</v>
      </c>
      <c r="C9" s="26"/>
      <c r="D9" s="196">
        <v>0.57999999999999996</v>
      </c>
      <c r="E9" s="197">
        <v>0.8</v>
      </c>
      <c r="F9" s="26"/>
      <c r="G9" s="358">
        <f t="shared" si="0"/>
        <v>-0.22000000000000008</v>
      </c>
      <c r="H9" s="26"/>
      <c r="I9" s="26"/>
      <c r="J9" s="275" t="s">
        <v>209</v>
      </c>
      <c r="K9" s="278">
        <f>K5*SQRT(K8)/K6</f>
        <v>-3.4244243429003052</v>
      </c>
      <c r="L9" s="65">
        <f>K5+TINV(1-K17,K8-1)*K6/SQRT(K8)</f>
        <v>-0.14322896372932525</v>
      </c>
      <c r="M9" s="26"/>
    </row>
    <row r="10" spans="1:13" x14ac:dyDescent="0.2">
      <c r="A10" s="26"/>
      <c r="B10" s="271">
        <f>IF(COUNTA(D10)=1,6,"")</f>
        <v>6</v>
      </c>
      <c r="C10" s="26"/>
      <c r="D10" s="196">
        <v>0.7</v>
      </c>
      <c r="E10" s="197">
        <v>0.56999999999999995</v>
      </c>
      <c r="F10" s="26"/>
      <c r="G10" s="358">
        <f t="shared" si="0"/>
        <v>0.13</v>
      </c>
      <c r="H10" s="26"/>
      <c r="I10" s="26"/>
      <c r="J10" s="275" t="s">
        <v>210</v>
      </c>
      <c r="K10" s="51">
        <v>0.05</v>
      </c>
      <c r="L10" s="26"/>
      <c r="M10" s="26"/>
    </row>
    <row r="11" spans="1:13" x14ac:dyDescent="0.2">
      <c r="A11" s="26"/>
      <c r="B11" s="271">
        <f>IF(COUNTA(D11)=1,7,"")</f>
        <v>7</v>
      </c>
      <c r="C11" s="26"/>
      <c r="D11" s="196">
        <v>0.62</v>
      </c>
      <c r="E11" s="197">
        <v>1.1200000000000001</v>
      </c>
      <c r="F11" s="26"/>
      <c r="G11" s="358">
        <f t="shared" si="0"/>
        <v>-0.50000000000000011</v>
      </c>
      <c r="H11" s="26"/>
      <c r="I11" s="26"/>
      <c r="J11" s="280" t="s">
        <v>211</v>
      </c>
      <c r="K11" s="279">
        <f>TINV(K10,K8-1)</f>
        <v>2.2621571627982053</v>
      </c>
      <c r="L11" s="26"/>
      <c r="M11" s="26"/>
    </row>
    <row r="12" spans="1:13" ht="13.5" thickBot="1" x14ac:dyDescent="0.25">
      <c r="A12" s="26"/>
      <c r="B12" s="271">
        <f>IF(COUNTA(D12)=1,8,"")</f>
        <v>8</v>
      </c>
      <c r="C12" s="26"/>
      <c r="D12" s="196">
        <v>0.71</v>
      </c>
      <c r="E12" s="197">
        <v>0.61</v>
      </c>
      <c r="F12" s="26"/>
      <c r="G12" s="358">
        <f t="shared" si="0"/>
        <v>9.9999999999999978E-2</v>
      </c>
      <c r="H12" s="26"/>
      <c r="I12" s="26"/>
      <c r="J12" s="281" t="s">
        <v>212</v>
      </c>
      <c r="K12" s="273">
        <f>TDIST(ABS(K9),K8-1,2)</f>
        <v>7.574733578556779E-3</v>
      </c>
      <c r="L12" s="26"/>
      <c r="M12" s="26"/>
    </row>
    <row r="13" spans="1:13" ht="13.5" thickBot="1" x14ac:dyDescent="0.25">
      <c r="A13" s="26"/>
      <c r="B13" s="271">
        <f>IF(COUNTA(D13)=1,9,"")</f>
        <v>9</v>
      </c>
      <c r="C13" s="26"/>
      <c r="D13" s="196">
        <v>0.66</v>
      </c>
      <c r="E13" s="197">
        <v>1.1100000000000001</v>
      </c>
      <c r="F13" s="26"/>
      <c r="G13" s="358">
        <f t="shared" si="0"/>
        <v>-0.45000000000000007</v>
      </c>
      <c r="H13" s="26"/>
      <c r="I13" s="26"/>
      <c r="J13" s="26"/>
      <c r="K13" s="26"/>
      <c r="L13" s="26"/>
      <c r="M13" s="26"/>
    </row>
    <row r="14" spans="1:13" ht="13.5" thickBot="1" x14ac:dyDescent="0.25">
      <c r="A14" s="26"/>
      <c r="B14" s="271">
        <f>IF(COUNTA(D14)=1,10,"")</f>
        <v>10</v>
      </c>
      <c r="C14" s="26"/>
      <c r="D14" s="196">
        <v>0.63</v>
      </c>
      <c r="E14" s="197">
        <v>1.2</v>
      </c>
      <c r="F14" s="26"/>
      <c r="G14" s="358">
        <f t="shared" si="0"/>
        <v>-0.56999999999999995</v>
      </c>
      <c r="H14" s="26"/>
      <c r="I14" s="26"/>
      <c r="J14" s="282" t="str">
        <f>IF(ABS(K9)&gt;K11,"Rejeita-se H0","Não se rejeita H0")</f>
        <v>Rejeita-se H0</v>
      </c>
      <c r="K14" s="283"/>
      <c r="L14" s="26"/>
      <c r="M14" s="26"/>
    </row>
    <row r="15" spans="1:13" x14ac:dyDescent="0.2">
      <c r="A15" s="26"/>
      <c r="B15" s="271" t="str">
        <f>IF(COUNTA(D15)=1,11,"")</f>
        <v/>
      </c>
      <c r="C15" s="26"/>
      <c r="D15" s="196"/>
      <c r="E15" s="197"/>
      <c r="F15" s="26"/>
      <c r="G15" s="358" t="str">
        <f t="shared" si="0"/>
        <v/>
      </c>
      <c r="H15" s="26"/>
      <c r="I15" s="26"/>
      <c r="J15" s="26"/>
      <c r="K15" s="26"/>
      <c r="L15" s="26"/>
      <c r="M15" s="26"/>
    </row>
    <row r="16" spans="1:13" ht="13.5" thickBot="1" x14ac:dyDescent="0.25">
      <c r="A16" s="26"/>
      <c r="B16" s="271" t="str">
        <f>IF(COUNTA(D16)=1,12,"")</f>
        <v/>
      </c>
      <c r="C16" s="26"/>
      <c r="D16" s="196"/>
      <c r="E16" s="197"/>
      <c r="F16" s="26"/>
      <c r="G16" s="358" t="str">
        <f t="shared" si="0"/>
        <v/>
      </c>
      <c r="H16" s="26"/>
      <c r="I16" s="26"/>
      <c r="J16" s="26"/>
      <c r="K16" s="26"/>
      <c r="L16" s="26"/>
      <c r="M16" s="26"/>
    </row>
    <row r="17" spans="1:13" ht="13.5" thickBot="1" x14ac:dyDescent="0.25">
      <c r="A17" s="26"/>
      <c r="B17" s="271" t="str">
        <f>IF(COUNTA(D17)=1,13,"")</f>
        <v/>
      </c>
      <c r="C17" s="26"/>
      <c r="D17" s="196"/>
      <c r="E17" s="197"/>
      <c r="F17" s="26"/>
      <c r="G17" s="358" t="str">
        <f t="shared" si="0"/>
        <v/>
      </c>
      <c r="H17" s="26"/>
      <c r="I17" s="282" t="s">
        <v>67</v>
      </c>
      <c r="J17" s="68"/>
      <c r="K17" s="368">
        <v>0.95</v>
      </c>
      <c r="L17" s="26"/>
      <c r="M17" s="26"/>
    </row>
    <row r="18" spans="1:13" ht="13.5" thickBot="1" x14ac:dyDescent="0.25">
      <c r="A18" s="26"/>
      <c r="B18" s="271" t="str">
        <f>IF(COUNTA(D18)=1,14,"")</f>
        <v/>
      </c>
      <c r="C18" s="26"/>
      <c r="D18" s="196"/>
      <c r="E18" s="197"/>
      <c r="F18" s="26"/>
      <c r="G18" s="358" t="str">
        <f t="shared" si="0"/>
        <v/>
      </c>
      <c r="H18" s="26"/>
      <c r="I18" s="26"/>
      <c r="J18" s="26"/>
      <c r="K18" s="26"/>
      <c r="L18" s="26"/>
      <c r="M18" s="26"/>
    </row>
    <row r="19" spans="1:13" ht="13.5" thickBot="1" x14ac:dyDescent="0.25">
      <c r="A19" s="26"/>
      <c r="B19" s="271" t="str">
        <f>IF(COUNTA(D19)=1,15,"")</f>
        <v/>
      </c>
      <c r="C19" s="26"/>
      <c r="D19" s="196"/>
      <c r="E19" s="197"/>
      <c r="F19" s="26"/>
      <c r="G19" s="358" t="str">
        <f t="shared" si="0"/>
        <v/>
      </c>
      <c r="H19" s="26"/>
      <c r="I19" s="369" t="str">
        <f>CONCATENATE("IC ",100*K17,"%")</f>
        <v>IC 95%</v>
      </c>
      <c r="J19" s="284"/>
      <c r="K19" s="285" t="str">
        <f>CONCATENATE("( ",ROUNDDOWN(L8,2)," ; ",ROUNDUP(L9,2)," )  ")</f>
        <v xml:space="preserve">( -0,7 ; -0,15 )  </v>
      </c>
      <c r="L19" s="26"/>
      <c r="M19" s="26"/>
    </row>
    <row r="20" spans="1:13" x14ac:dyDescent="0.2">
      <c r="A20" s="26"/>
      <c r="B20" s="271" t="str">
        <f>IF(COUNTA(D20)=1,16,"")</f>
        <v/>
      </c>
      <c r="C20" s="26"/>
      <c r="D20" s="196"/>
      <c r="E20" s="197"/>
      <c r="F20" s="26"/>
      <c r="G20" s="358" t="str">
        <f t="shared" si="0"/>
        <v/>
      </c>
      <c r="H20" s="26"/>
      <c r="I20" s="26"/>
      <c r="J20" s="26"/>
      <c r="K20" s="26"/>
      <c r="L20" s="26"/>
      <c r="M20" s="26"/>
    </row>
    <row r="21" spans="1:13" ht="13.5" thickBot="1" x14ac:dyDescent="0.25">
      <c r="A21" s="26"/>
      <c r="B21" s="271" t="str">
        <f>IF(COUNTA(D21)=1,17,"")</f>
        <v/>
      </c>
      <c r="C21" s="26"/>
      <c r="D21" s="196"/>
      <c r="E21" s="197"/>
      <c r="F21" s="26"/>
      <c r="G21" s="358" t="str">
        <f t="shared" si="0"/>
        <v/>
      </c>
      <c r="H21" s="26"/>
      <c r="I21" s="26"/>
      <c r="J21" s="26"/>
      <c r="K21" s="26"/>
      <c r="L21" s="26"/>
      <c r="M21" s="26"/>
    </row>
    <row r="22" spans="1:13" x14ac:dyDescent="0.2">
      <c r="A22" s="26"/>
      <c r="B22" s="271" t="str">
        <f>IF(COUNTA(D22)=1,18,"")</f>
        <v/>
      </c>
      <c r="C22" s="26"/>
      <c r="D22" s="196"/>
      <c r="E22" s="197"/>
      <c r="F22" s="26"/>
      <c r="G22" s="358" t="str">
        <f t="shared" si="0"/>
        <v/>
      </c>
      <c r="H22" s="26"/>
      <c r="I22" s="286" t="str">
        <f>IF(G45&gt;0,"AVISO: aparentemente, há valores atípicos","")</f>
        <v>AVISO: aparentemente, há valores atípicos</v>
      </c>
      <c r="J22" s="287"/>
      <c r="K22" s="287"/>
      <c r="L22" s="288"/>
      <c r="M22" s="26"/>
    </row>
    <row r="23" spans="1:13" x14ac:dyDescent="0.2">
      <c r="A23" s="26"/>
      <c r="B23" s="271" t="str">
        <f>IF(COUNTA(D23)=1,19,"")</f>
        <v/>
      </c>
      <c r="C23" s="26"/>
      <c r="D23" s="196"/>
      <c r="E23" s="197"/>
      <c r="F23" s="26"/>
      <c r="G23" s="358" t="str">
        <f t="shared" si="0"/>
        <v/>
      </c>
      <c r="H23" s="26"/>
      <c r="I23" s="289" t="str">
        <f>IF(G45&gt;0,"no banco de dados, o que pode comprometer","")</f>
        <v>no banco de dados, o que pode comprometer</v>
      </c>
      <c r="J23" s="290"/>
      <c r="K23" s="290"/>
      <c r="L23" s="291"/>
      <c r="M23" s="26"/>
    </row>
    <row r="24" spans="1:13" ht="13.5" thickBot="1" x14ac:dyDescent="0.25">
      <c r="A24" s="26"/>
      <c r="B24" s="271" t="str">
        <f>IF(COUNTA(D24)=1,20,"")</f>
        <v/>
      </c>
      <c r="C24" s="26"/>
      <c r="D24" s="196"/>
      <c r="E24" s="197"/>
      <c r="F24" s="26"/>
      <c r="G24" s="358" t="str">
        <f t="shared" si="0"/>
        <v/>
      </c>
      <c r="H24" s="26"/>
      <c r="I24" s="292" t="str">
        <f>IF(G45&gt;0,"os resultados do teste t de Student.","")</f>
        <v>os resultados do teste t de Student.</v>
      </c>
      <c r="J24" s="293"/>
      <c r="K24" s="294"/>
      <c r="L24" s="295"/>
      <c r="M24" s="26"/>
    </row>
    <row r="25" spans="1:13" x14ac:dyDescent="0.2">
      <c r="A25" s="26"/>
      <c r="B25" s="271" t="str">
        <f>IF(COUNTA(D25)=1,21,"")</f>
        <v/>
      </c>
      <c r="C25" s="26"/>
      <c r="D25" s="196"/>
      <c r="E25" s="197"/>
      <c r="F25" s="26"/>
      <c r="G25" s="358" t="str">
        <f t="shared" si="0"/>
        <v/>
      </c>
      <c r="H25" s="26"/>
      <c r="I25" s="26"/>
      <c r="J25" s="26"/>
      <c r="K25" s="26"/>
      <c r="L25" s="26"/>
      <c r="M25" s="26"/>
    </row>
    <row r="26" spans="1:13" x14ac:dyDescent="0.2">
      <c r="A26" s="26"/>
      <c r="B26" s="271" t="str">
        <f>IF(COUNTA(D26)=1,22,"")</f>
        <v/>
      </c>
      <c r="C26" s="26"/>
      <c r="D26" s="196"/>
      <c r="E26" s="197"/>
      <c r="F26" s="26"/>
      <c r="G26" s="358" t="str">
        <f t="shared" si="0"/>
        <v/>
      </c>
      <c r="H26" s="26"/>
      <c r="I26" s="26"/>
      <c r="J26" s="26"/>
      <c r="K26" s="26"/>
      <c r="L26" s="26"/>
      <c r="M26" s="26"/>
    </row>
    <row r="27" spans="1:13" x14ac:dyDescent="0.2">
      <c r="A27" s="26"/>
      <c r="B27" s="271" t="str">
        <f>IF(COUNTA(D27)=1,23,"")</f>
        <v/>
      </c>
      <c r="C27" s="26"/>
      <c r="D27" s="196"/>
      <c r="E27" s="197"/>
      <c r="F27" s="26"/>
      <c r="G27" s="358" t="str">
        <f t="shared" si="0"/>
        <v/>
      </c>
      <c r="H27" s="26"/>
      <c r="I27" s="26"/>
      <c r="J27" s="26"/>
      <c r="K27" s="26"/>
      <c r="L27" s="26"/>
      <c r="M27" s="26"/>
    </row>
    <row r="28" spans="1:13" x14ac:dyDescent="0.2">
      <c r="A28" s="26"/>
      <c r="B28" s="271" t="str">
        <f>IF(COUNTA(D28)=1,24,"")</f>
        <v/>
      </c>
      <c r="C28" s="26"/>
      <c r="D28" s="196"/>
      <c r="E28" s="197"/>
      <c r="F28" s="26"/>
      <c r="G28" s="358" t="str">
        <f t="shared" si="0"/>
        <v/>
      </c>
      <c r="H28" s="26"/>
      <c r="I28" s="26"/>
      <c r="J28" s="26"/>
      <c r="K28" s="26"/>
      <c r="L28" s="26"/>
      <c r="M28" s="26"/>
    </row>
    <row r="29" spans="1:13" ht="13.5" thickBot="1" x14ac:dyDescent="0.25">
      <c r="A29" s="26"/>
      <c r="B29" s="296" t="str">
        <f>IF(COUNTA(D29)=1,25,"")</f>
        <v/>
      </c>
      <c r="C29" s="26"/>
      <c r="D29" s="158"/>
      <c r="E29" s="159"/>
      <c r="F29" s="26"/>
      <c r="G29" s="359" t="str">
        <f t="shared" si="0"/>
        <v/>
      </c>
      <c r="H29" s="26"/>
      <c r="I29" s="26"/>
      <c r="J29" s="26"/>
      <c r="K29" s="26"/>
      <c r="L29" s="26"/>
      <c r="M29" s="26"/>
    </row>
    <row r="30" spans="1:13" ht="6.75" customHeight="1" thickBot="1" x14ac:dyDescent="0.25">
      <c r="A30" s="26"/>
      <c r="B30" s="32"/>
      <c r="C30" s="26"/>
      <c r="D30" s="32"/>
      <c r="E30" s="32"/>
      <c r="F30" s="26"/>
      <c r="G30" s="26"/>
      <c r="H30" s="26"/>
      <c r="I30" s="26"/>
      <c r="J30" s="26"/>
      <c r="K30" s="26"/>
      <c r="L30" s="26"/>
      <c r="M30" s="26"/>
    </row>
    <row r="31" spans="1:13" x14ac:dyDescent="0.2">
      <c r="A31" s="26"/>
      <c r="B31" s="267" t="s">
        <v>213</v>
      </c>
      <c r="C31" s="26"/>
      <c r="D31" s="356">
        <f>AVERAGE(D5:D29)</f>
        <v>0.66300000000000003</v>
      </c>
      <c r="E31" s="213">
        <f>AVERAGE(E5:E29)</f>
        <v>1.085</v>
      </c>
      <c r="F31" s="26"/>
      <c r="G31" s="357">
        <f>AVERAGE(G5:G29)</f>
        <v>-0.42200000000000004</v>
      </c>
      <c r="H31" s="26"/>
      <c r="I31" s="26"/>
      <c r="J31" s="26"/>
      <c r="K31" s="26"/>
      <c r="L31" s="26"/>
      <c r="M31" s="26"/>
    </row>
    <row r="32" spans="1:13" ht="13.5" thickBot="1" x14ac:dyDescent="0.25">
      <c r="A32" s="26"/>
      <c r="B32" s="296" t="s">
        <v>214</v>
      </c>
      <c r="C32" s="26"/>
      <c r="D32" s="366">
        <f>STDEV(D5:D29)</f>
        <v>7.4840571290651206E-2</v>
      </c>
      <c r="E32" s="367">
        <f>STDEV(E5:E29)</f>
        <v>0.39964567640181803</v>
      </c>
      <c r="F32" s="26"/>
      <c r="G32" s="365">
        <f>STDEV(G5:G29)</f>
        <v>0.38969503746163126</v>
      </c>
      <c r="H32" s="26"/>
      <c r="I32" s="26"/>
      <c r="J32" s="26"/>
      <c r="K32" s="26"/>
      <c r="L32" s="26"/>
      <c r="M32" s="26"/>
    </row>
    <row r="33" spans="1:14" ht="13.5" thickBot="1" x14ac:dyDescent="0.2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</row>
    <row r="34" spans="1:14" x14ac:dyDescent="0.2">
      <c r="A34" s="26"/>
      <c r="B34" s="267" t="s">
        <v>215</v>
      </c>
      <c r="C34" s="26"/>
      <c r="D34" s="356">
        <f>MEDIAN(D5:D29)</f>
        <v>0.65</v>
      </c>
      <c r="E34" s="213">
        <f>MEDIAN(E5:E29)</f>
        <v>1.0950000000000002</v>
      </c>
      <c r="F34" s="26"/>
      <c r="G34" s="357">
        <f>MEDIAN(G5:G29)</f>
        <v>-0.40500000000000003</v>
      </c>
      <c r="H34" s="26"/>
      <c r="I34" s="26"/>
      <c r="J34" s="26"/>
      <c r="K34" s="26"/>
      <c r="L34" s="26"/>
      <c r="M34" s="26"/>
    </row>
    <row r="35" spans="1:14" x14ac:dyDescent="0.2">
      <c r="A35" s="26"/>
      <c r="B35" s="271" t="s">
        <v>216</v>
      </c>
      <c r="C35" s="26"/>
      <c r="D35" s="363">
        <f>MIN(D5:D29)</f>
        <v>0.55000000000000004</v>
      </c>
      <c r="E35" s="364">
        <f>MIN(E5:E29)</f>
        <v>0.56999999999999995</v>
      </c>
      <c r="F35" s="26"/>
      <c r="G35" s="358">
        <f>MIN(G5:G29)</f>
        <v>-1.1000000000000001</v>
      </c>
      <c r="H35" s="26"/>
      <c r="I35" s="26"/>
      <c r="J35" s="26"/>
      <c r="K35" s="26"/>
      <c r="L35" s="26"/>
      <c r="M35" s="26"/>
    </row>
    <row r="36" spans="1:14" ht="13.5" thickBot="1" x14ac:dyDescent="0.25">
      <c r="A36" s="26"/>
      <c r="B36" s="296" t="s">
        <v>217</v>
      </c>
      <c r="C36" s="26"/>
      <c r="D36" s="214">
        <f>MAX(D5:D29)</f>
        <v>0.79</v>
      </c>
      <c r="E36" s="215">
        <f>MAX(E5:E29)</f>
        <v>1.74</v>
      </c>
      <c r="F36" s="26"/>
      <c r="G36" s="359">
        <f>MAX(G5:G29)</f>
        <v>0.13</v>
      </c>
      <c r="H36" s="26"/>
      <c r="I36" s="26"/>
      <c r="J36" s="26"/>
      <c r="K36" s="26"/>
      <c r="L36" s="26"/>
      <c r="M36" s="26"/>
    </row>
    <row r="37" spans="1:14" x14ac:dyDescent="0.2">
      <c r="A37" s="65"/>
      <c r="B37" s="297" t="s">
        <v>218</v>
      </c>
      <c r="C37" s="297"/>
      <c r="D37" s="297">
        <f>QUARTILE(D5:D29,1)</f>
        <v>0.62250000000000005</v>
      </c>
      <c r="E37" s="297">
        <f>QUARTILE(E5:E29,1)</f>
        <v>0.82750000000000001</v>
      </c>
      <c r="F37" s="65"/>
      <c r="G37" s="297">
        <f>QUARTILE(G5:G29,1)</f>
        <v>-0.55249999999999999</v>
      </c>
      <c r="H37" s="65"/>
      <c r="I37" s="26"/>
      <c r="J37" s="26"/>
      <c r="K37" s="26"/>
      <c r="L37" s="26"/>
      <c r="M37" s="26"/>
    </row>
    <row r="38" spans="1:14" x14ac:dyDescent="0.2">
      <c r="A38" s="223"/>
      <c r="B38" s="298" t="s">
        <v>219</v>
      </c>
      <c r="C38" s="298"/>
      <c r="D38" s="298">
        <f>QUARTILE(D5:D29,3)</f>
        <v>0.70750000000000002</v>
      </c>
      <c r="E38" s="298">
        <f>QUARTILE(E5:E29,3)</f>
        <v>1.18</v>
      </c>
      <c r="F38" s="298"/>
      <c r="G38" s="298">
        <f>QUARTILE(G5:G29,3)</f>
        <v>-0.24750000000000008</v>
      </c>
      <c r="H38" s="30"/>
      <c r="I38" s="30"/>
      <c r="J38" s="30"/>
      <c r="K38" s="30"/>
      <c r="L38" s="30"/>
      <c r="M38" s="30"/>
      <c r="N38" s="30"/>
    </row>
    <row r="39" spans="1:14" x14ac:dyDescent="0.2">
      <c r="A39" s="223"/>
      <c r="B39" s="298" t="s">
        <v>220</v>
      </c>
      <c r="C39" s="298"/>
      <c r="D39" s="298">
        <f>D38-D37</f>
        <v>8.4999999999999964E-2</v>
      </c>
      <c r="E39" s="298">
        <f>E38-E37</f>
        <v>0.35249999999999992</v>
      </c>
      <c r="F39" s="298"/>
      <c r="G39" s="298">
        <f>G38-G37</f>
        <v>0.30499999999999994</v>
      </c>
      <c r="I39" s="30"/>
      <c r="J39" s="30"/>
      <c r="K39" s="30"/>
      <c r="L39" s="30"/>
    </row>
    <row r="40" spans="1:14" x14ac:dyDescent="0.2">
      <c r="A40" s="223"/>
      <c r="B40" s="298" t="s">
        <v>221</v>
      </c>
      <c r="C40" s="298"/>
      <c r="D40" s="298">
        <f>D39*1.5</f>
        <v>0.12749999999999995</v>
      </c>
      <c r="E40" s="298">
        <f>E39*1.5</f>
        <v>0.52874999999999983</v>
      </c>
      <c r="F40" s="298"/>
      <c r="G40" s="298">
        <f>G39*1.5</f>
        <v>0.45749999999999991</v>
      </c>
    </row>
    <row r="41" spans="1:14" x14ac:dyDescent="0.2">
      <c r="A41" s="223"/>
      <c r="B41" s="298" t="s">
        <v>222</v>
      </c>
      <c r="C41" s="298"/>
      <c r="D41" s="298">
        <f>D38+D40</f>
        <v>0.83499999999999996</v>
      </c>
      <c r="E41" s="298">
        <f>E38+E40</f>
        <v>1.7087499999999998</v>
      </c>
      <c r="F41" s="298"/>
      <c r="G41" s="298">
        <f>G38+G40</f>
        <v>0.20999999999999983</v>
      </c>
    </row>
    <row r="42" spans="1:14" x14ac:dyDescent="0.2">
      <c r="A42" s="223"/>
      <c r="B42" s="298" t="s">
        <v>223</v>
      </c>
      <c r="C42" s="298"/>
      <c r="D42" s="298">
        <f>D37-D40</f>
        <v>0.49500000000000011</v>
      </c>
      <c r="E42" s="298">
        <f>E37-E40</f>
        <v>0.29875000000000018</v>
      </c>
      <c r="F42" s="298"/>
      <c r="G42" s="298">
        <f>G37-G40</f>
        <v>-1.0099999999999998</v>
      </c>
    </row>
    <row r="43" spans="1:14" x14ac:dyDescent="0.2">
      <c r="A43" s="223"/>
      <c r="B43" s="298" t="s">
        <v>224</v>
      </c>
      <c r="C43" s="298"/>
      <c r="D43" s="298">
        <f>IF(D35&lt;D42,1,0)</f>
        <v>0</v>
      </c>
      <c r="E43" s="298">
        <f>IF(E35&lt;E42,1,0)</f>
        <v>0</v>
      </c>
      <c r="F43" s="298"/>
      <c r="G43" s="298">
        <f>IF(G35&lt;G42,1,0)</f>
        <v>1</v>
      </c>
    </row>
    <row r="44" spans="1:14" x14ac:dyDescent="0.2">
      <c r="A44" s="223"/>
      <c r="B44" s="298" t="s">
        <v>225</v>
      </c>
      <c r="C44" s="298"/>
      <c r="D44" s="298">
        <f>IF(D41&lt;D36,1,0)</f>
        <v>0</v>
      </c>
      <c r="E44" s="298">
        <f>IF(E41&lt;E36,1,0)</f>
        <v>1</v>
      </c>
      <c r="F44" s="298"/>
      <c r="G44" s="298">
        <f>IF(G41&lt;G36,1,0)</f>
        <v>0</v>
      </c>
    </row>
    <row r="45" spans="1:14" x14ac:dyDescent="0.2">
      <c r="A45" s="223"/>
      <c r="B45" s="298" t="s">
        <v>226</v>
      </c>
      <c r="C45" s="298"/>
      <c r="D45" s="298"/>
      <c r="E45" s="298"/>
      <c r="F45" s="298"/>
      <c r="G45" s="298">
        <f>SUM(G43:G44)</f>
        <v>1</v>
      </c>
    </row>
  </sheetData>
  <sheetProtection password="EA44" sheet="1" objects="1" scenarios="1" selectLockedCells="1"/>
  <phoneticPr fontId="4" type="noConversion"/>
  <pageMargins left="0.78740157499999996" right="0.78740157499999996" top="0.984251969" bottom="0.984251969" header="0.49212598499999999" footer="0.49212598499999999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/>
  <dimension ref="A1:W51"/>
  <sheetViews>
    <sheetView showRowColHeaders="0" workbookViewId="0">
      <selection activeCell="F3" sqref="F3"/>
    </sheetView>
  </sheetViews>
  <sheetFormatPr defaultRowHeight="12.75" x14ac:dyDescent="0.2"/>
  <cols>
    <col min="1" max="1" width="2.7109375" customWidth="1"/>
    <col min="2" max="2" width="8.28515625" style="299" customWidth="1"/>
    <col min="3" max="3" width="2.140625" style="299" customWidth="1"/>
    <col min="4" max="5" width="9.140625" style="299"/>
    <col min="6" max="6" width="2.140625" style="299" customWidth="1"/>
    <col min="7" max="7" width="11.140625" style="299" customWidth="1"/>
    <col min="8" max="8" width="2.42578125" style="299" customWidth="1"/>
    <col min="9" max="11" width="9" style="299" customWidth="1"/>
    <col min="12" max="12" width="2.5703125" customWidth="1"/>
    <col min="13" max="13" width="20.28515625" customWidth="1"/>
    <col min="15" max="15" width="3.42578125" customWidth="1"/>
    <col min="16" max="16" width="2.85546875" customWidth="1"/>
    <col min="17" max="17" width="5.7109375" customWidth="1"/>
    <col min="18" max="18" width="4.28515625" customWidth="1"/>
    <col min="19" max="19" width="2.42578125" customWidth="1"/>
    <col min="20" max="20" width="7.28515625" customWidth="1"/>
    <col min="21" max="21" width="3.42578125" customWidth="1"/>
    <col min="22" max="22" width="7.28515625" customWidth="1"/>
  </cols>
  <sheetData>
    <row r="1" spans="1:23" ht="8.25" customHeight="1" thickBo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23" ht="13.5" thickBot="1" x14ac:dyDescent="0.25">
      <c r="A2" s="26"/>
      <c r="B2" s="264" t="s">
        <v>246</v>
      </c>
      <c r="C2" s="265"/>
      <c r="D2" s="265"/>
      <c r="E2" s="265"/>
      <c r="F2" s="265"/>
      <c r="G2" s="266"/>
      <c r="H2" s="26"/>
      <c r="I2" s="26"/>
      <c r="J2" s="26"/>
      <c r="K2" s="26"/>
      <c r="L2" s="26"/>
      <c r="M2" s="26"/>
      <c r="N2" s="26"/>
      <c r="O2" s="26"/>
      <c r="Q2" s="33"/>
      <c r="R2" s="33"/>
      <c r="S2" s="33"/>
      <c r="T2" s="33"/>
      <c r="U2" s="33"/>
      <c r="V2" s="33"/>
      <c r="W2" s="33"/>
    </row>
    <row r="3" spans="1:23" ht="10.5" customHeight="1" thickBo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Q3" s="33"/>
      <c r="R3" s="33"/>
      <c r="S3" s="33"/>
      <c r="T3" s="33"/>
      <c r="U3" s="33"/>
      <c r="V3" s="33"/>
      <c r="W3" s="33"/>
    </row>
    <row r="4" spans="1:23" ht="13.5" thickBot="1" x14ac:dyDescent="0.25">
      <c r="A4" s="26"/>
      <c r="B4" s="26"/>
      <c r="C4" s="26"/>
      <c r="D4" s="361" t="s">
        <v>103</v>
      </c>
      <c r="E4" s="362" t="s">
        <v>104</v>
      </c>
      <c r="F4" s="26"/>
      <c r="G4" s="360" t="s">
        <v>206</v>
      </c>
      <c r="H4" s="26"/>
      <c r="I4" s="371" t="s">
        <v>247</v>
      </c>
      <c r="J4" s="372" t="s">
        <v>248</v>
      </c>
      <c r="K4" s="371" t="s">
        <v>249</v>
      </c>
      <c r="L4" s="26"/>
      <c r="M4" s="26"/>
      <c r="N4" s="26"/>
      <c r="O4" s="26"/>
      <c r="Q4" s="33"/>
      <c r="R4" s="33"/>
      <c r="S4" s="33"/>
      <c r="T4" s="33"/>
      <c r="U4" s="33"/>
      <c r="V4" s="33"/>
      <c r="W4" s="33"/>
    </row>
    <row r="5" spans="1:23" x14ac:dyDescent="0.2">
      <c r="A5" s="26"/>
      <c r="B5" s="267">
        <f>IF(COUNTA(D5)=1,1,"")</f>
        <v>1</v>
      </c>
      <c r="C5" s="26"/>
      <c r="D5" s="196">
        <v>86</v>
      </c>
      <c r="E5" s="197">
        <v>81</v>
      </c>
      <c r="F5" s="26"/>
      <c r="G5" s="357">
        <f>IF(COUNT(D5:E5)=2,D5-E5,"")</f>
        <v>5</v>
      </c>
      <c r="H5" s="26"/>
      <c r="I5" s="373">
        <f>IF(COUNT(D5:E5)=2,RANK(Q5,$Q$5:$Q$29,1)+(COUNT($Q$5:$Q$29)+1-RANK(Q5,$Q$5:$Q$29,0)-RANK(Q5,$Q$5:$Q$29,1))/2,"")</f>
        <v>7</v>
      </c>
      <c r="J5" s="374">
        <f>IF(G5&gt;0,I5,"")</f>
        <v>7</v>
      </c>
      <c r="K5" s="375" t="str">
        <f>IF(G5&lt;0,I5,"")</f>
        <v/>
      </c>
      <c r="L5" s="26"/>
      <c r="M5" s="376" t="s">
        <v>250</v>
      </c>
      <c r="N5" s="377">
        <f>SUM(I5:I29)</f>
        <v>78</v>
      </c>
      <c r="O5" s="26"/>
      <c r="Q5" s="33">
        <f>IF(COUNT(D5:E5)=2,ABS(G5),"")</f>
        <v>5</v>
      </c>
      <c r="R5" s="33" t="str">
        <f>IF(G5=0,I5,"")</f>
        <v/>
      </c>
      <c r="S5" s="33"/>
      <c r="T5" s="33">
        <f>IF(COUNT(D5:E5)=2,I5*I5,"")</f>
        <v>49</v>
      </c>
      <c r="U5" s="33">
        <f>IF(COUNT(D5:E5)=2,IF(Q5=0,0,1),"")</f>
        <v>1</v>
      </c>
      <c r="V5" s="33">
        <f>IF(COUNT(D5:E5)=2,T5*U5,"")</f>
        <v>49</v>
      </c>
      <c r="W5" s="33"/>
    </row>
    <row r="6" spans="1:23" x14ac:dyDescent="0.2">
      <c r="A6" s="26"/>
      <c r="B6" s="271">
        <f>IF(COUNTA(D6)=1,2,"")</f>
        <v>2</v>
      </c>
      <c r="C6" s="26"/>
      <c r="D6" s="196">
        <v>71</v>
      </c>
      <c r="E6" s="197">
        <v>77</v>
      </c>
      <c r="F6" s="26"/>
      <c r="G6" s="358">
        <f t="shared" ref="G6:G29" si="0">IF(COUNT(D6:E6)=2,D6-E6,"")</f>
        <v>-6</v>
      </c>
      <c r="H6" s="26"/>
      <c r="I6" s="373">
        <f t="shared" ref="I6:I16" si="1">IF(COUNT(D6:E6)=2,RANK(Q6,$Q$5:$Q$29,1)+(COUNT($Q$5:$Q$29)+1-RANK(Q6,$Q$5:$Q$29,0)-RANK(Q6,$Q$5:$Q$29,1))/2,"")</f>
        <v>9</v>
      </c>
      <c r="J6" s="378" t="str">
        <f t="shared" ref="J6:J29" si="2">IF(G6&gt;0,I6,"")</f>
        <v/>
      </c>
      <c r="K6" s="379">
        <f t="shared" ref="K6:K29" si="3">IF(G6&lt;0,I6,"")</f>
        <v>9</v>
      </c>
      <c r="L6" s="26"/>
      <c r="M6" s="275" t="s">
        <v>251</v>
      </c>
      <c r="N6" s="380">
        <f>J31</f>
        <v>49</v>
      </c>
      <c r="O6" s="26"/>
      <c r="Q6" s="33">
        <f t="shared" ref="Q6:Q16" si="4">IF(COUNT(D6:E6)=2,ABS(G6),"")</f>
        <v>6</v>
      </c>
      <c r="R6" s="33" t="str">
        <f t="shared" ref="R6:R29" si="5">IF(G6=0,I6,"")</f>
        <v/>
      </c>
      <c r="S6" s="33"/>
      <c r="T6" s="33">
        <f t="shared" ref="T6:T29" si="6">IF(COUNT(D6:E6)=2,I6*I6,"")</f>
        <v>81</v>
      </c>
      <c r="U6" s="33">
        <f t="shared" ref="U6:U29" si="7">IF(COUNT(D6:E6)=2,IF(Q6=0,0,1),"")</f>
        <v>1</v>
      </c>
      <c r="V6" s="33">
        <f t="shared" ref="V6:V29" si="8">IF(COUNT(D6:E6)=2,T6*U6,"")</f>
        <v>81</v>
      </c>
      <c r="W6" s="33"/>
    </row>
    <row r="7" spans="1:23" x14ac:dyDescent="0.2">
      <c r="A7" s="26"/>
      <c r="B7" s="271">
        <f>IF(COUNTA(D7)=1,3,"")</f>
        <v>3</v>
      </c>
      <c r="C7" s="26"/>
      <c r="D7" s="196">
        <v>77</v>
      </c>
      <c r="E7" s="197">
        <v>76</v>
      </c>
      <c r="F7" s="26"/>
      <c r="G7" s="358">
        <f t="shared" si="0"/>
        <v>1</v>
      </c>
      <c r="H7" s="26"/>
      <c r="I7" s="373">
        <f t="shared" si="1"/>
        <v>3.5</v>
      </c>
      <c r="J7" s="378">
        <f t="shared" si="2"/>
        <v>3.5</v>
      </c>
      <c r="K7" s="379" t="str">
        <f t="shared" si="3"/>
        <v/>
      </c>
      <c r="L7" s="26"/>
      <c r="M7" s="275" t="s">
        <v>252</v>
      </c>
      <c r="N7" s="380">
        <f>K31</f>
        <v>26</v>
      </c>
      <c r="O7" s="26"/>
      <c r="Q7" s="33">
        <f t="shared" si="4"/>
        <v>1</v>
      </c>
      <c r="R7" s="33" t="str">
        <f t="shared" si="5"/>
        <v/>
      </c>
      <c r="S7" s="33"/>
      <c r="T7" s="33">
        <f t="shared" si="6"/>
        <v>12.25</v>
      </c>
      <c r="U7" s="33">
        <f t="shared" si="7"/>
        <v>1</v>
      </c>
      <c r="V7" s="33">
        <f t="shared" si="8"/>
        <v>12.25</v>
      </c>
      <c r="W7" s="33"/>
    </row>
    <row r="8" spans="1:23" ht="13.5" thickBot="1" x14ac:dyDescent="0.25">
      <c r="A8" s="26"/>
      <c r="B8" s="271">
        <f>IF(COUNTA(D8)=1,4,"")</f>
        <v>4</v>
      </c>
      <c r="C8" s="26"/>
      <c r="D8" s="196">
        <v>68</v>
      </c>
      <c r="E8" s="197">
        <v>64</v>
      </c>
      <c r="F8" s="26"/>
      <c r="G8" s="358">
        <f t="shared" si="0"/>
        <v>4</v>
      </c>
      <c r="H8" s="26"/>
      <c r="I8" s="373">
        <f t="shared" si="1"/>
        <v>5</v>
      </c>
      <c r="J8" s="378">
        <f t="shared" si="2"/>
        <v>5</v>
      </c>
      <c r="K8" s="379" t="str">
        <f t="shared" si="3"/>
        <v/>
      </c>
      <c r="L8" s="26"/>
      <c r="M8" s="381" t="s">
        <v>253</v>
      </c>
      <c r="N8" s="382">
        <f>SUM(R5:R29)</f>
        <v>3</v>
      </c>
      <c r="O8" s="26"/>
      <c r="Q8" s="33">
        <f t="shared" si="4"/>
        <v>4</v>
      </c>
      <c r="R8" s="33" t="str">
        <f t="shared" si="5"/>
        <v/>
      </c>
      <c r="S8" s="33"/>
      <c r="T8" s="33">
        <f t="shared" si="6"/>
        <v>25</v>
      </c>
      <c r="U8" s="33">
        <f t="shared" si="7"/>
        <v>1</v>
      </c>
      <c r="V8" s="33">
        <f t="shared" si="8"/>
        <v>25</v>
      </c>
      <c r="W8" s="33"/>
    </row>
    <row r="9" spans="1:23" ht="13.5" thickBot="1" x14ac:dyDescent="0.25">
      <c r="A9" s="26"/>
      <c r="B9" s="271">
        <f>IF(COUNTA(D9)=1,5,"")</f>
        <v>5</v>
      </c>
      <c r="C9" s="26"/>
      <c r="D9" s="196">
        <v>91</v>
      </c>
      <c r="E9" s="197">
        <v>96</v>
      </c>
      <c r="F9" s="26"/>
      <c r="G9" s="358">
        <f t="shared" si="0"/>
        <v>-5</v>
      </c>
      <c r="H9" s="26"/>
      <c r="I9" s="373">
        <f t="shared" si="1"/>
        <v>7</v>
      </c>
      <c r="J9" s="378" t="str">
        <f t="shared" si="2"/>
        <v/>
      </c>
      <c r="K9" s="379">
        <f t="shared" si="3"/>
        <v>7</v>
      </c>
      <c r="L9" s="26"/>
      <c r="M9" s="26"/>
      <c r="N9" s="26"/>
      <c r="O9" s="26"/>
      <c r="Q9" s="33">
        <f t="shared" si="4"/>
        <v>5</v>
      </c>
      <c r="R9" s="33" t="str">
        <f t="shared" si="5"/>
        <v/>
      </c>
      <c r="S9" s="33"/>
      <c r="T9" s="33">
        <f t="shared" si="6"/>
        <v>49</v>
      </c>
      <c r="U9" s="33">
        <f t="shared" si="7"/>
        <v>1</v>
      </c>
      <c r="V9" s="33">
        <f t="shared" si="8"/>
        <v>49</v>
      </c>
      <c r="W9" s="33"/>
    </row>
    <row r="10" spans="1:23" x14ac:dyDescent="0.2">
      <c r="A10" s="26"/>
      <c r="B10" s="271">
        <f>IF(COUNTA(D10)=1,6,"")</f>
        <v>6</v>
      </c>
      <c r="C10" s="26"/>
      <c r="D10" s="196">
        <v>72</v>
      </c>
      <c r="E10" s="197">
        <v>72</v>
      </c>
      <c r="F10" s="26"/>
      <c r="G10" s="358">
        <f t="shared" si="0"/>
        <v>0</v>
      </c>
      <c r="H10" s="26"/>
      <c r="I10" s="373">
        <f t="shared" si="1"/>
        <v>1.5</v>
      </c>
      <c r="J10" s="378" t="str">
        <f t="shared" si="2"/>
        <v/>
      </c>
      <c r="K10" s="379" t="str">
        <f t="shared" si="3"/>
        <v/>
      </c>
      <c r="L10" s="26"/>
      <c r="M10" s="274" t="s">
        <v>79</v>
      </c>
      <c r="N10" s="270">
        <f>COUNT(G5:G29)</f>
        <v>12</v>
      </c>
      <c r="O10" s="26"/>
      <c r="Q10" s="33">
        <f t="shared" si="4"/>
        <v>0</v>
      </c>
      <c r="R10" s="33">
        <f t="shared" si="5"/>
        <v>1.5</v>
      </c>
      <c r="S10" s="33"/>
      <c r="T10" s="33">
        <f t="shared" si="6"/>
        <v>2.25</v>
      </c>
      <c r="U10" s="33">
        <f t="shared" si="7"/>
        <v>0</v>
      </c>
      <c r="V10" s="33">
        <f t="shared" si="8"/>
        <v>0</v>
      </c>
      <c r="W10" s="33"/>
    </row>
    <row r="11" spans="1:23" x14ac:dyDescent="0.2">
      <c r="A11" s="26"/>
      <c r="B11" s="271">
        <f>IF(COUNTA(D11)=1,7,"")</f>
        <v>7</v>
      </c>
      <c r="C11" s="26"/>
      <c r="D11" s="196">
        <v>77</v>
      </c>
      <c r="E11" s="197">
        <v>65</v>
      </c>
      <c r="F11" s="26"/>
      <c r="G11" s="358">
        <f t="shared" si="0"/>
        <v>12</v>
      </c>
      <c r="H11" s="26"/>
      <c r="I11" s="373">
        <f t="shared" si="1"/>
        <v>11</v>
      </c>
      <c r="J11" s="378">
        <f t="shared" si="2"/>
        <v>11</v>
      </c>
      <c r="K11" s="379" t="str">
        <f t="shared" si="3"/>
        <v/>
      </c>
      <c r="L11" s="26"/>
      <c r="M11" s="280" t="s">
        <v>254</v>
      </c>
      <c r="N11" s="279">
        <f>R31</f>
        <v>2</v>
      </c>
      <c r="O11" s="26"/>
      <c r="Q11" s="33">
        <f t="shared" si="4"/>
        <v>12</v>
      </c>
      <c r="R11" s="33" t="str">
        <f t="shared" si="5"/>
        <v/>
      </c>
      <c r="S11" s="33"/>
      <c r="T11" s="33">
        <f t="shared" si="6"/>
        <v>121</v>
      </c>
      <c r="U11" s="33">
        <f t="shared" si="7"/>
        <v>1</v>
      </c>
      <c r="V11" s="33">
        <f t="shared" si="8"/>
        <v>121</v>
      </c>
      <c r="W11" s="33"/>
    </row>
    <row r="12" spans="1:23" x14ac:dyDescent="0.2">
      <c r="A12" s="26"/>
      <c r="B12" s="271">
        <f>IF(COUNTA(D12)=1,8,"")</f>
        <v>8</v>
      </c>
      <c r="C12" s="26"/>
      <c r="D12" s="196">
        <v>91</v>
      </c>
      <c r="E12" s="197">
        <v>90</v>
      </c>
      <c r="F12" s="26"/>
      <c r="G12" s="358">
        <f t="shared" si="0"/>
        <v>1</v>
      </c>
      <c r="H12" s="26"/>
      <c r="I12" s="373">
        <f t="shared" si="1"/>
        <v>3.5</v>
      </c>
      <c r="J12" s="378">
        <f t="shared" si="2"/>
        <v>3.5</v>
      </c>
      <c r="K12" s="379" t="str">
        <f t="shared" si="3"/>
        <v/>
      </c>
      <c r="L12" s="26"/>
      <c r="M12" s="275" t="s">
        <v>255</v>
      </c>
      <c r="N12" s="380">
        <f>MIN(N6:N7)</f>
        <v>26</v>
      </c>
      <c r="O12" s="26"/>
      <c r="Q12" s="33">
        <f t="shared" si="4"/>
        <v>1</v>
      </c>
      <c r="R12" s="33" t="str">
        <f t="shared" si="5"/>
        <v/>
      </c>
      <c r="S12" s="33"/>
      <c r="T12" s="33">
        <f t="shared" si="6"/>
        <v>12.25</v>
      </c>
      <c r="U12" s="33">
        <f t="shared" si="7"/>
        <v>1</v>
      </c>
      <c r="V12" s="33">
        <f t="shared" si="8"/>
        <v>12.25</v>
      </c>
      <c r="W12" s="33"/>
    </row>
    <row r="13" spans="1:23" x14ac:dyDescent="0.2">
      <c r="A13" s="26"/>
      <c r="B13" s="271">
        <f>IF(COUNTA(D13)=1,9,"")</f>
        <v>9</v>
      </c>
      <c r="C13" s="26"/>
      <c r="D13" s="196">
        <v>70</v>
      </c>
      <c r="E13" s="197">
        <v>65</v>
      </c>
      <c r="F13" s="26"/>
      <c r="G13" s="358">
        <f t="shared" si="0"/>
        <v>5</v>
      </c>
      <c r="H13" s="26"/>
      <c r="I13" s="373">
        <f t="shared" si="1"/>
        <v>7</v>
      </c>
      <c r="J13" s="378">
        <f t="shared" si="2"/>
        <v>7</v>
      </c>
      <c r="K13" s="379" t="str">
        <f t="shared" si="3"/>
        <v/>
      </c>
      <c r="L13" s="26"/>
      <c r="M13" s="275" t="s">
        <v>256</v>
      </c>
      <c r="N13" s="380">
        <f>N10*(N10+1)/4-(R31*(R31+1)/4)</f>
        <v>37.5</v>
      </c>
      <c r="O13" s="26"/>
      <c r="Q13" s="33">
        <f t="shared" si="4"/>
        <v>5</v>
      </c>
      <c r="R13" s="33" t="str">
        <f t="shared" si="5"/>
        <v/>
      </c>
      <c r="S13" s="33"/>
      <c r="T13" s="33">
        <f t="shared" si="6"/>
        <v>49</v>
      </c>
      <c r="U13" s="33">
        <f t="shared" si="7"/>
        <v>1</v>
      </c>
      <c r="V13" s="33">
        <f t="shared" si="8"/>
        <v>49</v>
      </c>
      <c r="W13" s="33"/>
    </row>
    <row r="14" spans="1:23" x14ac:dyDescent="0.2">
      <c r="A14" s="26"/>
      <c r="B14" s="271">
        <f>IF(COUNTA(D14)=1,10,"")</f>
        <v>10</v>
      </c>
      <c r="C14" s="26"/>
      <c r="D14" s="196">
        <v>71</v>
      </c>
      <c r="E14" s="197">
        <v>80</v>
      </c>
      <c r="F14" s="26"/>
      <c r="G14" s="358">
        <f t="shared" si="0"/>
        <v>-9</v>
      </c>
      <c r="H14" s="26"/>
      <c r="I14" s="373">
        <f t="shared" si="1"/>
        <v>10</v>
      </c>
      <c r="J14" s="378" t="str">
        <f t="shared" si="2"/>
        <v/>
      </c>
      <c r="K14" s="379">
        <f t="shared" si="3"/>
        <v>10</v>
      </c>
      <c r="L14" s="26"/>
      <c r="M14" s="275" t="s">
        <v>257</v>
      </c>
      <c r="N14" s="383">
        <f>N10*(N10+1)*(2*N10+1)/24</f>
        <v>162.5</v>
      </c>
      <c r="O14" s="26"/>
      <c r="Q14" s="33">
        <f t="shared" si="4"/>
        <v>9</v>
      </c>
      <c r="R14" s="33" t="str">
        <f t="shared" si="5"/>
        <v/>
      </c>
      <c r="S14" s="33"/>
      <c r="T14" s="33">
        <f t="shared" si="6"/>
        <v>100</v>
      </c>
      <c r="U14" s="33">
        <f t="shared" si="7"/>
        <v>1</v>
      </c>
      <c r="V14" s="33">
        <f t="shared" si="8"/>
        <v>100</v>
      </c>
      <c r="W14" s="33"/>
    </row>
    <row r="15" spans="1:23" x14ac:dyDescent="0.2">
      <c r="A15" s="26"/>
      <c r="B15" s="271">
        <f>IF(COUNTA(D15)=1,11,"")</f>
        <v>11</v>
      </c>
      <c r="C15" s="26"/>
      <c r="D15" s="196">
        <v>88</v>
      </c>
      <c r="E15" s="197">
        <v>88</v>
      </c>
      <c r="F15" s="26"/>
      <c r="G15" s="358">
        <f t="shared" si="0"/>
        <v>0</v>
      </c>
      <c r="H15" s="26"/>
      <c r="I15" s="373">
        <f t="shared" si="1"/>
        <v>1.5</v>
      </c>
      <c r="J15" s="378" t="str">
        <f t="shared" si="2"/>
        <v/>
      </c>
      <c r="K15" s="379" t="str">
        <f t="shared" si="3"/>
        <v/>
      </c>
      <c r="L15" s="26"/>
      <c r="M15" s="275" t="s">
        <v>258</v>
      </c>
      <c r="N15" s="383">
        <f>-R31*(R31+1)*(2*R31+1)/24</f>
        <v>-1.25</v>
      </c>
      <c r="O15" s="26"/>
      <c r="Q15" s="33">
        <f t="shared" si="4"/>
        <v>0</v>
      </c>
      <c r="R15" s="33">
        <f t="shared" si="5"/>
        <v>1.5</v>
      </c>
      <c r="S15" s="33"/>
      <c r="T15" s="33">
        <f t="shared" si="6"/>
        <v>2.25</v>
      </c>
      <c r="U15" s="33">
        <f t="shared" si="7"/>
        <v>0</v>
      </c>
      <c r="V15" s="33">
        <f t="shared" si="8"/>
        <v>0</v>
      </c>
      <c r="W15" s="33"/>
    </row>
    <row r="16" spans="1:23" x14ac:dyDescent="0.2">
      <c r="A16" s="26"/>
      <c r="B16" s="271">
        <f>IF(COUNTA(D16)=1,12,"")</f>
        <v>12</v>
      </c>
      <c r="C16" s="26"/>
      <c r="D16" s="196">
        <v>87</v>
      </c>
      <c r="E16" s="197">
        <v>72</v>
      </c>
      <c r="F16" s="26"/>
      <c r="G16" s="358">
        <f t="shared" si="0"/>
        <v>15</v>
      </c>
      <c r="H16" s="26"/>
      <c r="I16" s="373">
        <f t="shared" si="1"/>
        <v>12</v>
      </c>
      <c r="J16" s="378">
        <f t="shared" si="2"/>
        <v>12</v>
      </c>
      <c r="K16" s="379" t="str">
        <f t="shared" si="3"/>
        <v/>
      </c>
      <c r="L16" s="26"/>
      <c r="M16" s="275" t="s">
        <v>259</v>
      </c>
      <c r="N16" s="383">
        <f>N17-N15-N14</f>
        <v>-0.625</v>
      </c>
      <c r="O16" s="26"/>
      <c r="Q16" s="33">
        <f t="shared" si="4"/>
        <v>15</v>
      </c>
      <c r="R16" s="33" t="str">
        <f t="shared" si="5"/>
        <v/>
      </c>
      <c r="S16" s="33"/>
      <c r="T16" s="33">
        <f t="shared" si="6"/>
        <v>144</v>
      </c>
      <c r="U16" s="33">
        <f t="shared" si="7"/>
        <v>1</v>
      </c>
      <c r="V16" s="33">
        <f t="shared" si="8"/>
        <v>144</v>
      </c>
      <c r="W16" s="33"/>
    </row>
    <row r="17" spans="1:23" x14ac:dyDescent="0.2">
      <c r="A17" s="26"/>
      <c r="B17" s="271" t="str">
        <f>IF(COUNTA(D17)=1,13,"")</f>
        <v/>
      </c>
      <c r="C17" s="26"/>
      <c r="D17" s="196"/>
      <c r="E17" s="197"/>
      <c r="F17" s="26"/>
      <c r="G17" s="358" t="str">
        <f t="shared" si="0"/>
        <v/>
      </c>
      <c r="H17" s="26"/>
      <c r="I17" s="373" t="str">
        <f>IF(COUNT(D17:E17)=2,RANK(Q17,$Q$5:$Q$29,1)+(COUNT($Q$5:$Q$29)+1-RANK(Q17,$Q$5:$Q$29,0)-RANK(Q17,$Q$5:$Q$29,1))/2,"")</f>
        <v/>
      </c>
      <c r="J17" s="378" t="str">
        <f t="shared" si="2"/>
        <v/>
      </c>
      <c r="K17" s="379" t="str">
        <f t="shared" si="3"/>
        <v/>
      </c>
      <c r="L17" s="26"/>
      <c r="M17" s="275" t="s">
        <v>260</v>
      </c>
      <c r="N17" s="383">
        <f>V32</f>
        <v>160.625</v>
      </c>
      <c r="O17" s="26"/>
      <c r="Q17" s="33" t="str">
        <f>IF(COUNT(D17:E17)=2,ABS(G17),"")</f>
        <v/>
      </c>
      <c r="R17" s="33" t="str">
        <f t="shared" si="5"/>
        <v/>
      </c>
      <c r="S17" s="33"/>
      <c r="T17" s="33" t="str">
        <f t="shared" si="6"/>
        <v/>
      </c>
      <c r="U17" s="33" t="str">
        <f t="shared" si="7"/>
        <v/>
      </c>
      <c r="V17" s="33" t="str">
        <f t="shared" si="8"/>
        <v/>
      </c>
      <c r="W17" s="33"/>
    </row>
    <row r="18" spans="1:23" x14ac:dyDescent="0.2">
      <c r="A18" s="26"/>
      <c r="B18" s="271" t="str">
        <f>IF(COUNTA(D18)=1,14,"")</f>
        <v/>
      </c>
      <c r="C18" s="26"/>
      <c r="D18" s="196"/>
      <c r="E18" s="197"/>
      <c r="F18" s="26"/>
      <c r="G18" s="358" t="str">
        <f t="shared" si="0"/>
        <v/>
      </c>
      <c r="H18" s="26"/>
      <c r="I18" s="373" t="str">
        <f>IF(COUNT(D18:E18)=2,RANK(Q18,$Q$5:$Q$29,1)+(COUNT($Q$5:$Q$29)+1-RANK(Q18,$Q$5:$Q$29,0)-RANK(Q18,$Q$5:$Q$29,1))/2,"")</f>
        <v/>
      </c>
      <c r="J18" s="378" t="str">
        <f t="shared" si="2"/>
        <v/>
      </c>
      <c r="K18" s="379" t="str">
        <f t="shared" si="3"/>
        <v/>
      </c>
      <c r="L18" s="26"/>
      <c r="M18" s="275" t="s">
        <v>81</v>
      </c>
      <c r="N18" s="383">
        <f>SQRT(N17)</f>
        <v>12.673791855636576</v>
      </c>
      <c r="O18" s="26"/>
      <c r="Q18" s="33" t="str">
        <f>IF(COUNT(D18:E18)=2,ABS(G18),"")</f>
        <v/>
      </c>
      <c r="R18" s="33" t="str">
        <f t="shared" si="5"/>
        <v/>
      </c>
      <c r="S18" s="33"/>
      <c r="T18" s="33" t="str">
        <f t="shared" si="6"/>
        <v/>
      </c>
      <c r="U18" s="33" t="str">
        <f t="shared" si="7"/>
        <v/>
      </c>
      <c r="V18" s="33" t="str">
        <f t="shared" si="8"/>
        <v/>
      </c>
      <c r="W18" s="33"/>
    </row>
    <row r="19" spans="1:23" x14ac:dyDescent="0.2">
      <c r="A19" s="26"/>
      <c r="B19" s="271" t="str">
        <f>IF(COUNTA(D19)=1,15,"")</f>
        <v/>
      </c>
      <c r="C19" s="26"/>
      <c r="D19" s="196"/>
      <c r="E19" s="197"/>
      <c r="F19" s="26"/>
      <c r="G19" s="358" t="str">
        <f t="shared" si="0"/>
        <v/>
      </c>
      <c r="H19" s="26"/>
      <c r="I19" s="373" t="str">
        <f>IF(COUNT(D19:E19)=2,RANK(Q19,$Q$5:$Q$29,1)+(COUNT($Q$5:$Q$29)+1-RANK(Q19,$Q$5:$Q$29,0)-RANK(Q19,$Q$5:$Q$29,1))/2,"")</f>
        <v/>
      </c>
      <c r="J19" s="378" t="str">
        <f t="shared" si="2"/>
        <v/>
      </c>
      <c r="K19" s="379" t="str">
        <f t="shared" si="3"/>
        <v/>
      </c>
      <c r="L19" s="26"/>
      <c r="M19" s="384" t="s">
        <v>261</v>
      </c>
      <c r="N19" s="385">
        <f>(N12-N13)/N18</f>
        <v>-0.90738431962534238</v>
      </c>
      <c r="O19" s="26"/>
      <c r="Q19" s="33" t="str">
        <f>IF(COUNT(D19:E19)=2,ABS(G19),"")</f>
        <v/>
      </c>
      <c r="R19" s="33" t="str">
        <f t="shared" si="5"/>
        <v/>
      </c>
      <c r="S19" s="33"/>
      <c r="T19" s="33" t="str">
        <f t="shared" si="6"/>
        <v/>
      </c>
      <c r="U19" s="33" t="str">
        <f t="shared" si="7"/>
        <v/>
      </c>
      <c r="V19" s="33" t="str">
        <f t="shared" si="8"/>
        <v/>
      </c>
      <c r="W19" s="33"/>
    </row>
    <row r="20" spans="1:23" x14ac:dyDescent="0.2">
      <c r="A20" s="26"/>
      <c r="B20" s="271" t="str">
        <f>IF(COUNTA(D20)=1,16,"")</f>
        <v/>
      </c>
      <c r="C20" s="26"/>
      <c r="D20" s="196"/>
      <c r="E20" s="197"/>
      <c r="F20" s="26"/>
      <c r="G20" s="358" t="str">
        <f t="shared" si="0"/>
        <v/>
      </c>
      <c r="H20" s="26"/>
      <c r="I20" s="373" t="str">
        <f>IF(COUNT(D20:E20)=2,RANK(R23,$Q$5:$Q$29,1)+(COUNT($Q$5:$Q$29)+1-RANK(R23,$Q$5:$Q$29,0)-RANK(R23,$Q$5:$Q$29,1))/2,"")</f>
        <v/>
      </c>
      <c r="J20" s="378" t="str">
        <f t="shared" si="2"/>
        <v/>
      </c>
      <c r="K20" s="379" t="str">
        <f t="shared" si="3"/>
        <v/>
      </c>
      <c r="L20" s="26"/>
      <c r="M20" s="275" t="s">
        <v>210</v>
      </c>
      <c r="N20" s="51">
        <v>0.05</v>
      </c>
      <c r="O20" s="26"/>
      <c r="Q20" s="33"/>
      <c r="R20" s="33" t="str">
        <f t="shared" si="5"/>
        <v/>
      </c>
      <c r="S20" s="33"/>
      <c r="T20" s="33" t="str">
        <f t="shared" si="6"/>
        <v/>
      </c>
      <c r="U20" s="33" t="str">
        <f t="shared" si="7"/>
        <v/>
      </c>
      <c r="V20" s="33" t="str">
        <f t="shared" si="8"/>
        <v/>
      </c>
      <c r="W20" s="33"/>
    </row>
    <row r="21" spans="1:23" x14ac:dyDescent="0.2">
      <c r="A21" s="26"/>
      <c r="B21" s="271" t="str">
        <f>IF(COUNTA(D21)=1,17,"")</f>
        <v/>
      </c>
      <c r="C21" s="26"/>
      <c r="D21" s="196"/>
      <c r="E21" s="197"/>
      <c r="F21" s="26"/>
      <c r="G21" s="358" t="str">
        <f t="shared" si="0"/>
        <v/>
      </c>
      <c r="H21" s="26"/>
      <c r="I21" s="373" t="str">
        <f>IF(COUNT(D21:E21)=2,RANK(R24,$Q$5:$Q$29,1)+(COUNT($Q$5:$Q$29)+1-RANK(R24,$Q$5:$Q$29,0)-RANK(R24,$Q$5:$Q$29,1))/2,"")</f>
        <v/>
      </c>
      <c r="J21" s="378" t="str">
        <f t="shared" si="2"/>
        <v/>
      </c>
      <c r="K21" s="379" t="str">
        <f t="shared" si="3"/>
        <v/>
      </c>
      <c r="L21" s="26"/>
      <c r="M21" s="280" t="s">
        <v>211</v>
      </c>
      <c r="N21" s="386">
        <f>NORMSINV(1-N20/2)</f>
        <v>1.9599639845400536</v>
      </c>
      <c r="O21" s="26"/>
      <c r="Q21" s="33"/>
      <c r="R21" s="33" t="str">
        <f t="shared" si="5"/>
        <v/>
      </c>
      <c r="S21" s="33"/>
      <c r="T21" s="33" t="str">
        <f t="shared" si="6"/>
        <v/>
      </c>
      <c r="U21" s="33" t="str">
        <f t="shared" si="7"/>
        <v/>
      </c>
      <c r="V21" s="33" t="str">
        <f t="shared" si="8"/>
        <v/>
      </c>
      <c r="W21" s="33"/>
    </row>
    <row r="22" spans="1:23" ht="13.5" thickBot="1" x14ac:dyDescent="0.25">
      <c r="A22" s="26"/>
      <c r="B22" s="271" t="str">
        <f>IF(COUNTA(D22)=1,18,"")</f>
        <v/>
      </c>
      <c r="C22" s="26"/>
      <c r="D22" s="196"/>
      <c r="E22" s="197"/>
      <c r="F22" s="26"/>
      <c r="G22" s="358" t="str">
        <f t="shared" si="0"/>
        <v/>
      </c>
      <c r="H22" s="26"/>
      <c r="I22" s="373" t="str">
        <f t="shared" ref="I22:I29" si="9">IF(COUNT(D22:E22)=2,RANK(Q22,$Q$5:$Q$29,1)+(COUNT($Q$5:$Q$29)+1-RANK(Q22,$Q$5:$Q$29,0)-RANK(Q22,$Q$5:$Q$29,1))/2,"")</f>
        <v/>
      </c>
      <c r="J22" s="378" t="str">
        <f t="shared" si="2"/>
        <v/>
      </c>
      <c r="K22" s="379" t="str">
        <f t="shared" si="3"/>
        <v/>
      </c>
      <c r="L22" s="26"/>
      <c r="M22" s="281" t="s">
        <v>212</v>
      </c>
      <c r="N22" s="387">
        <f>2*(1-NORMSDIST(ABS(N19)))</f>
        <v>0.36420359851263218</v>
      </c>
      <c r="O22" s="26"/>
      <c r="Q22" s="33" t="str">
        <f t="shared" ref="Q22:Q29" si="10">IF(COUNT(D22:E22)=2,ABS(G22),"")</f>
        <v/>
      </c>
      <c r="R22" s="33" t="str">
        <f t="shared" si="5"/>
        <v/>
      </c>
      <c r="S22" s="33"/>
      <c r="T22" s="33" t="str">
        <f t="shared" si="6"/>
        <v/>
      </c>
      <c r="U22" s="33" t="str">
        <f t="shared" si="7"/>
        <v/>
      </c>
      <c r="V22" s="33" t="str">
        <f t="shared" si="8"/>
        <v/>
      </c>
      <c r="W22" s="33"/>
    </row>
    <row r="23" spans="1:23" ht="13.5" thickBot="1" x14ac:dyDescent="0.25">
      <c r="A23" s="26"/>
      <c r="B23" s="271" t="str">
        <f>IF(COUNTA(D23)=1,19,"")</f>
        <v/>
      </c>
      <c r="C23" s="26"/>
      <c r="D23" s="196"/>
      <c r="E23" s="197"/>
      <c r="F23" s="26"/>
      <c r="G23" s="358" t="str">
        <f t="shared" si="0"/>
        <v/>
      </c>
      <c r="H23" s="26"/>
      <c r="I23" s="373" t="str">
        <f t="shared" si="9"/>
        <v/>
      </c>
      <c r="J23" s="378" t="str">
        <f t="shared" si="2"/>
        <v/>
      </c>
      <c r="K23" s="379" t="str">
        <f t="shared" si="3"/>
        <v/>
      </c>
      <c r="L23" s="26"/>
      <c r="M23" s="26"/>
      <c r="N23" s="26"/>
      <c r="O23" s="26"/>
      <c r="Q23" s="33" t="str">
        <f t="shared" si="10"/>
        <v/>
      </c>
      <c r="R23" s="33" t="str">
        <f t="shared" si="5"/>
        <v/>
      </c>
      <c r="S23" s="33"/>
      <c r="T23" s="33" t="str">
        <f t="shared" si="6"/>
        <v/>
      </c>
      <c r="U23" s="33" t="str">
        <f t="shared" si="7"/>
        <v/>
      </c>
      <c r="V23" s="33" t="str">
        <f t="shared" si="8"/>
        <v/>
      </c>
      <c r="W23" s="33"/>
    </row>
    <row r="24" spans="1:23" ht="13.5" thickBot="1" x14ac:dyDescent="0.25">
      <c r="A24" s="26"/>
      <c r="B24" s="271" t="str">
        <f>IF(COUNTA(D24)=1,20,"")</f>
        <v/>
      </c>
      <c r="C24" s="26"/>
      <c r="D24" s="196"/>
      <c r="E24" s="197"/>
      <c r="F24" s="26"/>
      <c r="G24" s="358" t="str">
        <f t="shared" si="0"/>
        <v/>
      </c>
      <c r="H24" s="26"/>
      <c r="I24" s="373" t="str">
        <f t="shared" si="9"/>
        <v/>
      </c>
      <c r="J24" s="378" t="str">
        <f t="shared" si="2"/>
        <v/>
      </c>
      <c r="K24" s="379" t="str">
        <f t="shared" si="3"/>
        <v/>
      </c>
      <c r="L24" s="26"/>
      <c r="M24" s="282" t="str">
        <f>IF(ABS(N19)&gt;N21,"Rejeita-se H0","Não se rejeita H0")</f>
        <v>Não se rejeita H0</v>
      </c>
      <c r="N24" s="283"/>
      <c r="O24" s="26"/>
      <c r="Q24" s="33" t="str">
        <f t="shared" si="10"/>
        <v/>
      </c>
      <c r="R24" s="33" t="str">
        <f t="shared" si="5"/>
        <v/>
      </c>
      <c r="S24" s="33"/>
      <c r="T24" s="33" t="str">
        <f t="shared" si="6"/>
        <v/>
      </c>
      <c r="U24" s="33" t="str">
        <f t="shared" si="7"/>
        <v/>
      </c>
      <c r="V24" s="33" t="str">
        <f t="shared" si="8"/>
        <v/>
      </c>
      <c r="W24" s="33"/>
    </row>
    <row r="25" spans="1:23" x14ac:dyDescent="0.2">
      <c r="A25" s="26"/>
      <c r="B25" s="271" t="str">
        <f>IF(COUNTA(D25)=1,21,"")</f>
        <v/>
      </c>
      <c r="C25" s="26"/>
      <c r="D25" s="196"/>
      <c r="E25" s="197"/>
      <c r="F25" s="26"/>
      <c r="G25" s="358" t="str">
        <f t="shared" si="0"/>
        <v/>
      </c>
      <c r="H25" s="26"/>
      <c r="I25" s="373" t="str">
        <f t="shared" si="9"/>
        <v/>
      </c>
      <c r="J25" s="378" t="str">
        <f t="shared" si="2"/>
        <v/>
      </c>
      <c r="K25" s="379" t="str">
        <f t="shared" si="3"/>
        <v/>
      </c>
      <c r="L25" s="26"/>
      <c r="M25" s="26"/>
      <c r="N25" s="26"/>
      <c r="O25" s="26"/>
      <c r="Q25" s="33" t="str">
        <f t="shared" si="10"/>
        <v/>
      </c>
      <c r="R25" s="33" t="str">
        <f t="shared" si="5"/>
        <v/>
      </c>
      <c r="S25" s="33"/>
      <c r="T25" s="33" t="str">
        <f t="shared" si="6"/>
        <v/>
      </c>
      <c r="U25" s="33" t="str">
        <f t="shared" si="7"/>
        <v/>
      </c>
      <c r="V25" s="33" t="str">
        <f t="shared" si="8"/>
        <v/>
      </c>
      <c r="W25" s="33"/>
    </row>
    <row r="26" spans="1:23" x14ac:dyDescent="0.2">
      <c r="A26" s="26"/>
      <c r="B26" s="271" t="str">
        <f>IF(COUNTA(D26)=1,22,"")</f>
        <v/>
      </c>
      <c r="C26" s="26"/>
      <c r="D26" s="196"/>
      <c r="E26" s="197"/>
      <c r="F26" s="26"/>
      <c r="G26" s="358" t="str">
        <f t="shared" si="0"/>
        <v/>
      </c>
      <c r="H26" s="26"/>
      <c r="I26" s="373" t="str">
        <f t="shared" si="9"/>
        <v/>
      </c>
      <c r="J26" s="378" t="str">
        <f t="shared" si="2"/>
        <v/>
      </c>
      <c r="K26" s="379" t="str">
        <f t="shared" si="3"/>
        <v/>
      </c>
      <c r="L26" s="26"/>
      <c r="M26" s="26"/>
      <c r="N26" s="26"/>
      <c r="O26" s="26"/>
      <c r="Q26" s="33" t="str">
        <f t="shared" si="10"/>
        <v/>
      </c>
      <c r="R26" s="33" t="str">
        <f t="shared" si="5"/>
        <v/>
      </c>
      <c r="S26" s="33"/>
      <c r="T26" s="33" t="str">
        <f t="shared" si="6"/>
        <v/>
      </c>
      <c r="U26" s="33" t="str">
        <f t="shared" si="7"/>
        <v/>
      </c>
      <c r="V26" s="33" t="str">
        <f t="shared" si="8"/>
        <v/>
      </c>
      <c r="W26" s="33"/>
    </row>
    <row r="27" spans="1:23" x14ac:dyDescent="0.2">
      <c r="A27" s="26"/>
      <c r="B27" s="271" t="str">
        <f>IF(COUNTA(D27)=1,23,"")</f>
        <v/>
      </c>
      <c r="C27" s="26"/>
      <c r="D27" s="196"/>
      <c r="E27" s="197"/>
      <c r="F27" s="26"/>
      <c r="G27" s="358" t="str">
        <f t="shared" si="0"/>
        <v/>
      </c>
      <c r="H27" s="26"/>
      <c r="I27" s="373" t="str">
        <f t="shared" si="9"/>
        <v/>
      </c>
      <c r="J27" s="378" t="str">
        <f t="shared" si="2"/>
        <v/>
      </c>
      <c r="K27" s="379" t="str">
        <f t="shared" si="3"/>
        <v/>
      </c>
      <c r="L27" s="26"/>
      <c r="M27" s="26"/>
      <c r="N27" s="26"/>
      <c r="O27" s="26"/>
      <c r="Q27" s="33" t="str">
        <f t="shared" si="10"/>
        <v/>
      </c>
      <c r="R27" s="33" t="str">
        <f t="shared" si="5"/>
        <v/>
      </c>
      <c r="S27" s="33"/>
      <c r="T27" s="33" t="str">
        <f t="shared" si="6"/>
        <v/>
      </c>
      <c r="U27" s="33" t="str">
        <f t="shared" si="7"/>
        <v/>
      </c>
      <c r="V27" s="33" t="str">
        <f t="shared" si="8"/>
        <v/>
      </c>
      <c r="W27" s="33"/>
    </row>
    <row r="28" spans="1:23" x14ac:dyDescent="0.2">
      <c r="A28" s="26"/>
      <c r="B28" s="271" t="str">
        <f>IF(COUNTA(D28)=1,24,"")</f>
        <v/>
      </c>
      <c r="C28" s="26"/>
      <c r="D28" s="196"/>
      <c r="E28" s="197"/>
      <c r="F28" s="26"/>
      <c r="G28" s="358" t="str">
        <f t="shared" si="0"/>
        <v/>
      </c>
      <c r="H28" s="26"/>
      <c r="I28" s="373" t="str">
        <f t="shared" si="9"/>
        <v/>
      </c>
      <c r="J28" s="378" t="str">
        <f t="shared" si="2"/>
        <v/>
      </c>
      <c r="K28" s="379" t="str">
        <f t="shared" si="3"/>
        <v/>
      </c>
      <c r="L28" s="26"/>
      <c r="M28" s="26"/>
      <c r="N28" s="26"/>
      <c r="O28" s="26"/>
      <c r="Q28" s="33" t="str">
        <f t="shared" si="10"/>
        <v/>
      </c>
      <c r="R28" s="33" t="str">
        <f t="shared" si="5"/>
        <v/>
      </c>
      <c r="S28" s="33"/>
      <c r="T28" s="33" t="str">
        <f t="shared" si="6"/>
        <v/>
      </c>
      <c r="U28" s="33" t="str">
        <f t="shared" si="7"/>
        <v/>
      </c>
      <c r="V28" s="33" t="str">
        <f t="shared" si="8"/>
        <v/>
      </c>
      <c r="W28" s="33"/>
    </row>
    <row r="29" spans="1:23" ht="13.5" thickBot="1" x14ac:dyDescent="0.25">
      <c r="A29" s="26"/>
      <c r="B29" s="296" t="str">
        <f>IF(COUNTA(D29)=1,25,"")</f>
        <v/>
      </c>
      <c r="C29" s="26"/>
      <c r="D29" s="158"/>
      <c r="E29" s="159"/>
      <c r="F29" s="26"/>
      <c r="G29" s="359" t="str">
        <f t="shared" si="0"/>
        <v/>
      </c>
      <c r="H29" s="26"/>
      <c r="I29" s="388" t="str">
        <f t="shared" si="9"/>
        <v/>
      </c>
      <c r="J29" s="389" t="str">
        <f t="shared" si="2"/>
        <v/>
      </c>
      <c r="K29" s="390" t="str">
        <f t="shared" si="3"/>
        <v/>
      </c>
      <c r="L29" s="26"/>
      <c r="M29" s="26"/>
      <c r="N29" s="26"/>
      <c r="O29" s="26"/>
      <c r="Q29" s="33" t="str">
        <f t="shared" si="10"/>
        <v/>
      </c>
      <c r="R29" s="33" t="str">
        <f t="shared" si="5"/>
        <v/>
      </c>
      <c r="S29" s="33"/>
      <c r="T29" s="33" t="str">
        <f t="shared" si="6"/>
        <v/>
      </c>
      <c r="U29" s="33" t="str">
        <f t="shared" si="7"/>
        <v/>
      </c>
      <c r="V29" s="33" t="str">
        <f t="shared" si="8"/>
        <v/>
      </c>
      <c r="W29" s="33"/>
    </row>
    <row r="30" spans="1:23" ht="6.75" customHeight="1" thickBot="1" x14ac:dyDescent="0.25">
      <c r="A30" s="26"/>
      <c r="B30" s="32"/>
      <c r="C30" s="26"/>
      <c r="D30" s="32"/>
      <c r="E30" s="32"/>
      <c r="F30" s="26"/>
      <c r="G30" s="26"/>
      <c r="H30" s="26"/>
      <c r="I30" s="26"/>
      <c r="J30" s="26"/>
      <c r="K30" s="26"/>
      <c r="L30" s="26"/>
      <c r="M30" s="26"/>
      <c r="N30" s="26"/>
      <c r="O30" s="26"/>
      <c r="Q30" s="33"/>
      <c r="R30" s="33"/>
      <c r="S30" s="33"/>
      <c r="T30" s="33"/>
      <c r="U30" s="33"/>
      <c r="V30" s="33"/>
      <c r="W30" s="33"/>
    </row>
    <row r="31" spans="1:23" ht="13.5" thickBot="1" x14ac:dyDescent="0.25">
      <c r="A31" s="26"/>
      <c r="B31" s="267" t="s">
        <v>213</v>
      </c>
      <c r="C31" s="26"/>
      <c r="D31" s="391">
        <f>AVERAGE(D5:D29)</f>
        <v>79.083333333333329</v>
      </c>
      <c r="E31" s="392">
        <f>AVERAGE(E5:E29)</f>
        <v>77.166666666666671</v>
      </c>
      <c r="F31" s="26"/>
      <c r="G31" s="393">
        <f>AVERAGE(G5:G29)</f>
        <v>1.9166666666666667</v>
      </c>
      <c r="H31" s="26"/>
      <c r="I31" s="394" t="s">
        <v>262</v>
      </c>
      <c r="J31" s="395">
        <f>SUM(J5:J29)</f>
        <v>49</v>
      </c>
      <c r="K31" s="266">
        <f>SUM(K5:K29)</f>
        <v>26</v>
      </c>
      <c r="L31" s="26"/>
      <c r="M31" s="26"/>
      <c r="N31" s="26"/>
      <c r="O31" s="26"/>
      <c r="Q31" s="33"/>
      <c r="R31" s="33">
        <f>COUNT(R5:R29)</f>
        <v>2</v>
      </c>
      <c r="S31" s="33"/>
      <c r="T31" s="33">
        <f>SUM(T5:T29)</f>
        <v>647</v>
      </c>
      <c r="U31" s="33"/>
      <c r="V31" s="33">
        <f>SUM(V5:V29)</f>
        <v>642.5</v>
      </c>
      <c r="W31" s="33"/>
    </row>
    <row r="32" spans="1:23" ht="13.5" thickBot="1" x14ac:dyDescent="0.25">
      <c r="A32" s="26"/>
      <c r="B32" s="296" t="s">
        <v>214</v>
      </c>
      <c r="C32" s="26"/>
      <c r="D32" s="366">
        <f>STDEV(D5:D29)</f>
        <v>8.8877682374387259</v>
      </c>
      <c r="E32" s="367">
        <f>STDEV(E5:E29)</f>
        <v>10.373334112331534</v>
      </c>
      <c r="F32" s="26"/>
      <c r="G32" s="365">
        <f>STDEV(G5:G29)</f>
        <v>6.9734344392693526</v>
      </c>
      <c r="H32" s="26"/>
      <c r="I32" s="26"/>
      <c r="J32" s="26"/>
      <c r="K32" s="26"/>
      <c r="L32" s="26"/>
      <c r="M32" s="26"/>
      <c r="N32" s="26"/>
      <c r="O32" s="26"/>
      <c r="Q32" s="33"/>
      <c r="R32" s="33"/>
      <c r="S32" s="33"/>
      <c r="T32" s="33"/>
      <c r="U32" s="33"/>
      <c r="V32" s="33">
        <f>V31/4</f>
        <v>160.625</v>
      </c>
      <c r="W32" s="33"/>
    </row>
    <row r="33" spans="1:23" ht="6.75" customHeight="1" thickBot="1" x14ac:dyDescent="0.2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Q33" s="33"/>
      <c r="R33" s="33"/>
      <c r="S33" s="33"/>
      <c r="T33" s="33"/>
      <c r="U33" s="33"/>
      <c r="V33" s="33"/>
      <c r="W33" s="33"/>
    </row>
    <row r="34" spans="1:23" x14ac:dyDescent="0.2">
      <c r="A34" s="26"/>
      <c r="B34" s="267" t="s">
        <v>215</v>
      </c>
      <c r="C34" s="26"/>
      <c r="D34" s="356">
        <f>MEDIAN(D5:D29)</f>
        <v>77</v>
      </c>
      <c r="E34" s="213">
        <f>MEDIAN(E5:E29)</f>
        <v>76.5</v>
      </c>
      <c r="F34" s="26"/>
      <c r="G34" s="357">
        <f>MEDIAN(G5:G29)</f>
        <v>1</v>
      </c>
      <c r="H34" s="26"/>
      <c r="I34" s="26"/>
      <c r="J34" s="26"/>
      <c r="K34" s="26"/>
      <c r="L34" s="26"/>
      <c r="M34" s="26"/>
      <c r="N34" s="26"/>
      <c r="O34" s="26"/>
      <c r="Q34" s="33"/>
      <c r="R34" s="33"/>
      <c r="S34" s="33"/>
      <c r="T34" s="33"/>
      <c r="U34" s="33"/>
      <c r="V34" s="33"/>
      <c r="W34" s="33"/>
    </row>
    <row r="35" spans="1:23" x14ac:dyDescent="0.2">
      <c r="A35" s="26"/>
      <c r="B35" s="271" t="s">
        <v>216</v>
      </c>
      <c r="C35" s="26"/>
      <c r="D35" s="363">
        <f>MIN(D5:D29)</f>
        <v>68</v>
      </c>
      <c r="E35" s="364">
        <f>MIN(E5:E29)</f>
        <v>64</v>
      </c>
      <c r="F35" s="26"/>
      <c r="G35" s="358">
        <f>MIN(G5:G29)</f>
        <v>-9</v>
      </c>
      <c r="H35" s="26"/>
      <c r="I35" s="26"/>
      <c r="J35" s="26"/>
      <c r="K35" s="26"/>
      <c r="L35" s="26"/>
      <c r="M35" s="26"/>
      <c r="N35" s="26"/>
      <c r="O35" s="26"/>
      <c r="Q35" s="33"/>
      <c r="R35" s="33"/>
      <c r="S35" s="33"/>
      <c r="T35" s="401"/>
      <c r="U35" s="33"/>
      <c r="V35" s="33"/>
      <c r="W35" s="33"/>
    </row>
    <row r="36" spans="1:23" ht="13.5" thickBot="1" x14ac:dyDescent="0.25">
      <c r="A36" s="26"/>
      <c r="B36" s="296" t="s">
        <v>217</v>
      </c>
      <c r="C36" s="26"/>
      <c r="D36" s="214">
        <f>MAX(D5:D29)</f>
        <v>91</v>
      </c>
      <c r="E36" s="215">
        <f>MAX(E5:E29)</f>
        <v>96</v>
      </c>
      <c r="F36" s="26"/>
      <c r="G36" s="359">
        <f>MAX(G5:G29)</f>
        <v>15</v>
      </c>
      <c r="H36" s="26"/>
      <c r="I36" s="26"/>
      <c r="J36" s="26"/>
      <c r="K36" s="26"/>
      <c r="L36" s="26"/>
      <c r="M36" s="26"/>
      <c r="N36" s="26"/>
      <c r="O36" s="26"/>
      <c r="Q36" s="33"/>
      <c r="R36" s="33"/>
      <c r="S36" s="33"/>
      <c r="T36" s="33"/>
      <c r="U36" s="33"/>
      <c r="V36" s="33"/>
      <c r="W36" s="33"/>
    </row>
    <row r="37" spans="1:23" x14ac:dyDescent="0.2">
      <c r="A37" s="65"/>
      <c r="B37" s="396" t="s">
        <v>218</v>
      </c>
      <c r="C37" s="397"/>
      <c r="D37" s="373">
        <f>QUARTILE(D5:D29,1)</f>
        <v>71</v>
      </c>
      <c r="E37" s="379">
        <f>QUARTILE(E5:E29,1)</f>
        <v>70.25</v>
      </c>
      <c r="F37" s="398"/>
      <c r="G37" s="378">
        <f>QUARTILE(G5:G29,1)</f>
        <v>-1.25</v>
      </c>
      <c r="H37" s="26"/>
      <c r="I37" s="26"/>
      <c r="J37" s="26"/>
      <c r="K37" s="26"/>
      <c r="L37" s="26"/>
      <c r="M37" s="26"/>
      <c r="N37" s="26"/>
      <c r="O37" s="26"/>
    </row>
    <row r="38" spans="1:23" x14ac:dyDescent="0.2">
      <c r="A38" s="65"/>
      <c r="B38" s="396" t="s">
        <v>219</v>
      </c>
      <c r="C38" s="397"/>
      <c r="D38" s="373">
        <f>QUARTILE(D5:D29,3)</f>
        <v>87.25</v>
      </c>
      <c r="E38" s="379">
        <f>QUARTILE(E5:E29,3)</f>
        <v>82.75</v>
      </c>
      <c r="F38" s="398"/>
      <c r="G38" s="378">
        <f>QUARTILE(G5:G29,3)</f>
        <v>5</v>
      </c>
      <c r="H38" s="26"/>
      <c r="I38" s="26"/>
      <c r="J38" s="26"/>
      <c r="K38" s="26"/>
      <c r="L38" s="26"/>
      <c r="M38" s="26"/>
      <c r="N38" s="26"/>
      <c r="O38" s="26"/>
      <c r="P38" s="30"/>
    </row>
    <row r="39" spans="1:23" ht="13.5" thickBot="1" x14ac:dyDescent="0.25">
      <c r="A39" s="65"/>
      <c r="B39" s="399" t="s">
        <v>220</v>
      </c>
      <c r="C39" s="397"/>
      <c r="D39" s="388">
        <f>D38-D37</f>
        <v>16.25</v>
      </c>
      <c r="E39" s="390">
        <f>E38-E37</f>
        <v>12.5</v>
      </c>
      <c r="F39" s="398"/>
      <c r="G39" s="389">
        <f>G38-G37</f>
        <v>6.25</v>
      </c>
      <c r="H39" s="26"/>
      <c r="I39" s="26"/>
      <c r="J39" s="26"/>
      <c r="K39" s="26"/>
      <c r="L39" s="26"/>
      <c r="M39" s="26"/>
      <c r="N39" s="26"/>
      <c r="O39" s="26"/>
    </row>
    <row r="40" spans="1:23" ht="8.25" customHeight="1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23" x14ac:dyDescent="0.2">
      <c r="A41" s="223"/>
      <c r="B41" s="298" t="s">
        <v>222</v>
      </c>
      <c r="C41" s="298"/>
      <c r="D41" s="298">
        <f>D38+D40</f>
        <v>87.25</v>
      </c>
      <c r="E41" s="298">
        <f>E38+E40</f>
        <v>82.75</v>
      </c>
      <c r="F41" s="298"/>
      <c r="G41" s="298">
        <f>G38+G40</f>
        <v>5</v>
      </c>
      <c r="H41" s="298"/>
      <c r="I41" s="400"/>
      <c r="J41" s="400"/>
      <c r="K41"/>
    </row>
    <row r="42" spans="1:23" x14ac:dyDescent="0.2">
      <c r="A42" s="223"/>
      <c r="B42" s="298" t="s">
        <v>223</v>
      </c>
      <c r="C42" s="298"/>
      <c r="D42" s="298">
        <f>D37-D40</f>
        <v>71</v>
      </c>
      <c r="E42" s="298">
        <f>E37-E40</f>
        <v>70.25</v>
      </c>
      <c r="F42" s="298"/>
      <c r="G42" s="298">
        <f>G37-G40</f>
        <v>-1.25</v>
      </c>
      <c r="H42" s="298"/>
      <c r="I42" s="400"/>
      <c r="J42" s="400"/>
      <c r="K42"/>
    </row>
    <row r="43" spans="1:23" x14ac:dyDescent="0.2">
      <c r="A43" s="223"/>
      <c r="B43" s="298" t="s">
        <v>224</v>
      </c>
      <c r="C43" s="298"/>
      <c r="D43" s="298">
        <f>IF(D35&lt;D42,1,0)</f>
        <v>1</v>
      </c>
      <c r="E43" s="298">
        <f>IF(E35&lt;E42,1,0)</f>
        <v>1</v>
      </c>
      <c r="F43" s="298"/>
      <c r="G43" s="298">
        <f>IF(G35&lt;G42,1,0)</f>
        <v>1</v>
      </c>
      <c r="H43" s="298"/>
      <c r="I43" s="400"/>
      <c r="J43" s="400"/>
      <c r="K43" s="400"/>
      <c r="L43" s="30"/>
      <c r="M43" s="30"/>
      <c r="N43" s="30"/>
      <c r="O43" s="30"/>
      <c r="P43" s="30"/>
      <c r="Q43" s="30"/>
    </row>
    <row r="44" spans="1:23" x14ac:dyDescent="0.2">
      <c r="A44" s="223"/>
      <c r="B44" s="298" t="s">
        <v>225</v>
      </c>
      <c r="C44" s="298"/>
      <c r="D44" s="298">
        <f>IF(D41&lt;D36,1,0)</f>
        <v>1</v>
      </c>
      <c r="E44" s="298">
        <f>IF(E41&lt;E36,1,0)</f>
        <v>1</v>
      </c>
      <c r="F44" s="298"/>
      <c r="G44" s="298">
        <f>IF(G41&lt;G36,1,0)</f>
        <v>1</v>
      </c>
      <c r="H44" s="298"/>
      <c r="I44" s="400"/>
      <c r="J44" s="400"/>
      <c r="K44" s="400"/>
      <c r="L44" s="30"/>
      <c r="M44" s="30"/>
      <c r="N44" s="30"/>
      <c r="O44" s="30"/>
      <c r="P44" s="30"/>
      <c r="Q44" s="30"/>
    </row>
    <row r="45" spans="1:23" x14ac:dyDescent="0.2">
      <c r="A45" s="223"/>
      <c r="B45" s="298" t="s">
        <v>226</v>
      </c>
      <c r="C45" s="298"/>
      <c r="D45" s="298"/>
      <c r="E45" s="298"/>
      <c r="F45" s="298"/>
      <c r="G45" s="298">
        <f>SUM(G43:G44)</f>
        <v>2</v>
      </c>
      <c r="H45" s="298"/>
      <c r="I45" s="400"/>
      <c r="J45" s="400"/>
      <c r="K45" s="400"/>
      <c r="L45" s="30"/>
      <c r="M45" s="30"/>
      <c r="N45" s="30"/>
      <c r="O45" s="30"/>
      <c r="P45" s="30"/>
      <c r="Q45" s="30"/>
    </row>
    <row r="46" spans="1:23" x14ac:dyDescent="0.2">
      <c r="L46" s="30"/>
      <c r="M46" s="30"/>
      <c r="N46" s="30"/>
      <c r="O46" s="30"/>
    </row>
    <row r="47" spans="1:23" x14ac:dyDescent="0.2">
      <c r="L47" s="30"/>
      <c r="M47" s="30"/>
      <c r="N47" s="30"/>
      <c r="O47" s="30"/>
    </row>
    <row r="48" spans="1:23" x14ac:dyDescent="0.2">
      <c r="L48" s="30"/>
      <c r="M48" s="30"/>
      <c r="N48" s="30"/>
      <c r="O48" s="30"/>
    </row>
    <row r="49" spans="12:15" x14ac:dyDescent="0.2">
      <c r="L49" s="30"/>
      <c r="M49" s="30"/>
      <c r="N49" s="30"/>
      <c r="O49" s="30"/>
    </row>
    <row r="50" spans="12:15" x14ac:dyDescent="0.2">
      <c r="M50" s="30"/>
      <c r="N50" s="30"/>
    </row>
    <row r="51" spans="12:15" x14ac:dyDescent="0.2">
      <c r="M51" s="30"/>
      <c r="N51" s="30"/>
    </row>
  </sheetData>
  <sheetProtection password="EA44" sheet="1" objects="1" scenarios="1" selectLockedCells="1"/>
  <phoneticPr fontId="4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7"/>
  <dimension ref="A1:N50"/>
  <sheetViews>
    <sheetView showRowColHeaders="0" workbookViewId="0">
      <selection activeCell="G13" sqref="G13"/>
    </sheetView>
  </sheetViews>
  <sheetFormatPr defaultRowHeight="12.75" x14ac:dyDescent="0.2"/>
  <cols>
    <col min="1" max="1" width="2.7109375" style="83" customWidth="1"/>
    <col min="2" max="2" width="8.28515625" style="466" customWidth="1"/>
    <col min="3" max="3" width="3.140625" style="466" customWidth="1"/>
    <col min="4" max="4" width="9.140625" style="466"/>
    <col min="5" max="5" width="1.5703125" style="466" customWidth="1"/>
    <col min="6" max="6" width="2.7109375" style="466" customWidth="1"/>
    <col min="7" max="7" width="9.140625" style="466"/>
    <col min="8" max="8" width="2.42578125" style="466" customWidth="1"/>
    <col min="9" max="10" width="9" style="466" customWidth="1"/>
    <col min="11" max="11" width="2.5703125" style="83" customWidth="1"/>
    <col min="12" max="12" width="20.28515625" style="83" customWidth="1"/>
    <col min="13" max="13" width="9.140625" style="83"/>
    <col min="14" max="14" width="3.42578125" style="83" customWidth="1"/>
    <col min="15" max="16384" width="9.140625" style="83"/>
  </cols>
  <sheetData>
    <row r="1" spans="1:14" ht="8.25" customHeight="1" thickBot="1" x14ac:dyDescent="0.25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ht="13.5" thickBot="1" x14ac:dyDescent="0.25">
      <c r="A2" s="79"/>
      <c r="B2" s="405" t="s">
        <v>295</v>
      </c>
      <c r="C2" s="406"/>
      <c r="D2" s="406"/>
      <c r="E2" s="406"/>
      <c r="F2" s="406"/>
      <c r="G2" s="406"/>
      <c r="H2" s="406"/>
      <c r="I2" s="163"/>
      <c r="J2" s="164"/>
      <c r="K2" s="79"/>
      <c r="L2" s="79"/>
      <c r="M2" s="79"/>
      <c r="N2" s="79"/>
    </row>
    <row r="3" spans="1:14" ht="10.5" customHeight="1" thickBot="1" x14ac:dyDescent="0.25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1:14" ht="13.5" thickBot="1" x14ac:dyDescent="0.25">
      <c r="A4" s="79"/>
      <c r="B4" s="79"/>
      <c r="C4" s="79"/>
      <c r="D4" s="408" t="s">
        <v>103</v>
      </c>
      <c r="E4" s="79"/>
      <c r="F4" s="79"/>
      <c r="G4" s="408" t="s">
        <v>104</v>
      </c>
      <c r="H4" s="79"/>
      <c r="I4" s="409" t="s">
        <v>265</v>
      </c>
      <c r="J4" s="409" t="s">
        <v>266</v>
      </c>
      <c r="K4" s="79"/>
      <c r="L4" s="79"/>
      <c r="M4" s="79"/>
      <c r="N4" s="79"/>
    </row>
    <row r="5" spans="1:14" x14ac:dyDescent="0.2">
      <c r="A5" s="79"/>
      <c r="B5" s="79"/>
      <c r="C5" s="412">
        <f>IF(COUNTA(D5)=1,1,"")</f>
        <v>1</v>
      </c>
      <c r="D5" s="402">
        <v>27</v>
      </c>
      <c r="E5" s="79"/>
      <c r="F5" s="412">
        <f>IF(COUNTA(G5)=1,1,"")</f>
        <v>1</v>
      </c>
      <c r="G5" s="197">
        <v>29</v>
      </c>
      <c r="H5" s="79"/>
      <c r="I5" s="413">
        <f>IF(COUNT(D5)=1,RANK(D5,($D$5:$D$29,$G$5:$G$29),1)+(COUNT(($D$5:$D$29,$G$5:$G$29))+1-RANK(D5,($D$5:$D$29,$G$5:$G$29),0)-RANK(D5,($D$5:$D$29,$G$5:$G$29),1))/2,"")</f>
        <v>4.5</v>
      </c>
      <c r="J5" s="414">
        <f>IF(COUNT(G5)=1,RANK(G5,($D$5:$D$29,$G$5:$G$29),1)+(COUNT(($D$5:$D$29,$G$5:$G$29))+1-RANK(G5,($D$5:$D$29,$G$5:$G$29),0)-RANK(G5,($D$5:$D$29,$G$5:$G$29),1))/2,"")</f>
        <v>6.5</v>
      </c>
      <c r="K5" s="79"/>
      <c r="L5" s="467" t="s">
        <v>250</v>
      </c>
      <c r="M5" s="468">
        <f>M6+M7</f>
        <v>105</v>
      </c>
      <c r="N5" s="79"/>
    </row>
    <row r="6" spans="1:14" x14ac:dyDescent="0.2">
      <c r="A6" s="79"/>
      <c r="B6" s="79"/>
      <c r="C6" s="419">
        <f>IF(COUNTA(D6)=1,2,"")</f>
        <v>2</v>
      </c>
      <c r="D6" s="402">
        <v>33</v>
      </c>
      <c r="E6" s="79"/>
      <c r="F6" s="419">
        <f>IF(COUNTA(G6)=1,2,"")</f>
        <v>2</v>
      </c>
      <c r="G6" s="197">
        <v>29</v>
      </c>
      <c r="H6" s="79"/>
      <c r="I6" s="420">
        <f>IF(COUNT(D6)=1,RANK(D6,($D$5:$D$29,$G$5:$G$29),1)+(COUNT(($D$5:$D$29,$G$5:$G$29))+1-RANK(D6,($D$5:$D$29,$G$5:$G$29),0)-RANK(D6,($D$5:$D$29,$G$5:$G$29),1))/2,"")</f>
        <v>11</v>
      </c>
      <c r="J6" s="421">
        <f>IF(COUNT(G6)=1,RANK(G6,($D$5:$D$29,$G$5:$G$29),1)+(COUNT(($D$5:$D$29,$G$5:$G$29))+1-RANK(G6,($D$5:$D$29,$G$5:$G$29),0)-RANK(G6,($D$5:$D$29,$G$5:$G$29),1))/2,"")</f>
        <v>6.5</v>
      </c>
      <c r="K6" s="79"/>
      <c r="L6" s="469" t="s">
        <v>296</v>
      </c>
      <c r="M6" s="470">
        <f>I32</f>
        <v>77.5</v>
      </c>
      <c r="N6" s="79"/>
    </row>
    <row r="7" spans="1:14" ht="13.5" thickBot="1" x14ac:dyDescent="0.25">
      <c r="A7" s="79"/>
      <c r="B7" s="79"/>
      <c r="C7" s="419">
        <f>IF(COUNTA(D7)=1,3,"")</f>
        <v>3</v>
      </c>
      <c r="D7" s="402">
        <v>39</v>
      </c>
      <c r="E7" s="79"/>
      <c r="F7" s="419">
        <f>IF(COUNTA(G7)=1,3,"")</f>
        <v>3</v>
      </c>
      <c r="G7" s="197">
        <v>31</v>
      </c>
      <c r="H7" s="79"/>
      <c r="I7" s="420">
        <f>IF(COUNT(D7)=1,RANK(D7,($D$5:$D$29,$G$5:$G$29),1)+(COUNT(($D$5:$D$29,$G$5:$G$29))+1-RANK(D7,($D$5:$D$29,$G$5:$G$29),0)-RANK(D7,($D$5:$D$29,$G$5:$G$29),1))/2,"")</f>
        <v>14</v>
      </c>
      <c r="J7" s="421">
        <f>IF(COUNT(G7)=1,RANK(G7,($D$5:$D$29,$G$5:$G$29),1)+(COUNT(($D$5:$D$29,$G$5:$G$29))+1-RANK(G7,($D$5:$D$29,$G$5:$G$29),0)-RANK(G7,($D$5:$D$29,$G$5:$G$29),1))/2,"")</f>
        <v>8.5</v>
      </c>
      <c r="K7" s="79"/>
      <c r="L7" s="471" t="s">
        <v>297</v>
      </c>
      <c r="M7" s="472">
        <f>J32</f>
        <v>27.5</v>
      </c>
      <c r="N7" s="79"/>
    </row>
    <row r="8" spans="1:14" ht="13.5" thickBot="1" x14ac:dyDescent="0.25">
      <c r="A8" s="79"/>
      <c r="B8" s="79"/>
      <c r="C8" s="419">
        <f>IF(COUNTA(D8)=1,4,"")</f>
        <v>4</v>
      </c>
      <c r="D8" s="402">
        <v>31</v>
      </c>
      <c r="E8" s="79"/>
      <c r="F8" s="419">
        <f>IF(COUNTA(G8)=1,4,"")</f>
        <v>4</v>
      </c>
      <c r="G8" s="197">
        <v>25</v>
      </c>
      <c r="H8" s="79"/>
      <c r="I8" s="420">
        <f>IF(COUNT(D8)=1,RANK(D8,($D$5:$D$29,$G$5:$G$29),1)+(COUNT(($D$5:$D$29,$G$5:$G$29))+1-RANK(D8,($D$5:$D$29,$G$5:$G$29),0)-RANK(D8,($D$5:$D$29,$G$5:$G$29),1))/2,"")</f>
        <v>8.5</v>
      </c>
      <c r="J8" s="421">
        <f>IF(COUNT(G8)=1,RANK(G8,($D$5:$D$29,$G$5:$G$29),1)+(COUNT(($D$5:$D$29,$G$5:$G$29))+1-RANK(G8,($D$5:$D$29,$G$5:$G$29),0)-RANK(G8,($D$5:$D$29,$G$5:$G$29),1))/2,"")</f>
        <v>3</v>
      </c>
      <c r="K8" s="79"/>
      <c r="L8" s="79"/>
      <c r="M8" s="79"/>
      <c r="N8" s="79"/>
    </row>
    <row r="9" spans="1:14" x14ac:dyDescent="0.2">
      <c r="A9" s="79"/>
      <c r="B9" s="79"/>
      <c r="C9" s="419">
        <f>IF(COUNTA(D9)=1,5,"")</f>
        <v>5</v>
      </c>
      <c r="D9" s="402">
        <v>32</v>
      </c>
      <c r="E9" s="79"/>
      <c r="F9" s="419">
        <f>IF(COUNTA(G9)=1,5,"")</f>
        <v>5</v>
      </c>
      <c r="G9" s="197">
        <v>24</v>
      </c>
      <c r="H9" s="79"/>
      <c r="I9" s="420">
        <f>IF(COUNT(D9)=1,RANK(D9,($D$5:$D$29,$G$5:$G$29),1)+(COUNT(($D$5:$D$29,$G$5:$G$29))+1-RANK(D9,($D$5:$D$29,$G$5:$G$29),0)-RANK(D9,($D$5:$D$29,$G$5:$G$29),1))/2,"")</f>
        <v>10</v>
      </c>
      <c r="J9" s="421">
        <f>IF(COUNT(G9)=1,RANK(G9,($D$5:$D$29,$G$5:$G$29),1)+(COUNT(($D$5:$D$29,$G$5:$G$29))+1-RANK(G9,($D$5:$D$29,$G$5:$G$29),0)-RANK(G9,($D$5:$D$29,$G$5:$G$29),1))/2,"")</f>
        <v>1.5</v>
      </c>
      <c r="K9" s="79"/>
      <c r="L9" s="473" t="s">
        <v>79</v>
      </c>
      <c r="M9" s="474">
        <f>D31+G31</f>
        <v>14</v>
      </c>
      <c r="N9" s="79"/>
    </row>
    <row r="10" spans="1:14" x14ac:dyDescent="0.2">
      <c r="A10" s="79"/>
      <c r="B10" s="79"/>
      <c r="C10" s="419">
        <f>IF(COUNTA(D10)=1,6,"")</f>
        <v>6</v>
      </c>
      <c r="D10" s="402">
        <v>27</v>
      </c>
      <c r="E10" s="79"/>
      <c r="F10" s="419">
        <f>IF(COUNTA(G10)=1,6,"")</f>
        <v>6</v>
      </c>
      <c r="G10" s="197">
        <v>24</v>
      </c>
      <c r="H10" s="79"/>
      <c r="I10" s="420">
        <f>IF(COUNT(D10)=1,RANK(D10,($D$5:$D$29,$G$5:$G$29),1)+(COUNT(($D$5:$D$29,$G$5:$G$29))+1-RANK(D10,($D$5:$D$29,$G$5:$G$29),0)-RANK(D10,($D$5:$D$29,$G$5:$G$29),1))/2,"")</f>
        <v>4.5</v>
      </c>
      <c r="J10" s="421">
        <f>IF(COUNT(G10)=1,RANK(G10,($D$5:$D$29,$G$5:$G$29),1)+(COUNT(($D$5:$D$29,$G$5:$G$29))+1-RANK(G10,($D$5:$D$29,$G$5:$G$29),0)-RANK(G10,($D$5:$D$29,$G$5:$G$29),1))/2,"")</f>
        <v>1.5</v>
      </c>
      <c r="K10" s="79"/>
      <c r="L10" s="475" t="s">
        <v>298</v>
      </c>
      <c r="M10" s="476">
        <f>IF(I32&lt;J32,D31,G31)</f>
        <v>6</v>
      </c>
      <c r="N10" s="79"/>
    </row>
    <row r="11" spans="1:14" x14ac:dyDescent="0.2">
      <c r="A11" s="79"/>
      <c r="B11" s="79"/>
      <c r="C11" s="419">
        <f>IF(COUNTA(D11)=1,7,"")</f>
        <v>7</v>
      </c>
      <c r="D11" s="402">
        <v>38</v>
      </c>
      <c r="E11" s="79"/>
      <c r="F11" s="419" t="str">
        <f>IF(COUNTA(G11)=1,7,"")</f>
        <v/>
      </c>
      <c r="G11" s="197"/>
      <c r="H11" s="79"/>
      <c r="I11" s="420">
        <f>IF(COUNT(D11)=1,RANK(D11,($D$5:$D$29,$G$5:$G$29),1)+(COUNT(($D$5:$D$29,$G$5:$G$29))+1-RANK(D11,($D$5:$D$29,$G$5:$G$29),0)-RANK(D11,($D$5:$D$29,$G$5:$G$29),1))/2,"")</f>
        <v>13</v>
      </c>
      <c r="J11" s="421" t="str">
        <f>IF(COUNT(G11)=1,RANK(G11,($D$5:$D$29,$G$5:$G$29),1)+(COUNT(($D$5:$D$29,$G$5:$G$29))+1-RANK(G11,($D$5:$D$29,$G$5:$G$29),0)-RANK(G11,($D$5:$D$29,$G$5:$G$29),1))/2,"")</f>
        <v/>
      </c>
      <c r="K11" s="79"/>
      <c r="L11" s="475" t="s">
        <v>299</v>
      </c>
      <c r="M11" s="476">
        <f>IF(I32&lt;J32,G31,D31)</f>
        <v>8</v>
      </c>
      <c r="N11" s="79"/>
    </row>
    <row r="12" spans="1:14" x14ac:dyDescent="0.2">
      <c r="A12" s="79"/>
      <c r="B12" s="79"/>
      <c r="C12" s="419">
        <f>IF(COUNTA(D12)=1,8,"")</f>
        <v>8</v>
      </c>
      <c r="D12" s="402">
        <v>37</v>
      </c>
      <c r="E12" s="79"/>
      <c r="F12" s="419" t="str">
        <f>IF(COUNTA(G12)=1,8,"")</f>
        <v/>
      </c>
      <c r="G12" s="197"/>
      <c r="H12" s="79"/>
      <c r="I12" s="420">
        <f>IF(COUNT(D12)=1,RANK(D12,($D$5:$D$29,$G$5:$G$29),1)+(COUNT(($D$5:$D$29,$G$5:$G$29))+1-RANK(D12,($D$5:$D$29,$G$5:$G$29),0)-RANK(D12,($D$5:$D$29,$G$5:$G$29),1))/2,"")</f>
        <v>12</v>
      </c>
      <c r="J12" s="421" t="str">
        <f>IF(COUNT(G12)=1,RANK(G12,($D$5:$D$29,$G$5:$G$29),1)+(COUNT(($D$5:$D$29,$G$5:$G$29))+1-RANK(G12,($D$5:$D$29,$G$5:$G$29),0)-RANK(G12,($D$5:$D$29,$G$5:$G$29),1))/2,"")</f>
        <v/>
      </c>
      <c r="K12" s="79"/>
      <c r="L12" s="469" t="s">
        <v>255</v>
      </c>
      <c r="M12" s="470">
        <f>MIN(M6:M7)</f>
        <v>27.5</v>
      </c>
      <c r="N12" s="79"/>
    </row>
    <row r="13" spans="1:14" x14ac:dyDescent="0.2">
      <c r="A13" s="79"/>
      <c r="B13" s="79"/>
      <c r="C13" s="419" t="str">
        <f>IF(COUNTA(D13)=1,9,"")</f>
        <v/>
      </c>
      <c r="D13" s="402"/>
      <c r="E13" s="79"/>
      <c r="F13" s="419" t="str">
        <f>IF(COUNTA(G13)=1,9,"")</f>
        <v/>
      </c>
      <c r="G13" s="197"/>
      <c r="H13" s="79"/>
      <c r="I13" s="420" t="str">
        <f>IF(COUNT(D13)=1,RANK(D13,($D$5:$D$29,$G$5:$G$29),1)+(COUNT(($D$5:$D$29,$G$5:$G$29))+1-RANK(D13,($D$5:$D$29,$G$5:$G$29),0)-RANK(D13,($D$5:$D$29,$G$5:$G$29),1))/2,"")</f>
        <v/>
      </c>
      <c r="J13" s="421" t="str">
        <f>IF(COUNT(G13)=1,RANK(G13,($D$5:$D$29,$G$5:$G$29),1)+(COUNT(($D$5:$D$29,$G$5:$G$29))+1-RANK(G13,($D$5:$D$29,$G$5:$G$29),0)-RANK(G13,($D$5:$D$29,$G$5:$G$29),1))/2,"")</f>
        <v/>
      </c>
      <c r="K13" s="79"/>
      <c r="L13" s="469" t="s">
        <v>256</v>
      </c>
      <c r="M13" s="470">
        <f>M10*(M10+M11+1)/2</f>
        <v>45</v>
      </c>
      <c r="N13" s="79"/>
    </row>
    <row r="14" spans="1:14" x14ac:dyDescent="0.2">
      <c r="A14" s="79"/>
      <c r="B14" s="79"/>
      <c r="C14" s="419" t="str">
        <f>IF(COUNTA(D14)=1,10,"")</f>
        <v/>
      </c>
      <c r="D14" s="402"/>
      <c r="E14" s="79"/>
      <c r="F14" s="419" t="str">
        <f>IF(COUNTA(G14)=1,10,"")</f>
        <v/>
      </c>
      <c r="G14" s="197"/>
      <c r="H14" s="79"/>
      <c r="I14" s="420" t="str">
        <f>IF(COUNT(D14)=1,RANK(D14,($D$5:$D$29,$G$5:$G$29),1)+(COUNT(($D$5:$D$29,$G$5:$G$29))+1-RANK(D14,($D$5:$D$29,$G$5:$G$29),0)-RANK(D14,($D$5:$D$29,$G$5:$G$29),1))/2,"")</f>
        <v/>
      </c>
      <c r="J14" s="421" t="str">
        <f>IF(COUNT(G14)=1,RANK(G14,($D$5:$D$29,$G$5:$G$29),1)+(COUNT(($D$5:$D$29,$G$5:$G$29))+1-RANK(G14,($D$5:$D$29,$G$5:$G$29),0)-RANK(G14,($D$5:$D$29,$G$5:$G$29),1))/2,"")</f>
        <v/>
      </c>
      <c r="K14" s="79"/>
      <c r="L14" s="469" t="s">
        <v>300</v>
      </c>
      <c r="M14" s="477">
        <f>M10*M11*(M10 + M11 + 1)/12</f>
        <v>60</v>
      </c>
      <c r="N14" s="79"/>
    </row>
    <row r="15" spans="1:14" x14ac:dyDescent="0.2">
      <c r="A15" s="79"/>
      <c r="B15" s="79"/>
      <c r="C15" s="419" t="str">
        <f>IF(COUNTA(D15)=1,11,"")</f>
        <v/>
      </c>
      <c r="D15" s="402"/>
      <c r="E15" s="79"/>
      <c r="F15" s="419" t="str">
        <f>IF(COUNTA(G15)=1,11,"")</f>
        <v/>
      </c>
      <c r="G15" s="197"/>
      <c r="H15" s="79"/>
      <c r="I15" s="420" t="str">
        <f>IF(COUNT(D15)=1,RANK(D15,($D$5:$D$29,$G$5:$G$29),1)+(COUNT(($D$5:$D$29,$G$5:$G$29))+1-RANK(D15,($D$5:$D$29,$G$5:$G$29),0)-RANK(D15,($D$5:$D$29,$G$5:$G$29),1))/2,"")</f>
        <v/>
      </c>
      <c r="J15" s="421" t="str">
        <f>IF(COUNT(G15)=1,RANK(G15,($D$5:$D$29,$G$5:$G$29),1)+(COUNT(($D$5:$D$29,$G$5:$G$29))+1-RANK(G15,($D$5:$D$29,$G$5:$G$29),0)-RANK(G15,($D$5:$D$29,$G$5:$G$29),1))/2,"")</f>
        <v/>
      </c>
      <c r="K15" s="79"/>
      <c r="L15" s="469" t="s">
        <v>81</v>
      </c>
      <c r="M15" s="477">
        <f>SQRT(M14)</f>
        <v>7.745966692414834</v>
      </c>
      <c r="N15" s="79"/>
    </row>
    <row r="16" spans="1:14" x14ac:dyDescent="0.2">
      <c r="A16" s="79"/>
      <c r="B16" s="79"/>
      <c r="C16" s="419" t="str">
        <f>IF(COUNTA(D16)=1,12,"")</f>
        <v/>
      </c>
      <c r="D16" s="402"/>
      <c r="E16" s="79"/>
      <c r="F16" s="419" t="str">
        <f>IF(COUNTA(G16)=1,12,"")</f>
        <v/>
      </c>
      <c r="G16" s="197"/>
      <c r="H16" s="79"/>
      <c r="I16" s="420" t="str">
        <f>IF(COUNT(D16)=1,RANK(D16,($D$5:$D$29,$G$5:$G$29),1)+(COUNT(($D$5:$D$29,$G$5:$G$29))+1-RANK(D16,($D$5:$D$29,$G$5:$G$29),0)-RANK(D16,($D$5:$D$29,$G$5:$G$29),1))/2,"")</f>
        <v/>
      </c>
      <c r="J16" s="421" t="str">
        <f>IF(COUNT(G16)=1,RANK(G16,($D$5:$D$29,$G$5:$G$29),1)+(COUNT(($D$5:$D$29,$G$5:$G$29))+1-RANK(G16,($D$5:$D$29,$G$5:$G$29),0)-RANK(G16,($D$5:$D$29,$G$5:$G$29),1))/2,"")</f>
        <v/>
      </c>
      <c r="K16" s="79"/>
      <c r="L16" s="478" t="s">
        <v>261</v>
      </c>
      <c r="M16" s="479">
        <f>(M12-M13)/M15</f>
        <v>-2.2592402852876599</v>
      </c>
      <c r="N16" s="79"/>
    </row>
    <row r="17" spans="1:14" x14ac:dyDescent="0.2">
      <c r="A17" s="79"/>
      <c r="B17" s="79"/>
      <c r="C17" s="419" t="str">
        <f>IF(COUNTA(D17)=1,13,"")</f>
        <v/>
      </c>
      <c r="D17" s="402"/>
      <c r="E17" s="79"/>
      <c r="F17" s="419" t="str">
        <f>IF(COUNTA(G17)=1,13,"")</f>
        <v/>
      </c>
      <c r="G17" s="197"/>
      <c r="H17" s="79"/>
      <c r="I17" s="420" t="str">
        <f>IF(COUNT(D17)=1,RANK(D17,($D$5:$D$29,$G$5:$G$29),1)+(COUNT(($D$5:$D$29,$G$5:$G$29))+1-RANK(D17,($D$5:$D$29,$G$5:$G$29),0)-RANK(D17,($D$5:$D$29,$G$5:$G$29),1))/2,"")</f>
        <v/>
      </c>
      <c r="J17" s="421" t="str">
        <f>IF(COUNT(G17)=1,RANK(G17,($D$5:$D$29,$G$5:$G$29),1)+(COUNT(($D$5:$D$29,$G$5:$G$29))+1-RANK(G17,($D$5:$D$29,$G$5:$G$29),0)-RANK(G17,($D$5:$D$29,$G$5:$G$29),1))/2,"")</f>
        <v/>
      </c>
      <c r="K17" s="79"/>
      <c r="L17" s="469" t="s">
        <v>210</v>
      </c>
      <c r="M17" s="51">
        <v>0.05</v>
      </c>
      <c r="N17" s="79"/>
    </row>
    <row r="18" spans="1:14" x14ac:dyDescent="0.2">
      <c r="A18" s="79"/>
      <c r="B18" s="79"/>
      <c r="C18" s="419" t="str">
        <f>IF(COUNTA(D18)=1,14,"")</f>
        <v/>
      </c>
      <c r="D18" s="402"/>
      <c r="E18" s="79"/>
      <c r="F18" s="419" t="str">
        <f>IF(COUNTA(G18)=1,14,"")</f>
        <v/>
      </c>
      <c r="G18" s="197"/>
      <c r="H18" s="79"/>
      <c r="I18" s="420" t="str">
        <f>IF(COUNT(D18)=1,RANK(D18,($D$5:$D$29,$G$5:$G$29),1)+(COUNT(($D$5:$D$29,$G$5:$G$29))+1-RANK(D18,($D$5:$D$29,$G$5:$G$29),0)-RANK(D18,($D$5:$D$29,$G$5:$G$29),1))/2,"")</f>
        <v/>
      </c>
      <c r="J18" s="421" t="str">
        <f>IF(COUNT(G18)=1,RANK(G18,($D$5:$D$29,$G$5:$G$29),1)+(COUNT(($D$5:$D$29,$G$5:$G$29))+1-RANK(G18,($D$5:$D$29,$G$5:$G$29),0)-RANK(G18,($D$5:$D$29,$G$5:$G$29),1))/2,"")</f>
        <v/>
      </c>
      <c r="K18" s="79"/>
      <c r="L18" s="475" t="s">
        <v>211</v>
      </c>
      <c r="M18" s="480">
        <f>NORMSINV(1-M17/2)</f>
        <v>1.9599639845400536</v>
      </c>
      <c r="N18" s="79"/>
    </row>
    <row r="19" spans="1:14" ht="13.5" thickBot="1" x14ac:dyDescent="0.25">
      <c r="A19" s="79"/>
      <c r="B19" s="79"/>
      <c r="C19" s="419" t="str">
        <f>IF(COUNTA(D19)=1,15,"")</f>
        <v/>
      </c>
      <c r="D19" s="402"/>
      <c r="E19" s="79"/>
      <c r="F19" s="419" t="str">
        <f>IF(COUNTA(G19)=1,15,"")</f>
        <v/>
      </c>
      <c r="G19" s="197"/>
      <c r="H19" s="79"/>
      <c r="I19" s="420" t="str">
        <f>IF(COUNT(D19)=1,RANK(D19,($D$5:$D$29,$G$5:$G$29),1)+(COUNT(($D$5:$D$29,$G$5:$G$29))+1-RANK(D19,($D$5:$D$29,$G$5:$G$29),0)-RANK(D19,($D$5:$D$29,$G$5:$G$29),1))/2,"")</f>
        <v/>
      </c>
      <c r="J19" s="421" t="str">
        <f>IF(COUNT(G19)=1,RANK(G19,($D$5:$D$29,$G$5:$G$29),1)+(COUNT(($D$5:$D$29,$G$5:$G$29))+1-RANK(G19,($D$5:$D$29,$G$5:$G$29),0)-RANK(G19,($D$5:$D$29,$G$5:$G$29),1))/2,"")</f>
        <v/>
      </c>
      <c r="K19" s="79"/>
      <c r="L19" s="481" t="s">
        <v>212</v>
      </c>
      <c r="M19" s="482">
        <f>2*(1-NORMSDIST(ABS(M16)))</f>
        <v>2.3868442164574288E-2</v>
      </c>
      <c r="N19" s="79"/>
    </row>
    <row r="20" spans="1:14" ht="13.5" thickBot="1" x14ac:dyDescent="0.25">
      <c r="A20" s="79"/>
      <c r="B20" s="79"/>
      <c r="C20" s="419" t="str">
        <f>IF(COUNTA(D20)=1,16,"")</f>
        <v/>
      </c>
      <c r="D20" s="402"/>
      <c r="E20" s="79"/>
      <c r="F20" s="419" t="str">
        <f>IF(COUNTA(G20)=1,16,"")</f>
        <v/>
      </c>
      <c r="G20" s="197"/>
      <c r="H20" s="79"/>
      <c r="I20" s="420" t="str">
        <f>IF(COUNT(D20)=1,RANK(D20,($D$5:$D$29,$G$5:$G$29),1)+(COUNT(($D$5:$D$29,$G$5:$G$29))+1-RANK(D20,($D$5:$D$29,$G$5:$G$29),0)-RANK(D20,($D$5:$D$29,$G$5:$G$29),1))/2,"")</f>
        <v/>
      </c>
      <c r="J20" s="421" t="str">
        <f>IF(COUNT(G20)=1,RANK(G20,($D$5:$D$29,$G$5:$G$29),1)+(COUNT(($D$5:$D$29,$G$5:$G$29))+1-RANK(G20,($D$5:$D$29,$G$5:$G$29),0)-RANK(G20,($D$5:$D$29,$G$5:$G$29),1))/2,"")</f>
        <v/>
      </c>
      <c r="K20" s="79"/>
      <c r="L20" s="79"/>
      <c r="M20" s="79"/>
      <c r="N20" s="79"/>
    </row>
    <row r="21" spans="1:14" ht="13.5" thickBot="1" x14ac:dyDescent="0.25">
      <c r="A21" s="79"/>
      <c r="B21" s="79"/>
      <c r="C21" s="419" t="str">
        <f>IF(COUNTA(D21)=1,17,"")</f>
        <v/>
      </c>
      <c r="D21" s="402"/>
      <c r="E21" s="79"/>
      <c r="F21" s="419" t="str">
        <f>IF(COUNTA(G21)=1,17,"")</f>
        <v/>
      </c>
      <c r="G21" s="197"/>
      <c r="H21" s="79"/>
      <c r="I21" s="420" t="str">
        <f>IF(COUNT(D21)=1,RANK(D21,($D$5:$D$29,$G$5:$G$29),1)+(COUNT(($D$5:$D$29,$G$5:$G$29))+1-RANK(D21,($D$5:$D$29,$G$5:$G$29),0)-RANK(D21,($D$5:$D$29,$G$5:$G$29),1))/2,"")</f>
        <v/>
      </c>
      <c r="J21" s="421" t="str">
        <f>IF(COUNT(G21)=1,RANK(G21,($D$5:$D$29,$G$5:$G$29),1)+(COUNT(($D$5:$D$29,$G$5:$G$29))+1-RANK(G21,($D$5:$D$29,$G$5:$G$29),0)-RANK(G21,($D$5:$D$29,$G$5:$G$29),1))/2,"")</f>
        <v/>
      </c>
      <c r="K21" s="79"/>
      <c r="L21" s="433" t="str">
        <f>IF(ABS(M16)&gt;M18,"Rejeita-se H0","Não se rejeita H0")</f>
        <v>Rejeita-se H0</v>
      </c>
      <c r="M21" s="435"/>
      <c r="N21" s="79"/>
    </row>
    <row r="22" spans="1:14" x14ac:dyDescent="0.2">
      <c r="A22" s="79"/>
      <c r="B22" s="79"/>
      <c r="C22" s="419" t="str">
        <f>IF(COUNTA(D22)=1,18,"")</f>
        <v/>
      </c>
      <c r="D22" s="402"/>
      <c r="E22" s="79"/>
      <c r="F22" s="419" t="str">
        <f>IF(COUNTA(G22)=1,18,"")</f>
        <v/>
      </c>
      <c r="G22" s="197"/>
      <c r="H22" s="79"/>
      <c r="I22" s="420" t="str">
        <f>IF(COUNT(D22)=1,RANK(D22,($D$5:$D$29,$G$5:$G$29),1)+(COUNT(($D$5:$D$29,$G$5:$G$29))+1-RANK(D22,($D$5:$D$29,$G$5:$G$29),0)-RANK(D22,($D$5:$D$29,$G$5:$G$29),1))/2,"")</f>
        <v/>
      </c>
      <c r="J22" s="421" t="str">
        <f>IF(COUNT(G22)=1,RANK(G22,($D$5:$D$29,$G$5:$G$29),1)+(COUNT(($D$5:$D$29,$G$5:$G$29))+1-RANK(G22,($D$5:$D$29,$G$5:$G$29),0)-RANK(G22,($D$5:$D$29,$G$5:$G$29),1))/2,"")</f>
        <v/>
      </c>
      <c r="K22" s="79"/>
      <c r="L22" s="79"/>
      <c r="M22" s="79"/>
      <c r="N22" s="79"/>
    </row>
    <row r="23" spans="1:14" x14ac:dyDescent="0.2">
      <c r="A23" s="79"/>
      <c r="B23" s="79"/>
      <c r="C23" s="419" t="str">
        <f>IF(COUNTA(D23)=1,19,"")</f>
        <v/>
      </c>
      <c r="D23" s="402"/>
      <c r="E23" s="79"/>
      <c r="F23" s="419" t="str">
        <f>IF(COUNTA(G23)=1,19,"")</f>
        <v/>
      </c>
      <c r="G23" s="197"/>
      <c r="H23" s="79"/>
      <c r="I23" s="420" t="str">
        <f>IF(COUNT(D23)=1,RANK(D23,($D$5:$D$29,$G$5:$G$29),1)+(COUNT(($D$5:$D$29,$G$5:$G$29))+1-RANK(D23,($D$5:$D$29,$G$5:$G$29),0)-RANK(D23,($D$5:$D$29,$G$5:$G$29),1))/2,"")</f>
        <v/>
      </c>
      <c r="J23" s="421" t="str">
        <f>IF(COUNT(G23)=1,RANK(G23,($D$5:$D$29,$G$5:$G$29),1)+(COUNT(($D$5:$D$29,$G$5:$G$29))+1-RANK(G23,($D$5:$D$29,$G$5:$G$29),0)-RANK(G23,($D$5:$D$29,$G$5:$G$29),1))/2,"")</f>
        <v/>
      </c>
      <c r="K23" s="79"/>
      <c r="L23" s="79"/>
      <c r="M23" s="79"/>
      <c r="N23" s="79"/>
    </row>
    <row r="24" spans="1:14" x14ac:dyDescent="0.2">
      <c r="A24" s="79"/>
      <c r="B24" s="79"/>
      <c r="C24" s="419" t="str">
        <f>IF(COUNTA(D24)=1,20,"")</f>
        <v/>
      </c>
      <c r="D24" s="402"/>
      <c r="E24" s="79"/>
      <c r="F24" s="419" t="str">
        <f>IF(COUNTA(G24)=1,20,"")</f>
        <v/>
      </c>
      <c r="G24" s="197"/>
      <c r="H24" s="79"/>
      <c r="I24" s="420" t="str">
        <f>IF(COUNT(D24)=1,RANK(D24,($D$5:$D$29,$G$5:$G$29),1)+(COUNT(($D$5:$D$29,$G$5:$G$29))+1-RANK(D24,($D$5:$D$29,$G$5:$G$29),0)-RANK(D24,($D$5:$D$29,$G$5:$G$29),1))/2,"")</f>
        <v/>
      </c>
      <c r="J24" s="421" t="str">
        <f>IF(COUNT(G24)=1,RANK(G24,($D$5:$D$29,$G$5:$G$29),1)+(COUNT(($D$5:$D$29,$G$5:$G$29))+1-RANK(G24,($D$5:$D$29,$G$5:$G$29),0)-RANK(G24,($D$5:$D$29,$G$5:$G$29),1))/2,"")</f>
        <v/>
      </c>
      <c r="K24" s="79"/>
      <c r="L24" s="79"/>
      <c r="M24" s="79"/>
      <c r="N24" s="79"/>
    </row>
    <row r="25" spans="1:14" x14ac:dyDescent="0.2">
      <c r="A25" s="79"/>
      <c r="B25" s="79"/>
      <c r="C25" s="419" t="str">
        <f>IF(COUNTA(D25)=1,21,"")</f>
        <v/>
      </c>
      <c r="D25" s="402"/>
      <c r="E25" s="79"/>
      <c r="F25" s="419" t="str">
        <f>IF(COUNTA(G25)=1,21,"")</f>
        <v/>
      </c>
      <c r="G25" s="197"/>
      <c r="H25" s="79"/>
      <c r="I25" s="420" t="str">
        <f>IF(COUNT(D25)=1,RANK(D25,($D$5:$D$29,$G$5:$G$29),1)+(COUNT(($D$5:$D$29,$G$5:$G$29))+1-RANK(D25,($D$5:$D$29,$G$5:$G$29),0)-RANK(D25,($D$5:$D$29,$G$5:$G$29),1))/2,"")</f>
        <v/>
      </c>
      <c r="J25" s="421" t="str">
        <f>IF(COUNT(G25)=1,RANK(G25,($D$5:$D$29,$G$5:$G$29),1)+(COUNT(($D$5:$D$29,$G$5:$G$29))+1-RANK(G25,($D$5:$D$29,$G$5:$G$29),0)-RANK(G25,($D$5:$D$29,$G$5:$G$29),1))/2,"")</f>
        <v/>
      </c>
      <c r="K25" s="79"/>
      <c r="L25" s="79"/>
      <c r="M25" s="79"/>
      <c r="N25" s="79"/>
    </row>
    <row r="26" spans="1:14" x14ac:dyDescent="0.2">
      <c r="A26" s="79"/>
      <c r="B26" s="79"/>
      <c r="C26" s="419" t="str">
        <f>IF(COUNTA(D26)=1,22,"")</f>
        <v/>
      </c>
      <c r="D26" s="402"/>
      <c r="E26" s="79"/>
      <c r="F26" s="419" t="str">
        <f>IF(COUNTA(G26)=1,22,"")</f>
        <v/>
      </c>
      <c r="G26" s="197"/>
      <c r="H26" s="79"/>
      <c r="I26" s="420" t="str">
        <f>IF(COUNT(D26)=1,RANK(D26,($D$5:$D$29,$G$5:$G$29),1)+(COUNT(($D$5:$D$29,$G$5:$G$29))+1-RANK(D26,($D$5:$D$29,$G$5:$G$29),0)-RANK(D26,($D$5:$D$29,$G$5:$G$29),1))/2,"")</f>
        <v/>
      </c>
      <c r="J26" s="421" t="str">
        <f>IF(COUNT(G26)=1,RANK(G26,($D$5:$D$29,$G$5:$G$29),1)+(COUNT(($D$5:$D$29,$G$5:$G$29))+1-RANK(G26,($D$5:$D$29,$G$5:$G$29),0)-RANK(G26,($D$5:$D$29,$G$5:$G$29),1))/2,"")</f>
        <v/>
      </c>
      <c r="K26" s="79"/>
      <c r="L26" s="79"/>
      <c r="M26" s="79"/>
      <c r="N26" s="79"/>
    </row>
    <row r="27" spans="1:14" x14ac:dyDescent="0.2">
      <c r="A27" s="79"/>
      <c r="B27" s="79"/>
      <c r="C27" s="419" t="str">
        <f>IF(COUNTA(D27)=1,23,"")</f>
        <v/>
      </c>
      <c r="D27" s="402"/>
      <c r="E27" s="79"/>
      <c r="F27" s="419" t="str">
        <f>IF(COUNTA(G27)=1,23,"")</f>
        <v/>
      </c>
      <c r="G27" s="197"/>
      <c r="H27" s="79"/>
      <c r="I27" s="420" t="str">
        <f>IF(COUNT(D27)=1,RANK(D27,($D$5:$D$29,$G$5:$G$29),1)+(COUNT(($D$5:$D$29,$G$5:$G$29))+1-RANK(D27,($D$5:$D$29,$G$5:$G$29),0)-RANK(D27,($D$5:$D$29,$G$5:$G$29),1))/2,"")</f>
        <v/>
      </c>
      <c r="J27" s="421" t="str">
        <f>IF(COUNT(G27)=1,RANK(G27,($D$5:$D$29,$G$5:$G$29),1)+(COUNT(($D$5:$D$29,$G$5:$G$29))+1-RANK(G27,($D$5:$D$29,$G$5:$G$29),0)-RANK(G27,($D$5:$D$29,$G$5:$G$29),1))/2,"")</f>
        <v/>
      </c>
      <c r="K27" s="79"/>
      <c r="L27" s="79"/>
      <c r="M27" s="79"/>
      <c r="N27" s="79"/>
    </row>
    <row r="28" spans="1:14" x14ac:dyDescent="0.2">
      <c r="A28" s="79"/>
      <c r="B28" s="79"/>
      <c r="C28" s="419" t="str">
        <f>IF(COUNTA(D28)=1,24,"")</f>
        <v/>
      </c>
      <c r="D28" s="402"/>
      <c r="E28" s="79"/>
      <c r="F28" s="419" t="str">
        <f>IF(COUNTA(G28)=1,24,"")</f>
        <v/>
      </c>
      <c r="G28" s="197"/>
      <c r="H28" s="79"/>
      <c r="I28" s="420" t="str">
        <f>IF(COUNT(D28)=1,RANK(D28,($D$5:$D$29,$G$5:$G$29),1)+(COUNT(($D$5:$D$29,$G$5:$G$29))+1-RANK(D28,($D$5:$D$29,$G$5:$G$29),0)-RANK(D28,($D$5:$D$29,$G$5:$G$29),1))/2,"")</f>
        <v/>
      </c>
      <c r="J28" s="421" t="str">
        <f>IF(COUNT(G28)=1,RANK(G28,($D$5:$D$29,$G$5:$G$29),1)+(COUNT(($D$5:$D$29,$G$5:$G$29))+1-RANK(G28,($D$5:$D$29,$G$5:$G$29),0)-RANK(G28,($D$5:$D$29,$G$5:$G$29),1))/2,"")</f>
        <v/>
      </c>
      <c r="K28" s="79"/>
      <c r="L28" s="79"/>
      <c r="M28" s="79"/>
      <c r="N28" s="79"/>
    </row>
    <row r="29" spans="1:14" ht="13.5" thickBot="1" x14ac:dyDescent="0.25">
      <c r="A29" s="79"/>
      <c r="B29" s="79"/>
      <c r="C29" s="443" t="str">
        <f>IF(COUNTA(D29)=1,25,"")</f>
        <v/>
      </c>
      <c r="D29" s="404"/>
      <c r="E29" s="79"/>
      <c r="F29" s="443" t="str">
        <f>IF(COUNTA(G29)=1,25,"")</f>
        <v/>
      </c>
      <c r="G29" s="159"/>
      <c r="H29" s="79"/>
      <c r="I29" s="444" t="str">
        <f>IF(COUNT(D29)=1,RANK(D29,($D$5:$D$29,$G$5:$G$29),1)+(COUNT(($D$5:$D$29,$G$5:$G$29))+1-RANK(D29,($D$5:$D$29,$G$5:$G$29),0)-RANK(D29,($D$5:$D$29,$G$5:$G$29),1))/2,"")</f>
        <v/>
      </c>
      <c r="J29" s="445" t="str">
        <f>IF(COUNT(G29)=1,RANK(G29,($D$5:$D$29,$G$5:$G$29),1)+(COUNT(($D$5:$D$29,$G$5:$G$29))+1-RANK(G29,($D$5:$D$29,$G$5:$G$29),0)-RANK(G29,($D$5:$D$29,$G$5:$G$29),1))/2,"")</f>
        <v/>
      </c>
      <c r="K29" s="79"/>
      <c r="L29" s="79"/>
      <c r="M29" s="79"/>
      <c r="N29" s="79"/>
    </row>
    <row r="30" spans="1:14" ht="6.75" customHeight="1" thickBot="1" x14ac:dyDescent="0.25">
      <c r="A30" s="79"/>
      <c r="B30" s="105"/>
      <c r="C30" s="79"/>
      <c r="D30" s="105"/>
      <c r="E30" s="79"/>
      <c r="F30" s="79"/>
      <c r="G30" s="105"/>
      <c r="H30" s="79"/>
      <c r="I30" s="79"/>
      <c r="J30" s="79"/>
      <c r="K30" s="79"/>
      <c r="L30" s="79"/>
      <c r="M30" s="79"/>
      <c r="N30" s="79"/>
    </row>
    <row r="31" spans="1:14" ht="13.5" thickBot="1" x14ac:dyDescent="0.25">
      <c r="A31" s="79"/>
      <c r="B31" s="448" t="s">
        <v>79</v>
      </c>
      <c r="C31" s="79"/>
      <c r="D31" s="449">
        <f>COUNT(D5:D29)</f>
        <v>8</v>
      </c>
      <c r="E31" s="79"/>
      <c r="F31" s="79"/>
      <c r="G31" s="449">
        <f>COUNT(G5:G29)</f>
        <v>6</v>
      </c>
      <c r="H31" s="79"/>
      <c r="I31" s="450" t="s">
        <v>285</v>
      </c>
      <c r="J31" s="450" t="s">
        <v>286</v>
      </c>
      <c r="K31" s="79"/>
      <c r="L31" s="79"/>
      <c r="M31" s="79"/>
      <c r="N31" s="79"/>
    </row>
    <row r="32" spans="1:14" ht="13.5" thickBot="1" x14ac:dyDescent="0.25">
      <c r="A32" s="79"/>
      <c r="B32" s="419" t="s">
        <v>213</v>
      </c>
      <c r="C32" s="79"/>
      <c r="D32" s="451">
        <f>AVERAGE(D5:D29)</f>
        <v>33</v>
      </c>
      <c r="E32" s="79"/>
      <c r="F32" s="79"/>
      <c r="G32" s="451">
        <f>AVERAGE(G5:G29)</f>
        <v>27</v>
      </c>
      <c r="H32" s="79"/>
      <c r="I32" s="452">
        <f>SUM(I5:I29)</f>
        <v>77.5</v>
      </c>
      <c r="J32" s="407">
        <f>SUM(J5:J29)</f>
        <v>27.5</v>
      </c>
      <c r="K32" s="79"/>
      <c r="L32" s="79"/>
      <c r="M32" s="79"/>
      <c r="N32" s="79"/>
    </row>
    <row r="33" spans="1:14" ht="13.5" thickBot="1" x14ac:dyDescent="0.25">
      <c r="A33" s="79"/>
      <c r="B33" s="443" t="s">
        <v>214</v>
      </c>
      <c r="C33" s="79"/>
      <c r="D33" s="454">
        <f>STDEV(D5:D29)</f>
        <v>4.6904157598234297</v>
      </c>
      <c r="E33" s="79"/>
      <c r="F33" s="79"/>
      <c r="G33" s="454">
        <f>STDEV(G5:G29)</f>
        <v>3.03315017762062</v>
      </c>
      <c r="H33" s="79"/>
      <c r="I33" s="79"/>
      <c r="J33" s="79"/>
      <c r="K33" s="79"/>
      <c r="L33" s="79"/>
      <c r="M33" s="79"/>
      <c r="N33" s="79"/>
    </row>
    <row r="34" spans="1:14" ht="6.75" customHeight="1" thickBot="1" x14ac:dyDescent="0.25">
      <c r="A34" s="79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</row>
    <row r="35" spans="1:14" x14ac:dyDescent="0.2">
      <c r="A35" s="79"/>
      <c r="B35" s="412" t="s">
        <v>215</v>
      </c>
      <c r="C35" s="79"/>
      <c r="D35" s="449">
        <f>MEDIAN(D5:D29)</f>
        <v>32.5</v>
      </c>
      <c r="E35" s="79"/>
      <c r="F35" s="79"/>
      <c r="G35" s="449">
        <f>MEDIAN(G5:G29)</f>
        <v>27</v>
      </c>
      <c r="H35" s="79"/>
      <c r="I35" s="79"/>
      <c r="J35" s="79"/>
      <c r="K35" s="79"/>
      <c r="L35" s="79"/>
      <c r="M35" s="79"/>
      <c r="N35" s="79"/>
    </row>
    <row r="36" spans="1:14" x14ac:dyDescent="0.2">
      <c r="A36" s="79"/>
      <c r="B36" s="419" t="s">
        <v>216</v>
      </c>
      <c r="C36" s="79"/>
      <c r="D36" s="456">
        <f>MIN(D5:D29)</f>
        <v>27</v>
      </c>
      <c r="E36" s="79"/>
      <c r="F36" s="79"/>
      <c r="G36" s="456">
        <f>MIN(G5:G29)</f>
        <v>24</v>
      </c>
      <c r="H36" s="79"/>
      <c r="I36" s="79"/>
      <c r="J36" s="79"/>
      <c r="K36" s="79"/>
      <c r="L36" s="79"/>
      <c r="M36" s="79"/>
      <c r="N36" s="79"/>
    </row>
    <row r="37" spans="1:14" ht="13.5" thickBot="1" x14ac:dyDescent="0.25">
      <c r="A37" s="79"/>
      <c r="B37" s="443" t="s">
        <v>217</v>
      </c>
      <c r="C37" s="79"/>
      <c r="D37" s="458">
        <f>MAX(D5:D29)</f>
        <v>39</v>
      </c>
      <c r="E37" s="79"/>
      <c r="F37" s="79"/>
      <c r="G37" s="458">
        <f>MAX(G5:G29)</f>
        <v>31</v>
      </c>
      <c r="H37" s="79"/>
      <c r="I37" s="79"/>
      <c r="J37" s="79"/>
      <c r="K37" s="79"/>
      <c r="L37" s="79"/>
      <c r="M37" s="79"/>
      <c r="N37" s="79"/>
    </row>
    <row r="38" spans="1:14" x14ac:dyDescent="0.2">
      <c r="A38" s="345"/>
      <c r="B38" s="459" t="s">
        <v>218</v>
      </c>
      <c r="C38" s="460"/>
      <c r="D38" s="421">
        <f>QUARTILE(D5:D29,1)</f>
        <v>30</v>
      </c>
      <c r="E38" s="79"/>
      <c r="F38" s="79"/>
      <c r="G38" s="421">
        <f>QUARTILE(G5:G29,1)</f>
        <v>24.25</v>
      </c>
      <c r="H38" s="300"/>
      <c r="I38" s="79"/>
      <c r="J38" s="79"/>
      <c r="K38" s="79"/>
      <c r="L38" s="79"/>
      <c r="M38" s="79"/>
      <c r="N38" s="79"/>
    </row>
    <row r="39" spans="1:14" x14ac:dyDescent="0.2">
      <c r="A39" s="345"/>
      <c r="B39" s="459" t="s">
        <v>219</v>
      </c>
      <c r="C39" s="460"/>
      <c r="D39" s="421">
        <f>QUARTILE(D5:D29,3)</f>
        <v>37.25</v>
      </c>
      <c r="E39" s="79"/>
      <c r="F39" s="79"/>
      <c r="G39" s="421">
        <f>QUARTILE(G5:G29,3)</f>
        <v>29</v>
      </c>
      <c r="H39" s="300"/>
      <c r="I39" s="79"/>
      <c r="J39" s="79"/>
      <c r="K39" s="79"/>
      <c r="L39" s="79"/>
      <c r="M39" s="79"/>
      <c r="N39" s="79"/>
    </row>
    <row r="40" spans="1:14" ht="13.5" thickBot="1" x14ac:dyDescent="0.25">
      <c r="A40" s="345"/>
      <c r="B40" s="461" t="s">
        <v>220</v>
      </c>
      <c r="C40" s="460"/>
      <c r="D40" s="445">
        <f>D39-D38</f>
        <v>7.25</v>
      </c>
      <c r="E40" s="79"/>
      <c r="F40" s="79"/>
      <c r="G40" s="445">
        <f>G39-G38</f>
        <v>4.75</v>
      </c>
      <c r="H40" s="300"/>
      <c r="I40" s="79"/>
      <c r="J40" s="79"/>
      <c r="K40" s="79"/>
      <c r="L40" s="79"/>
      <c r="M40" s="79"/>
      <c r="N40" s="79"/>
    </row>
    <row r="41" spans="1:14" x14ac:dyDescent="0.2">
      <c r="A41" s="79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</row>
    <row r="42" spans="1:14" x14ac:dyDescent="0.2">
      <c r="A42" s="462"/>
      <c r="B42" s="463" t="s">
        <v>222</v>
      </c>
      <c r="C42" s="463"/>
      <c r="D42" s="463">
        <f>D39+D41</f>
        <v>37.25</v>
      </c>
      <c r="E42" s="463"/>
      <c r="F42" s="463"/>
      <c r="G42" s="463">
        <f>G39+G41</f>
        <v>29</v>
      </c>
      <c r="H42" s="463"/>
      <c r="I42" s="464"/>
      <c r="J42" s="83"/>
      <c r="L42" s="465"/>
      <c r="M42" s="465"/>
    </row>
    <row r="43" spans="1:14" x14ac:dyDescent="0.2">
      <c r="A43" s="462"/>
      <c r="B43" s="463" t="s">
        <v>223</v>
      </c>
      <c r="C43" s="463"/>
      <c r="D43" s="463">
        <f>D38-D41</f>
        <v>30</v>
      </c>
      <c r="E43" s="463"/>
      <c r="F43" s="463"/>
      <c r="G43" s="463">
        <f>G38-G41</f>
        <v>24.25</v>
      </c>
      <c r="H43" s="463"/>
      <c r="I43" s="464"/>
      <c r="J43" s="83"/>
      <c r="L43" s="465"/>
      <c r="M43" s="465"/>
    </row>
    <row r="44" spans="1:14" x14ac:dyDescent="0.2">
      <c r="A44" s="462"/>
      <c r="B44" s="463" t="s">
        <v>224</v>
      </c>
      <c r="C44" s="463"/>
      <c r="D44" s="463">
        <f>IF(D36&lt;D43,1,0)</f>
        <v>1</v>
      </c>
      <c r="E44" s="463"/>
      <c r="F44" s="463"/>
      <c r="G44" s="463">
        <f>IF(G36&lt;G43,1,0)</f>
        <v>1</v>
      </c>
      <c r="H44" s="463"/>
      <c r="I44" s="464"/>
      <c r="J44" s="464"/>
      <c r="K44" s="465"/>
      <c r="L44" s="465"/>
      <c r="M44" s="465"/>
      <c r="N44" s="465"/>
    </row>
    <row r="45" spans="1:14" x14ac:dyDescent="0.2">
      <c r="A45" s="462"/>
      <c r="B45" s="463" t="s">
        <v>225</v>
      </c>
      <c r="C45" s="463"/>
      <c r="D45" s="463">
        <f>IF(D42&lt;D37,1,0)</f>
        <v>1</v>
      </c>
      <c r="E45" s="463"/>
      <c r="F45" s="463"/>
      <c r="G45" s="463">
        <f>IF(G42&lt;G37,1,0)</f>
        <v>1</v>
      </c>
      <c r="H45" s="463"/>
      <c r="I45" s="464"/>
      <c r="J45" s="464"/>
      <c r="K45" s="465"/>
      <c r="L45" s="465"/>
      <c r="M45" s="465"/>
      <c r="N45" s="465"/>
    </row>
    <row r="46" spans="1:14" x14ac:dyDescent="0.2">
      <c r="A46" s="462"/>
      <c r="B46" s="463" t="s">
        <v>226</v>
      </c>
      <c r="C46" s="463"/>
      <c r="D46" s="463"/>
      <c r="E46" s="463"/>
      <c r="F46" s="463"/>
      <c r="G46" s="463"/>
      <c r="H46" s="463"/>
      <c r="I46" s="464"/>
      <c r="J46" s="464"/>
      <c r="K46" s="465"/>
      <c r="L46" s="465"/>
      <c r="M46" s="465"/>
      <c r="N46" s="465"/>
    </row>
    <row r="47" spans="1:14" x14ac:dyDescent="0.2">
      <c r="K47" s="465"/>
      <c r="L47" s="465"/>
      <c r="M47" s="465"/>
      <c r="N47" s="465"/>
    </row>
    <row r="48" spans="1:14" x14ac:dyDescent="0.2">
      <c r="K48" s="465"/>
      <c r="L48" s="465"/>
      <c r="M48" s="465"/>
      <c r="N48" s="465"/>
    </row>
    <row r="49" spans="11:14" x14ac:dyDescent="0.2">
      <c r="K49" s="465"/>
      <c r="L49" s="465"/>
      <c r="M49" s="465"/>
      <c r="N49" s="465"/>
    </row>
    <row r="50" spans="11:14" x14ac:dyDescent="0.2">
      <c r="K50" s="465"/>
      <c r="N50" s="465"/>
    </row>
  </sheetData>
  <sheetProtection password="EA44" sheet="1" objects="1" scenarios="1" selectLockedCells="1"/>
  <phoneticPr fontId="4" type="noConversion"/>
  <pageMargins left="0.78740157499999996" right="0.78740157499999996" top="0.984251969" bottom="0.984251969" header="0.49212598499999999" footer="0.49212598499999999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/>
  <dimension ref="A1:AB51"/>
  <sheetViews>
    <sheetView showRowColHeaders="0" workbookViewId="0">
      <selection activeCell="M6" sqref="M6"/>
    </sheetView>
  </sheetViews>
  <sheetFormatPr defaultRowHeight="12.75" x14ac:dyDescent="0.2"/>
  <cols>
    <col min="1" max="1" width="1.28515625" style="83" customWidth="1"/>
    <col min="2" max="2" width="7.85546875" style="466" customWidth="1"/>
    <col min="3" max="3" width="2.85546875" style="466" customWidth="1"/>
    <col min="4" max="4" width="9.140625" style="466"/>
    <col min="5" max="5" width="1.5703125" style="466" customWidth="1"/>
    <col min="6" max="6" width="2.7109375" style="466" customWidth="1"/>
    <col min="7" max="7" width="9.140625" style="466"/>
    <col min="8" max="8" width="1.42578125" style="466" customWidth="1"/>
    <col min="9" max="9" width="2.85546875" style="466" customWidth="1"/>
    <col min="10" max="10" width="9.140625" style="466" customWidth="1"/>
    <col min="11" max="11" width="1.5703125" style="466" customWidth="1"/>
    <col min="12" max="12" width="2.85546875" style="466" customWidth="1"/>
    <col min="13" max="13" width="9.140625" style="466" customWidth="1"/>
    <col min="14" max="14" width="1.42578125" style="466" customWidth="1"/>
    <col min="15" max="15" width="2.7109375" style="466" customWidth="1"/>
    <col min="16" max="16" width="9.140625" style="466" customWidth="1"/>
    <col min="17" max="17" width="1.85546875" style="466" customWidth="1"/>
    <col min="18" max="22" width="8.42578125" style="466" customWidth="1"/>
    <col min="23" max="23" width="2.42578125" style="83" customWidth="1"/>
    <col min="24" max="24" width="5.7109375" style="83" customWidth="1"/>
    <col min="25" max="25" width="11.28515625" style="83" customWidth="1"/>
    <col min="26" max="26" width="10.140625" style="83" customWidth="1"/>
    <col min="27" max="27" width="2.5703125" style="83" customWidth="1"/>
    <col min="28" max="28" width="2.28515625" style="83" customWidth="1"/>
    <col min="29" max="16384" width="9.140625" style="83"/>
  </cols>
  <sheetData>
    <row r="1" spans="1:28" ht="8.25" customHeight="1" thickBot="1" x14ac:dyDescent="0.25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</row>
    <row r="2" spans="1:28" ht="13.5" thickBot="1" x14ac:dyDescent="0.25">
      <c r="A2" s="79"/>
      <c r="B2" s="405" t="s">
        <v>263</v>
      </c>
      <c r="C2" s="406"/>
      <c r="D2" s="406"/>
      <c r="E2" s="406"/>
      <c r="F2" s="406"/>
      <c r="G2" s="406"/>
      <c r="H2" s="406"/>
      <c r="I2" s="406"/>
      <c r="J2" s="407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8" ht="10.5" customHeight="1" thickBot="1" x14ac:dyDescent="0.25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</row>
    <row r="4" spans="1:28" ht="13.5" thickBot="1" x14ac:dyDescent="0.25">
      <c r="A4" s="79"/>
      <c r="B4" s="79"/>
      <c r="C4" s="79"/>
      <c r="D4" s="408" t="s">
        <v>103</v>
      </c>
      <c r="E4" s="79"/>
      <c r="F4" s="79"/>
      <c r="G4" s="408" t="s">
        <v>104</v>
      </c>
      <c r="H4" s="79"/>
      <c r="I4" s="79"/>
      <c r="J4" s="408" t="s">
        <v>116</v>
      </c>
      <c r="K4" s="79"/>
      <c r="L4" s="79"/>
      <c r="M4" s="408" t="s">
        <v>228</v>
      </c>
      <c r="N4" s="79"/>
      <c r="O4" s="79"/>
      <c r="P4" s="408" t="s">
        <v>264</v>
      </c>
      <c r="Q4" s="79"/>
      <c r="R4" s="409" t="s">
        <v>265</v>
      </c>
      <c r="S4" s="409" t="s">
        <v>266</v>
      </c>
      <c r="T4" s="410" t="s">
        <v>267</v>
      </c>
      <c r="U4" s="409" t="s">
        <v>268</v>
      </c>
      <c r="V4" s="411" t="s">
        <v>269</v>
      </c>
      <c r="W4" s="79"/>
      <c r="X4" s="79"/>
      <c r="Y4" s="79"/>
      <c r="Z4" s="79"/>
      <c r="AA4" s="79"/>
      <c r="AB4" s="79"/>
    </row>
    <row r="5" spans="1:28" x14ac:dyDescent="0.2">
      <c r="A5" s="79"/>
      <c r="B5" s="79"/>
      <c r="C5" s="412">
        <f>IF(COUNTA(D5)=1,1,"")</f>
        <v>1</v>
      </c>
      <c r="D5" s="402">
        <v>56</v>
      </c>
      <c r="E5" s="79"/>
      <c r="F5" s="412">
        <f>IF(COUNTA(G5)=1,1,"")</f>
        <v>1</v>
      </c>
      <c r="G5" s="197">
        <v>56</v>
      </c>
      <c r="H5" s="79"/>
      <c r="I5" s="412">
        <f>IF(COUNTA(J5)=1,1,"")</f>
        <v>1</v>
      </c>
      <c r="J5" s="197">
        <v>98</v>
      </c>
      <c r="K5" s="79"/>
      <c r="L5" s="412">
        <f>IF(COUNTA(M5)=1,1,"")</f>
        <v>1</v>
      </c>
      <c r="M5" s="197">
        <v>200</v>
      </c>
      <c r="N5" s="79"/>
      <c r="O5" s="412" t="str">
        <f>IF(COUNTA(P5)=1,1,"")</f>
        <v/>
      </c>
      <c r="P5" s="197"/>
      <c r="Q5" s="79"/>
      <c r="R5" s="413">
        <f>IF(COUNT(D5)=1,RANK(D5,($D$5:$D$29,$G$5:$G$29,$J$5:$J$29,$M$5:$M$29,$P$5:$P$29),1)+(COUNT(($D$5:$D$29,$G$5:$G$29,$J$5:$J$29,$M$5:$M$29,$P$5:$P$29))+1-RANK(D5,($D$5:$D$29,$G$5:$G$29,$J$5:$J$29,$M$5:$M$29,$P$5:$P$29),0)-RANK(D5,($D$5:$D$29,$G$5:$G$29,$J$5:$J$29,$M$5:$M$29,$P$5:$P$29),1))/2,"")</f>
        <v>4</v>
      </c>
      <c r="S5" s="413">
        <f>IF(COUNT(G5)=1,RANK(G5,($D$5:$D$29,$G$5:$G$29,$J$5:$J$29,$M$5:$M$29,$P$5:$P$29),1)+(COUNT(($D$5:$D$29,$G$5:$G$29,$J$5:$J$29,$M$5:$M$29,$P$5:$P$29))+1-RANK(G5,($D$5:$D$29,$G$5:$G$29,$J$5:$J$29,$M$5:$M$29,$P$5:$P$29),0)-RANK(G5,($D$5:$D$29,$G$5:$G$29,$J$5:$J$29,$M$5:$M$29,$P$5:$P$29),1))/2,"")</f>
        <v>4</v>
      </c>
      <c r="T5" s="413">
        <f>IF(COUNT(J5)=1,RANK(J5,($D$5:$D$29,$G$5:$G$29,$J$5:$J$29,$M$5:$M$29,$P$5:$P$29),1)+(COUNT(($D$5:$D$29,$G$5:$G$29,$J$5:$J$29,$M$5:$M$29,$P$5:$P$29))+1-RANK(J5,($D$5:$D$29,$G$5:$G$29,$J$5:$J$29,$M$5:$M$29,$P$5:$P$29),0)-RANK(J5,($D$5:$D$29,$G$5:$G$29,$J$5:$J$29,$M$5:$M$29,$P$5:$P$29),1))/2,"")</f>
        <v>17</v>
      </c>
      <c r="U5" s="413">
        <f>IF(COUNT(M5)=1,RANK(M5,($D$5:$D$29,$G$5:$G$29,$J$5:$J$29,$M$5:$M$29,$P$5:$P$29),1)+(COUNT(($D$5:$D$29,$G$5:$G$29,$J$5:$J$29,$M$5:$M$29,$P$5:$P$29))+1-RANK(M5,($D$5:$D$29,$G$5:$G$29,$J$5:$J$29,$M$5:$M$29,$P$5:$P$29),0)-RANK(M5,($D$5:$D$29,$G$5:$G$29,$J$5:$J$29,$M$5:$M$29,$P$5:$P$29),1))/2,"")</f>
        <v>23</v>
      </c>
      <c r="V5" s="414" t="str">
        <f>IF(COUNT(P5)=1,RANK(P5,($D$5:$D$29,$G$5:$G$29,$J$5:$J$29,$M$5:$M$29,$P$5:$P$29),1)+(COUNT(($D$5:$D$29,$G$5:$G$29,$J$5:$J$29,$M$5:$M$29,$P$5:$P$29))+1-RANK(P5,($D$5:$D$29,$G$5:$G$29,$J$5:$J$29,$M$5:$M$29,$P$5:$P$29),0)-RANK(P5,($D$5:$D$29,$G$5:$G$29,$J$5:$J$29,$M$5:$M$29,$P$5:$P$29),1))/2,"")</f>
        <v/>
      </c>
      <c r="W5" s="79"/>
      <c r="X5" s="415"/>
      <c r="Y5" s="416" t="s">
        <v>250</v>
      </c>
      <c r="Z5" s="417">
        <f>SUM(R32:V32)</f>
        <v>300</v>
      </c>
      <c r="AA5" s="418"/>
      <c r="AB5" s="79"/>
    </row>
    <row r="6" spans="1:28" x14ac:dyDescent="0.2">
      <c r="A6" s="79"/>
      <c r="B6" s="79"/>
      <c r="C6" s="419">
        <f>IF(COUNTA(D6)=1,2,"")</f>
        <v>2</v>
      </c>
      <c r="D6" s="402">
        <v>678</v>
      </c>
      <c r="E6" s="79"/>
      <c r="F6" s="419">
        <f>IF(COUNTA(G6)=1,2,"")</f>
        <v>2</v>
      </c>
      <c r="G6" s="197">
        <v>87</v>
      </c>
      <c r="H6" s="79"/>
      <c r="I6" s="419">
        <f>IF(COUNTA(J6)=1,2,"")</f>
        <v>2</v>
      </c>
      <c r="J6" s="197">
        <v>67</v>
      </c>
      <c r="K6" s="79"/>
      <c r="L6" s="419">
        <f>IF(COUNTA(M6)=1,2,"")</f>
        <v>2</v>
      </c>
      <c r="M6" s="197">
        <v>190</v>
      </c>
      <c r="N6" s="79"/>
      <c r="O6" s="419" t="str">
        <f>IF(COUNTA(P6)=1,2,"")</f>
        <v/>
      </c>
      <c r="P6" s="197"/>
      <c r="Q6" s="79"/>
      <c r="R6" s="420">
        <f>IF(COUNT(D6)=1,RANK(D6,($D$5:$D$29,$G$5:$G$29,$J$5:$J$29,$M$5:$M$29,$P$5:$P$29),1)+(COUNT(($D$5:$D$29,$G$5:$G$29,$J$5:$J$29,$M$5:$M$29,$P$5:$P$29))+1-RANK(D6,($D$5:$D$29,$G$5:$G$29,$J$5:$J$29,$M$5:$M$29,$P$5:$P$29),0)-RANK(D6,($D$5:$D$29,$G$5:$G$29,$J$5:$J$29,$M$5:$M$29,$P$5:$P$29),1))/2,"")</f>
        <v>24</v>
      </c>
      <c r="S6" s="420">
        <f>IF(COUNT(G6)=1,RANK(G6,($D$5:$D$29,$G$5:$G$29,$J$5:$J$29,$M$5:$M$29,$P$5:$P$29),1)+(COUNT(($D$5:$D$29,$G$5:$G$29,$J$5:$J$29,$M$5:$M$29,$P$5:$P$29))+1-RANK(G6,($D$5:$D$29,$G$5:$G$29,$J$5:$J$29,$M$5:$M$29,$P$5:$P$29),0)-RANK(G6,($D$5:$D$29,$G$5:$G$29,$J$5:$J$29,$M$5:$M$29,$P$5:$P$29),1))/2,"")</f>
        <v>14</v>
      </c>
      <c r="T6" s="420">
        <f>IF(COUNT(J6)=1,RANK(J6,($D$5:$D$29,$G$5:$G$29,$J$5:$J$29,$M$5:$M$29,$P$5:$P$29),1)+(COUNT(($D$5:$D$29,$G$5:$G$29,$J$5:$J$29,$M$5:$M$29,$P$5:$P$29))+1-RANK(J6,($D$5:$D$29,$G$5:$G$29,$J$5:$J$29,$M$5:$M$29,$P$5:$P$29),0)-RANK(J6,($D$5:$D$29,$G$5:$G$29,$J$5:$J$29,$M$5:$M$29,$P$5:$P$29),1))/2,"")</f>
        <v>8</v>
      </c>
      <c r="U6" s="420">
        <f>IF(COUNT(M6)=1,RANK(M6,($D$5:$D$29,$G$5:$G$29,$J$5:$J$29,$M$5:$M$29,$P$5:$P$29),1)+(COUNT(($D$5:$D$29,$G$5:$G$29,$J$5:$J$29,$M$5:$M$29,$P$5:$P$29))+1-RANK(M6,($D$5:$D$29,$G$5:$G$29,$J$5:$J$29,$M$5:$M$29,$P$5:$P$29),0)-RANK(M6,($D$5:$D$29,$G$5:$G$29,$J$5:$J$29,$M$5:$M$29,$P$5:$P$29),1))/2,"")</f>
        <v>22</v>
      </c>
      <c r="V6" s="421" t="str">
        <f>IF(COUNT(P6)=1,RANK(P6,($D$5:$D$29,$G$5:$G$29,$J$5:$J$29,$M$5:$M$29,$P$5:$P$29),1)+(COUNT(($D$5:$D$29,$G$5:$G$29,$J$5:$J$29,$M$5:$M$29,$P$5:$P$29))+1-RANK(P6,($D$5:$D$29,$G$5:$G$29,$J$5:$J$29,$M$5:$M$29,$P$5:$P$29),0)-RANK(P6,($D$5:$D$29,$G$5:$G$29,$J$5:$J$29,$M$5:$M$29,$P$5:$P$29),1))/2,"")</f>
        <v/>
      </c>
      <c r="W6" s="79"/>
      <c r="X6" s="171"/>
      <c r="Y6" s="422" t="s">
        <v>79</v>
      </c>
      <c r="Z6" s="423">
        <f>D31+G31+J31+M31+P31</f>
        <v>24</v>
      </c>
      <c r="AA6" s="424"/>
      <c r="AB6" s="79"/>
    </row>
    <row r="7" spans="1:28" x14ac:dyDescent="0.2">
      <c r="A7" s="79"/>
      <c r="B7" s="79"/>
      <c r="C7" s="419">
        <f>IF(COUNTA(D7)=1,3,"")</f>
        <v>3</v>
      </c>
      <c r="D7" s="402">
        <v>78</v>
      </c>
      <c r="E7" s="79"/>
      <c r="F7" s="419">
        <f>IF(COUNTA(G7)=1,3,"")</f>
        <v>3</v>
      </c>
      <c r="G7" s="197">
        <v>56</v>
      </c>
      <c r="H7" s="79"/>
      <c r="I7" s="419">
        <f>IF(COUNTA(J7)=1,3,"")</f>
        <v>3</v>
      </c>
      <c r="J7" s="197">
        <v>86</v>
      </c>
      <c r="K7" s="79"/>
      <c r="L7" s="419">
        <f>IF(COUNTA(M7)=1,3,"")</f>
        <v>3</v>
      </c>
      <c r="M7" s="197">
        <v>105</v>
      </c>
      <c r="N7" s="79"/>
      <c r="O7" s="419" t="str">
        <f>IF(COUNTA(P7)=1,3,"")</f>
        <v/>
      </c>
      <c r="P7" s="197"/>
      <c r="Q7" s="79"/>
      <c r="R7" s="420">
        <f>IF(COUNT(D7)=1,RANK(D7,($D$5:$D$29,$G$5:$G$29,$J$5:$J$29,$M$5:$M$29,$P$5:$P$29),1)+(COUNT(($D$5:$D$29,$G$5:$G$29,$J$5:$J$29,$M$5:$M$29,$P$5:$P$29))+1-RANK(D7,($D$5:$D$29,$G$5:$G$29,$J$5:$J$29,$M$5:$M$29,$P$5:$P$29),0)-RANK(D7,($D$5:$D$29,$G$5:$G$29,$J$5:$J$29,$M$5:$M$29,$P$5:$P$29),1))/2,"")</f>
        <v>10.5</v>
      </c>
      <c r="S7" s="420">
        <f>IF(COUNT(G7)=1,RANK(G7,($D$5:$D$29,$G$5:$G$29,$J$5:$J$29,$M$5:$M$29,$P$5:$P$29),1)+(COUNT(($D$5:$D$29,$G$5:$G$29,$J$5:$J$29,$M$5:$M$29,$P$5:$P$29))+1-RANK(G7,($D$5:$D$29,$G$5:$G$29,$J$5:$J$29,$M$5:$M$29,$P$5:$P$29),0)-RANK(G7,($D$5:$D$29,$G$5:$G$29,$J$5:$J$29,$M$5:$M$29,$P$5:$P$29),1))/2,"")</f>
        <v>4</v>
      </c>
      <c r="T7" s="420">
        <f>IF(COUNT(J7)=1,RANK(J7,($D$5:$D$29,$G$5:$G$29,$J$5:$J$29,$M$5:$M$29,$P$5:$P$29),1)+(COUNT(($D$5:$D$29,$G$5:$G$29,$J$5:$J$29,$M$5:$M$29,$P$5:$P$29))+1-RANK(J7,($D$5:$D$29,$G$5:$G$29,$J$5:$J$29,$M$5:$M$29,$P$5:$P$29),0)-RANK(J7,($D$5:$D$29,$G$5:$G$29,$J$5:$J$29,$M$5:$M$29,$P$5:$P$29),1))/2,"")</f>
        <v>12</v>
      </c>
      <c r="U7" s="420">
        <f>IF(COUNT(M7)=1,RANK(M7,($D$5:$D$29,$G$5:$G$29,$J$5:$J$29,$M$5:$M$29,$P$5:$P$29),1)+(COUNT(($D$5:$D$29,$G$5:$G$29,$J$5:$J$29,$M$5:$M$29,$P$5:$P$29))+1-RANK(M7,($D$5:$D$29,$G$5:$G$29,$J$5:$J$29,$M$5:$M$29,$P$5:$P$29),0)-RANK(M7,($D$5:$D$29,$G$5:$G$29,$J$5:$J$29,$M$5:$M$29,$P$5:$P$29),1))/2,"")</f>
        <v>20</v>
      </c>
      <c r="V7" s="421" t="str">
        <f>IF(COUNT(P7)=1,RANK(P7,($D$5:$D$29,$G$5:$G$29,$J$5:$J$29,$M$5:$M$29,$P$5:$P$29),1)+(COUNT(($D$5:$D$29,$G$5:$G$29,$J$5:$J$29,$M$5:$M$29,$P$5:$P$29))+1-RANK(P7,($D$5:$D$29,$G$5:$G$29,$J$5:$J$29,$M$5:$M$29,$P$5:$P$29),0)-RANK(P7,($D$5:$D$29,$G$5:$G$29,$J$5:$J$29,$M$5:$M$29,$P$5:$P$29),1))/2,"")</f>
        <v/>
      </c>
      <c r="W7" s="79"/>
      <c r="X7" s="171"/>
      <c r="Y7" s="425" t="s">
        <v>270</v>
      </c>
      <c r="Z7" s="426">
        <f>COUNT(R32:V32)</f>
        <v>4</v>
      </c>
      <c r="AA7" s="424"/>
      <c r="AB7" s="79"/>
    </row>
    <row r="8" spans="1:28" x14ac:dyDescent="0.2">
      <c r="A8" s="79"/>
      <c r="B8" s="79"/>
      <c r="C8" s="419">
        <f>IF(COUNTA(D8)=1,4,"")</f>
        <v>4</v>
      </c>
      <c r="D8" s="402">
        <v>67</v>
      </c>
      <c r="E8" s="79"/>
      <c r="F8" s="419">
        <f>IF(COUNTA(G8)=1,4,"")</f>
        <v>4</v>
      </c>
      <c r="G8" s="197">
        <v>87</v>
      </c>
      <c r="H8" s="79"/>
      <c r="I8" s="419">
        <f>IF(COUNTA(J8)=1,4,"")</f>
        <v>4</v>
      </c>
      <c r="J8" s="197">
        <v>45</v>
      </c>
      <c r="K8" s="79"/>
      <c r="L8" s="419">
        <f>IF(COUNTA(M8)=1,4,"")</f>
        <v>4</v>
      </c>
      <c r="M8" s="197">
        <v>140</v>
      </c>
      <c r="N8" s="79"/>
      <c r="O8" s="419" t="str">
        <f>IF(COUNTA(P8)=1,4,"")</f>
        <v/>
      </c>
      <c r="P8" s="197"/>
      <c r="Q8" s="79"/>
      <c r="R8" s="420">
        <f>IF(COUNT(D8)=1,RANK(D8,($D$5:$D$29,$G$5:$G$29,$J$5:$J$29,$M$5:$M$29,$P$5:$P$29),1)+(COUNT(($D$5:$D$29,$G$5:$G$29,$J$5:$J$29,$M$5:$M$29,$P$5:$P$29))+1-RANK(D8,($D$5:$D$29,$G$5:$G$29,$J$5:$J$29,$M$5:$M$29,$P$5:$P$29),0)-RANK(D8,($D$5:$D$29,$G$5:$G$29,$J$5:$J$29,$M$5:$M$29,$P$5:$P$29),1))/2,"")</f>
        <v>8</v>
      </c>
      <c r="S8" s="420">
        <f>IF(COUNT(G8)=1,RANK(G8,($D$5:$D$29,$G$5:$G$29,$J$5:$J$29,$M$5:$M$29,$P$5:$P$29),1)+(COUNT(($D$5:$D$29,$G$5:$G$29,$J$5:$J$29,$M$5:$M$29,$P$5:$P$29))+1-RANK(G8,($D$5:$D$29,$G$5:$G$29,$J$5:$J$29,$M$5:$M$29,$P$5:$P$29),0)-RANK(G8,($D$5:$D$29,$G$5:$G$29,$J$5:$J$29,$M$5:$M$29,$P$5:$P$29),1))/2,"")</f>
        <v>14</v>
      </c>
      <c r="T8" s="420">
        <f>IF(COUNT(J8)=1,RANK(J8,($D$5:$D$29,$G$5:$G$29,$J$5:$J$29,$M$5:$M$29,$P$5:$P$29),1)+(COUNT(($D$5:$D$29,$G$5:$G$29,$J$5:$J$29,$M$5:$M$29,$P$5:$P$29))+1-RANK(J8,($D$5:$D$29,$G$5:$G$29,$J$5:$J$29,$M$5:$M$29,$P$5:$P$29),0)-RANK(J8,($D$5:$D$29,$G$5:$G$29,$J$5:$J$29,$M$5:$M$29,$P$5:$P$29),1))/2,"")</f>
        <v>1</v>
      </c>
      <c r="U8" s="420">
        <f>IF(COUNT(M8)=1,RANK(M8,($D$5:$D$29,$G$5:$G$29,$J$5:$J$29,$M$5:$M$29,$P$5:$P$29),1)+(COUNT(($D$5:$D$29,$G$5:$G$29,$J$5:$J$29,$M$5:$M$29,$P$5:$P$29))+1-RANK(M8,($D$5:$D$29,$G$5:$G$29,$J$5:$J$29,$M$5:$M$29,$P$5:$P$29),0)-RANK(M8,($D$5:$D$29,$G$5:$G$29,$J$5:$J$29,$M$5:$M$29,$P$5:$P$29),1))/2,"")</f>
        <v>21</v>
      </c>
      <c r="V8" s="421" t="str">
        <f>IF(COUNT(P8)=1,RANK(P8,($D$5:$D$29,$G$5:$G$29,$J$5:$J$29,$M$5:$M$29,$P$5:$P$29),1)+(COUNT(($D$5:$D$29,$G$5:$G$29,$J$5:$J$29,$M$5:$M$29,$P$5:$P$29))+1-RANK(P8,($D$5:$D$29,$G$5:$G$29,$J$5:$J$29,$M$5:$M$29,$P$5:$P$29),0)-RANK(P8,($D$5:$D$29,$G$5:$G$29,$J$5:$J$29,$M$5:$M$29,$P$5:$P$29),1))/2,"")</f>
        <v/>
      </c>
      <c r="W8" s="79"/>
      <c r="X8" s="171"/>
      <c r="Y8" s="427" t="s">
        <v>271</v>
      </c>
      <c r="Z8" s="428">
        <f>(SUM(R33:V33)*12/(Z6*(Z6+1)))-3*(Z6+1)</f>
        <v>10.36666666666666</v>
      </c>
      <c r="AA8" s="424"/>
      <c r="AB8" s="79"/>
    </row>
    <row r="9" spans="1:28" x14ac:dyDescent="0.2">
      <c r="A9" s="79"/>
      <c r="B9" s="79"/>
      <c r="C9" s="419">
        <f>IF(COUNTA(D9)=1,5,"")</f>
        <v>5</v>
      </c>
      <c r="D9" s="402">
        <v>78</v>
      </c>
      <c r="E9" s="79"/>
      <c r="F9" s="419">
        <f>IF(COUNTA(G9)=1,5,"")</f>
        <v>5</v>
      </c>
      <c r="G9" s="197">
        <v>56</v>
      </c>
      <c r="H9" s="79"/>
      <c r="I9" s="419">
        <f>IF(COUNTA(J9)=1,5,"")</f>
        <v>5</v>
      </c>
      <c r="J9" s="197">
        <v>90</v>
      </c>
      <c r="K9" s="79"/>
      <c r="L9" s="419">
        <f>IF(COUNTA(M9)=1,5,"")</f>
        <v>5</v>
      </c>
      <c r="M9" s="197">
        <v>100</v>
      </c>
      <c r="N9" s="79"/>
      <c r="O9" s="419" t="str">
        <f>IF(COUNTA(P9)=1,5,"")</f>
        <v/>
      </c>
      <c r="P9" s="197"/>
      <c r="Q9" s="79"/>
      <c r="R9" s="420">
        <f>IF(COUNT(D9)=1,RANK(D9,($D$5:$D$29,$G$5:$G$29,$J$5:$J$29,$M$5:$M$29,$P$5:$P$29),1)+(COUNT(($D$5:$D$29,$G$5:$G$29,$J$5:$J$29,$M$5:$M$29,$P$5:$P$29))+1-RANK(D9,($D$5:$D$29,$G$5:$G$29,$J$5:$J$29,$M$5:$M$29,$P$5:$P$29),0)-RANK(D9,($D$5:$D$29,$G$5:$G$29,$J$5:$J$29,$M$5:$M$29,$P$5:$P$29),1))/2,"")</f>
        <v>10.5</v>
      </c>
      <c r="S9" s="420">
        <f>IF(COUNT(G9)=1,RANK(G9,($D$5:$D$29,$G$5:$G$29,$J$5:$J$29,$M$5:$M$29,$P$5:$P$29),1)+(COUNT(($D$5:$D$29,$G$5:$G$29,$J$5:$J$29,$M$5:$M$29,$P$5:$P$29))+1-RANK(G9,($D$5:$D$29,$G$5:$G$29,$J$5:$J$29,$M$5:$M$29,$P$5:$P$29),0)-RANK(G9,($D$5:$D$29,$G$5:$G$29,$J$5:$J$29,$M$5:$M$29,$P$5:$P$29),1))/2,"")</f>
        <v>4</v>
      </c>
      <c r="T9" s="420">
        <f>IF(COUNT(J9)=1,RANK(J9,($D$5:$D$29,$G$5:$G$29,$J$5:$J$29,$M$5:$M$29,$P$5:$P$29),1)+(COUNT(($D$5:$D$29,$G$5:$G$29,$J$5:$J$29,$M$5:$M$29,$P$5:$P$29))+1-RANK(J9,($D$5:$D$29,$G$5:$G$29,$J$5:$J$29,$M$5:$M$29,$P$5:$P$29),0)-RANK(J9,($D$5:$D$29,$G$5:$G$29,$J$5:$J$29,$M$5:$M$29,$P$5:$P$29),1))/2,"")</f>
        <v>16</v>
      </c>
      <c r="U9" s="420">
        <f>IF(COUNT(M9)=1,RANK(M9,($D$5:$D$29,$G$5:$G$29,$J$5:$J$29,$M$5:$M$29,$P$5:$P$29),1)+(COUNT(($D$5:$D$29,$G$5:$G$29,$J$5:$J$29,$M$5:$M$29,$P$5:$P$29))+1-RANK(M9,($D$5:$D$29,$G$5:$G$29,$J$5:$J$29,$M$5:$M$29,$P$5:$P$29),0)-RANK(M9,($D$5:$D$29,$G$5:$G$29,$J$5:$J$29,$M$5:$M$29,$P$5:$P$29),1))/2,"")</f>
        <v>19</v>
      </c>
      <c r="V9" s="421" t="str">
        <f>IF(COUNT(P9)=1,RANK(P9,($D$5:$D$29,$G$5:$G$29,$J$5:$J$29,$M$5:$M$29,$P$5:$P$29),1)+(COUNT(($D$5:$D$29,$G$5:$G$29,$J$5:$J$29,$M$5:$M$29,$P$5:$P$29))+1-RANK(P9,($D$5:$D$29,$G$5:$G$29,$J$5:$J$29,$M$5:$M$29,$P$5:$P$29),0)-RANK(P9,($D$5:$D$29,$G$5:$G$29,$J$5:$J$29,$M$5:$M$29,$P$5:$P$29),1))/2,"")</f>
        <v/>
      </c>
      <c r="W9" s="79"/>
      <c r="X9" s="171"/>
      <c r="Y9" s="425" t="s">
        <v>11</v>
      </c>
      <c r="Z9" s="426">
        <f>Z7-1</f>
        <v>3</v>
      </c>
      <c r="AA9" s="424"/>
      <c r="AB9" s="79"/>
    </row>
    <row r="10" spans="1:28" x14ac:dyDescent="0.2">
      <c r="A10" s="79"/>
      <c r="B10" s="79"/>
      <c r="C10" s="419">
        <f>IF(COUNTA(D10)=1,6,"")</f>
        <v>6</v>
      </c>
      <c r="D10" s="402">
        <v>56</v>
      </c>
      <c r="E10" s="79"/>
      <c r="F10" s="419">
        <f>IF(COUNTA(G10)=1,6,"")</f>
        <v>6</v>
      </c>
      <c r="G10" s="197">
        <v>87</v>
      </c>
      <c r="H10" s="79"/>
      <c r="I10" s="419">
        <f>IF(COUNTA(J10)=1,6,"")</f>
        <v>6</v>
      </c>
      <c r="J10" s="197">
        <v>67</v>
      </c>
      <c r="K10" s="79"/>
      <c r="L10" s="419">
        <f>IF(COUNTA(M10)=1,6,"")</f>
        <v>6</v>
      </c>
      <c r="M10" s="197">
        <v>99</v>
      </c>
      <c r="N10" s="79"/>
      <c r="O10" s="419" t="str">
        <f>IF(COUNTA(P10)=1,6,"")</f>
        <v/>
      </c>
      <c r="P10" s="197"/>
      <c r="Q10" s="79"/>
      <c r="R10" s="420">
        <f>IF(COUNT(D10)=1,RANK(D10,($D$5:$D$29,$G$5:$G$29,$J$5:$J$29,$M$5:$M$29,$P$5:$P$29),1)+(COUNT(($D$5:$D$29,$G$5:$G$29,$J$5:$J$29,$M$5:$M$29,$P$5:$P$29))+1-RANK(D10,($D$5:$D$29,$G$5:$G$29,$J$5:$J$29,$M$5:$M$29,$P$5:$P$29),0)-RANK(D10,($D$5:$D$29,$G$5:$G$29,$J$5:$J$29,$M$5:$M$29,$P$5:$P$29),1))/2,"")</f>
        <v>4</v>
      </c>
      <c r="S10" s="420">
        <f>IF(COUNT(G10)=1,RANK(G10,($D$5:$D$29,$G$5:$G$29,$J$5:$J$29,$M$5:$M$29,$P$5:$P$29),1)+(COUNT(($D$5:$D$29,$G$5:$G$29,$J$5:$J$29,$M$5:$M$29,$P$5:$P$29))+1-RANK(G10,($D$5:$D$29,$G$5:$G$29,$J$5:$J$29,$M$5:$M$29,$P$5:$P$29),0)-RANK(G10,($D$5:$D$29,$G$5:$G$29,$J$5:$J$29,$M$5:$M$29,$P$5:$P$29),1))/2,"")</f>
        <v>14</v>
      </c>
      <c r="T10" s="420">
        <f>IF(COUNT(J10)=1,RANK(J10,($D$5:$D$29,$G$5:$G$29,$J$5:$J$29,$M$5:$M$29,$P$5:$P$29),1)+(COUNT(($D$5:$D$29,$G$5:$G$29,$J$5:$J$29,$M$5:$M$29,$P$5:$P$29))+1-RANK(J10,($D$5:$D$29,$G$5:$G$29,$J$5:$J$29,$M$5:$M$29,$P$5:$P$29),0)-RANK(J10,($D$5:$D$29,$G$5:$G$29,$J$5:$J$29,$M$5:$M$29,$P$5:$P$29),1))/2,"")</f>
        <v>8</v>
      </c>
      <c r="U10" s="420">
        <f>IF(COUNT(M10)=1,RANK(M10,($D$5:$D$29,$G$5:$G$29,$J$5:$J$29,$M$5:$M$29,$P$5:$P$29),1)+(COUNT(($D$5:$D$29,$G$5:$G$29,$J$5:$J$29,$M$5:$M$29,$P$5:$P$29))+1-RANK(M10,($D$5:$D$29,$G$5:$G$29,$J$5:$J$29,$M$5:$M$29,$P$5:$P$29),0)-RANK(M10,($D$5:$D$29,$G$5:$G$29,$J$5:$J$29,$M$5:$M$29,$P$5:$P$29),1))/2,"")</f>
        <v>18</v>
      </c>
      <c r="V10" s="421" t="str">
        <f>IF(COUNT(P10)=1,RANK(P10,($D$5:$D$29,$G$5:$G$29,$J$5:$J$29,$M$5:$M$29,$P$5:$P$29),1)+(COUNT(($D$5:$D$29,$G$5:$G$29,$J$5:$J$29,$M$5:$M$29,$P$5:$P$29))+1-RANK(P10,($D$5:$D$29,$G$5:$G$29,$J$5:$J$29,$M$5:$M$29,$P$5:$P$29),0)-RANK(P10,($D$5:$D$29,$G$5:$G$29,$J$5:$J$29,$M$5:$M$29,$P$5:$P$29),1))/2,"")</f>
        <v/>
      </c>
      <c r="W10" s="79"/>
      <c r="X10" s="171"/>
      <c r="Y10" s="173" t="s">
        <v>210</v>
      </c>
      <c r="Z10" s="403">
        <v>0.05</v>
      </c>
      <c r="AA10" s="424"/>
      <c r="AB10" s="79"/>
    </row>
    <row r="11" spans="1:28" x14ac:dyDescent="0.2">
      <c r="A11" s="79"/>
      <c r="B11" s="79"/>
      <c r="C11" s="419" t="str">
        <f>IF(COUNTA(D11)=1,7,"")</f>
        <v/>
      </c>
      <c r="D11" s="402"/>
      <c r="E11" s="79"/>
      <c r="F11" s="419" t="str">
        <f>IF(COUNTA(G11)=1,7,"")</f>
        <v/>
      </c>
      <c r="G11" s="197"/>
      <c r="H11" s="79"/>
      <c r="I11" s="419" t="str">
        <f>IF(COUNTA(J11)=1,7,"")</f>
        <v/>
      </c>
      <c r="J11" s="197"/>
      <c r="K11" s="79"/>
      <c r="L11" s="419" t="str">
        <f>IF(COUNTA(M11)=1,7,"")</f>
        <v/>
      </c>
      <c r="M11" s="197"/>
      <c r="N11" s="79"/>
      <c r="O11" s="419" t="str">
        <f>IF(COUNTA(P11)=1,7,"")</f>
        <v/>
      </c>
      <c r="P11" s="197"/>
      <c r="Q11" s="79"/>
      <c r="R11" s="420" t="str">
        <f>IF(COUNT(D11)=1,RANK(D11,($D$5:$D$29,$G$5:$G$29,$J$5:$J$29,$M$5:$M$29,$P$5:$P$29),1)+(COUNT(($D$5:$D$29,$G$5:$G$29,$J$5:$J$29,$M$5:$M$29,$P$5:$P$29))+1-RANK(D11,($D$5:$D$29,$G$5:$G$29,$J$5:$J$29,$M$5:$M$29,$P$5:$P$29),0)-RANK(D11,($D$5:$D$29,$G$5:$G$29,$J$5:$J$29,$M$5:$M$29,$P$5:$P$29),1))/2,"")</f>
        <v/>
      </c>
      <c r="S11" s="420" t="str">
        <f>IF(COUNT(G11)=1,RANK(G11,($D$5:$D$29,$G$5:$G$29,$J$5:$J$29,$M$5:$M$29,$P$5:$P$29),1)+(COUNT(($D$5:$D$29,$G$5:$G$29,$J$5:$J$29,$M$5:$M$29,$P$5:$P$29))+1-RANK(G11,($D$5:$D$29,$G$5:$G$29,$J$5:$J$29,$M$5:$M$29,$P$5:$P$29),0)-RANK(G11,($D$5:$D$29,$G$5:$G$29,$J$5:$J$29,$M$5:$M$29,$P$5:$P$29),1))/2,"")</f>
        <v/>
      </c>
      <c r="T11" s="420" t="str">
        <f>IF(COUNT(J11)=1,RANK(J11,($D$5:$D$29,$G$5:$G$29,$J$5:$J$29,$M$5:$M$29,$P$5:$P$29),1)+(COUNT(($D$5:$D$29,$G$5:$G$29,$J$5:$J$29,$M$5:$M$29,$P$5:$P$29))+1-RANK(J11,($D$5:$D$29,$G$5:$G$29,$J$5:$J$29,$M$5:$M$29,$P$5:$P$29),0)-RANK(J11,($D$5:$D$29,$G$5:$G$29,$J$5:$J$29,$M$5:$M$29,$P$5:$P$29),1))/2,"")</f>
        <v/>
      </c>
      <c r="U11" s="420" t="str">
        <f>IF(COUNT(M11)=1,RANK(M11,($D$5:$D$29,$G$5:$G$29,$J$5:$J$29,$M$5:$M$29,$P$5:$P$29),1)+(COUNT(($D$5:$D$29,$G$5:$G$29,$J$5:$J$29,$M$5:$M$29,$P$5:$P$29))+1-RANK(M11,($D$5:$D$29,$G$5:$G$29,$J$5:$J$29,$M$5:$M$29,$P$5:$P$29),0)-RANK(M11,($D$5:$D$29,$G$5:$G$29,$J$5:$J$29,$M$5:$M$29,$P$5:$P$29),1))/2,"")</f>
        <v/>
      </c>
      <c r="V11" s="421" t="str">
        <f>IF(COUNT(P11)=1,RANK(P11,($D$5:$D$29,$G$5:$G$29,$J$5:$J$29,$M$5:$M$29,$P$5:$P$29),1)+(COUNT(($D$5:$D$29,$G$5:$G$29,$J$5:$J$29,$M$5:$M$29,$P$5:$P$29))+1-RANK(P11,($D$5:$D$29,$G$5:$G$29,$J$5:$J$29,$M$5:$M$29,$P$5:$P$29),0)-RANK(P11,($D$5:$D$29,$G$5:$G$29,$J$5:$J$29,$M$5:$M$29,$P$5:$P$29),1))/2,"")</f>
        <v/>
      </c>
      <c r="W11" s="79"/>
      <c r="X11" s="171"/>
      <c r="Y11" s="425" t="s">
        <v>12</v>
      </c>
      <c r="Z11" s="429">
        <f>CHIINV(Z10,Z9)</f>
        <v>7.8147279032511792</v>
      </c>
      <c r="AA11" s="424"/>
      <c r="AB11" s="79"/>
    </row>
    <row r="12" spans="1:28" ht="13.5" thickBot="1" x14ac:dyDescent="0.25">
      <c r="A12" s="79"/>
      <c r="B12" s="79"/>
      <c r="C12" s="419" t="str">
        <f>IF(COUNTA(D12)=1,8,"")</f>
        <v/>
      </c>
      <c r="D12" s="402"/>
      <c r="E12" s="79"/>
      <c r="F12" s="419" t="str">
        <f>IF(COUNTA(G12)=1,8,"")</f>
        <v/>
      </c>
      <c r="G12" s="197"/>
      <c r="H12" s="79"/>
      <c r="I12" s="419" t="str">
        <f>IF(COUNTA(J12)=1,8,"")</f>
        <v/>
      </c>
      <c r="J12" s="197"/>
      <c r="K12" s="79"/>
      <c r="L12" s="419" t="str">
        <f>IF(COUNTA(M12)=1,8,"")</f>
        <v/>
      </c>
      <c r="M12" s="197"/>
      <c r="N12" s="79"/>
      <c r="O12" s="419" t="str">
        <f>IF(COUNTA(P12)=1,8,"")</f>
        <v/>
      </c>
      <c r="P12" s="197"/>
      <c r="Q12" s="79"/>
      <c r="R12" s="420" t="str">
        <f>IF(COUNT(D12)=1,RANK(D12,($D$5:$D$29,$G$5:$G$29,$J$5:$J$29,$M$5:$M$29,$P$5:$P$29),1)+(COUNT(($D$5:$D$29,$G$5:$G$29,$J$5:$J$29,$M$5:$M$29,$P$5:$P$29))+1-RANK(D12,($D$5:$D$29,$G$5:$G$29,$J$5:$J$29,$M$5:$M$29,$P$5:$P$29),0)-RANK(D12,($D$5:$D$29,$G$5:$G$29,$J$5:$J$29,$M$5:$M$29,$P$5:$P$29),1))/2,"")</f>
        <v/>
      </c>
      <c r="S12" s="420" t="str">
        <f>IF(COUNT(G12)=1,RANK(G12,($D$5:$D$29,$G$5:$G$29,$J$5:$J$29,$M$5:$M$29,$P$5:$P$29),1)+(COUNT(($D$5:$D$29,$G$5:$G$29,$J$5:$J$29,$M$5:$M$29,$P$5:$P$29))+1-RANK(G12,($D$5:$D$29,$G$5:$G$29,$J$5:$J$29,$M$5:$M$29,$P$5:$P$29),0)-RANK(G12,($D$5:$D$29,$G$5:$G$29,$J$5:$J$29,$M$5:$M$29,$P$5:$P$29),1))/2,"")</f>
        <v/>
      </c>
      <c r="T12" s="420" t="str">
        <f>IF(COUNT(J12)=1,RANK(J12,($D$5:$D$29,$G$5:$G$29,$J$5:$J$29,$M$5:$M$29,$P$5:$P$29),1)+(COUNT(($D$5:$D$29,$G$5:$G$29,$J$5:$J$29,$M$5:$M$29,$P$5:$P$29))+1-RANK(J12,($D$5:$D$29,$G$5:$G$29,$J$5:$J$29,$M$5:$M$29,$P$5:$P$29),0)-RANK(J12,($D$5:$D$29,$G$5:$G$29,$J$5:$J$29,$M$5:$M$29,$P$5:$P$29),1))/2,"")</f>
        <v/>
      </c>
      <c r="U12" s="420" t="str">
        <f>IF(COUNT(M12)=1,RANK(M12,($D$5:$D$29,$G$5:$G$29,$J$5:$J$29,$M$5:$M$29,$P$5:$P$29),1)+(COUNT(($D$5:$D$29,$G$5:$G$29,$J$5:$J$29,$M$5:$M$29,$P$5:$P$29))+1-RANK(M12,($D$5:$D$29,$G$5:$G$29,$J$5:$J$29,$M$5:$M$29,$P$5:$P$29),0)-RANK(M12,($D$5:$D$29,$G$5:$G$29,$J$5:$J$29,$M$5:$M$29,$P$5:$P$29),1))/2,"")</f>
        <v/>
      </c>
      <c r="V12" s="421" t="str">
        <f>IF(COUNT(P12)=1,RANK(P12,($D$5:$D$29,$G$5:$G$29,$J$5:$J$29,$M$5:$M$29,$P$5:$P$29),1)+(COUNT(($D$5:$D$29,$G$5:$G$29,$J$5:$J$29,$M$5:$M$29,$P$5:$P$29))+1-RANK(P12,($D$5:$D$29,$G$5:$G$29,$J$5:$J$29,$M$5:$M$29,$P$5:$P$29),0)-RANK(P12,($D$5:$D$29,$G$5:$G$29,$J$5:$J$29,$M$5:$M$29,$P$5:$P$29),1))/2,"")</f>
        <v/>
      </c>
      <c r="W12" s="79"/>
      <c r="X12" s="176"/>
      <c r="Y12" s="430" t="s">
        <v>212</v>
      </c>
      <c r="Z12" s="431">
        <f>CHIDIST(ABS(Z8),Z9)</f>
        <v>1.5693195811363626E-2</v>
      </c>
      <c r="AA12" s="432"/>
      <c r="AB12" s="79"/>
    </row>
    <row r="13" spans="1:28" ht="13.5" thickBot="1" x14ac:dyDescent="0.25">
      <c r="A13" s="79"/>
      <c r="B13" s="79"/>
      <c r="C13" s="419" t="str">
        <f>IF(COUNTA(D13)=1,9,"")</f>
        <v/>
      </c>
      <c r="D13" s="402"/>
      <c r="E13" s="79"/>
      <c r="F13" s="419" t="str">
        <f>IF(COUNTA(G13)=1,9,"")</f>
        <v/>
      </c>
      <c r="G13" s="197"/>
      <c r="H13" s="79"/>
      <c r="I13" s="419" t="str">
        <f>IF(COUNTA(J13)=1,9,"")</f>
        <v/>
      </c>
      <c r="J13" s="197"/>
      <c r="K13" s="79"/>
      <c r="L13" s="419" t="str">
        <f>IF(COUNTA(M13)=1,9,"")</f>
        <v/>
      </c>
      <c r="M13" s="197"/>
      <c r="N13" s="79"/>
      <c r="O13" s="419" t="str">
        <f>IF(COUNTA(P13)=1,9,"")</f>
        <v/>
      </c>
      <c r="P13" s="197"/>
      <c r="Q13" s="79"/>
      <c r="R13" s="420" t="str">
        <f>IF(COUNT(D13)=1,RANK(D13,($D$5:$D$29,$G$5:$G$29,$J$5:$J$29,$M$5:$M$29,$P$5:$P$29),1)+(COUNT(($D$5:$D$29,$G$5:$G$29,$J$5:$J$29,$M$5:$M$29,$P$5:$P$29))+1-RANK(D13,($D$5:$D$29,$G$5:$G$29,$J$5:$J$29,$M$5:$M$29,$P$5:$P$29),0)-RANK(D13,($D$5:$D$29,$G$5:$G$29,$J$5:$J$29,$M$5:$M$29,$P$5:$P$29),1))/2,"")</f>
        <v/>
      </c>
      <c r="S13" s="420" t="str">
        <f>IF(COUNT(G13)=1,RANK(G13,($D$5:$D$29,$G$5:$G$29,$J$5:$J$29,$M$5:$M$29,$P$5:$P$29),1)+(COUNT(($D$5:$D$29,$G$5:$G$29,$J$5:$J$29,$M$5:$M$29,$P$5:$P$29))+1-RANK(G13,($D$5:$D$29,$G$5:$G$29,$J$5:$J$29,$M$5:$M$29,$P$5:$P$29),0)-RANK(G13,($D$5:$D$29,$G$5:$G$29,$J$5:$J$29,$M$5:$M$29,$P$5:$P$29),1))/2,"")</f>
        <v/>
      </c>
      <c r="T13" s="420" t="str">
        <f>IF(COUNT(J13)=1,RANK(J13,($D$5:$D$29,$G$5:$G$29,$J$5:$J$29,$M$5:$M$29,$P$5:$P$29),1)+(COUNT(($D$5:$D$29,$G$5:$G$29,$J$5:$J$29,$M$5:$M$29,$P$5:$P$29))+1-RANK(J13,($D$5:$D$29,$G$5:$G$29,$J$5:$J$29,$M$5:$M$29,$P$5:$P$29),0)-RANK(J13,($D$5:$D$29,$G$5:$G$29,$J$5:$J$29,$M$5:$M$29,$P$5:$P$29),1))/2,"")</f>
        <v/>
      </c>
      <c r="U13" s="420" t="str">
        <f>IF(COUNT(M13)=1,RANK(M13,($D$5:$D$29,$G$5:$G$29,$J$5:$J$29,$M$5:$M$29,$P$5:$P$29),1)+(COUNT(($D$5:$D$29,$G$5:$G$29,$J$5:$J$29,$M$5:$M$29,$P$5:$P$29))+1-RANK(M13,($D$5:$D$29,$G$5:$G$29,$J$5:$J$29,$M$5:$M$29,$P$5:$P$29),0)-RANK(M13,($D$5:$D$29,$G$5:$G$29,$J$5:$J$29,$M$5:$M$29,$P$5:$P$29),1))/2,"")</f>
        <v/>
      </c>
      <c r="V13" s="421" t="str">
        <f>IF(COUNT(P13)=1,RANK(P13,($D$5:$D$29,$G$5:$G$29,$J$5:$J$29,$M$5:$M$29,$P$5:$P$29),1)+(COUNT(($D$5:$D$29,$G$5:$G$29,$J$5:$J$29,$M$5:$M$29,$P$5:$P$29))+1-RANK(P13,($D$5:$D$29,$G$5:$G$29,$J$5:$J$29,$M$5:$M$29,$P$5:$P$29),0)-RANK(P13,($D$5:$D$29,$G$5:$G$29,$J$5:$J$29,$M$5:$M$29,$P$5:$P$29),1))/2,"")</f>
        <v/>
      </c>
      <c r="W13" s="79"/>
      <c r="X13" s="79"/>
      <c r="Y13" s="79"/>
      <c r="Z13" s="79"/>
      <c r="AA13" s="79"/>
      <c r="AB13" s="79"/>
    </row>
    <row r="14" spans="1:28" ht="13.5" thickBot="1" x14ac:dyDescent="0.25">
      <c r="A14" s="79"/>
      <c r="B14" s="79"/>
      <c r="C14" s="419" t="str">
        <f>IF(COUNTA(D14)=1,10,"")</f>
        <v/>
      </c>
      <c r="D14" s="402"/>
      <c r="E14" s="79"/>
      <c r="F14" s="419" t="str">
        <f>IF(COUNTA(G14)=1,10,"")</f>
        <v/>
      </c>
      <c r="G14" s="197"/>
      <c r="H14" s="79"/>
      <c r="I14" s="419" t="str">
        <f>IF(COUNTA(J14)=1,10,"")</f>
        <v/>
      </c>
      <c r="J14" s="197"/>
      <c r="K14" s="79"/>
      <c r="L14" s="419" t="str">
        <f>IF(COUNTA(M14)=1,10,"")</f>
        <v/>
      </c>
      <c r="M14" s="197"/>
      <c r="N14" s="79"/>
      <c r="O14" s="419" t="str">
        <f>IF(COUNTA(P14)=1,10,"")</f>
        <v/>
      </c>
      <c r="P14" s="197"/>
      <c r="Q14" s="79"/>
      <c r="R14" s="420" t="str">
        <f>IF(COUNT(D14)=1,RANK(D14,($D$5:$D$29,$G$5:$G$29,$J$5:$J$29,$M$5:$M$29,$P$5:$P$29),1)+(COUNT(($D$5:$D$29,$G$5:$G$29,$J$5:$J$29,$M$5:$M$29,$P$5:$P$29))+1-RANK(D14,($D$5:$D$29,$G$5:$G$29,$J$5:$J$29,$M$5:$M$29,$P$5:$P$29),0)-RANK(D14,($D$5:$D$29,$G$5:$G$29,$J$5:$J$29,$M$5:$M$29,$P$5:$P$29),1))/2,"")</f>
        <v/>
      </c>
      <c r="S14" s="420" t="str">
        <f>IF(COUNT(G14)=1,RANK(G14,($D$5:$D$29,$G$5:$G$29,$J$5:$J$29,$M$5:$M$29,$P$5:$P$29),1)+(COUNT(($D$5:$D$29,$G$5:$G$29,$J$5:$J$29,$M$5:$M$29,$P$5:$P$29))+1-RANK(G14,($D$5:$D$29,$G$5:$G$29,$J$5:$J$29,$M$5:$M$29,$P$5:$P$29),0)-RANK(G14,($D$5:$D$29,$G$5:$G$29,$J$5:$J$29,$M$5:$M$29,$P$5:$P$29),1))/2,"")</f>
        <v/>
      </c>
      <c r="T14" s="420" t="str">
        <f>IF(COUNT(J14)=1,RANK(J14,($D$5:$D$29,$G$5:$G$29,$J$5:$J$29,$M$5:$M$29,$P$5:$P$29),1)+(COUNT(($D$5:$D$29,$G$5:$G$29,$J$5:$J$29,$M$5:$M$29,$P$5:$P$29))+1-RANK(J14,($D$5:$D$29,$G$5:$G$29,$J$5:$J$29,$M$5:$M$29,$P$5:$P$29),0)-RANK(J14,($D$5:$D$29,$G$5:$G$29,$J$5:$J$29,$M$5:$M$29,$P$5:$P$29),1))/2,"")</f>
        <v/>
      </c>
      <c r="U14" s="420" t="str">
        <f>IF(COUNT(M14)=1,RANK(M14,($D$5:$D$29,$G$5:$G$29,$J$5:$J$29,$M$5:$M$29,$P$5:$P$29),1)+(COUNT(($D$5:$D$29,$G$5:$G$29,$J$5:$J$29,$M$5:$M$29,$P$5:$P$29))+1-RANK(M14,($D$5:$D$29,$G$5:$G$29,$J$5:$J$29,$M$5:$M$29,$P$5:$P$29),0)-RANK(M14,($D$5:$D$29,$G$5:$G$29,$J$5:$J$29,$M$5:$M$29,$P$5:$P$29),1))/2,"")</f>
        <v/>
      </c>
      <c r="V14" s="421" t="str">
        <f>IF(COUNT(P14)=1,RANK(P14,($D$5:$D$29,$G$5:$G$29,$J$5:$J$29,$M$5:$M$29,$P$5:$P$29),1)+(COUNT(($D$5:$D$29,$G$5:$G$29,$J$5:$J$29,$M$5:$M$29,$P$5:$P$29))+1-RANK(P14,($D$5:$D$29,$G$5:$G$29,$J$5:$J$29,$M$5:$M$29,$P$5:$P$29),0)-RANK(P14,($D$5:$D$29,$G$5:$G$29,$J$5:$J$29,$M$5:$M$29,$P$5:$P$29),1))/2,"")</f>
        <v/>
      </c>
      <c r="W14" s="79"/>
      <c r="X14" s="433" t="str">
        <f>IF(ABS(Z8)&gt;Z11,"Rejeita-se H0","Não se rejeita H0")</f>
        <v>Rejeita-se H0</v>
      </c>
      <c r="Y14" s="434"/>
      <c r="Z14" s="434"/>
      <c r="AA14" s="435"/>
      <c r="AB14" s="79"/>
    </row>
    <row r="15" spans="1:28" x14ac:dyDescent="0.2">
      <c r="A15" s="79"/>
      <c r="B15" s="79"/>
      <c r="C15" s="419" t="str">
        <f>IF(COUNTA(D15)=1,11,"")</f>
        <v/>
      </c>
      <c r="D15" s="402"/>
      <c r="E15" s="79"/>
      <c r="F15" s="419" t="str">
        <f>IF(COUNTA(G15)=1,11,"")</f>
        <v/>
      </c>
      <c r="G15" s="197"/>
      <c r="H15" s="79"/>
      <c r="I15" s="419" t="str">
        <f>IF(COUNTA(J15)=1,11,"")</f>
        <v/>
      </c>
      <c r="J15" s="197"/>
      <c r="K15" s="79"/>
      <c r="L15" s="419" t="str">
        <f>IF(COUNTA(M15)=1,11,"")</f>
        <v/>
      </c>
      <c r="M15" s="197"/>
      <c r="N15" s="79"/>
      <c r="O15" s="419" t="str">
        <f>IF(COUNTA(P15)=1,11,"")</f>
        <v/>
      </c>
      <c r="P15" s="197"/>
      <c r="Q15" s="79"/>
      <c r="R15" s="420" t="str">
        <f>IF(COUNT(D15)=1,RANK(D15,($D$5:$D$29,$G$5:$G$29,$J$5:$J$29,$M$5:$M$29,$P$5:$P$29),1)+(COUNT(($D$5:$D$29,$G$5:$G$29,$J$5:$J$29,$M$5:$M$29,$P$5:$P$29))+1-RANK(D15,($D$5:$D$29,$G$5:$G$29,$J$5:$J$29,$M$5:$M$29,$P$5:$P$29),0)-RANK(D15,($D$5:$D$29,$G$5:$G$29,$J$5:$J$29,$M$5:$M$29,$P$5:$P$29),1))/2,"")</f>
        <v/>
      </c>
      <c r="S15" s="420" t="str">
        <f>IF(COUNT(G15)=1,RANK(G15,($D$5:$D$29,$G$5:$G$29,$J$5:$J$29,$M$5:$M$29,$P$5:$P$29),1)+(COUNT(($D$5:$D$29,$G$5:$G$29,$J$5:$J$29,$M$5:$M$29,$P$5:$P$29))+1-RANK(G15,($D$5:$D$29,$G$5:$G$29,$J$5:$J$29,$M$5:$M$29,$P$5:$P$29),0)-RANK(G15,($D$5:$D$29,$G$5:$G$29,$J$5:$J$29,$M$5:$M$29,$P$5:$P$29),1))/2,"")</f>
        <v/>
      </c>
      <c r="T15" s="420" t="str">
        <f>IF(COUNT(J15)=1,RANK(J15,($D$5:$D$29,$G$5:$G$29,$J$5:$J$29,$M$5:$M$29,$P$5:$P$29),1)+(COUNT(($D$5:$D$29,$G$5:$G$29,$J$5:$J$29,$M$5:$M$29,$P$5:$P$29))+1-RANK(J15,($D$5:$D$29,$G$5:$G$29,$J$5:$J$29,$M$5:$M$29,$P$5:$P$29),0)-RANK(J15,($D$5:$D$29,$G$5:$G$29,$J$5:$J$29,$M$5:$M$29,$P$5:$P$29),1))/2,"")</f>
        <v/>
      </c>
      <c r="U15" s="420" t="str">
        <f>IF(COUNT(M15)=1,RANK(M15,($D$5:$D$29,$G$5:$G$29,$J$5:$J$29,$M$5:$M$29,$P$5:$P$29),1)+(COUNT(($D$5:$D$29,$G$5:$G$29,$J$5:$J$29,$M$5:$M$29,$P$5:$P$29))+1-RANK(M15,($D$5:$D$29,$G$5:$G$29,$J$5:$J$29,$M$5:$M$29,$P$5:$P$29),0)-RANK(M15,($D$5:$D$29,$G$5:$G$29,$J$5:$J$29,$M$5:$M$29,$P$5:$P$29),1))/2,"")</f>
        <v/>
      </c>
      <c r="V15" s="421" t="str">
        <f>IF(COUNT(P15)=1,RANK(P15,($D$5:$D$29,$G$5:$G$29,$J$5:$J$29,$M$5:$M$29,$P$5:$P$29),1)+(COUNT(($D$5:$D$29,$G$5:$G$29,$J$5:$J$29,$M$5:$M$29,$P$5:$P$29))+1-RANK(P15,($D$5:$D$29,$G$5:$G$29,$J$5:$J$29,$M$5:$M$29,$P$5:$P$29),0)-RANK(P15,($D$5:$D$29,$G$5:$G$29,$J$5:$J$29,$M$5:$M$29,$P$5:$P$29),1))/2,"")</f>
        <v/>
      </c>
      <c r="W15" s="79"/>
      <c r="X15" s="79"/>
      <c r="Y15" s="79"/>
      <c r="Z15" s="79"/>
      <c r="AA15" s="79"/>
      <c r="AB15" s="79"/>
    </row>
    <row r="16" spans="1:28" ht="13.5" thickBot="1" x14ac:dyDescent="0.25">
      <c r="A16" s="79"/>
      <c r="B16" s="79"/>
      <c r="C16" s="419" t="str">
        <f>IF(COUNTA(D16)=1,12,"")</f>
        <v/>
      </c>
      <c r="D16" s="402"/>
      <c r="E16" s="79"/>
      <c r="F16" s="419" t="str">
        <f>IF(COUNTA(G16)=1,12,"")</f>
        <v/>
      </c>
      <c r="G16" s="197"/>
      <c r="H16" s="79"/>
      <c r="I16" s="419" t="str">
        <f>IF(COUNTA(J16)=1,12,"")</f>
        <v/>
      </c>
      <c r="J16" s="197"/>
      <c r="K16" s="79"/>
      <c r="L16" s="419" t="str">
        <f>IF(COUNTA(M16)=1,12,"")</f>
        <v/>
      </c>
      <c r="M16" s="197"/>
      <c r="N16" s="79"/>
      <c r="O16" s="419" t="str">
        <f>IF(COUNTA(P16)=1,12,"")</f>
        <v/>
      </c>
      <c r="P16" s="197"/>
      <c r="Q16" s="79"/>
      <c r="R16" s="420" t="str">
        <f>IF(COUNT(D16)=1,RANK(D16,($D$5:$D$29,$G$5:$G$29,$J$5:$J$29,$M$5:$M$29,$P$5:$P$29),1)+(COUNT(($D$5:$D$29,$G$5:$G$29,$J$5:$J$29,$M$5:$M$29,$P$5:$P$29))+1-RANK(D16,($D$5:$D$29,$G$5:$G$29,$J$5:$J$29,$M$5:$M$29,$P$5:$P$29),0)-RANK(D16,($D$5:$D$29,$G$5:$G$29,$J$5:$J$29,$M$5:$M$29,$P$5:$P$29),1))/2,"")</f>
        <v/>
      </c>
      <c r="S16" s="420" t="str">
        <f>IF(COUNT(G16)=1,RANK(G16,($D$5:$D$29,$G$5:$G$29,$J$5:$J$29,$M$5:$M$29,$P$5:$P$29),1)+(COUNT(($D$5:$D$29,$G$5:$G$29,$J$5:$J$29,$M$5:$M$29,$P$5:$P$29))+1-RANK(G16,($D$5:$D$29,$G$5:$G$29,$J$5:$J$29,$M$5:$M$29,$P$5:$P$29),0)-RANK(G16,($D$5:$D$29,$G$5:$G$29,$J$5:$J$29,$M$5:$M$29,$P$5:$P$29),1))/2,"")</f>
        <v/>
      </c>
      <c r="T16" s="420" t="str">
        <f>IF(COUNT(J16)=1,RANK(J16,($D$5:$D$29,$G$5:$G$29,$J$5:$J$29,$M$5:$M$29,$P$5:$P$29),1)+(COUNT(($D$5:$D$29,$G$5:$G$29,$J$5:$J$29,$M$5:$M$29,$P$5:$P$29))+1-RANK(J16,($D$5:$D$29,$G$5:$G$29,$J$5:$J$29,$M$5:$M$29,$P$5:$P$29),0)-RANK(J16,($D$5:$D$29,$G$5:$G$29,$J$5:$J$29,$M$5:$M$29,$P$5:$P$29),1))/2,"")</f>
        <v/>
      </c>
      <c r="U16" s="420" t="str">
        <f>IF(COUNT(M16)=1,RANK(M16,($D$5:$D$29,$G$5:$G$29,$J$5:$J$29,$M$5:$M$29,$P$5:$P$29),1)+(COUNT(($D$5:$D$29,$G$5:$G$29,$J$5:$J$29,$M$5:$M$29,$P$5:$P$29))+1-RANK(M16,($D$5:$D$29,$G$5:$G$29,$J$5:$J$29,$M$5:$M$29,$P$5:$P$29),0)-RANK(M16,($D$5:$D$29,$G$5:$G$29,$J$5:$J$29,$M$5:$M$29,$P$5:$P$29),1))/2,"")</f>
        <v/>
      </c>
      <c r="V16" s="421" t="str">
        <f>IF(COUNT(P16)=1,RANK(P16,($D$5:$D$29,$G$5:$G$29,$J$5:$J$29,$M$5:$M$29,$P$5:$P$29),1)+(COUNT(($D$5:$D$29,$G$5:$G$29,$J$5:$J$29,$M$5:$M$29,$P$5:$P$29))+1-RANK(P16,($D$5:$D$29,$G$5:$G$29,$J$5:$J$29,$M$5:$M$29,$P$5:$P$29),0)-RANK(P16,($D$5:$D$29,$G$5:$G$29,$J$5:$J$29,$M$5:$M$29,$P$5:$P$29),1))/2,"")</f>
        <v/>
      </c>
      <c r="W16" s="79"/>
      <c r="X16" s="79"/>
      <c r="Y16" s="79"/>
      <c r="Z16" s="79"/>
      <c r="AA16" s="79"/>
      <c r="AB16" s="79"/>
    </row>
    <row r="17" spans="1:28" ht="13.5" thickBot="1" x14ac:dyDescent="0.25">
      <c r="A17" s="79"/>
      <c r="B17" s="79"/>
      <c r="C17" s="419" t="str">
        <f>IF(COUNTA(D17)=1,13,"")</f>
        <v/>
      </c>
      <c r="D17" s="402"/>
      <c r="E17" s="79"/>
      <c r="F17" s="419" t="str">
        <f>IF(COUNTA(G17)=1,13,"")</f>
        <v/>
      </c>
      <c r="G17" s="197"/>
      <c r="H17" s="79"/>
      <c r="I17" s="419" t="str">
        <f>IF(COUNTA(J17)=1,13,"")</f>
        <v/>
      </c>
      <c r="J17" s="197"/>
      <c r="K17" s="79"/>
      <c r="L17" s="419" t="str">
        <f>IF(COUNTA(M17)=1,13,"")</f>
        <v/>
      </c>
      <c r="M17" s="197"/>
      <c r="N17" s="79"/>
      <c r="O17" s="419" t="str">
        <f>IF(COUNTA(P17)=1,13,"")</f>
        <v/>
      </c>
      <c r="P17" s="197"/>
      <c r="Q17" s="79"/>
      <c r="R17" s="420" t="str">
        <f>IF(COUNT(D17)=1,RANK(D17,($D$5:$D$29,$G$5:$G$29,$J$5:$J$29,$M$5:$M$29,$P$5:$P$29),1)+(COUNT(($D$5:$D$29,$G$5:$G$29,$J$5:$J$29,$M$5:$M$29,$P$5:$P$29))+1-RANK(D17,($D$5:$D$29,$G$5:$G$29,$J$5:$J$29,$M$5:$M$29,$P$5:$P$29),0)-RANK(D17,($D$5:$D$29,$G$5:$G$29,$J$5:$J$29,$M$5:$M$29,$P$5:$P$29),1))/2,"")</f>
        <v/>
      </c>
      <c r="S17" s="420" t="str">
        <f>IF(COUNT(G17)=1,RANK(G17,($D$5:$D$29,$G$5:$G$29,$J$5:$J$29,$M$5:$M$29,$P$5:$P$29),1)+(COUNT(($D$5:$D$29,$G$5:$G$29,$J$5:$J$29,$M$5:$M$29,$P$5:$P$29))+1-RANK(G17,($D$5:$D$29,$G$5:$G$29,$J$5:$J$29,$M$5:$M$29,$P$5:$P$29),0)-RANK(G17,($D$5:$D$29,$G$5:$G$29,$J$5:$J$29,$M$5:$M$29,$P$5:$P$29),1))/2,"")</f>
        <v/>
      </c>
      <c r="T17" s="420" t="str">
        <f>IF(COUNT(J17)=1,RANK(J17,($D$5:$D$29,$G$5:$G$29,$J$5:$J$29,$M$5:$M$29,$P$5:$P$29),1)+(COUNT(($D$5:$D$29,$G$5:$G$29,$J$5:$J$29,$M$5:$M$29,$P$5:$P$29))+1-RANK(J17,($D$5:$D$29,$G$5:$G$29,$J$5:$J$29,$M$5:$M$29,$P$5:$P$29),0)-RANK(J17,($D$5:$D$29,$G$5:$G$29,$J$5:$J$29,$M$5:$M$29,$P$5:$P$29),1))/2,"")</f>
        <v/>
      </c>
      <c r="U17" s="420" t="str">
        <f>IF(COUNT(M17)=1,RANK(M17,($D$5:$D$29,$G$5:$G$29,$J$5:$J$29,$M$5:$M$29,$P$5:$P$29),1)+(COUNT(($D$5:$D$29,$G$5:$G$29,$J$5:$J$29,$M$5:$M$29,$P$5:$P$29))+1-RANK(M17,($D$5:$D$29,$G$5:$G$29,$J$5:$J$29,$M$5:$M$29,$P$5:$P$29),0)-RANK(M17,($D$5:$D$29,$G$5:$G$29,$J$5:$J$29,$M$5:$M$29,$P$5:$P$29),1))/2,"")</f>
        <v/>
      </c>
      <c r="V17" s="421" t="str">
        <f>IF(COUNT(P17)=1,RANK(P17,($D$5:$D$29,$G$5:$G$29,$J$5:$J$29,$M$5:$M$29,$P$5:$P$29),1)+(COUNT(($D$5:$D$29,$G$5:$G$29,$J$5:$J$29,$M$5:$M$29,$P$5:$P$29))+1-RANK(P17,($D$5:$D$29,$G$5:$G$29,$J$5:$J$29,$M$5:$M$29,$P$5:$P$29),0)-RANK(P17,($D$5:$D$29,$G$5:$G$29,$J$5:$J$29,$M$5:$M$29,$P$5:$P$29),1))/2,"")</f>
        <v/>
      </c>
      <c r="W17" s="79"/>
      <c r="X17" s="433"/>
      <c r="Y17" s="434" t="s">
        <v>272</v>
      </c>
      <c r="Z17" s="434"/>
      <c r="AA17" s="435"/>
      <c r="AB17" s="79"/>
    </row>
    <row r="18" spans="1:28" x14ac:dyDescent="0.2">
      <c r="A18" s="79"/>
      <c r="B18" s="79"/>
      <c r="C18" s="419" t="str">
        <f>IF(COUNTA(D18)=1,14,"")</f>
        <v/>
      </c>
      <c r="D18" s="402"/>
      <c r="E18" s="79"/>
      <c r="F18" s="419" t="str">
        <f>IF(COUNTA(G18)=1,14,"")</f>
        <v/>
      </c>
      <c r="G18" s="197"/>
      <c r="H18" s="79"/>
      <c r="I18" s="419" t="str">
        <f>IF(COUNTA(J18)=1,14,"")</f>
        <v/>
      </c>
      <c r="J18" s="197"/>
      <c r="K18" s="79"/>
      <c r="L18" s="419" t="str">
        <f>IF(COUNTA(M18)=1,14,"")</f>
        <v/>
      </c>
      <c r="M18" s="197"/>
      <c r="N18" s="79"/>
      <c r="O18" s="419" t="str">
        <f>IF(COUNTA(P18)=1,14,"")</f>
        <v/>
      </c>
      <c r="P18" s="197"/>
      <c r="Q18" s="79"/>
      <c r="R18" s="420" t="str">
        <f>IF(COUNT(D18)=1,RANK(D18,($D$5:$D$29,$G$5:$G$29,$J$5:$J$29,$M$5:$M$29,$P$5:$P$29),1)+(COUNT(($D$5:$D$29,$G$5:$G$29,$J$5:$J$29,$M$5:$M$29,$P$5:$P$29))+1-RANK(D18,($D$5:$D$29,$G$5:$G$29,$J$5:$J$29,$M$5:$M$29,$P$5:$P$29),0)-RANK(D18,($D$5:$D$29,$G$5:$G$29,$J$5:$J$29,$M$5:$M$29,$P$5:$P$29),1))/2,"")</f>
        <v/>
      </c>
      <c r="S18" s="420" t="str">
        <f>IF(COUNT(G18)=1,RANK(G18,($D$5:$D$29,$G$5:$G$29,$J$5:$J$29,$M$5:$M$29,$P$5:$P$29),1)+(COUNT(($D$5:$D$29,$G$5:$G$29,$J$5:$J$29,$M$5:$M$29,$P$5:$P$29))+1-RANK(G18,($D$5:$D$29,$G$5:$G$29,$J$5:$J$29,$M$5:$M$29,$P$5:$P$29),0)-RANK(G18,($D$5:$D$29,$G$5:$G$29,$J$5:$J$29,$M$5:$M$29,$P$5:$P$29),1))/2,"")</f>
        <v/>
      </c>
      <c r="T18" s="420" t="str">
        <f>IF(COUNT(J18)=1,RANK(J18,($D$5:$D$29,$G$5:$G$29,$J$5:$J$29,$M$5:$M$29,$P$5:$P$29),1)+(COUNT(($D$5:$D$29,$G$5:$G$29,$J$5:$J$29,$M$5:$M$29,$P$5:$P$29))+1-RANK(J18,($D$5:$D$29,$G$5:$G$29,$J$5:$J$29,$M$5:$M$29,$P$5:$P$29),0)-RANK(J18,($D$5:$D$29,$G$5:$G$29,$J$5:$J$29,$M$5:$M$29,$P$5:$P$29),1))/2,"")</f>
        <v/>
      </c>
      <c r="U18" s="420" t="str">
        <f>IF(COUNT(M18)=1,RANK(M18,($D$5:$D$29,$G$5:$G$29,$J$5:$J$29,$M$5:$M$29,$P$5:$P$29),1)+(COUNT(($D$5:$D$29,$G$5:$G$29,$J$5:$J$29,$M$5:$M$29,$P$5:$P$29))+1-RANK(M18,($D$5:$D$29,$G$5:$G$29,$J$5:$J$29,$M$5:$M$29,$P$5:$P$29),0)-RANK(M18,($D$5:$D$29,$G$5:$G$29,$J$5:$J$29,$M$5:$M$29,$P$5:$P$29),1))/2,"")</f>
        <v/>
      </c>
      <c r="V18" s="421" t="str">
        <f>IF(COUNT(P18)=1,RANK(P18,($D$5:$D$29,$G$5:$G$29,$J$5:$J$29,$M$5:$M$29,$P$5:$P$29),1)+(COUNT(($D$5:$D$29,$G$5:$G$29,$J$5:$J$29,$M$5:$M$29,$P$5:$P$29))+1-RANK(P18,($D$5:$D$29,$G$5:$G$29,$J$5:$J$29,$M$5:$M$29,$P$5:$P$29),0)-RANK(P18,($D$5:$D$29,$G$5:$G$29,$J$5:$J$29,$M$5:$M$29,$P$5:$P$29),1))/2,"")</f>
        <v/>
      </c>
      <c r="W18" s="79"/>
      <c r="X18" s="79"/>
      <c r="Y18" s="79"/>
      <c r="Z18" s="79"/>
      <c r="AA18" s="79"/>
      <c r="AB18" s="79"/>
    </row>
    <row r="19" spans="1:28" ht="13.5" thickBot="1" x14ac:dyDescent="0.25">
      <c r="A19" s="79"/>
      <c r="B19" s="79"/>
      <c r="C19" s="419" t="str">
        <f>IF(COUNTA(D19)=1,15,"")</f>
        <v/>
      </c>
      <c r="D19" s="402"/>
      <c r="E19" s="79"/>
      <c r="F19" s="419" t="str">
        <f>IF(COUNTA(G19)=1,15,"")</f>
        <v/>
      </c>
      <c r="G19" s="197"/>
      <c r="H19" s="79"/>
      <c r="I19" s="419" t="str">
        <f>IF(COUNTA(J19)=1,15,"")</f>
        <v/>
      </c>
      <c r="J19" s="197"/>
      <c r="K19" s="79"/>
      <c r="L19" s="419" t="str">
        <f>IF(COUNTA(M19)=1,15,"")</f>
        <v/>
      </c>
      <c r="M19" s="197"/>
      <c r="N19" s="79"/>
      <c r="O19" s="419" t="str">
        <f>IF(COUNTA(P19)=1,15,"")</f>
        <v/>
      </c>
      <c r="P19" s="197"/>
      <c r="Q19" s="79"/>
      <c r="R19" s="420" t="str">
        <f>IF(COUNT(D19)=1,RANK(D19,($D$5:$D$29,$G$5:$G$29,$J$5:$J$29,$M$5:$M$29,$P$5:$P$29),1)+(COUNT(($D$5:$D$29,$G$5:$G$29,$J$5:$J$29,$M$5:$M$29,$P$5:$P$29))+1-RANK(D19,($D$5:$D$29,$G$5:$G$29,$J$5:$J$29,$M$5:$M$29,$P$5:$P$29),0)-RANK(D19,($D$5:$D$29,$G$5:$G$29,$J$5:$J$29,$M$5:$M$29,$P$5:$P$29),1))/2,"")</f>
        <v/>
      </c>
      <c r="S19" s="420" t="str">
        <f>IF(COUNT(G19)=1,RANK(G19,($D$5:$D$29,$G$5:$G$29,$J$5:$J$29,$M$5:$M$29,$P$5:$P$29),1)+(COUNT(($D$5:$D$29,$G$5:$G$29,$J$5:$J$29,$M$5:$M$29,$P$5:$P$29))+1-RANK(G19,($D$5:$D$29,$G$5:$G$29,$J$5:$J$29,$M$5:$M$29,$P$5:$P$29),0)-RANK(G19,($D$5:$D$29,$G$5:$G$29,$J$5:$J$29,$M$5:$M$29,$P$5:$P$29),1))/2,"")</f>
        <v/>
      </c>
      <c r="T19" s="420" t="str">
        <f>IF(COUNT(J19)=1,RANK(J19,($D$5:$D$29,$G$5:$G$29,$J$5:$J$29,$M$5:$M$29,$P$5:$P$29),1)+(COUNT(($D$5:$D$29,$G$5:$G$29,$J$5:$J$29,$M$5:$M$29,$P$5:$P$29))+1-RANK(J19,($D$5:$D$29,$G$5:$G$29,$J$5:$J$29,$M$5:$M$29,$P$5:$P$29),0)-RANK(J19,($D$5:$D$29,$G$5:$G$29,$J$5:$J$29,$M$5:$M$29,$P$5:$P$29),1))/2,"")</f>
        <v/>
      </c>
      <c r="U19" s="420" t="str">
        <f>IF(COUNT(M19)=1,RANK(M19,($D$5:$D$29,$G$5:$G$29,$J$5:$J$29,$M$5:$M$29,$P$5:$P$29),1)+(COUNT(($D$5:$D$29,$G$5:$G$29,$J$5:$J$29,$M$5:$M$29,$P$5:$P$29))+1-RANK(M19,($D$5:$D$29,$G$5:$G$29,$J$5:$J$29,$M$5:$M$29,$P$5:$P$29),0)-RANK(M19,($D$5:$D$29,$G$5:$G$29,$J$5:$J$29,$M$5:$M$29,$P$5:$P$29),1))/2,"")</f>
        <v/>
      </c>
      <c r="V19" s="421" t="str">
        <f>IF(COUNT(P19)=1,RANK(P19,($D$5:$D$29,$G$5:$G$29,$J$5:$J$29,$M$5:$M$29,$P$5:$P$29),1)+(COUNT(($D$5:$D$29,$G$5:$G$29,$J$5:$J$29,$M$5:$M$29,$P$5:$P$29))+1-RANK(P19,($D$5:$D$29,$G$5:$G$29,$J$5:$J$29,$M$5:$M$29,$P$5:$P$29),0)-RANK(P19,($D$5:$D$29,$G$5:$G$29,$J$5:$J$29,$M$5:$M$29,$P$5:$P$29),1))/2,"")</f>
        <v/>
      </c>
      <c r="W19" s="79"/>
      <c r="X19" s="79"/>
      <c r="Y19" s="436" t="s">
        <v>273</v>
      </c>
      <c r="Z19" s="436" t="s">
        <v>274</v>
      </c>
      <c r="AA19" s="79"/>
      <c r="AB19" s="79"/>
    </row>
    <row r="20" spans="1:28" x14ac:dyDescent="0.2">
      <c r="A20" s="79"/>
      <c r="B20" s="79"/>
      <c r="C20" s="419" t="str">
        <f>IF(COUNTA(D20)=1,16,"")</f>
        <v/>
      </c>
      <c r="D20" s="402"/>
      <c r="E20" s="79"/>
      <c r="F20" s="419" t="str">
        <f>IF(COUNTA(G20)=1,16,"")</f>
        <v/>
      </c>
      <c r="G20" s="197"/>
      <c r="H20" s="79"/>
      <c r="I20" s="419" t="str">
        <f>IF(COUNTA(J20)=1,16,"")</f>
        <v/>
      </c>
      <c r="J20" s="197"/>
      <c r="K20" s="79"/>
      <c r="L20" s="419" t="str">
        <f>IF(COUNTA(M20)=1,16,"")</f>
        <v/>
      </c>
      <c r="M20" s="197"/>
      <c r="N20" s="79"/>
      <c r="O20" s="419" t="str">
        <f>IF(COUNTA(P20)=1,16,"")</f>
        <v/>
      </c>
      <c r="P20" s="197"/>
      <c r="Q20" s="79"/>
      <c r="R20" s="420" t="str">
        <f>IF(COUNT(D20)=1,RANK(D20,($D$5:$D$29,$G$5:$G$29,$J$5:$J$29,$M$5:$M$29,$P$5:$P$29),1)+(COUNT(($D$5:$D$29,$G$5:$G$29,$J$5:$J$29,$M$5:$M$29,$P$5:$P$29))+1-RANK(D20,($D$5:$D$29,$G$5:$G$29,$J$5:$J$29,$M$5:$M$29,$P$5:$P$29),0)-RANK(D20,($D$5:$D$29,$G$5:$G$29,$J$5:$J$29,$M$5:$M$29,$P$5:$P$29),1))/2,"")</f>
        <v/>
      </c>
      <c r="S20" s="420" t="str">
        <f>IF(COUNT(G20)=1,RANK(G20,($D$5:$D$29,$G$5:$G$29,$J$5:$J$29,$M$5:$M$29,$P$5:$P$29),1)+(COUNT(($D$5:$D$29,$G$5:$G$29,$J$5:$J$29,$M$5:$M$29,$P$5:$P$29))+1-RANK(G20,($D$5:$D$29,$G$5:$G$29,$J$5:$J$29,$M$5:$M$29,$P$5:$P$29),0)-RANK(G20,($D$5:$D$29,$G$5:$G$29,$J$5:$J$29,$M$5:$M$29,$P$5:$P$29),1))/2,"")</f>
        <v/>
      </c>
      <c r="T20" s="420" t="str">
        <f>IF(COUNT(J20)=1,RANK(J20,($D$5:$D$29,$G$5:$G$29,$J$5:$J$29,$M$5:$M$29,$P$5:$P$29),1)+(COUNT(($D$5:$D$29,$G$5:$G$29,$J$5:$J$29,$M$5:$M$29,$P$5:$P$29))+1-RANK(J20,($D$5:$D$29,$G$5:$G$29,$J$5:$J$29,$M$5:$M$29,$P$5:$P$29),0)-RANK(J20,($D$5:$D$29,$G$5:$G$29,$J$5:$J$29,$M$5:$M$29,$P$5:$P$29),1))/2,"")</f>
        <v/>
      </c>
      <c r="U20" s="420" t="str">
        <f>IF(COUNT(M20)=1,RANK(M20,($D$5:$D$29,$G$5:$G$29,$J$5:$J$29,$M$5:$M$29,$P$5:$P$29),1)+(COUNT(($D$5:$D$29,$G$5:$G$29,$J$5:$J$29,$M$5:$M$29,$P$5:$P$29))+1-RANK(M20,($D$5:$D$29,$G$5:$G$29,$J$5:$J$29,$M$5:$M$29,$P$5:$P$29),0)-RANK(M20,($D$5:$D$29,$G$5:$G$29,$J$5:$J$29,$M$5:$M$29,$P$5:$P$29),1))/2,"")</f>
        <v/>
      </c>
      <c r="V20" s="421" t="str">
        <f>IF(COUNT(P20)=1,RANK(P20,($D$5:$D$29,$G$5:$G$29,$J$5:$J$29,$M$5:$M$29,$P$5:$P$29),1)+(COUNT(($D$5:$D$29,$G$5:$G$29,$J$5:$J$29,$M$5:$M$29,$P$5:$P$29))+1-RANK(P20,($D$5:$D$29,$G$5:$G$29,$J$5:$J$29,$M$5:$M$29,$P$5:$P$29),0)-RANK(P20,($D$5:$D$29,$G$5:$G$29,$J$5:$J$29,$M$5:$M$29,$P$5:$P$29),1))/2,"")</f>
        <v/>
      </c>
      <c r="W20" s="79"/>
      <c r="X20" s="437" t="s">
        <v>275</v>
      </c>
      <c r="Y20" s="438">
        <f>IF(ABS(Z8)&gt;Z11,IF(COUNT(D5:D29)&gt;0,IF(COUNT(G5:G29)&gt;0,ABS(R36-S36),"")),"")</f>
        <v>1.1666666666666661</v>
      </c>
      <c r="Z20" s="181">
        <f>IF(ABS(Z8)&gt;Z11,IF(COUNT(Y20)&gt;0,ABS(NORMSINV($Z$10/($Z$7*($Z$7-1))))*SQRT($Z$6*($Z$6+1)/12)*SQRT(1/D31+1/G31),""),"")</f>
        <v>10.770640217007356</v>
      </c>
      <c r="AA20" s="439" t="str">
        <f>IF(Y20&gt;Z20,"*","")</f>
        <v/>
      </c>
      <c r="AB20" s="79"/>
    </row>
    <row r="21" spans="1:28" x14ac:dyDescent="0.2">
      <c r="A21" s="79"/>
      <c r="B21" s="79"/>
      <c r="C21" s="419" t="str">
        <f>IF(COUNTA(D21)=1,17,"")</f>
        <v/>
      </c>
      <c r="D21" s="402"/>
      <c r="E21" s="79"/>
      <c r="F21" s="419" t="str">
        <f>IF(COUNTA(G21)=1,17,"")</f>
        <v/>
      </c>
      <c r="G21" s="197"/>
      <c r="H21" s="79"/>
      <c r="I21" s="419" t="str">
        <f>IF(COUNTA(J21)=1,17,"")</f>
        <v/>
      </c>
      <c r="J21" s="197"/>
      <c r="K21" s="79"/>
      <c r="L21" s="419" t="str">
        <f>IF(COUNTA(M21)=1,17,"")</f>
        <v/>
      </c>
      <c r="M21" s="197"/>
      <c r="N21" s="79"/>
      <c r="O21" s="419" t="str">
        <f>IF(COUNTA(P21)=1,17,"")</f>
        <v/>
      </c>
      <c r="P21" s="197"/>
      <c r="Q21" s="79"/>
      <c r="R21" s="420" t="str">
        <f>IF(COUNT(D21)=1,RANK(D21,($D$5:$D$29,$G$5:$G$29,$J$5:$J$29,$M$5:$M$29,$P$5:$P$29),1)+(COUNT(($D$5:$D$29,$G$5:$G$29,$J$5:$J$29,$M$5:$M$29,$P$5:$P$29))+1-RANK(D21,($D$5:$D$29,$G$5:$G$29,$J$5:$J$29,$M$5:$M$29,$P$5:$P$29),0)-RANK(D21,($D$5:$D$29,$G$5:$G$29,$J$5:$J$29,$M$5:$M$29,$P$5:$P$29),1))/2,"")</f>
        <v/>
      </c>
      <c r="S21" s="420" t="str">
        <f>IF(COUNT(G21)=1,RANK(G21,($D$5:$D$29,$G$5:$G$29,$J$5:$J$29,$M$5:$M$29,$P$5:$P$29),1)+(COUNT(($D$5:$D$29,$G$5:$G$29,$J$5:$J$29,$M$5:$M$29,$P$5:$P$29))+1-RANK(G21,($D$5:$D$29,$G$5:$G$29,$J$5:$J$29,$M$5:$M$29,$P$5:$P$29),0)-RANK(G21,($D$5:$D$29,$G$5:$G$29,$J$5:$J$29,$M$5:$M$29,$P$5:$P$29),1))/2,"")</f>
        <v/>
      </c>
      <c r="T21" s="420" t="str">
        <f>IF(COUNT(J21)=1,RANK(J21,($D$5:$D$29,$G$5:$G$29,$J$5:$J$29,$M$5:$M$29,$P$5:$P$29),1)+(COUNT(($D$5:$D$29,$G$5:$G$29,$J$5:$J$29,$M$5:$M$29,$P$5:$P$29))+1-RANK(J21,($D$5:$D$29,$G$5:$G$29,$J$5:$J$29,$M$5:$M$29,$P$5:$P$29),0)-RANK(J21,($D$5:$D$29,$G$5:$G$29,$J$5:$J$29,$M$5:$M$29,$P$5:$P$29),1))/2,"")</f>
        <v/>
      </c>
      <c r="U21" s="420" t="str">
        <f>IF(COUNT(M21)=1,RANK(M21,($D$5:$D$29,$G$5:$G$29,$J$5:$J$29,$M$5:$M$29,$P$5:$P$29),1)+(COUNT(($D$5:$D$29,$G$5:$G$29,$J$5:$J$29,$M$5:$M$29,$P$5:$P$29))+1-RANK(M21,($D$5:$D$29,$G$5:$G$29,$J$5:$J$29,$M$5:$M$29,$P$5:$P$29),0)-RANK(M21,($D$5:$D$29,$G$5:$G$29,$J$5:$J$29,$M$5:$M$29,$P$5:$P$29),1))/2,"")</f>
        <v/>
      </c>
      <c r="V21" s="421" t="str">
        <f>IF(COUNT(P21)=1,RANK(P21,($D$5:$D$29,$G$5:$G$29,$J$5:$J$29,$M$5:$M$29,$P$5:$P$29),1)+(COUNT(($D$5:$D$29,$G$5:$G$29,$J$5:$J$29,$M$5:$M$29,$P$5:$P$29))+1-RANK(P21,($D$5:$D$29,$G$5:$G$29,$J$5:$J$29,$M$5:$M$29,$P$5:$P$29),0)-RANK(P21,($D$5:$D$29,$G$5:$G$29,$J$5:$J$29,$M$5:$M$29,$P$5:$P$29),1))/2,"")</f>
        <v/>
      </c>
      <c r="W21" s="79"/>
      <c r="X21" s="440" t="s">
        <v>276</v>
      </c>
      <c r="Y21" s="441">
        <f>IF(ABS(Z8)&gt;Z11,IF(COUNT(D5:D29)&gt;0,IF(COUNT(J5:J29)&gt;0,ABS(R36-T36),"")),"")</f>
        <v>0.16666666666666785</v>
      </c>
      <c r="Z21" s="184">
        <f>IF(ABS(Z8)&gt;Z11,IF(COUNT(Y21)&gt;0,ABS(NORMSINV($Z$10/($Z$7*($Z$7-1))))*SQRT($Z$6*($Z$6+1)/12)*SQRT(1/D31+1/J31),""),"")</f>
        <v>10.770640217007356</v>
      </c>
      <c r="AA21" s="442" t="str">
        <f t="shared" ref="AA21:AA29" si="0">IF(Y21&gt;Z21,"*","")</f>
        <v/>
      </c>
      <c r="AB21" s="79"/>
    </row>
    <row r="22" spans="1:28" x14ac:dyDescent="0.2">
      <c r="A22" s="79"/>
      <c r="B22" s="79"/>
      <c r="C22" s="419" t="str">
        <f>IF(COUNTA(D22)=1,18,"")</f>
        <v/>
      </c>
      <c r="D22" s="402"/>
      <c r="E22" s="79"/>
      <c r="F22" s="419" t="str">
        <f>IF(COUNTA(G22)=1,18,"")</f>
        <v/>
      </c>
      <c r="G22" s="197"/>
      <c r="H22" s="79"/>
      <c r="I22" s="419" t="str">
        <f>IF(COUNTA(J22)=1,18,"")</f>
        <v/>
      </c>
      <c r="J22" s="197"/>
      <c r="K22" s="79"/>
      <c r="L22" s="419" t="str">
        <f>IF(COUNTA(M22)=1,18,"")</f>
        <v/>
      </c>
      <c r="M22" s="197"/>
      <c r="N22" s="79"/>
      <c r="O22" s="419" t="str">
        <f>IF(COUNTA(P22)=1,18,"")</f>
        <v/>
      </c>
      <c r="P22" s="197"/>
      <c r="Q22" s="79"/>
      <c r="R22" s="420" t="str">
        <f>IF(COUNT(D22)=1,RANK(D22,($D$5:$D$29,$G$5:$G$29,$J$5:$J$29,$M$5:$M$29,$P$5:$P$29),1)+(COUNT(($D$5:$D$29,$G$5:$G$29,$J$5:$J$29,$M$5:$M$29,$P$5:$P$29))+1-RANK(D22,($D$5:$D$29,$G$5:$G$29,$J$5:$J$29,$M$5:$M$29,$P$5:$P$29),0)-RANK(D22,($D$5:$D$29,$G$5:$G$29,$J$5:$J$29,$M$5:$M$29,$P$5:$P$29),1))/2,"")</f>
        <v/>
      </c>
      <c r="S22" s="420" t="str">
        <f>IF(COUNT(G22)=1,RANK(G22,($D$5:$D$29,$G$5:$G$29,$J$5:$J$29,$M$5:$M$29,$P$5:$P$29),1)+(COUNT(($D$5:$D$29,$G$5:$G$29,$J$5:$J$29,$M$5:$M$29,$P$5:$P$29))+1-RANK(G22,($D$5:$D$29,$G$5:$G$29,$J$5:$J$29,$M$5:$M$29,$P$5:$P$29),0)-RANK(G22,($D$5:$D$29,$G$5:$G$29,$J$5:$J$29,$M$5:$M$29,$P$5:$P$29),1))/2,"")</f>
        <v/>
      </c>
      <c r="T22" s="420" t="str">
        <f>IF(COUNT(J22)=1,RANK(J22,($D$5:$D$29,$G$5:$G$29,$J$5:$J$29,$M$5:$M$29,$P$5:$P$29),1)+(COUNT(($D$5:$D$29,$G$5:$G$29,$J$5:$J$29,$M$5:$M$29,$P$5:$P$29))+1-RANK(J22,($D$5:$D$29,$G$5:$G$29,$J$5:$J$29,$M$5:$M$29,$P$5:$P$29),0)-RANK(J22,($D$5:$D$29,$G$5:$G$29,$J$5:$J$29,$M$5:$M$29,$P$5:$P$29),1))/2,"")</f>
        <v/>
      </c>
      <c r="U22" s="420" t="str">
        <f>IF(COUNT(M22)=1,RANK(M22,($D$5:$D$29,$G$5:$G$29,$J$5:$J$29,$M$5:$M$29,$P$5:$P$29),1)+(COUNT(($D$5:$D$29,$G$5:$G$29,$J$5:$J$29,$M$5:$M$29,$P$5:$P$29))+1-RANK(M22,($D$5:$D$29,$G$5:$G$29,$J$5:$J$29,$M$5:$M$29,$P$5:$P$29),0)-RANK(M22,($D$5:$D$29,$G$5:$G$29,$J$5:$J$29,$M$5:$M$29,$P$5:$P$29),1))/2,"")</f>
        <v/>
      </c>
      <c r="V22" s="421" t="str">
        <f>IF(COUNT(P22)=1,RANK(P22,($D$5:$D$29,$G$5:$G$29,$J$5:$J$29,$M$5:$M$29,$P$5:$P$29),1)+(COUNT(($D$5:$D$29,$G$5:$G$29,$J$5:$J$29,$M$5:$M$29,$P$5:$P$29))+1-RANK(P22,($D$5:$D$29,$G$5:$G$29,$J$5:$J$29,$M$5:$M$29,$P$5:$P$29),0)-RANK(P22,($D$5:$D$29,$G$5:$G$29,$J$5:$J$29,$M$5:$M$29,$P$5:$P$29),1))/2,"")</f>
        <v/>
      </c>
      <c r="W22" s="79"/>
      <c r="X22" s="440" t="s">
        <v>277</v>
      </c>
      <c r="Y22" s="441">
        <f>IF(ABS(Z8)&gt;Z11,IF(COUNT(D5:D29)&gt;0,IF(COUNT(M5:M29)&gt;0,ABS(R36-U36),"")),"")</f>
        <v>10.333333333333334</v>
      </c>
      <c r="Z22" s="184">
        <f>IF(ABS(Z8)&gt;Z11,IF(COUNT(Y22)&gt;0,ABS(NORMSINV($Z$10/($Z$7*($Z$7-1))))*SQRT($Z$6*($Z$6+1)/12)*SQRT(1/D31+1/M31),""),"")</f>
        <v>10.770640217007356</v>
      </c>
      <c r="AA22" s="442" t="str">
        <f t="shared" si="0"/>
        <v/>
      </c>
      <c r="AB22" s="79"/>
    </row>
    <row r="23" spans="1:28" x14ac:dyDescent="0.2">
      <c r="A23" s="79"/>
      <c r="B23" s="79"/>
      <c r="C23" s="419" t="str">
        <f>IF(COUNTA(D23)=1,19,"")</f>
        <v/>
      </c>
      <c r="D23" s="402"/>
      <c r="E23" s="79"/>
      <c r="F23" s="419" t="str">
        <f>IF(COUNTA(G23)=1,19,"")</f>
        <v/>
      </c>
      <c r="G23" s="197"/>
      <c r="H23" s="79"/>
      <c r="I23" s="419" t="str">
        <f>IF(COUNTA(J23)=1,19,"")</f>
        <v/>
      </c>
      <c r="J23" s="197"/>
      <c r="K23" s="79"/>
      <c r="L23" s="419" t="str">
        <f>IF(COUNTA(M23)=1,19,"")</f>
        <v/>
      </c>
      <c r="M23" s="197"/>
      <c r="N23" s="79"/>
      <c r="O23" s="419" t="str">
        <f>IF(COUNTA(P23)=1,19,"")</f>
        <v/>
      </c>
      <c r="P23" s="197"/>
      <c r="Q23" s="79"/>
      <c r="R23" s="420" t="str">
        <f>IF(COUNT(D23)=1,RANK(D23,($D$5:$D$29,$G$5:$G$29,$J$5:$J$29,$M$5:$M$29,$P$5:$P$29),1)+(COUNT(($D$5:$D$29,$G$5:$G$29,$J$5:$J$29,$M$5:$M$29,$P$5:$P$29))+1-RANK(D23,($D$5:$D$29,$G$5:$G$29,$J$5:$J$29,$M$5:$M$29,$P$5:$P$29),0)-RANK(D23,($D$5:$D$29,$G$5:$G$29,$J$5:$J$29,$M$5:$M$29,$P$5:$P$29),1))/2,"")</f>
        <v/>
      </c>
      <c r="S23" s="420" t="str">
        <f>IF(COUNT(G23)=1,RANK(G23,($D$5:$D$29,$G$5:$G$29,$J$5:$J$29,$M$5:$M$29,$P$5:$P$29),1)+(COUNT(($D$5:$D$29,$G$5:$G$29,$J$5:$J$29,$M$5:$M$29,$P$5:$P$29))+1-RANK(G23,($D$5:$D$29,$G$5:$G$29,$J$5:$J$29,$M$5:$M$29,$P$5:$P$29),0)-RANK(G23,($D$5:$D$29,$G$5:$G$29,$J$5:$J$29,$M$5:$M$29,$P$5:$P$29),1))/2,"")</f>
        <v/>
      </c>
      <c r="T23" s="420" t="str">
        <f>IF(COUNT(J23)=1,RANK(J23,($D$5:$D$29,$G$5:$G$29,$J$5:$J$29,$M$5:$M$29,$P$5:$P$29),1)+(COUNT(($D$5:$D$29,$G$5:$G$29,$J$5:$J$29,$M$5:$M$29,$P$5:$P$29))+1-RANK(J23,($D$5:$D$29,$G$5:$G$29,$J$5:$J$29,$M$5:$M$29,$P$5:$P$29),0)-RANK(J23,($D$5:$D$29,$G$5:$G$29,$J$5:$J$29,$M$5:$M$29,$P$5:$P$29),1))/2,"")</f>
        <v/>
      </c>
      <c r="U23" s="420" t="str">
        <f>IF(COUNT(M23)=1,RANK(M23,($D$5:$D$29,$G$5:$G$29,$J$5:$J$29,$M$5:$M$29,$P$5:$P$29),1)+(COUNT(($D$5:$D$29,$G$5:$G$29,$J$5:$J$29,$M$5:$M$29,$P$5:$P$29))+1-RANK(M23,($D$5:$D$29,$G$5:$G$29,$J$5:$J$29,$M$5:$M$29,$P$5:$P$29),0)-RANK(M23,($D$5:$D$29,$G$5:$G$29,$J$5:$J$29,$M$5:$M$29,$P$5:$P$29),1))/2,"")</f>
        <v/>
      </c>
      <c r="V23" s="421" t="str">
        <f>IF(COUNT(P23)=1,RANK(P23,($D$5:$D$29,$G$5:$G$29,$J$5:$J$29,$M$5:$M$29,$P$5:$P$29),1)+(COUNT(($D$5:$D$29,$G$5:$G$29,$J$5:$J$29,$M$5:$M$29,$P$5:$P$29))+1-RANK(P23,($D$5:$D$29,$G$5:$G$29,$J$5:$J$29,$M$5:$M$29,$P$5:$P$29),0)-RANK(P23,($D$5:$D$29,$G$5:$G$29,$J$5:$J$29,$M$5:$M$29,$P$5:$P$29),1))/2,"")</f>
        <v/>
      </c>
      <c r="W23" s="79"/>
      <c r="X23" s="440" t="s">
        <v>278</v>
      </c>
      <c r="Y23" s="441" t="str">
        <f>IF(ABS(Z8)&gt;Z11,IF(COUNT(D5:D29)&gt;0,IF(COUNT(P5:P29)&gt;0,ABS(R36-V36),"")),"")</f>
        <v/>
      </c>
      <c r="Z23" s="184" t="str">
        <f>IF(ABS(Z8)&gt;Z11,IF(COUNT(Y23)&gt;0,ABS(NORMSINV($Z$10/($Z$7*($Z$7-1))))*SQRT($Z$6*($Z$6+1)/12)*SQRT(1/D31+1/P31),""),"")</f>
        <v/>
      </c>
      <c r="AA23" s="442" t="str">
        <f t="shared" si="0"/>
        <v/>
      </c>
      <c r="AB23" s="79"/>
    </row>
    <row r="24" spans="1:28" x14ac:dyDescent="0.2">
      <c r="A24" s="79"/>
      <c r="B24" s="79"/>
      <c r="C24" s="419" t="str">
        <f>IF(COUNTA(D24)=1,20,"")</f>
        <v/>
      </c>
      <c r="D24" s="402"/>
      <c r="E24" s="79"/>
      <c r="F24" s="419" t="str">
        <f>IF(COUNTA(G24)=1,20,"")</f>
        <v/>
      </c>
      <c r="G24" s="197"/>
      <c r="H24" s="79"/>
      <c r="I24" s="419" t="str">
        <f>IF(COUNTA(J24)=1,20,"")</f>
        <v/>
      </c>
      <c r="J24" s="197"/>
      <c r="K24" s="79"/>
      <c r="L24" s="419" t="str">
        <f>IF(COUNTA(M24)=1,20,"")</f>
        <v/>
      </c>
      <c r="M24" s="197"/>
      <c r="N24" s="79"/>
      <c r="O24" s="419" t="str">
        <f>IF(COUNTA(P24)=1,20,"")</f>
        <v/>
      </c>
      <c r="P24" s="197"/>
      <c r="Q24" s="79"/>
      <c r="R24" s="420" t="str">
        <f>IF(COUNT(D24)=1,RANK(D24,($D$5:$D$29,$G$5:$G$29,$J$5:$J$29,$M$5:$M$29,$P$5:$P$29),1)+(COUNT(($D$5:$D$29,$G$5:$G$29,$J$5:$J$29,$M$5:$M$29,$P$5:$P$29))+1-RANK(D24,($D$5:$D$29,$G$5:$G$29,$J$5:$J$29,$M$5:$M$29,$P$5:$P$29),0)-RANK(D24,($D$5:$D$29,$G$5:$G$29,$J$5:$J$29,$M$5:$M$29,$P$5:$P$29),1))/2,"")</f>
        <v/>
      </c>
      <c r="S24" s="420" t="str">
        <f>IF(COUNT(G24)=1,RANK(G24,($D$5:$D$29,$G$5:$G$29,$J$5:$J$29,$M$5:$M$29,$P$5:$P$29),1)+(COUNT(($D$5:$D$29,$G$5:$G$29,$J$5:$J$29,$M$5:$M$29,$P$5:$P$29))+1-RANK(G24,($D$5:$D$29,$G$5:$G$29,$J$5:$J$29,$M$5:$M$29,$P$5:$P$29),0)-RANK(G24,($D$5:$D$29,$G$5:$G$29,$J$5:$J$29,$M$5:$M$29,$P$5:$P$29),1))/2,"")</f>
        <v/>
      </c>
      <c r="T24" s="420" t="str">
        <f>IF(COUNT(J24)=1,RANK(J24,($D$5:$D$29,$G$5:$G$29,$J$5:$J$29,$M$5:$M$29,$P$5:$P$29),1)+(COUNT(($D$5:$D$29,$G$5:$G$29,$J$5:$J$29,$M$5:$M$29,$P$5:$P$29))+1-RANK(J24,($D$5:$D$29,$G$5:$G$29,$J$5:$J$29,$M$5:$M$29,$P$5:$P$29),0)-RANK(J24,($D$5:$D$29,$G$5:$G$29,$J$5:$J$29,$M$5:$M$29,$P$5:$P$29),1))/2,"")</f>
        <v/>
      </c>
      <c r="U24" s="420" t="str">
        <f>IF(COUNT(M24)=1,RANK(M24,($D$5:$D$29,$G$5:$G$29,$J$5:$J$29,$M$5:$M$29,$P$5:$P$29),1)+(COUNT(($D$5:$D$29,$G$5:$G$29,$J$5:$J$29,$M$5:$M$29,$P$5:$P$29))+1-RANK(M24,($D$5:$D$29,$G$5:$G$29,$J$5:$J$29,$M$5:$M$29,$P$5:$P$29),0)-RANK(M24,($D$5:$D$29,$G$5:$G$29,$J$5:$J$29,$M$5:$M$29,$P$5:$P$29),1))/2,"")</f>
        <v/>
      </c>
      <c r="V24" s="421" t="str">
        <f>IF(COUNT(P24)=1,RANK(P24,($D$5:$D$29,$G$5:$G$29,$J$5:$J$29,$M$5:$M$29,$P$5:$P$29),1)+(COUNT(($D$5:$D$29,$G$5:$G$29,$J$5:$J$29,$M$5:$M$29,$P$5:$P$29))+1-RANK(P24,($D$5:$D$29,$G$5:$G$29,$J$5:$J$29,$M$5:$M$29,$P$5:$P$29),0)-RANK(P24,($D$5:$D$29,$G$5:$G$29,$J$5:$J$29,$M$5:$M$29,$P$5:$P$29),1))/2,"")</f>
        <v/>
      </c>
      <c r="W24" s="79"/>
      <c r="X24" s="440" t="s">
        <v>279</v>
      </c>
      <c r="Y24" s="441">
        <f>IF(ABS(Z8)&gt;Z11,IF(COUNT(G5:G29)&gt;0,IF(COUNT(J5:J29)&gt;0,ABS(S36-T36),"")),"")</f>
        <v>1.3333333333333339</v>
      </c>
      <c r="Z24" s="184">
        <f>IF(ABS(Z8)&gt;Z11,IF(COUNT(Y24)&gt;0,ABS(NORMSINV($Z$10/($Z$7*($Z$7-1))))*SQRT($Z$6*($Z$6+1)/12)*SQRT(1/G31+1/J31),""),"")</f>
        <v>10.770640217007356</v>
      </c>
      <c r="AA24" s="442" t="str">
        <f t="shared" si="0"/>
        <v/>
      </c>
      <c r="AB24" s="79"/>
    </row>
    <row r="25" spans="1:28" x14ac:dyDescent="0.2">
      <c r="A25" s="79"/>
      <c r="B25" s="79"/>
      <c r="C25" s="419" t="str">
        <f>IF(COUNTA(D25)=1,21,"")</f>
        <v/>
      </c>
      <c r="D25" s="402"/>
      <c r="E25" s="79"/>
      <c r="F25" s="419" t="str">
        <f>IF(COUNTA(G25)=1,21,"")</f>
        <v/>
      </c>
      <c r="G25" s="197"/>
      <c r="H25" s="79"/>
      <c r="I25" s="419" t="str">
        <f>IF(COUNTA(J25)=1,21,"")</f>
        <v/>
      </c>
      <c r="J25" s="197"/>
      <c r="K25" s="79"/>
      <c r="L25" s="419" t="str">
        <f>IF(COUNTA(M25)=1,21,"")</f>
        <v/>
      </c>
      <c r="M25" s="197"/>
      <c r="N25" s="79"/>
      <c r="O25" s="419" t="str">
        <f>IF(COUNTA(P25)=1,21,"")</f>
        <v/>
      </c>
      <c r="P25" s="197"/>
      <c r="Q25" s="79"/>
      <c r="R25" s="420" t="str">
        <f>IF(COUNT(D25)=1,RANK(D25,($D$5:$D$29,$G$5:$G$29,$J$5:$J$29,$M$5:$M$29,$P$5:$P$29),1)+(COUNT(($D$5:$D$29,$G$5:$G$29,$J$5:$J$29,$M$5:$M$29,$P$5:$P$29))+1-RANK(D25,($D$5:$D$29,$G$5:$G$29,$J$5:$J$29,$M$5:$M$29,$P$5:$P$29),0)-RANK(D25,($D$5:$D$29,$G$5:$G$29,$J$5:$J$29,$M$5:$M$29,$P$5:$P$29),1))/2,"")</f>
        <v/>
      </c>
      <c r="S25" s="420" t="str">
        <f>IF(COUNT(G25)=1,RANK(G25,($D$5:$D$29,$G$5:$G$29,$J$5:$J$29,$M$5:$M$29,$P$5:$P$29),1)+(COUNT(($D$5:$D$29,$G$5:$G$29,$J$5:$J$29,$M$5:$M$29,$P$5:$P$29))+1-RANK(G25,($D$5:$D$29,$G$5:$G$29,$J$5:$J$29,$M$5:$M$29,$P$5:$P$29),0)-RANK(G25,($D$5:$D$29,$G$5:$G$29,$J$5:$J$29,$M$5:$M$29,$P$5:$P$29),1))/2,"")</f>
        <v/>
      </c>
      <c r="T25" s="420" t="str">
        <f>IF(COUNT(J25)=1,RANK(J25,($D$5:$D$29,$G$5:$G$29,$J$5:$J$29,$M$5:$M$29,$P$5:$P$29),1)+(COUNT(($D$5:$D$29,$G$5:$G$29,$J$5:$J$29,$M$5:$M$29,$P$5:$P$29))+1-RANK(J25,($D$5:$D$29,$G$5:$G$29,$J$5:$J$29,$M$5:$M$29,$P$5:$P$29),0)-RANK(J25,($D$5:$D$29,$G$5:$G$29,$J$5:$J$29,$M$5:$M$29,$P$5:$P$29),1))/2,"")</f>
        <v/>
      </c>
      <c r="U25" s="420" t="str">
        <f>IF(COUNT(M25)=1,RANK(M25,($D$5:$D$29,$G$5:$G$29,$J$5:$J$29,$M$5:$M$29,$P$5:$P$29),1)+(COUNT(($D$5:$D$29,$G$5:$G$29,$J$5:$J$29,$M$5:$M$29,$P$5:$P$29))+1-RANK(M25,($D$5:$D$29,$G$5:$G$29,$J$5:$J$29,$M$5:$M$29,$P$5:$P$29),0)-RANK(M25,($D$5:$D$29,$G$5:$G$29,$J$5:$J$29,$M$5:$M$29,$P$5:$P$29),1))/2,"")</f>
        <v/>
      </c>
      <c r="V25" s="421" t="str">
        <f>IF(COUNT(P25)=1,RANK(P25,($D$5:$D$29,$G$5:$G$29,$J$5:$J$29,$M$5:$M$29,$P$5:$P$29),1)+(COUNT(($D$5:$D$29,$G$5:$G$29,$J$5:$J$29,$M$5:$M$29,$P$5:$P$29))+1-RANK(P25,($D$5:$D$29,$G$5:$G$29,$J$5:$J$29,$M$5:$M$29,$P$5:$P$29),0)-RANK(P25,($D$5:$D$29,$G$5:$G$29,$J$5:$J$29,$M$5:$M$29,$P$5:$P$29),1))/2,"")</f>
        <v/>
      </c>
      <c r="W25" s="79"/>
      <c r="X25" s="440" t="s">
        <v>280</v>
      </c>
      <c r="Y25" s="441">
        <f>IF(ABS(Z8)&gt;Z11,IF(COUNT(G5:G29)&gt;0,IF(COUNT(M5:M29)&gt;0,ABS(S36-U36),"")),"")</f>
        <v>11.5</v>
      </c>
      <c r="Z25" s="184">
        <f>IF(ABS(Z8)&gt;Z11,IF(COUNT(Y25)&gt;0,ABS(NORMSINV($Z$10/($Z$7*($Z$7-1))))*SQRT($Z$6*($Z$6+1)/12)*SQRT(1/G31+1/M31),""),"")</f>
        <v>10.770640217007356</v>
      </c>
      <c r="AA25" s="442" t="str">
        <f t="shared" si="0"/>
        <v>*</v>
      </c>
      <c r="AB25" s="79"/>
    </row>
    <row r="26" spans="1:28" x14ac:dyDescent="0.2">
      <c r="A26" s="79"/>
      <c r="B26" s="79"/>
      <c r="C26" s="419" t="str">
        <f>IF(COUNTA(D26)=1,22,"")</f>
        <v/>
      </c>
      <c r="D26" s="402"/>
      <c r="E26" s="79"/>
      <c r="F26" s="419" t="str">
        <f>IF(COUNTA(G26)=1,22,"")</f>
        <v/>
      </c>
      <c r="G26" s="197"/>
      <c r="H26" s="79"/>
      <c r="I26" s="419" t="str">
        <f>IF(COUNTA(J26)=1,22,"")</f>
        <v/>
      </c>
      <c r="J26" s="197"/>
      <c r="K26" s="79"/>
      <c r="L26" s="419" t="str">
        <f>IF(COUNTA(M26)=1,22,"")</f>
        <v/>
      </c>
      <c r="M26" s="197"/>
      <c r="N26" s="79"/>
      <c r="O26" s="419" t="str">
        <f>IF(COUNTA(P26)=1,22,"")</f>
        <v/>
      </c>
      <c r="P26" s="197"/>
      <c r="Q26" s="79"/>
      <c r="R26" s="420" t="str">
        <f>IF(COUNT(D26)=1,RANK(D26,($D$5:$D$29,$G$5:$G$29,$J$5:$J$29,$M$5:$M$29,$P$5:$P$29),1)+(COUNT(($D$5:$D$29,$G$5:$G$29,$J$5:$J$29,$M$5:$M$29,$P$5:$P$29))+1-RANK(D26,($D$5:$D$29,$G$5:$G$29,$J$5:$J$29,$M$5:$M$29,$P$5:$P$29),0)-RANK(D26,($D$5:$D$29,$G$5:$G$29,$J$5:$J$29,$M$5:$M$29,$P$5:$P$29),1))/2,"")</f>
        <v/>
      </c>
      <c r="S26" s="420" t="str">
        <f>IF(COUNT(G26)=1,RANK(G26,($D$5:$D$29,$G$5:$G$29,$J$5:$J$29,$M$5:$M$29,$P$5:$P$29),1)+(COUNT(($D$5:$D$29,$G$5:$G$29,$J$5:$J$29,$M$5:$M$29,$P$5:$P$29))+1-RANK(G26,($D$5:$D$29,$G$5:$G$29,$J$5:$J$29,$M$5:$M$29,$P$5:$P$29),0)-RANK(G26,($D$5:$D$29,$G$5:$G$29,$J$5:$J$29,$M$5:$M$29,$P$5:$P$29),1))/2,"")</f>
        <v/>
      </c>
      <c r="T26" s="420" t="str">
        <f>IF(COUNT(J26)=1,RANK(J26,($D$5:$D$29,$G$5:$G$29,$J$5:$J$29,$M$5:$M$29,$P$5:$P$29),1)+(COUNT(($D$5:$D$29,$G$5:$G$29,$J$5:$J$29,$M$5:$M$29,$P$5:$P$29))+1-RANK(J26,($D$5:$D$29,$G$5:$G$29,$J$5:$J$29,$M$5:$M$29,$P$5:$P$29),0)-RANK(J26,($D$5:$D$29,$G$5:$G$29,$J$5:$J$29,$M$5:$M$29,$P$5:$P$29),1))/2,"")</f>
        <v/>
      </c>
      <c r="U26" s="420" t="str">
        <f>IF(COUNT(M26)=1,RANK(M26,($D$5:$D$29,$G$5:$G$29,$J$5:$J$29,$M$5:$M$29,$P$5:$P$29),1)+(COUNT(($D$5:$D$29,$G$5:$G$29,$J$5:$J$29,$M$5:$M$29,$P$5:$P$29))+1-RANK(M26,($D$5:$D$29,$G$5:$G$29,$J$5:$J$29,$M$5:$M$29,$P$5:$P$29),0)-RANK(M26,($D$5:$D$29,$G$5:$G$29,$J$5:$J$29,$M$5:$M$29,$P$5:$P$29),1))/2,"")</f>
        <v/>
      </c>
      <c r="V26" s="421" t="str">
        <f>IF(COUNT(P26)=1,RANK(P26,($D$5:$D$29,$G$5:$G$29,$J$5:$J$29,$M$5:$M$29,$P$5:$P$29),1)+(COUNT(($D$5:$D$29,$G$5:$G$29,$J$5:$J$29,$M$5:$M$29,$P$5:$P$29))+1-RANK(P26,($D$5:$D$29,$G$5:$G$29,$J$5:$J$29,$M$5:$M$29,$P$5:$P$29),0)-RANK(P26,($D$5:$D$29,$G$5:$G$29,$J$5:$J$29,$M$5:$M$29,$P$5:$P$29),1))/2,"")</f>
        <v/>
      </c>
      <c r="W26" s="79"/>
      <c r="X26" s="440" t="s">
        <v>281</v>
      </c>
      <c r="Y26" s="441" t="str">
        <f>IF(ABS(Z8)&gt;Z11,IF(COUNT(G5:G29)&gt;0,IF(COUNT(P5:P29)&gt;0,ABS(S36-V36),"")),"")</f>
        <v/>
      </c>
      <c r="Z26" s="184" t="str">
        <f>IF(ABS(Z8)&gt;Z11,IF(COUNT(Y26)&gt;0,ABS(NORMSINV($Z$10/($Z$7*($Z$7-1))))*SQRT($Z$6*($Z$6+1)/12)*SQRT(1/G31+1/P31),""),"")</f>
        <v/>
      </c>
      <c r="AA26" s="442" t="str">
        <f t="shared" si="0"/>
        <v/>
      </c>
      <c r="AB26" s="79"/>
    </row>
    <row r="27" spans="1:28" x14ac:dyDescent="0.2">
      <c r="A27" s="79"/>
      <c r="B27" s="79"/>
      <c r="C27" s="419" t="str">
        <f>IF(COUNTA(D27)=1,23,"")</f>
        <v/>
      </c>
      <c r="D27" s="402"/>
      <c r="E27" s="79"/>
      <c r="F27" s="419" t="str">
        <f>IF(COUNTA(G27)=1,23,"")</f>
        <v/>
      </c>
      <c r="G27" s="197"/>
      <c r="H27" s="79"/>
      <c r="I27" s="419" t="str">
        <f>IF(COUNTA(J27)=1,23,"")</f>
        <v/>
      </c>
      <c r="J27" s="197"/>
      <c r="K27" s="79"/>
      <c r="L27" s="419" t="str">
        <f>IF(COUNTA(M27)=1,23,"")</f>
        <v/>
      </c>
      <c r="M27" s="197"/>
      <c r="N27" s="79"/>
      <c r="O27" s="419" t="str">
        <f>IF(COUNTA(P27)=1,23,"")</f>
        <v/>
      </c>
      <c r="P27" s="197"/>
      <c r="Q27" s="79"/>
      <c r="R27" s="420" t="str">
        <f>IF(COUNT(D27)=1,RANK(D27,($D$5:$D$29,$G$5:$G$29,$J$5:$J$29,$M$5:$M$29,$P$5:$P$29),1)+(COUNT(($D$5:$D$29,$G$5:$G$29,$J$5:$J$29,$M$5:$M$29,$P$5:$P$29))+1-RANK(D27,($D$5:$D$29,$G$5:$G$29,$J$5:$J$29,$M$5:$M$29,$P$5:$P$29),0)-RANK(D27,($D$5:$D$29,$G$5:$G$29,$J$5:$J$29,$M$5:$M$29,$P$5:$P$29),1))/2,"")</f>
        <v/>
      </c>
      <c r="S27" s="420" t="str">
        <f>IF(COUNT(G27)=1,RANK(G27,($D$5:$D$29,$G$5:$G$29,$J$5:$J$29,$M$5:$M$29,$P$5:$P$29),1)+(COUNT(($D$5:$D$29,$G$5:$G$29,$J$5:$J$29,$M$5:$M$29,$P$5:$P$29))+1-RANK(G27,($D$5:$D$29,$G$5:$G$29,$J$5:$J$29,$M$5:$M$29,$P$5:$P$29),0)-RANK(G27,($D$5:$D$29,$G$5:$G$29,$J$5:$J$29,$M$5:$M$29,$P$5:$P$29),1))/2,"")</f>
        <v/>
      </c>
      <c r="T27" s="420" t="str">
        <f>IF(COUNT(J27)=1,RANK(J27,($D$5:$D$29,$G$5:$G$29,$J$5:$J$29,$M$5:$M$29,$P$5:$P$29),1)+(COUNT(($D$5:$D$29,$G$5:$G$29,$J$5:$J$29,$M$5:$M$29,$P$5:$P$29))+1-RANK(J27,($D$5:$D$29,$G$5:$G$29,$J$5:$J$29,$M$5:$M$29,$P$5:$P$29),0)-RANK(J27,($D$5:$D$29,$G$5:$G$29,$J$5:$J$29,$M$5:$M$29,$P$5:$P$29),1))/2,"")</f>
        <v/>
      </c>
      <c r="U27" s="420" t="str">
        <f>IF(COUNT(M27)=1,RANK(M27,($D$5:$D$29,$G$5:$G$29,$J$5:$J$29,$M$5:$M$29,$P$5:$P$29),1)+(COUNT(($D$5:$D$29,$G$5:$G$29,$J$5:$J$29,$M$5:$M$29,$P$5:$P$29))+1-RANK(M27,($D$5:$D$29,$G$5:$G$29,$J$5:$J$29,$M$5:$M$29,$P$5:$P$29),0)-RANK(M27,($D$5:$D$29,$G$5:$G$29,$J$5:$J$29,$M$5:$M$29,$P$5:$P$29),1))/2,"")</f>
        <v/>
      </c>
      <c r="V27" s="421" t="str">
        <f>IF(COUNT(P27)=1,RANK(P27,($D$5:$D$29,$G$5:$G$29,$J$5:$J$29,$M$5:$M$29,$P$5:$P$29),1)+(COUNT(($D$5:$D$29,$G$5:$G$29,$J$5:$J$29,$M$5:$M$29,$P$5:$P$29))+1-RANK(P27,($D$5:$D$29,$G$5:$G$29,$J$5:$J$29,$M$5:$M$29,$P$5:$P$29),0)-RANK(P27,($D$5:$D$29,$G$5:$G$29,$J$5:$J$29,$M$5:$M$29,$P$5:$P$29),1))/2,"")</f>
        <v/>
      </c>
      <c r="W27" s="79"/>
      <c r="X27" s="440" t="s">
        <v>282</v>
      </c>
      <c r="Y27" s="441">
        <f>IF(ABS(Z8)&gt;Z11,IF(COUNT(J5:J29)&gt;0,IF(COUNT(M5:M29)&gt;0,ABS(T36-U36),"")),"")</f>
        <v>10.166666666666666</v>
      </c>
      <c r="Z27" s="184">
        <f>IF(ABS(Z8)&gt;Z11,IF(COUNT(Y27)&gt;0,ABS(NORMSINV($Z$10/($Z$7*($Z$7-1))))*SQRT($Z$6*($Z$6+1)/12)*SQRT(1/J31+1/M31),""),"")</f>
        <v>10.770640217007356</v>
      </c>
      <c r="AA27" s="442" t="str">
        <f t="shared" si="0"/>
        <v/>
      </c>
      <c r="AB27" s="79"/>
    </row>
    <row r="28" spans="1:28" x14ac:dyDescent="0.2">
      <c r="A28" s="79"/>
      <c r="B28" s="79"/>
      <c r="C28" s="419" t="str">
        <f>IF(COUNTA(D28)=1,24,"")</f>
        <v/>
      </c>
      <c r="D28" s="402"/>
      <c r="E28" s="79"/>
      <c r="F28" s="419" t="str">
        <f>IF(COUNTA(G28)=1,24,"")</f>
        <v/>
      </c>
      <c r="G28" s="197"/>
      <c r="H28" s="79"/>
      <c r="I28" s="419" t="str">
        <f>IF(COUNTA(J28)=1,24,"")</f>
        <v/>
      </c>
      <c r="J28" s="197"/>
      <c r="K28" s="79"/>
      <c r="L28" s="419" t="str">
        <f>IF(COUNTA(M28)=1,24,"")</f>
        <v/>
      </c>
      <c r="M28" s="197"/>
      <c r="N28" s="79"/>
      <c r="O28" s="419" t="str">
        <f>IF(COUNTA(P28)=1,24,"")</f>
        <v/>
      </c>
      <c r="P28" s="197"/>
      <c r="Q28" s="79"/>
      <c r="R28" s="420" t="str">
        <f>IF(COUNT(D28)=1,RANK(D28,($D$5:$D$29,$G$5:$G$29,$J$5:$J$29,$M$5:$M$29,$P$5:$P$29),1)+(COUNT(($D$5:$D$29,$G$5:$G$29,$J$5:$J$29,$M$5:$M$29,$P$5:$P$29))+1-RANK(D28,($D$5:$D$29,$G$5:$G$29,$J$5:$J$29,$M$5:$M$29,$P$5:$P$29),0)-RANK(D28,($D$5:$D$29,$G$5:$G$29,$J$5:$J$29,$M$5:$M$29,$P$5:$P$29),1))/2,"")</f>
        <v/>
      </c>
      <c r="S28" s="420" t="str">
        <f>IF(COUNT(G28)=1,RANK(G28,($D$5:$D$29,$G$5:$G$29,$J$5:$J$29,$M$5:$M$29,$P$5:$P$29),1)+(COUNT(($D$5:$D$29,$G$5:$G$29,$J$5:$J$29,$M$5:$M$29,$P$5:$P$29))+1-RANK(G28,($D$5:$D$29,$G$5:$G$29,$J$5:$J$29,$M$5:$M$29,$P$5:$P$29),0)-RANK(G28,($D$5:$D$29,$G$5:$G$29,$J$5:$J$29,$M$5:$M$29,$P$5:$P$29),1))/2,"")</f>
        <v/>
      </c>
      <c r="T28" s="420" t="str">
        <f>IF(COUNT(J28)=1,RANK(J28,($D$5:$D$29,$G$5:$G$29,$J$5:$J$29,$M$5:$M$29,$P$5:$P$29),1)+(COUNT(($D$5:$D$29,$G$5:$G$29,$J$5:$J$29,$M$5:$M$29,$P$5:$P$29))+1-RANK(J28,($D$5:$D$29,$G$5:$G$29,$J$5:$J$29,$M$5:$M$29,$P$5:$P$29),0)-RANK(J28,($D$5:$D$29,$G$5:$G$29,$J$5:$J$29,$M$5:$M$29,$P$5:$P$29),1))/2,"")</f>
        <v/>
      </c>
      <c r="U28" s="420" t="str">
        <f>IF(COUNT(M28)=1,RANK(M28,($D$5:$D$29,$G$5:$G$29,$J$5:$J$29,$M$5:$M$29,$P$5:$P$29),1)+(COUNT(($D$5:$D$29,$G$5:$G$29,$J$5:$J$29,$M$5:$M$29,$P$5:$P$29))+1-RANK(M28,($D$5:$D$29,$G$5:$G$29,$J$5:$J$29,$M$5:$M$29,$P$5:$P$29),0)-RANK(M28,($D$5:$D$29,$G$5:$G$29,$J$5:$J$29,$M$5:$M$29,$P$5:$P$29),1))/2,"")</f>
        <v/>
      </c>
      <c r="V28" s="421" t="str">
        <f>IF(COUNT(P28)=1,RANK(P28,($D$5:$D$29,$G$5:$G$29,$J$5:$J$29,$M$5:$M$29,$P$5:$P$29),1)+(COUNT(($D$5:$D$29,$G$5:$G$29,$J$5:$J$29,$M$5:$M$29,$P$5:$P$29))+1-RANK(P28,($D$5:$D$29,$G$5:$G$29,$J$5:$J$29,$M$5:$M$29,$P$5:$P$29),0)-RANK(P28,($D$5:$D$29,$G$5:$G$29,$J$5:$J$29,$M$5:$M$29,$P$5:$P$29),1))/2,"")</f>
        <v/>
      </c>
      <c r="W28" s="79"/>
      <c r="X28" s="440" t="s">
        <v>283</v>
      </c>
      <c r="Y28" s="441" t="str">
        <f>IF(ABS(Z8)&gt;Z11,IF(COUNT(J5:J29)&gt;0,IF(COUNT(P5:P29)&gt;0,ABS(T36-V36),"")),"")</f>
        <v/>
      </c>
      <c r="Z28" s="184" t="str">
        <f>IF(ABS(Z8)&gt;Z11,IF(COUNT(Y28)&gt;0,ABS(NORMSINV($Z$10/($Z$7*($Z$7-1))))*SQRT($Z$6*($Z$6+1)/12)*SQRT(1/J31+1/P31),""),"")</f>
        <v/>
      </c>
      <c r="AA28" s="442" t="str">
        <f t="shared" si="0"/>
        <v/>
      </c>
      <c r="AB28" s="79"/>
    </row>
    <row r="29" spans="1:28" ht="13.5" thickBot="1" x14ac:dyDescent="0.25">
      <c r="A29" s="79"/>
      <c r="B29" s="79"/>
      <c r="C29" s="443" t="str">
        <f>IF(COUNTA(D29)=1,25,"")</f>
        <v/>
      </c>
      <c r="D29" s="404"/>
      <c r="E29" s="79"/>
      <c r="F29" s="443" t="str">
        <f>IF(COUNTA(G29)=1,25,"")</f>
        <v/>
      </c>
      <c r="G29" s="159"/>
      <c r="H29" s="79"/>
      <c r="I29" s="443" t="str">
        <f>IF(COUNTA(J29)=1,25,"")</f>
        <v/>
      </c>
      <c r="J29" s="159"/>
      <c r="K29" s="79"/>
      <c r="L29" s="443" t="str">
        <f>IF(COUNTA(M29)=1,25,"")</f>
        <v/>
      </c>
      <c r="M29" s="159"/>
      <c r="N29" s="79"/>
      <c r="O29" s="443" t="str">
        <f>IF(COUNTA(P29)=1,25,"")</f>
        <v/>
      </c>
      <c r="P29" s="159"/>
      <c r="Q29" s="79"/>
      <c r="R29" s="444" t="str">
        <f>IF(COUNT(D29)=1,RANK(D29,($D$5:$D$29,$G$5:$G$29,$J$5:$J$29,$M$5:$M$29,$P$5:$P$29),1)+(COUNT(($D$5:$D$29,$G$5:$G$29,$J$5:$J$29,$M$5:$M$29,$P$5:$P$29))+1-RANK(D29,($D$5:$D$29,$G$5:$G$29,$J$5:$J$29,$M$5:$M$29,$P$5:$P$29),0)-RANK(D29,($D$5:$D$29,$G$5:$G$29,$J$5:$J$29,$M$5:$M$29,$P$5:$P$29),1))/2,"")</f>
        <v/>
      </c>
      <c r="S29" s="444" t="str">
        <f>IF(COUNT(G29)=1,RANK(G29,($D$5:$D$29,$G$5:$G$29,$J$5:$J$29,$M$5:$M$29,$P$5:$P$29),1)+(COUNT(($D$5:$D$29,$G$5:$G$29,$J$5:$J$29,$M$5:$M$29,$P$5:$P$29))+1-RANK(G29,($D$5:$D$29,$G$5:$G$29,$J$5:$J$29,$M$5:$M$29,$P$5:$P$29),0)-RANK(G29,($D$5:$D$29,$G$5:$G$29,$J$5:$J$29,$M$5:$M$29,$P$5:$P$29),1))/2,"")</f>
        <v/>
      </c>
      <c r="T29" s="444" t="str">
        <f>IF(COUNT(J29)=1,RANK(J29,($D$5:$D$29,$G$5:$G$29,$J$5:$J$29,$M$5:$M$29,$P$5:$P$29),1)+(COUNT(($D$5:$D$29,$G$5:$G$29,$J$5:$J$29,$M$5:$M$29,$P$5:$P$29))+1-RANK(J29,($D$5:$D$29,$G$5:$G$29,$J$5:$J$29,$M$5:$M$29,$P$5:$P$29),0)-RANK(J29,($D$5:$D$29,$G$5:$G$29,$J$5:$J$29,$M$5:$M$29,$P$5:$P$29),1))/2,"")</f>
        <v/>
      </c>
      <c r="U29" s="444" t="str">
        <f>IF(COUNT(M29)=1,RANK(M29,($D$5:$D$29,$G$5:$G$29,$J$5:$J$29,$M$5:$M$29,$P$5:$P$29),1)+(COUNT(($D$5:$D$29,$G$5:$G$29,$J$5:$J$29,$M$5:$M$29,$P$5:$P$29))+1-RANK(M29,($D$5:$D$29,$G$5:$G$29,$J$5:$J$29,$M$5:$M$29,$P$5:$P$29),0)-RANK(M29,($D$5:$D$29,$G$5:$G$29,$J$5:$J$29,$M$5:$M$29,$P$5:$P$29),1))/2,"")</f>
        <v/>
      </c>
      <c r="V29" s="445" t="str">
        <f>IF(COUNT(P29)=1,RANK(P29,($D$5:$D$29,$G$5:$G$29,$J$5:$J$29,$M$5:$M$29,$P$5:$P$29),1)+(COUNT(($D$5:$D$29,$G$5:$G$29,$J$5:$J$29,$M$5:$M$29,$P$5:$P$29))+1-RANK(P29,($D$5:$D$29,$G$5:$G$29,$J$5:$J$29,$M$5:$M$29,$P$5:$P$29),0)-RANK(P29,($D$5:$D$29,$G$5:$G$29,$J$5:$J$29,$M$5:$M$29,$P$5:$P$29),1))/2,"")</f>
        <v/>
      </c>
      <c r="W29" s="79"/>
      <c r="X29" s="446" t="s">
        <v>284</v>
      </c>
      <c r="Y29" s="354" t="str">
        <f>IF(ABS(Z8)&gt;Z11,IF(COUNT(M5:M29)&gt;0,IF(COUNT(P5:P29)&gt;0,ABS(U36-V36),""),""),"")</f>
        <v/>
      </c>
      <c r="Z29" s="187" t="str">
        <f>IF(ABS(Z8)&gt;Z11,IF(COUNT(Y29)&gt;0,ABS(NORMSINV($Z$10/($Z$7*($Z$7-1))))*SQRT($Z$6*($Z$6+1)/12)*SQRT(1/M31+1/P31),""),"")</f>
        <v/>
      </c>
      <c r="AA29" s="447" t="str">
        <f t="shared" si="0"/>
        <v/>
      </c>
      <c r="AB29" s="79"/>
    </row>
    <row r="30" spans="1:28" ht="6.75" customHeight="1" thickBot="1" x14ac:dyDescent="0.25">
      <c r="A30" s="79"/>
      <c r="B30" s="105"/>
      <c r="C30" s="79"/>
      <c r="D30" s="105"/>
      <c r="E30" s="79"/>
      <c r="F30" s="79"/>
      <c r="G30" s="105"/>
      <c r="H30" s="79"/>
      <c r="I30" s="79"/>
      <c r="J30" s="105"/>
      <c r="K30" s="79"/>
      <c r="L30" s="79"/>
      <c r="M30" s="105"/>
      <c r="N30" s="79"/>
      <c r="O30" s="79"/>
      <c r="P30" s="105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</row>
    <row r="31" spans="1:28" ht="13.5" thickBot="1" x14ac:dyDescent="0.25">
      <c r="A31" s="79"/>
      <c r="B31" s="448" t="s">
        <v>79</v>
      </c>
      <c r="C31" s="79"/>
      <c r="D31" s="449">
        <f>COUNT(D5:D29)</f>
        <v>6</v>
      </c>
      <c r="E31" s="79"/>
      <c r="F31" s="79"/>
      <c r="G31" s="449">
        <f>COUNT(G5:G29)</f>
        <v>6</v>
      </c>
      <c r="H31" s="79"/>
      <c r="I31" s="79"/>
      <c r="J31" s="449">
        <f>COUNT(J5:J29)</f>
        <v>6</v>
      </c>
      <c r="K31" s="79"/>
      <c r="L31" s="79"/>
      <c r="M31" s="449">
        <f>COUNT(M5:M29)</f>
        <v>6</v>
      </c>
      <c r="N31" s="79"/>
      <c r="O31" s="79"/>
      <c r="P31" s="449">
        <f>COUNT(P5:P29)</f>
        <v>0</v>
      </c>
      <c r="Q31" s="79"/>
      <c r="R31" s="450" t="s">
        <v>285</v>
      </c>
      <c r="S31" s="450" t="s">
        <v>286</v>
      </c>
      <c r="T31" s="450" t="s">
        <v>287</v>
      </c>
      <c r="U31" s="450" t="s">
        <v>288</v>
      </c>
      <c r="V31" s="450" t="s">
        <v>289</v>
      </c>
      <c r="W31" s="79"/>
      <c r="X31" s="79"/>
      <c r="Y31" s="79"/>
      <c r="Z31" s="79"/>
      <c r="AA31" s="79"/>
      <c r="AB31" s="79"/>
    </row>
    <row r="32" spans="1:28" ht="13.5" thickBot="1" x14ac:dyDescent="0.25">
      <c r="A32" s="79"/>
      <c r="B32" s="419" t="s">
        <v>213</v>
      </c>
      <c r="C32" s="79"/>
      <c r="D32" s="451">
        <f>IF(COUNT(D5:D29)&gt;0,AVERAGE(D5:D29),"")</f>
        <v>168.83333333333334</v>
      </c>
      <c r="E32" s="79"/>
      <c r="F32" s="79"/>
      <c r="G32" s="451">
        <f>IF(COUNT(G5:G29)&gt;0,AVERAGE(G5:G29),"")</f>
        <v>71.5</v>
      </c>
      <c r="H32" s="79"/>
      <c r="I32" s="79"/>
      <c r="J32" s="451">
        <f>IF(COUNT(J5:J29)&gt;0,AVERAGE(J5:J29),"")</f>
        <v>75.5</v>
      </c>
      <c r="K32" s="79"/>
      <c r="L32" s="79"/>
      <c r="M32" s="451">
        <f>IF(COUNT(M5:M29)&gt;0,AVERAGE(M5:M29),"")</f>
        <v>139</v>
      </c>
      <c r="N32" s="79"/>
      <c r="O32" s="79"/>
      <c r="P32" s="451" t="str">
        <f>IF(COUNT(P5:P29)&gt;0,AVERAGE(P5:P29),"")</f>
        <v/>
      </c>
      <c r="Q32" s="79"/>
      <c r="R32" s="452">
        <f>IF(COUNT(D5:D29)&gt;0,SUM(R5:R29),"")</f>
        <v>61</v>
      </c>
      <c r="S32" s="452">
        <f>IF(COUNT(G5:G29)&gt;0,SUM(S5:S29),"")</f>
        <v>54</v>
      </c>
      <c r="T32" s="453">
        <f>IF(COUNT(J5:J29)&gt;0,SUM(T5:T29),"")</f>
        <v>62</v>
      </c>
      <c r="U32" s="453">
        <f>IF(COUNT(M5:M29)&gt;0,SUM(U5:U29),"")</f>
        <v>123</v>
      </c>
      <c r="V32" s="453" t="str">
        <f>IF(COUNT(P5:P29)&gt;0,SUM(V5:V29),"")</f>
        <v/>
      </c>
      <c r="W32" s="79"/>
      <c r="X32" s="79"/>
      <c r="Y32" s="79"/>
      <c r="Z32" s="79"/>
      <c r="AA32" s="79"/>
      <c r="AB32" s="79"/>
    </row>
    <row r="33" spans="1:28" ht="13.5" thickBot="1" x14ac:dyDescent="0.25">
      <c r="A33" s="79"/>
      <c r="B33" s="443" t="s">
        <v>214</v>
      </c>
      <c r="C33" s="79"/>
      <c r="D33" s="454">
        <f>IF(COUNT(D5:D29)&gt;0,STDEV(D5:D29),"")</f>
        <v>249.63366493056716</v>
      </c>
      <c r="E33" s="79"/>
      <c r="F33" s="79"/>
      <c r="G33" s="454">
        <f>IF(COUNT(G5:G29)&gt;0,STDEV(G5:G29),"")</f>
        <v>16.97939928266015</v>
      </c>
      <c r="H33" s="79"/>
      <c r="I33" s="79"/>
      <c r="J33" s="454">
        <f>IF(COUNT(J5:J29)&gt;0,STDEV(J5:J29),"")</f>
        <v>19.50128200913981</v>
      </c>
      <c r="K33" s="79"/>
      <c r="L33" s="79"/>
      <c r="M33" s="454">
        <f>IF(COUNT(M5:M29)&gt;0,STDEV(M5:M29),"")</f>
        <v>46.043457732885351</v>
      </c>
      <c r="N33" s="79"/>
      <c r="O33" s="79"/>
      <c r="P33" s="454" t="str">
        <f>IF(COUNT(P5:P29)&gt;0,STDEV(P5:P29),"")</f>
        <v/>
      </c>
      <c r="Q33" s="79"/>
      <c r="R33" s="455">
        <f>IF(COUNT(D5:D29)&gt;0,R32*R32/D31,"")</f>
        <v>620.16666666666663</v>
      </c>
      <c r="S33" s="455">
        <f>IF(COUNT(G5:G29)&gt;0,S32*S32/G31,"")</f>
        <v>486</v>
      </c>
      <c r="T33" s="455">
        <f>IF(COUNT(J5:J29)&gt;0,T32*T32/J31,"")</f>
        <v>640.66666666666663</v>
      </c>
      <c r="U33" s="455">
        <f>IF(COUNT(M5:M29)&gt;0,U32*U32/M31,"")</f>
        <v>2521.5</v>
      </c>
      <c r="V33" s="455" t="str">
        <f>IF(COUNT(P5:P29)&gt;0,V32*V32/P31,"")</f>
        <v/>
      </c>
      <c r="W33" s="79"/>
      <c r="X33" s="79"/>
      <c r="Y33" s="79"/>
      <c r="Z33" s="79"/>
      <c r="AA33" s="79"/>
      <c r="AB33" s="79"/>
    </row>
    <row r="34" spans="1:28" ht="6.75" customHeight="1" thickBot="1" x14ac:dyDescent="0.25">
      <c r="A34" s="79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</row>
    <row r="35" spans="1:28" ht="13.5" thickBot="1" x14ac:dyDescent="0.25">
      <c r="A35" s="79"/>
      <c r="B35" s="412" t="s">
        <v>215</v>
      </c>
      <c r="C35" s="79"/>
      <c r="D35" s="449">
        <f>IF(COUNT(D5:D29)&gt;0,MEDIAN(D5:D29),"")</f>
        <v>72.5</v>
      </c>
      <c r="E35" s="79"/>
      <c r="F35" s="79"/>
      <c r="G35" s="449">
        <f>IF(COUNT(G5:G29)&gt;0,MEDIAN(G5:G29),"")</f>
        <v>71.5</v>
      </c>
      <c r="H35" s="79"/>
      <c r="I35" s="79"/>
      <c r="J35" s="449">
        <f>IF(COUNT(J5:J29)&gt;0,MEDIAN(J5:J29),"")</f>
        <v>76.5</v>
      </c>
      <c r="K35" s="79"/>
      <c r="L35" s="79"/>
      <c r="M35" s="449">
        <f>IF(COUNT(M5:M29)&gt;0,MEDIAN(M5:M29),"")</f>
        <v>122.5</v>
      </c>
      <c r="N35" s="79"/>
      <c r="O35" s="79"/>
      <c r="P35" s="449" t="str">
        <f>IF(COUNT(P5:P29)&gt;0,MEDIAN(P5:P29),"")</f>
        <v/>
      </c>
      <c r="Q35" s="79"/>
      <c r="R35" s="450" t="s">
        <v>290</v>
      </c>
      <c r="S35" s="450" t="s">
        <v>291</v>
      </c>
      <c r="T35" s="450" t="s">
        <v>292</v>
      </c>
      <c r="U35" s="450" t="s">
        <v>293</v>
      </c>
      <c r="V35" s="450" t="s">
        <v>294</v>
      </c>
      <c r="W35" s="79"/>
      <c r="X35" s="79"/>
      <c r="Y35" s="79"/>
      <c r="Z35" s="79"/>
      <c r="AA35" s="79"/>
      <c r="AB35" s="79"/>
    </row>
    <row r="36" spans="1:28" ht="13.5" thickBot="1" x14ac:dyDescent="0.25">
      <c r="A36" s="79"/>
      <c r="B36" s="419" t="s">
        <v>216</v>
      </c>
      <c r="C36" s="79"/>
      <c r="D36" s="456">
        <f>IF(COUNT(D5:D29)&gt;0,MIN(D5:D29),"")</f>
        <v>56</v>
      </c>
      <c r="E36" s="79"/>
      <c r="F36" s="79"/>
      <c r="G36" s="456">
        <f>IF(COUNT(G5:G29)&gt;0,MIN(G5:G29),"")</f>
        <v>56</v>
      </c>
      <c r="H36" s="79"/>
      <c r="I36" s="79"/>
      <c r="J36" s="456">
        <f>IF(COUNT(J5:J29)&gt;0,MIN(J5:J29),"")</f>
        <v>45</v>
      </c>
      <c r="K36" s="79"/>
      <c r="L36" s="79"/>
      <c r="M36" s="456">
        <f>IF(COUNT(M5:M29)&gt;0,MIN(M5:M29),"")</f>
        <v>99</v>
      </c>
      <c r="N36" s="79"/>
      <c r="O36" s="79"/>
      <c r="P36" s="456" t="str">
        <f>IF(COUNT(P5:P29)&gt;0,MIN(P5:P29),"")</f>
        <v/>
      </c>
      <c r="Q36" s="79"/>
      <c r="R36" s="457">
        <f>IF(COUNT(D5:D29)&gt;0,R32/D31,"")</f>
        <v>10.166666666666666</v>
      </c>
      <c r="S36" s="457">
        <f>IF(COUNT(G5:G29)&gt;0,S32/G31,"")</f>
        <v>9</v>
      </c>
      <c r="T36" s="457">
        <f>IF(COUNT(J5:J29)&gt;0,T32/J31,"")</f>
        <v>10.333333333333334</v>
      </c>
      <c r="U36" s="457">
        <f>IF(COUNT(M5:M29)&gt;0,U32/M31,"")</f>
        <v>20.5</v>
      </c>
      <c r="V36" s="457" t="str">
        <f>IF(COUNT(P5:P29)&gt;0,V32/P31,"")</f>
        <v/>
      </c>
      <c r="W36" s="79"/>
      <c r="X36" s="79"/>
      <c r="Y36" s="79"/>
      <c r="Z36" s="79"/>
      <c r="AA36" s="79"/>
      <c r="AB36" s="79"/>
    </row>
    <row r="37" spans="1:28" ht="13.5" thickBot="1" x14ac:dyDescent="0.25">
      <c r="A37" s="79"/>
      <c r="B37" s="443" t="s">
        <v>217</v>
      </c>
      <c r="C37" s="79"/>
      <c r="D37" s="458">
        <f>IF(COUNT(D5:D29)&gt;0,MAX(D5:D29),"")</f>
        <v>678</v>
      </c>
      <c r="E37" s="79"/>
      <c r="F37" s="79"/>
      <c r="G37" s="458">
        <f>IF(COUNT(G5:G29)&gt;0,MAX(G5:G29),"")</f>
        <v>87</v>
      </c>
      <c r="H37" s="79"/>
      <c r="I37" s="79"/>
      <c r="J37" s="458">
        <f>IF(COUNT(J5:J29)&gt;0,MAX(J5:J29),"")</f>
        <v>98</v>
      </c>
      <c r="K37" s="79"/>
      <c r="L37" s="79"/>
      <c r="M37" s="458">
        <f>IF(COUNT(M5:M29)&gt;0,MAX(M5:M29),"")</f>
        <v>200</v>
      </c>
      <c r="N37" s="79"/>
      <c r="O37" s="79"/>
      <c r="P37" s="458" t="str">
        <f>IF(COUNT(P5:P29)&gt;0,MAX(P5:P29),"")</f>
        <v/>
      </c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</row>
    <row r="38" spans="1:28" x14ac:dyDescent="0.2">
      <c r="A38" s="345"/>
      <c r="B38" s="459" t="s">
        <v>218</v>
      </c>
      <c r="C38" s="460"/>
      <c r="D38" s="421">
        <f>IF(COUNT(D5:D29)&gt;0,QUARTILE(D5:D29,1),"")</f>
        <v>58.75</v>
      </c>
      <c r="E38" s="79"/>
      <c r="F38" s="79"/>
      <c r="G38" s="421">
        <f>IF(COUNT(G5:G29)&gt;0,QUARTILE(G5:G29,1),"")</f>
        <v>56</v>
      </c>
      <c r="H38" s="79"/>
      <c r="I38" s="79"/>
      <c r="J38" s="421">
        <f>IF(COUNT(J5:J29)&gt;0,QUARTILE(J5:J29,1),"")</f>
        <v>67</v>
      </c>
      <c r="K38" s="79"/>
      <c r="L38" s="79"/>
      <c r="M38" s="421">
        <f>IF(COUNT(M5:M29)&gt;0,QUARTILE(M5:M29,1),"")</f>
        <v>101.25</v>
      </c>
      <c r="N38" s="79"/>
      <c r="O38" s="79"/>
      <c r="P38" s="421" t="str">
        <f>IF(COUNT(P5:P29)&gt;0,QUARTILE(P5:P29,1),"")</f>
        <v/>
      </c>
      <c r="Q38" s="300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</row>
    <row r="39" spans="1:28" x14ac:dyDescent="0.2">
      <c r="A39" s="345"/>
      <c r="B39" s="459" t="s">
        <v>219</v>
      </c>
      <c r="C39" s="460"/>
      <c r="D39" s="421">
        <f>IF(COUNT(D5:D29)&gt;0,QUARTILE(D5:D29,3),"")</f>
        <v>78</v>
      </c>
      <c r="E39" s="79"/>
      <c r="F39" s="79"/>
      <c r="G39" s="421">
        <f>IF(COUNT(G5:G29)&gt;0,QUARTILE(G5:G29,3),"")</f>
        <v>87</v>
      </c>
      <c r="H39" s="79"/>
      <c r="I39" s="79"/>
      <c r="J39" s="421">
        <f>IF(COUNT(J5:J29)&gt;0,QUARTILE(J5:J29,3),"")</f>
        <v>89</v>
      </c>
      <c r="K39" s="79"/>
      <c r="L39" s="79"/>
      <c r="M39" s="421">
        <f>IF(COUNT(M5:M29)&gt;0,QUARTILE(M5:M29,3),"")</f>
        <v>177.5</v>
      </c>
      <c r="N39" s="79"/>
      <c r="O39" s="79"/>
      <c r="P39" s="421" t="str">
        <f>IF(COUNT(P5:P29)&gt;0,QUARTILE(P5:P29,3),"")</f>
        <v/>
      </c>
      <c r="Q39" s="300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</row>
    <row r="40" spans="1:28" ht="13.5" thickBot="1" x14ac:dyDescent="0.25">
      <c r="A40" s="345"/>
      <c r="B40" s="461" t="s">
        <v>220</v>
      </c>
      <c r="C40" s="460"/>
      <c r="D40" s="445">
        <f>IF(COUNT(D5:D29)&gt;0,D39-D38,"")</f>
        <v>19.25</v>
      </c>
      <c r="E40" s="79"/>
      <c r="F40" s="79"/>
      <c r="G40" s="445">
        <f>IF(COUNT(G5:G29)&gt;0,G39-G38,"")</f>
        <v>31</v>
      </c>
      <c r="H40" s="79"/>
      <c r="I40" s="79"/>
      <c r="J40" s="445">
        <f>IF(COUNT(J5:J29)&gt;0,J39-J38,"")</f>
        <v>22</v>
      </c>
      <c r="K40" s="79"/>
      <c r="L40" s="79"/>
      <c r="M40" s="445">
        <f>IF(COUNT(M5:M29)&gt;0,M39-M38,"")</f>
        <v>76.25</v>
      </c>
      <c r="N40" s="79"/>
      <c r="O40" s="79"/>
      <c r="P40" s="445" t="str">
        <f>IF(COUNT(P5:P29)&gt;0,P39-P38,"")</f>
        <v/>
      </c>
      <c r="Q40" s="300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</row>
    <row r="41" spans="1:28" x14ac:dyDescent="0.2">
      <c r="A41" s="79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</row>
    <row r="42" spans="1:28" x14ac:dyDescent="0.2">
      <c r="A42" s="462"/>
      <c r="B42" s="463" t="s">
        <v>222</v>
      </c>
      <c r="C42" s="463"/>
      <c r="D42" s="463">
        <f>D39+D41</f>
        <v>78</v>
      </c>
      <c r="E42" s="463"/>
      <c r="F42" s="463"/>
      <c r="G42" s="463">
        <f>G39+G41</f>
        <v>87</v>
      </c>
      <c r="H42" s="463"/>
      <c r="I42" s="463"/>
      <c r="J42" s="463"/>
      <c r="K42" s="463"/>
      <c r="L42" s="463"/>
      <c r="M42" s="463"/>
      <c r="N42" s="463"/>
      <c r="O42" s="463"/>
      <c r="P42" s="463"/>
      <c r="Q42" s="463"/>
      <c r="R42" s="464"/>
      <c r="S42" s="83"/>
      <c r="T42" s="83"/>
      <c r="U42" s="83"/>
      <c r="V42" s="83"/>
    </row>
    <row r="43" spans="1:28" x14ac:dyDescent="0.2">
      <c r="A43" s="462"/>
      <c r="B43" s="463" t="s">
        <v>223</v>
      </c>
      <c r="C43" s="463"/>
      <c r="D43" s="463">
        <f>D38-D41</f>
        <v>58.75</v>
      </c>
      <c r="E43" s="463"/>
      <c r="F43" s="463"/>
      <c r="G43" s="463">
        <f>G38-G41</f>
        <v>56</v>
      </c>
      <c r="H43" s="463"/>
      <c r="I43" s="463"/>
      <c r="J43" s="463"/>
      <c r="K43" s="463"/>
      <c r="L43" s="463"/>
      <c r="M43" s="463"/>
      <c r="N43" s="463"/>
      <c r="O43" s="463"/>
      <c r="P43" s="463"/>
      <c r="Q43" s="463"/>
      <c r="R43" s="464"/>
      <c r="S43" s="83"/>
      <c r="T43" s="83"/>
      <c r="U43" s="83"/>
      <c r="V43" s="83"/>
      <c r="Y43" s="465"/>
      <c r="Z43" s="465"/>
    </row>
    <row r="44" spans="1:28" x14ac:dyDescent="0.2">
      <c r="A44" s="462"/>
      <c r="B44" s="463" t="s">
        <v>224</v>
      </c>
      <c r="C44" s="463"/>
      <c r="D44" s="463">
        <f>IF(D36&lt;D43,1,0)</f>
        <v>1</v>
      </c>
      <c r="E44" s="463"/>
      <c r="F44" s="463"/>
      <c r="G44" s="463">
        <f>IF(G36&lt;G43,1,0)</f>
        <v>0</v>
      </c>
      <c r="H44" s="463"/>
      <c r="I44" s="463"/>
      <c r="J44" s="463"/>
      <c r="K44" s="463"/>
      <c r="L44" s="463"/>
      <c r="M44" s="463"/>
      <c r="N44" s="463"/>
      <c r="O44" s="463"/>
      <c r="P44" s="463"/>
      <c r="Q44" s="463"/>
      <c r="R44" s="464"/>
      <c r="S44" s="464"/>
      <c r="T44" s="464"/>
      <c r="U44" s="464"/>
      <c r="V44" s="464"/>
      <c r="W44" s="465"/>
    </row>
    <row r="45" spans="1:28" x14ac:dyDescent="0.2">
      <c r="A45" s="462"/>
      <c r="B45" s="463" t="s">
        <v>225</v>
      </c>
      <c r="C45" s="463"/>
      <c r="D45" s="463">
        <f>IF(D42&lt;D37,1,0)</f>
        <v>1</v>
      </c>
      <c r="E45" s="463"/>
      <c r="F45" s="463"/>
      <c r="G45" s="463">
        <f>IF(G42&lt;G37,1,0)</f>
        <v>0</v>
      </c>
      <c r="H45" s="463"/>
      <c r="I45" s="463"/>
      <c r="J45" s="463"/>
      <c r="K45" s="463"/>
      <c r="L45" s="463"/>
      <c r="M45" s="463"/>
      <c r="N45" s="463"/>
      <c r="O45" s="463"/>
      <c r="P45" s="463"/>
      <c r="Q45" s="463"/>
      <c r="R45" s="464"/>
      <c r="S45" s="464"/>
      <c r="T45" s="464"/>
      <c r="U45" s="464"/>
      <c r="V45" s="464"/>
      <c r="W45" s="465"/>
      <c r="X45" s="465"/>
      <c r="AA45" s="465"/>
    </row>
    <row r="46" spans="1:28" x14ac:dyDescent="0.2">
      <c r="A46" s="462"/>
      <c r="B46" s="463" t="s">
        <v>226</v>
      </c>
      <c r="C46" s="463"/>
      <c r="D46" s="463"/>
      <c r="E46" s="463"/>
      <c r="F46" s="463"/>
      <c r="G46" s="463"/>
      <c r="H46" s="463"/>
      <c r="I46" s="463"/>
      <c r="J46" s="463"/>
      <c r="K46" s="463"/>
      <c r="L46" s="463"/>
      <c r="M46" s="463"/>
      <c r="N46" s="463"/>
      <c r="O46" s="463"/>
      <c r="P46" s="463"/>
      <c r="Q46" s="463"/>
      <c r="R46" s="464"/>
      <c r="S46" s="464"/>
      <c r="T46" s="464"/>
      <c r="U46" s="464"/>
      <c r="V46" s="464"/>
      <c r="W46" s="465"/>
      <c r="X46" s="465"/>
      <c r="AA46" s="465"/>
    </row>
    <row r="47" spans="1:28" x14ac:dyDescent="0.2">
      <c r="W47" s="465"/>
      <c r="X47" s="465"/>
      <c r="AA47" s="465"/>
    </row>
    <row r="48" spans="1:28" x14ac:dyDescent="0.2">
      <c r="W48" s="465"/>
      <c r="X48" s="465"/>
      <c r="AA48" s="465"/>
    </row>
    <row r="49" spans="23:27" x14ac:dyDescent="0.2">
      <c r="W49" s="465"/>
      <c r="X49" s="465"/>
      <c r="AA49" s="465"/>
    </row>
    <row r="50" spans="23:27" x14ac:dyDescent="0.2">
      <c r="W50" s="465"/>
      <c r="X50" s="465"/>
      <c r="AA50" s="465"/>
    </row>
    <row r="51" spans="23:27" x14ac:dyDescent="0.2">
      <c r="X51" s="465"/>
      <c r="AA51" s="465"/>
    </row>
  </sheetData>
  <sheetProtection password="EA44" sheet="1" objects="1" scenarios="1" selectLockedCells="1"/>
  <phoneticPr fontId="4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I29"/>
  <sheetViews>
    <sheetView showRowColHeaders="0" workbookViewId="0">
      <selection activeCell="F6" sqref="F6"/>
    </sheetView>
  </sheetViews>
  <sheetFormatPr defaultRowHeight="12.75" x14ac:dyDescent="0.2"/>
  <cols>
    <col min="1" max="1" width="4.5703125" customWidth="1"/>
    <col min="9" max="9" width="5" customWidth="1"/>
  </cols>
  <sheetData>
    <row r="1" spans="1:9" ht="13.5" thickBot="1" x14ac:dyDescent="0.25">
      <c r="A1" s="26"/>
      <c r="B1" s="26"/>
      <c r="C1" s="26"/>
      <c r="D1" s="26"/>
      <c r="E1" s="26"/>
      <c r="F1" s="26"/>
      <c r="G1" s="26"/>
      <c r="H1" s="26"/>
      <c r="I1" s="26"/>
    </row>
    <row r="2" spans="1:9" ht="13.5" thickBot="1" x14ac:dyDescent="0.25">
      <c r="A2" s="26"/>
      <c r="B2" s="43" t="s">
        <v>37</v>
      </c>
      <c r="C2" s="44"/>
      <c r="D2" s="44"/>
      <c r="E2" s="44"/>
      <c r="F2" s="44"/>
      <c r="G2" s="45"/>
      <c r="H2" s="26"/>
      <c r="I2" s="26"/>
    </row>
    <row r="3" spans="1:9" ht="13.5" thickBot="1" x14ac:dyDescent="0.25">
      <c r="A3" s="26"/>
      <c r="B3" s="26"/>
      <c r="C3" s="26"/>
      <c r="D3" s="26"/>
      <c r="E3" s="26"/>
      <c r="F3" s="26"/>
      <c r="G3" s="26"/>
      <c r="H3" s="26"/>
      <c r="I3" s="26"/>
    </row>
    <row r="4" spans="1:9" ht="13.5" thickBot="1" x14ac:dyDescent="0.25">
      <c r="A4" s="26"/>
      <c r="B4" s="43" t="s">
        <v>45</v>
      </c>
      <c r="C4" s="44"/>
      <c r="D4" s="45"/>
      <c r="E4" s="45"/>
      <c r="F4" s="65">
        <f>(F6+F7)/2</f>
        <v>0.92500000000000004</v>
      </c>
      <c r="G4" s="26"/>
      <c r="H4" s="26"/>
      <c r="I4" s="26"/>
    </row>
    <row r="5" spans="1:9" ht="13.5" thickBot="1" x14ac:dyDescent="0.25">
      <c r="A5" s="26"/>
      <c r="B5" s="26"/>
      <c r="C5" s="26"/>
      <c r="D5" s="26"/>
      <c r="E5" s="26"/>
      <c r="F5" s="26"/>
      <c r="G5" s="26"/>
      <c r="H5" s="26"/>
      <c r="I5" s="26"/>
    </row>
    <row r="6" spans="1:9" x14ac:dyDescent="0.2">
      <c r="A6" s="26"/>
      <c r="B6" s="1" t="s">
        <v>38</v>
      </c>
      <c r="C6" s="22"/>
      <c r="D6" s="22"/>
      <c r="E6" s="22"/>
      <c r="F6" s="47">
        <v>0.9</v>
      </c>
      <c r="G6" s="59" t="str">
        <f>IF(F6&lt;=1,IF(F6&lt;0,"Insira um número entre 0 e 1",""),"Insira um número entre 0 e 1")</f>
        <v/>
      </c>
      <c r="H6" s="26"/>
      <c r="I6" s="26"/>
    </row>
    <row r="7" spans="1:9" ht="13.5" thickBot="1" x14ac:dyDescent="0.25">
      <c r="A7" s="26"/>
      <c r="B7" s="3" t="s">
        <v>39</v>
      </c>
      <c r="C7" s="54"/>
      <c r="D7" s="54"/>
      <c r="E7" s="54"/>
      <c r="F7" s="49">
        <v>0.95</v>
      </c>
      <c r="G7" s="59" t="str">
        <f>IF(F7&lt;=1,IF(F7&lt;0,"Insira um número entre 0 e 1",""),"Insira um número entre 0 e 1")</f>
        <v/>
      </c>
      <c r="H7" s="26"/>
      <c r="I7" s="26"/>
    </row>
    <row r="8" spans="1:9" x14ac:dyDescent="0.2">
      <c r="A8" s="26"/>
      <c r="B8" s="26"/>
      <c r="C8" s="26"/>
      <c r="D8" s="26"/>
      <c r="E8" s="26"/>
      <c r="F8" s="26"/>
      <c r="G8" s="26"/>
      <c r="H8" s="26"/>
      <c r="I8" s="26"/>
    </row>
    <row r="9" spans="1:9" ht="13.5" thickBot="1" x14ac:dyDescent="0.25">
      <c r="A9" s="26"/>
      <c r="B9" s="61"/>
      <c r="C9" s="39"/>
      <c r="D9" s="39"/>
      <c r="E9" s="62" t="s">
        <v>46</v>
      </c>
      <c r="F9" s="39"/>
      <c r="G9" s="39"/>
      <c r="H9" s="39"/>
      <c r="I9" s="26"/>
    </row>
    <row r="10" spans="1:9" ht="13.5" thickBot="1" x14ac:dyDescent="0.25">
      <c r="A10" s="26"/>
      <c r="B10" s="66" t="s">
        <v>43</v>
      </c>
      <c r="C10" s="39">
        <v>1E-3</v>
      </c>
      <c r="D10" s="64">
        <v>0.01</v>
      </c>
      <c r="E10" s="64">
        <v>0.02</v>
      </c>
      <c r="F10" s="64">
        <v>0.05</v>
      </c>
      <c r="G10" s="64">
        <v>0.1</v>
      </c>
      <c r="H10" s="71">
        <v>0.15</v>
      </c>
      <c r="I10" s="26"/>
    </row>
    <row r="11" spans="1:9" x14ac:dyDescent="0.2">
      <c r="A11" s="26"/>
      <c r="B11" s="61">
        <v>1E-3</v>
      </c>
      <c r="C11" s="61">
        <f t="shared" ref="C11:H17" si="0">ROUNDUP(2*$F$4*(1-$F$4)*(NORMSINV(1-C$10/2)+NORMSINV(1-$B11))*(NORMSINV(1-C$10/2)+NORMSINV(1-$B11))/(($F$6-$F$7)*($F$6-$F$7)),0)</f>
        <v>2260</v>
      </c>
      <c r="D11" s="61">
        <f t="shared" si="0"/>
        <v>1782</v>
      </c>
      <c r="E11" s="61">
        <f t="shared" si="0"/>
        <v>1629</v>
      </c>
      <c r="F11" s="61">
        <f t="shared" si="0"/>
        <v>1416</v>
      </c>
      <c r="G11" s="61">
        <f t="shared" si="0"/>
        <v>1245</v>
      </c>
      <c r="H11" s="61">
        <f t="shared" si="0"/>
        <v>1139</v>
      </c>
      <c r="I11" s="26"/>
    </row>
    <row r="12" spans="1:9" x14ac:dyDescent="0.2">
      <c r="A12" s="26"/>
      <c r="B12" s="63">
        <v>0.01</v>
      </c>
      <c r="C12" s="61">
        <f t="shared" si="0"/>
        <v>1751</v>
      </c>
      <c r="D12" s="61">
        <f t="shared" si="0"/>
        <v>1334</v>
      </c>
      <c r="E12" s="61">
        <f t="shared" si="0"/>
        <v>1202</v>
      </c>
      <c r="F12" s="61">
        <f t="shared" si="0"/>
        <v>1020</v>
      </c>
      <c r="G12" s="61">
        <f t="shared" si="0"/>
        <v>876</v>
      </c>
      <c r="H12" s="61">
        <f t="shared" si="0"/>
        <v>788</v>
      </c>
      <c r="I12" s="26"/>
    </row>
    <row r="13" spans="1:9" x14ac:dyDescent="0.2">
      <c r="A13" s="26"/>
      <c r="B13" s="63">
        <v>0.02</v>
      </c>
      <c r="C13" s="61">
        <f t="shared" si="0"/>
        <v>1586</v>
      </c>
      <c r="D13" s="61">
        <f t="shared" si="0"/>
        <v>1190</v>
      </c>
      <c r="E13" s="61">
        <f t="shared" si="0"/>
        <v>1065</v>
      </c>
      <c r="F13" s="61">
        <f t="shared" si="0"/>
        <v>895</v>
      </c>
      <c r="G13" s="61">
        <f t="shared" si="0"/>
        <v>760</v>
      </c>
      <c r="H13" s="61">
        <f t="shared" si="0"/>
        <v>678</v>
      </c>
      <c r="I13" s="26"/>
    </row>
    <row r="14" spans="1:9" x14ac:dyDescent="0.2">
      <c r="A14" s="26"/>
      <c r="B14" s="63">
        <v>0.05</v>
      </c>
      <c r="C14" s="61">
        <f t="shared" si="0"/>
        <v>1352</v>
      </c>
      <c r="D14" s="61">
        <f t="shared" si="0"/>
        <v>989</v>
      </c>
      <c r="E14" s="61">
        <f t="shared" si="0"/>
        <v>876</v>
      </c>
      <c r="F14" s="61">
        <f t="shared" si="0"/>
        <v>722</v>
      </c>
      <c r="G14" s="61">
        <f t="shared" si="0"/>
        <v>601</v>
      </c>
      <c r="H14" s="61">
        <f t="shared" si="0"/>
        <v>528</v>
      </c>
      <c r="I14" s="26"/>
    </row>
    <row r="15" spans="1:9" x14ac:dyDescent="0.2">
      <c r="A15" s="26"/>
      <c r="B15" s="63">
        <v>0.1</v>
      </c>
      <c r="C15" s="61">
        <f t="shared" si="0"/>
        <v>1161</v>
      </c>
      <c r="D15" s="61">
        <f t="shared" si="0"/>
        <v>826</v>
      </c>
      <c r="E15" s="61">
        <f t="shared" si="0"/>
        <v>723</v>
      </c>
      <c r="F15" s="61">
        <f t="shared" si="0"/>
        <v>584</v>
      </c>
      <c r="G15" s="61">
        <f t="shared" si="0"/>
        <v>476</v>
      </c>
      <c r="H15" s="61">
        <f t="shared" si="0"/>
        <v>411</v>
      </c>
      <c r="I15" s="26"/>
    </row>
    <row r="16" spans="1:9" x14ac:dyDescent="0.2">
      <c r="A16" s="26"/>
      <c r="B16" s="63">
        <v>0.2</v>
      </c>
      <c r="C16" s="61">
        <f t="shared" si="0"/>
        <v>948</v>
      </c>
      <c r="D16" s="61">
        <f t="shared" si="0"/>
        <v>649</v>
      </c>
      <c r="E16" s="61">
        <f t="shared" si="0"/>
        <v>557</v>
      </c>
      <c r="F16" s="61">
        <f t="shared" si="0"/>
        <v>436</v>
      </c>
      <c r="G16" s="61">
        <f t="shared" si="0"/>
        <v>344</v>
      </c>
      <c r="H16" s="61">
        <f t="shared" si="0"/>
        <v>289</v>
      </c>
      <c r="I16" s="26"/>
    </row>
    <row r="17" spans="1:9" x14ac:dyDescent="0.2">
      <c r="A17" s="26"/>
      <c r="B17" s="72">
        <v>0.25</v>
      </c>
      <c r="C17" s="61">
        <f t="shared" si="0"/>
        <v>873</v>
      </c>
      <c r="D17" s="61">
        <f t="shared" si="0"/>
        <v>587</v>
      </c>
      <c r="E17" s="61">
        <f t="shared" si="0"/>
        <v>500</v>
      </c>
      <c r="F17" s="61">
        <f t="shared" si="0"/>
        <v>386</v>
      </c>
      <c r="G17" s="61">
        <f t="shared" si="0"/>
        <v>299</v>
      </c>
      <c r="H17" s="61">
        <f t="shared" si="0"/>
        <v>249</v>
      </c>
      <c r="I17" s="26"/>
    </row>
    <row r="18" spans="1:9" ht="13.5" thickBot="1" x14ac:dyDescent="0.25">
      <c r="A18" s="26"/>
      <c r="B18" s="26"/>
      <c r="C18" s="26"/>
      <c r="D18" s="26"/>
      <c r="E18" s="26"/>
      <c r="F18" s="26"/>
      <c r="G18" s="26"/>
      <c r="H18" s="26"/>
      <c r="I18" s="26"/>
    </row>
    <row r="19" spans="1:9" ht="13.5" thickBot="1" x14ac:dyDescent="0.25">
      <c r="A19" s="26"/>
      <c r="B19" s="43" t="s">
        <v>44</v>
      </c>
      <c r="C19" s="44"/>
      <c r="D19" s="44"/>
      <c r="E19" s="44"/>
      <c r="F19" s="44"/>
      <c r="G19" s="44"/>
      <c r="H19" s="45"/>
      <c r="I19" s="26"/>
    </row>
    <row r="20" spans="1:9" ht="13.5" thickBot="1" x14ac:dyDescent="0.25">
      <c r="A20" s="26"/>
      <c r="B20" s="26"/>
      <c r="C20" s="26"/>
      <c r="D20" s="26"/>
      <c r="E20" s="26"/>
      <c r="F20" s="26"/>
      <c r="G20" s="26"/>
      <c r="H20" s="26"/>
      <c r="I20" s="26"/>
    </row>
    <row r="21" spans="1:9" x14ac:dyDescent="0.2">
      <c r="A21" s="26"/>
      <c r="B21" s="10" t="s">
        <v>40</v>
      </c>
      <c r="C21" s="38"/>
      <c r="D21" s="38"/>
      <c r="E21" s="38"/>
      <c r="F21" s="38"/>
      <c r="G21" s="38"/>
      <c r="H21" s="4"/>
      <c r="I21" s="26"/>
    </row>
    <row r="22" spans="1:9" x14ac:dyDescent="0.2">
      <c r="A22" s="26"/>
      <c r="B22" s="56" t="s">
        <v>41</v>
      </c>
      <c r="C22" s="57"/>
      <c r="D22" s="57"/>
      <c r="E22" s="57"/>
      <c r="F22" s="57"/>
      <c r="G22" s="57"/>
      <c r="H22" s="11"/>
      <c r="I22" s="26"/>
    </row>
    <row r="23" spans="1:9" ht="13.5" thickBot="1" x14ac:dyDescent="0.25">
      <c r="A23" s="26"/>
      <c r="B23" s="58" t="s">
        <v>42</v>
      </c>
      <c r="C23" s="39"/>
      <c r="D23" s="39"/>
      <c r="E23" s="39"/>
      <c r="F23" s="39"/>
      <c r="G23" s="39"/>
      <c r="H23" s="5"/>
      <c r="I23" s="26"/>
    </row>
    <row r="24" spans="1:9" x14ac:dyDescent="0.2">
      <c r="A24" s="26"/>
      <c r="B24" s="26"/>
      <c r="C24" s="26"/>
      <c r="D24" s="26"/>
      <c r="E24" s="26"/>
      <c r="F24" s="26"/>
      <c r="G24" s="26"/>
      <c r="H24" s="26"/>
      <c r="I24" s="26"/>
    </row>
    <row r="25" spans="1:9" x14ac:dyDescent="0.2">
      <c r="A25" s="26"/>
      <c r="B25" s="26"/>
      <c r="C25" s="26"/>
      <c r="D25" s="26"/>
      <c r="E25" s="26"/>
      <c r="F25" s="26"/>
      <c r="G25" s="26"/>
      <c r="H25" s="26"/>
      <c r="I25" s="26"/>
    </row>
    <row r="26" spans="1:9" x14ac:dyDescent="0.2">
      <c r="A26" s="26"/>
      <c r="B26" s="26"/>
      <c r="C26" s="26"/>
      <c r="D26" s="26"/>
      <c r="E26" s="26"/>
      <c r="F26" s="26"/>
      <c r="G26" s="26"/>
      <c r="H26" s="26"/>
      <c r="I26" s="26"/>
    </row>
    <row r="27" spans="1:9" x14ac:dyDescent="0.2">
      <c r="A27" s="26"/>
      <c r="B27" s="26"/>
      <c r="C27" s="26"/>
      <c r="D27" s="26"/>
      <c r="E27" s="26"/>
      <c r="F27" s="26"/>
      <c r="G27" s="26"/>
      <c r="H27" s="26"/>
      <c r="I27" s="26"/>
    </row>
    <row r="28" spans="1:9" x14ac:dyDescent="0.2">
      <c r="A28" s="26"/>
      <c r="B28" s="26"/>
      <c r="C28" s="26"/>
      <c r="D28" s="26"/>
      <c r="E28" s="26"/>
      <c r="F28" s="26"/>
      <c r="G28" s="26"/>
      <c r="H28" s="26"/>
      <c r="I28" s="26"/>
    </row>
    <row r="29" spans="1:9" x14ac:dyDescent="0.2">
      <c r="A29" s="26"/>
      <c r="B29" s="26"/>
      <c r="C29" s="26"/>
      <c r="D29" s="26"/>
      <c r="E29" s="26"/>
      <c r="F29" s="26"/>
      <c r="G29" s="26"/>
      <c r="H29" s="26"/>
      <c r="I29" s="26"/>
    </row>
  </sheetData>
  <sheetProtection password="EA44" sheet="1" objects="1" scenarios="1" selectLockedCells="1"/>
  <phoneticPr fontId="4" type="noConversion"/>
  <pageMargins left="0.78740157499999996" right="0.78740157499999996" top="0.984251969" bottom="0.984251969" header="0.49212598499999999" footer="0.49212598499999999"/>
  <pageSetup orientation="portrait" horizontalDpi="200" verticalDpi="200" copies="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01"/>
  <sheetViews>
    <sheetView showRowColHeaders="0" workbookViewId="0">
      <selection activeCell="B8" sqref="B8"/>
    </sheetView>
  </sheetViews>
  <sheetFormatPr defaultRowHeight="12.75" x14ac:dyDescent="0.2"/>
  <cols>
    <col min="1" max="1" width="2.85546875" style="554" customWidth="1"/>
    <col min="2" max="3" width="9.140625" style="554"/>
    <col min="4" max="4" width="9.42578125" style="554" customWidth="1"/>
    <col min="5" max="5" width="2.140625" style="554" customWidth="1"/>
    <col min="6" max="6" width="9.5703125" style="554" customWidth="1"/>
    <col min="7" max="7" width="9.140625" style="554"/>
    <col min="8" max="8" width="10.5703125" style="554" customWidth="1"/>
    <col min="9" max="9" width="9" style="554" customWidth="1"/>
    <col min="10" max="10" width="2.28515625" style="554" customWidth="1"/>
    <col min="11" max="15" width="9.140625" style="554"/>
    <col min="16" max="16" width="3.5703125" style="554" customWidth="1"/>
    <col min="17" max="17" width="9" style="554" customWidth="1"/>
    <col min="18" max="25" width="9" style="558" customWidth="1"/>
    <col min="26" max="47" width="9" style="554" customWidth="1"/>
    <col min="48" max="16384" width="9.140625" style="554"/>
  </cols>
  <sheetData>
    <row r="1" spans="1:25" ht="10.5" customHeight="1" thickBot="1" x14ac:dyDescent="0.25">
      <c r="A1" s="557"/>
      <c r="B1" s="557"/>
      <c r="C1" s="557"/>
      <c r="D1" s="557"/>
      <c r="E1" s="557"/>
      <c r="F1" s="557"/>
      <c r="G1" s="557"/>
      <c r="H1" s="557"/>
      <c r="I1" s="557"/>
      <c r="J1" s="557"/>
      <c r="K1" s="557"/>
      <c r="L1" s="557"/>
      <c r="M1" s="557"/>
      <c r="N1" s="557"/>
      <c r="O1" s="557"/>
      <c r="P1" s="557"/>
      <c r="R1" s="558">
        <v>0</v>
      </c>
      <c r="S1" s="558">
        <f t="shared" ref="S1:S64" si="0">$D$7-R1</f>
        <v>86</v>
      </c>
      <c r="T1" s="558">
        <f t="shared" ref="T1:T64" si="1">$B$9-R1</f>
        <v>97</v>
      </c>
      <c r="U1" s="558">
        <f t="shared" ref="U1:U64" si="2">$D$9-SUM(R1:T1)</f>
        <v>-33</v>
      </c>
      <c r="V1" s="558">
        <f>IF(S1&gt;=0,IF(T1&gt;=0,IF(U1&gt;=0,1,0),0),0)</f>
        <v>0</v>
      </c>
      <c r="W1" s="558">
        <f t="shared" ref="W1:W64" si="3">_xlfn.HYPGEOM.DIST(R1,R1+T1,R1+S1,SUM(R1:U1),0)</f>
        <v>0</v>
      </c>
      <c r="X1" s="558">
        <f t="shared" ref="X1:X64" si="4">IF(R1=$B$7,W1,0)</f>
        <v>0</v>
      </c>
      <c r="Y1" s="558">
        <f>IF(W1&lt;=SUM($X$1:$X$1101),W1,0)</f>
        <v>0</v>
      </c>
    </row>
    <row r="2" spans="1:25" ht="14.25" customHeight="1" thickBot="1" x14ac:dyDescent="0.25">
      <c r="A2" s="557"/>
      <c r="B2" s="559" t="s">
        <v>332</v>
      </c>
      <c r="C2" s="560"/>
      <c r="D2" s="560"/>
      <c r="E2" s="560"/>
      <c r="F2" s="561"/>
      <c r="G2" s="557"/>
      <c r="H2" s="557"/>
      <c r="I2" s="557"/>
      <c r="J2" s="557"/>
      <c r="K2" s="557"/>
      <c r="L2" s="557"/>
      <c r="M2" s="557"/>
      <c r="N2" s="557"/>
      <c r="O2" s="557"/>
      <c r="P2" s="557"/>
      <c r="R2" s="558">
        <v>1</v>
      </c>
      <c r="S2" s="558">
        <f t="shared" si="0"/>
        <v>85</v>
      </c>
      <c r="T2" s="558">
        <f t="shared" si="1"/>
        <v>96</v>
      </c>
      <c r="U2" s="558">
        <f t="shared" si="2"/>
        <v>-32</v>
      </c>
      <c r="V2" s="558">
        <f t="shared" ref="V2:V65" si="5">IF(S2&gt;=0,IF(T2&gt;=0,IF(U2&gt;=0,1,0),0),0)</f>
        <v>0</v>
      </c>
      <c r="W2" s="558">
        <f t="shared" si="3"/>
        <v>0</v>
      </c>
      <c r="X2" s="558">
        <f t="shared" si="4"/>
        <v>0</v>
      </c>
      <c r="Y2" s="558">
        <f t="shared" ref="Y2:Y65" si="6">IF(W2&lt;=SUM($X$1:$X$1101),W2,0)</f>
        <v>0</v>
      </c>
    </row>
    <row r="3" spans="1:25" ht="15" customHeight="1" thickBot="1" x14ac:dyDescent="0.25">
      <c r="A3" s="557"/>
      <c r="B3" s="557"/>
      <c r="C3" s="557"/>
      <c r="D3" s="557"/>
      <c r="E3" s="557"/>
      <c r="F3" s="557"/>
      <c r="G3" s="557"/>
      <c r="H3" s="557"/>
      <c r="I3" s="557"/>
      <c r="J3" s="557"/>
      <c r="K3" s="557"/>
      <c r="L3" s="557"/>
      <c r="M3" s="557"/>
      <c r="N3" s="557"/>
      <c r="O3" s="557"/>
      <c r="P3" s="557"/>
      <c r="R3" s="558">
        <v>2</v>
      </c>
      <c r="S3" s="558">
        <f t="shared" si="0"/>
        <v>84</v>
      </c>
      <c r="T3" s="558">
        <f t="shared" si="1"/>
        <v>95</v>
      </c>
      <c r="U3" s="558">
        <f t="shared" si="2"/>
        <v>-31</v>
      </c>
      <c r="V3" s="558">
        <f t="shared" si="5"/>
        <v>0</v>
      </c>
      <c r="W3" s="558">
        <f t="shared" si="3"/>
        <v>0</v>
      </c>
      <c r="X3" s="558">
        <f t="shared" si="4"/>
        <v>0</v>
      </c>
      <c r="Y3" s="558">
        <f t="shared" si="6"/>
        <v>0</v>
      </c>
    </row>
    <row r="4" spans="1:25" ht="13.5" thickBot="1" x14ac:dyDescent="0.25">
      <c r="A4" s="557"/>
      <c r="B4" s="562" t="s">
        <v>333</v>
      </c>
      <c r="C4" s="560"/>
      <c r="D4" s="561"/>
      <c r="E4" s="557"/>
      <c r="F4" s="557"/>
      <c r="G4" s="562" t="s">
        <v>334</v>
      </c>
      <c r="H4" s="560"/>
      <c r="I4" s="561"/>
      <c r="J4" s="557"/>
      <c r="K4" s="557"/>
      <c r="L4" s="562" t="s">
        <v>335</v>
      </c>
      <c r="M4" s="560"/>
      <c r="N4" s="560"/>
      <c r="O4" s="561"/>
      <c r="P4" s="557"/>
      <c r="R4" s="558">
        <v>3</v>
      </c>
      <c r="S4" s="558">
        <f t="shared" si="0"/>
        <v>83</v>
      </c>
      <c r="T4" s="558">
        <f t="shared" si="1"/>
        <v>94</v>
      </c>
      <c r="U4" s="558">
        <f t="shared" si="2"/>
        <v>-30</v>
      </c>
      <c r="V4" s="558">
        <f t="shared" si="5"/>
        <v>0</v>
      </c>
      <c r="W4" s="558">
        <f t="shared" si="3"/>
        <v>0</v>
      </c>
      <c r="X4" s="558">
        <f t="shared" si="4"/>
        <v>0</v>
      </c>
      <c r="Y4" s="558">
        <f t="shared" si="6"/>
        <v>0</v>
      </c>
    </row>
    <row r="5" spans="1:25" x14ac:dyDescent="0.2">
      <c r="A5" s="557"/>
      <c r="B5" s="557"/>
      <c r="C5" s="557"/>
      <c r="D5" s="557"/>
      <c r="E5" s="557"/>
      <c r="F5" s="557"/>
      <c r="G5" s="557"/>
      <c r="H5" s="557"/>
      <c r="I5" s="557"/>
      <c r="J5" s="557"/>
      <c r="K5" s="557"/>
      <c r="L5" s="557"/>
      <c r="M5" s="557"/>
      <c r="N5" s="557"/>
      <c r="O5" s="557"/>
      <c r="P5" s="557"/>
      <c r="R5" s="558">
        <v>4</v>
      </c>
      <c r="S5" s="558">
        <f t="shared" si="0"/>
        <v>82</v>
      </c>
      <c r="T5" s="558">
        <f t="shared" si="1"/>
        <v>93</v>
      </c>
      <c r="U5" s="558">
        <f t="shared" si="2"/>
        <v>-29</v>
      </c>
      <c r="V5" s="558">
        <f t="shared" si="5"/>
        <v>0</v>
      </c>
      <c r="W5" s="558">
        <f t="shared" si="3"/>
        <v>0</v>
      </c>
      <c r="X5" s="558">
        <f t="shared" si="4"/>
        <v>0</v>
      </c>
      <c r="Y5" s="558">
        <f t="shared" si="6"/>
        <v>0</v>
      </c>
    </row>
    <row r="6" spans="1:25" ht="13.5" thickBot="1" x14ac:dyDescent="0.25">
      <c r="A6" s="557"/>
      <c r="B6" s="557"/>
      <c r="C6" s="557"/>
      <c r="D6" s="563" t="s">
        <v>7</v>
      </c>
      <c r="E6" s="557"/>
      <c r="F6" s="557"/>
      <c r="G6" s="557"/>
      <c r="H6" s="557"/>
      <c r="I6" s="563" t="s">
        <v>7</v>
      </c>
      <c r="J6" s="557"/>
      <c r="K6" s="557"/>
      <c r="L6" s="557"/>
      <c r="M6" s="557"/>
      <c r="N6" s="563" t="s">
        <v>7</v>
      </c>
      <c r="O6" s="557"/>
      <c r="P6" s="557"/>
      <c r="R6" s="558">
        <v>5</v>
      </c>
      <c r="S6" s="558">
        <f t="shared" si="0"/>
        <v>81</v>
      </c>
      <c r="T6" s="558">
        <f t="shared" si="1"/>
        <v>92</v>
      </c>
      <c r="U6" s="558">
        <f t="shared" si="2"/>
        <v>-28</v>
      </c>
      <c r="V6" s="558">
        <f t="shared" si="5"/>
        <v>0</v>
      </c>
      <c r="W6" s="558">
        <f t="shared" si="3"/>
        <v>0</v>
      </c>
      <c r="X6" s="558">
        <f t="shared" si="4"/>
        <v>0</v>
      </c>
      <c r="Y6" s="558">
        <f t="shared" si="6"/>
        <v>0</v>
      </c>
    </row>
    <row r="7" spans="1:25" x14ac:dyDescent="0.2">
      <c r="A7" s="557"/>
      <c r="B7" s="601">
        <v>65</v>
      </c>
      <c r="C7" s="602">
        <v>21</v>
      </c>
      <c r="D7" s="606">
        <f>SUM(B7:C7)</f>
        <v>86</v>
      </c>
      <c r="E7" s="557"/>
      <c r="F7" s="557"/>
      <c r="G7" s="565">
        <f>D7*B9/D9</f>
        <v>55.613333333333337</v>
      </c>
      <c r="H7" s="566">
        <f>D7*C9/D9</f>
        <v>30.386666666666667</v>
      </c>
      <c r="I7" s="564">
        <f>SUM(G7:H7)</f>
        <v>86</v>
      </c>
      <c r="J7" s="557"/>
      <c r="K7" s="557"/>
      <c r="L7" s="567">
        <f>(B7-G7)^2/G7</f>
        <v>1.5843235035563001</v>
      </c>
      <c r="M7" s="568">
        <f>(C7-H7)^2/H7</f>
        <v>2.8996109404709669</v>
      </c>
      <c r="N7" s="569">
        <f>SUM(L7:M7)</f>
        <v>4.483934444027267</v>
      </c>
      <c r="O7" s="557"/>
      <c r="P7" s="557"/>
      <c r="R7" s="558">
        <v>6</v>
      </c>
      <c r="S7" s="558">
        <f t="shared" si="0"/>
        <v>80</v>
      </c>
      <c r="T7" s="558">
        <f t="shared" si="1"/>
        <v>91</v>
      </c>
      <c r="U7" s="558">
        <f t="shared" si="2"/>
        <v>-27</v>
      </c>
      <c r="V7" s="558">
        <f t="shared" si="5"/>
        <v>0</v>
      </c>
      <c r="W7" s="558">
        <f t="shared" si="3"/>
        <v>0</v>
      </c>
      <c r="X7" s="558">
        <f t="shared" si="4"/>
        <v>0</v>
      </c>
      <c r="Y7" s="558">
        <f t="shared" si="6"/>
        <v>0</v>
      </c>
    </row>
    <row r="8" spans="1:25" x14ac:dyDescent="0.2">
      <c r="A8" s="557"/>
      <c r="B8" s="603">
        <v>32</v>
      </c>
      <c r="C8" s="604">
        <v>32</v>
      </c>
      <c r="D8" s="607">
        <f>SUM(B8:C8)</f>
        <v>64</v>
      </c>
      <c r="E8" s="557"/>
      <c r="F8" s="557"/>
      <c r="G8" s="571">
        <f>D8*B9/D9</f>
        <v>41.386666666666663</v>
      </c>
      <c r="H8" s="572">
        <f>D8*C9/D9</f>
        <v>22.613333333333333</v>
      </c>
      <c r="I8" s="570">
        <f>SUM(G8:H8)</f>
        <v>64</v>
      </c>
      <c r="J8" s="557"/>
      <c r="K8" s="557"/>
      <c r="L8" s="573">
        <f>(B8-G8)^2/G8</f>
        <v>2.1289347079037788</v>
      </c>
      <c r="M8" s="574">
        <f>(C8-H8)^2/H8</f>
        <v>3.8963522012578617</v>
      </c>
      <c r="N8" s="575">
        <f>SUM(L8:M8)</f>
        <v>6.0252869091616406</v>
      </c>
      <c r="O8" s="557"/>
      <c r="P8" s="557"/>
      <c r="R8" s="558">
        <v>7</v>
      </c>
      <c r="S8" s="558">
        <f t="shared" si="0"/>
        <v>79</v>
      </c>
      <c r="T8" s="558">
        <f t="shared" si="1"/>
        <v>90</v>
      </c>
      <c r="U8" s="558">
        <f t="shared" si="2"/>
        <v>-26</v>
      </c>
      <c r="V8" s="558">
        <f t="shared" si="5"/>
        <v>0</v>
      </c>
      <c r="W8" s="558">
        <f t="shared" si="3"/>
        <v>0</v>
      </c>
      <c r="X8" s="558">
        <f t="shared" si="4"/>
        <v>0</v>
      </c>
      <c r="Y8" s="558">
        <f t="shared" si="6"/>
        <v>0</v>
      </c>
    </row>
    <row r="9" spans="1:25" ht="13.5" thickBot="1" x14ac:dyDescent="0.25">
      <c r="A9" s="557"/>
      <c r="B9" s="540">
        <f>SUM(B7:B8)</f>
        <v>97</v>
      </c>
      <c r="C9" s="541">
        <f>SUM(C7:C8)</f>
        <v>53</v>
      </c>
      <c r="D9" s="608">
        <f>SUM(D7:D8)</f>
        <v>150</v>
      </c>
      <c r="E9" s="557"/>
      <c r="F9" s="563" t="s">
        <v>7</v>
      </c>
      <c r="G9" s="576">
        <f>SUM(G7:G8)</f>
        <v>97</v>
      </c>
      <c r="H9" s="577">
        <f>SUM(H7:H8)</f>
        <v>53</v>
      </c>
      <c r="I9" s="578">
        <f>SUM(I7:I8)</f>
        <v>150</v>
      </c>
      <c r="J9" s="557"/>
      <c r="K9" s="563" t="s">
        <v>7</v>
      </c>
      <c r="L9" s="579">
        <f>SUM(L7:L8)</f>
        <v>3.713258211460079</v>
      </c>
      <c r="M9" s="580">
        <f>SUM(M7:M8)</f>
        <v>6.7959631417288282</v>
      </c>
      <c r="N9" s="581">
        <f>SUM(N7:N8)</f>
        <v>10.509221353188908</v>
      </c>
      <c r="O9" s="557"/>
      <c r="P9" s="557"/>
      <c r="R9" s="558">
        <v>8</v>
      </c>
      <c r="S9" s="558">
        <f t="shared" si="0"/>
        <v>78</v>
      </c>
      <c r="T9" s="558">
        <f t="shared" si="1"/>
        <v>89</v>
      </c>
      <c r="U9" s="558">
        <f t="shared" si="2"/>
        <v>-25</v>
      </c>
      <c r="V9" s="558">
        <f t="shared" si="5"/>
        <v>0</v>
      </c>
      <c r="W9" s="558">
        <f t="shared" si="3"/>
        <v>0</v>
      </c>
      <c r="X9" s="558">
        <f t="shared" si="4"/>
        <v>0</v>
      </c>
      <c r="Y9" s="558">
        <f t="shared" si="6"/>
        <v>0</v>
      </c>
    </row>
    <row r="10" spans="1:25" x14ac:dyDescent="0.2">
      <c r="A10" s="557"/>
      <c r="B10" s="557"/>
      <c r="C10" s="557"/>
      <c r="D10" s="557"/>
      <c r="E10" s="557"/>
      <c r="F10" s="557"/>
      <c r="G10" s="557"/>
      <c r="H10" s="557"/>
      <c r="I10" s="557"/>
      <c r="J10" s="557"/>
      <c r="K10" s="557"/>
      <c r="L10" s="557"/>
      <c r="M10" s="557"/>
      <c r="N10" s="557"/>
      <c r="O10" s="557"/>
      <c r="P10" s="557"/>
      <c r="R10" s="558">
        <v>9</v>
      </c>
      <c r="S10" s="558">
        <f t="shared" si="0"/>
        <v>77</v>
      </c>
      <c r="T10" s="558">
        <f t="shared" si="1"/>
        <v>88</v>
      </c>
      <c r="U10" s="558">
        <f t="shared" si="2"/>
        <v>-24</v>
      </c>
      <c r="V10" s="558">
        <f t="shared" si="5"/>
        <v>0</v>
      </c>
      <c r="W10" s="558">
        <f t="shared" si="3"/>
        <v>0</v>
      </c>
      <c r="X10" s="558">
        <f t="shared" si="4"/>
        <v>0</v>
      </c>
      <c r="Y10" s="558">
        <f t="shared" si="6"/>
        <v>0</v>
      </c>
    </row>
    <row r="11" spans="1:25" ht="11.25" customHeight="1" x14ac:dyDescent="0.2">
      <c r="A11" s="557"/>
      <c r="B11" s="557"/>
      <c r="C11" s="557"/>
      <c r="D11" s="557"/>
      <c r="E11" s="557"/>
      <c r="F11" s="557"/>
      <c r="G11" s="557"/>
      <c r="H11" s="557"/>
      <c r="I11" s="582"/>
      <c r="J11" s="582"/>
      <c r="K11" s="582"/>
      <c r="L11" s="582"/>
      <c r="M11" s="582"/>
      <c r="N11" s="582"/>
      <c r="O11" s="582"/>
      <c r="P11" s="582"/>
      <c r="R11" s="558">
        <v>10</v>
      </c>
      <c r="S11" s="558">
        <f t="shared" si="0"/>
        <v>76</v>
      </c>
      <c r="T11" s="558">
        <f t="shared" si="1"/>
        <v>87</v>
      </c>
      <c r="U11" s="558">
        <f t="shared" si="2"/>
        <v>-23</v>
      </c>
      <c r="V11" s="558">
        <f t="shared" si="5"/>
        <v>0</v>
      </c>
      <c r="W11" s="558">
        <f t="shared" si="3"/>
        <v>0</v>
      </c>
      <c r="X11" s="558">
        <f t="shared" si="4"/>
        <v>0</v>
      </c>
      <c r="Y11" s="558">
        <f t="shared" si="6"/>
        <v>0</v>
      </c>
    </row>
    <row r="12" spans="1:25" ht="13.5" thickBot="1" x14ac:dyDescent="0.25">
      <c r="A12" s="557"/>
      <c r="B12" s="557" t="s">
        <v>336</v>
      </c>
      <c r="C12" s="557"/>
      <c r="D12" s="557"/>
      <c r="E12" s="557"/>
      <c r="F12" s="557" t="s">
        <v>337</v>
      </c>
      <c r="G12" s="563" t="s">
        <v>85</v>
      </c>
      <c r="H12" s="563" t="s">
        <v>338</v>
      </c>
      <c r="I12" s="582"/>
      <c r="J12" s="582"/>
      <c r="K12" s="582"/>
      <c r="L12" s="583">
        <f>(ABS(B7-G7)-0.5)^2/G7</f>
        <v>1.420034364261167</v>
      </c>
      <c r="M12" s="583">
        <f>(ABS(C7-H7)-0.5)^2/H7</f>
        <v>2.5989308176100629</v>
      </c>
      <c r="N12" s="583">
        <f>SUM(L12:M12)</f>
        <v>4.0189651818712298</v>
      </c>
      <c r="O12" s="582"/>
      <c r="P12" s="582"/>
      <c r="R12" s="558">
        <v>11</v>
      </c>
      <c r="S12" s="558">
        <f t="shared" si="0"/>
        <v>75</v>
      </c>
      <c r="T12" s="558">
        <f t="shared" si="1"/>
        <v>86</v>
      </c>
      <c r="U12" s="558">
        <f t="shared" si="2"/>
        <v>-22</v>
      </c>
      <c r="V12" s="558">
        <f t="shared" si="5"/>
        <v>0</v>
      </c>
      <c r="W12" s="558">
        <f t="shared" si="3"/>
        <v>0</v>
      </c>
      <c r="X12" s="558">
        <f t="shared" si="4"/>
        <v>0</v>
      </c>
      <c r="Y12" s="558">
        <f t="shared" si="6"/>
        <v>0</v>
      </c>
    </row>
    <row r="13" spans="1:25" x14ac:dyDescent="0.2">
      <c r="A13" s="557"/>
      <c r="B13" s="584" t="s">
        <v>339</v>
      </c>
      <c r="C13" s="585"/>
      <c r="D13" s="585"/>
      <c r="E13" s="585"/>
      <c r="F13" s="586">
        <f>N9</f>
        <v>10.509221353188908</v>
      </c>
      <c r="G13" s="529">
        <v>1</v>
      </c>
      <c r="H13" s="587" t="str">
        <f>IF(I13&lt;0.01,"&lt;0,01",ROUNDUP(I13,4))</f>
        <v>&lt;0,01</v>
      </c>
      <c r="I13" s="582">
        <f>_xlfn.CHISQ.DIST.RT(F13,G13)</f>
        <v>1.1878029613755579E-3</v>
      </c>
      <c r="J13" s="582"/>
      <c r="K13" s="582"/>
      <c r="L13" s="583">
        <f>(ABS(B8-G8)-0.5)^2/G8</f>
        <v>1.9081711769759435</v>
      </c>
      <c r="M13" s="583">
        <f>(ABS(C8-H8)-0.5)^2/H8</f>
        <v>3.492313286163522</v>
      </c>
      <c r="N13" s="583">
        <f>SUM(L13:M13)</f>
        <v>5.4004844631394651</v>
      </c>
      <c r="O13" s="582"/>
      <c r="P13" s="582"/>
      <c r="R13" s="558">
        <v>12</v>
      </c>
      <c r="S13" s="558">
        <f t="shared" si="0"/>
        <v>74</v>
      </c>
      <c r="T13" s="558">
        <f t="shared" si="1"/>
        <v>85</v>
      </c>
      <c r="U13" s="558">
        <f t="shared" si="2"/>
        <v>-21</v>
      </c>
      <c r="V13" s="558">
        <f t="shared" si="5"/>
        <v>0</v>
      </c>
      <c r="W13" s="558">
        <f t="shared" si="3"/>
        <v>0</v>
      </c>
      <c r="X13" s="558">
        <f t="shared" si="4"/>
        <v>0</v>
      </c>
      <c r="Y13" s="558">
        <f t="shared" si="6"/>
        <v>0</v>
      </c>
    </row>
    <row r="14" spans="1:25" x14ac:dyDescent="0.2">
      <c r="A14" s="557"/>
      <c r="B14" s="588" t="s">
        <v>340</v>
      </c>
      <c r="C14" s="589"/>
      <c r="D14" s="589"/>
      <c r="E14" s="589"/>
      <c r="F14" s="590">
        <f>N14</f>
        <v>9.4194496450106939</v>
      </c>
      <c r="G14" s="591">
        <v>1</v>
      </c>
      <c r="H14" s="592" t="str">
        <f>IF(I14&lt;0.01,"&lt;0,01",ROUNDUP(I14,4))</f>
        <v>&lt;0,01</v>
      </c>
      <c r="I14" s="582">
        <f>_xlfn.CHISQ.DIST.RT(F14,G14)</f>
        <v>2.1469594806253485E-3</v>
      </c>
      <c r="J14" s="582"/>
      <c r="K14" s="582"/>
      <c r="L14" s="583">
        <f>SUM(L12:L13)</f>
        <v>3.3282055412371108</v>
      </c>
      <c r="M14" s="583">
        <f>SUM(M12:M13)</f>
        <v>6.0912441037735849</v>
      </c>
      <c r="N14" s="583">
        <f>SUM(N12:N13)</f>
        <v>9.4194496450106939</v>
      </c>
      <c r="O14" s="582"/>
      <c r="P14" s="582"/>
      <c r="R14" s="558">
        <v>13</v>
      </c>
      <c r="S14" s="558">
        <f t="shared" si="0"/>
        <v>73</v>
      </c>
      <c r="T14" s="558">
        <f t="shared" si="1"/>
        <v>84</v>
      </c>
      <c r="U14" s="558">
        <f t="shared" si="2"/>
        <v>-20</v>
      </c>
      <c r="V14" s="558">
        <f t="shared" si="5"/>
        <v>0</v>
      </c>
      <c r="W14" s="558">
        <f t="shared" si="3"/>
        <v>0</v>
      </c>
      <c r="X14" s="558">
        <f t="shared" si="4"/>
        <v>0</v>
      </c>
      <c r="Y14" s="558">
        <f t="shared" si="6"/>
        <v>0</v>
      </c>
    </row>
    <row r="15" spans="1:25" x14ac:dyDescent="0.2">
      <c r="A15" s="557"/>
      <c r="B15" s="588" t="s">
        <v>341</v>
      </c>
      <c r="C15" s="589"/>
      <c r="D15" s="589"/>
      <c r="E15" s="589"/>
      <c r="F15" s="590"/>
      <c r="G15" s="591"/>
      <c r="H15" s="593" t="str">
        <f>IF(K15=1,IF(I15&lt;0.01,"&lt;0,01",ROUNDUP(I15,4)),"não calculado")</f>
        <v>&lt;0,01</v>
      </c>
      <c r="I15" s="582">
        <f>SUM(Y1:Y1101)</f>
        <v>1.7719581622822897E-3</v>
      </c>
      <c r="J15" s="582"/>
      <c r="K15" s="582">
        <f>IF(SUM(V1:V1101)=0,0,1)</f>
        <v>1</v>
      </c>
      <c r="L15" s="583"/>
      <c r="M15" s="583"/>
      <c r="N15" s="583"/>
      <c r="O15" s="582"/>
      <c r="P15" s="582"/>
      <c r="R15" s="558">
        <v>14</v>
      </c>
      <c r="S15" s="558">
        <f t="shared" si="0"/>
        <v>72</v>
      </c>
      <c r="T15" s="558">
        <f t="shared" si="1"/>
        <v>83</v>
      </c>
      <c r="U15" s="558">
        <f t="shared" si="2"/>
        <v>-19</v>
      </c>
      <c r="V15" s="558">
        <f t="shared" si="5"/>
        <v>0</v>
      </c>
      <c r="W15" s="558">
        <f t="shared" si="3"/>
        <v>0</v>
      </c>
      <c r="X15" s="558">
        <f t="shared" si="4"/>
        <v>0</v>
      </c>
      <c r="Y15" s="558">
        <f t="shared" si="6"/>
        <v>0</v>
      </c>
    </row>
    <row r="16" spans="1:25" x14ac:dyDescent="0.2">
      <c r="A16" s="557"/>
      <c r="B16" s="588" t="s">
        <v>342</v>
      </c>
      <c r="C16" s="589"/>
      <c r="D16" s="589"/>
      <c r="E16" s="589"/>
      <c r="F16" s="590">
        <f>D28*2</f>
        <v>10.515428966235799</v>
      </c>
      <c r="G16" s="591">
        <v>1</v>
      </c>
      <c r="H16" s="593" t="str">
        <f t="shared" ref="H16:H17" si="7">IF(I16&lt;0.01,"&lt;0,01",ROUNDUP(I16,4))</f>
        <v>&lt;0,01</v>
      </c>
      <c r="I16" s="582">
        <f>_xlfn.CHISQ.DIST.RT(F16,G16)</f>
        <v>1.1838194770005283E-3</v>
      </c>
      <c r="J16" s="582"/>
      <c r="K16" s="582"/>
      <c r="L16" s="582"/>
      <c r="M16" s="582"/>
      <c r="N16" s="582"/>
      <c r="O16" s="582"/>
      <c r="P16" s="582"/>
      <c r="R16" s="558">
        <v>15</v>
      </c>
      <c r="S16" s="558">
        <f t="shared" si="0"/>
        <v>71</v>
      </c>
      <c r="T16" s="558">
        <f t="shared" si="1"/>
        <v>82</v>
      </c>
      <c r="U16" s="558">
        <f t="shared" si="2"/>
        <v>-18</v>
      </c>
      <c r="V16" s="558">
        <f t="shared" si="5"/>
        <v>0</v>
      </c>
      <c r="W16" s="558">
        <f t="shared" si="3"/>
        <v>0</v>
      </c>
      <c r="X16" s="558">
        <f t="shared" si="4"/>
        <v>0</v>
      </c>
      <c r="Y16" s="558">
        <f t="shared" si="6"/>
        <v>0</v>
      </c>
    </row>
    <row r="17" spans="1:25" ht="13.5" thickBot="1" x14ac:dyDescent="0.25">
      <c r="A17" s="557"/>
      <c r="B17" s="576" t="s">
        <v>343</v>
      </c>
      <c r="C17" s="577"/>
      <c r="D17" s="577"/>
      <c r="E17" s="577"/>
      <c r="F17" s="594">
        <f>IF(G26&gt;0,N22,N25)</f>
        <v>9.4168572124324612</v>
      </c>
      <c r="G17" s="532">
        <v>1</v>
      </c>
      <c r="H17" s="595" t="str">
        <f t="shared" si="7"/>
        <v>&lt;0,01</v>
      </c>
      <c r="I17" s="582">
        <f>_xlfn.CHISQ.DIST.RT(F17,G17)</f>
        <v>2.1499969272963052E-3</v>
      </c>
      <c r="J17" s="582"/>
      <c r="K17" s="582"/>
      <c r="L17" s="582"/>
      <c r="M17" s="582"/>
      <c r="N17" s="582"/>
      <c r="O17" s="582"/>
      <c r="P17" s="582"/>
      <c r="R17" s="558">
        <v>16</v>
      </c>
      <c r="S17" s="558">
        <f t="shared" si="0"/>
        <v>70</v>
      </c>
      <c r="T17" s="558">
        <f t="shared" si="1"/>
        <v>81</v>
      </c>
      <c r="U17" s="558">
        <f t="shared" si="2"/>
        <v>-17</v>
      </c>
      <c r="V17" s="558">
        <f t="shared" si="5"/>
        <v>0</v>
      </c>
      <c r="W17" s="558">
        <f t="shared" si="3"/>
        <v>0</v>
      </c>
      <c r="X17" s="558">
        <f t="shared" si="4"/>
        <v>0</v>
      </c>
      <c r="Y17" s="558">
        <f t="shared" si="6"/>
        <v>0</v>
      </c>
    </row>
    <row r="18" spans="1:25" x14ac:dyDescent="0.2">
      <c r="A18" s="557"/>
      <c r="B18" s="557"/>
      <c r="C18" s="557"/>
      <c r="D18" s="557"/>
      <c r="E18" s="557"/>
      <c r="F18" s="557"/>
      <c r="G18" s="557"/>
      <c r="H18" s="557"/>
      <c r="I18" s="582"/>
      <c r="J18" s="582"/>
      <c r="K18" s="582"/>
      <c r="L18" s="582"/>
      <c r="M18" s="582"/>
      <c r="N18" s="582"/>
      <c r="O18" s="582"/>
      <c r="P18" s="582"/>
      <c r="R18" s="558">
        <v>17</v>
      </c>
      <c r="S18" s="558">
        <f t="shared" si="0"/>
        <v>69</v>
      </c>
      <c r="T18" s="558">
        <f t="shared" si="1"/>
        <v>80</v>
      </c>
      <c r="U18" s="558">
        <f t="shared" si="2"/>
        <v>-16</v>
      </c>
      <c r="V18" s="558">
        <f t="shared" si="5"/>
        <v>0</v>
      </c>
      <c r="W18" s="558">
        <f t="shared" si="3"/>
        <v>0</v>
      </c>
      <c r="X18" s="558">
        <f t="shared" si="4"/>
        <v>0</v>
      </c>
      <c r="Y18" s="558">
        <f t="shared" si="6"/>
        <v>0</v>
      </c>
    </row>
    <row r="19" spans="1:25" ht="13.5" thickBot="1" x14ac:dyDescent="0.25">
      <c r="A19" s="557"/>
      <c r="B19" s="557"/>
      <c r="C19" s="557"/>
      <c r="D19" s="563" t="s">
        <v>344</v>
      </c>
      <c r="E19" s="557"/>
      <c r="F19" s="557"/>
      <c r="G19" s="563" t="str">
        <f>CONCATENATE("IC ",D24*100,"% (Wald)")</f>
        <v>IC 95% (Wald)</v>
      </c>
      <c r="H19" s="557"/>
      <c r="I19" s="582"/>
      <c r="J19" s="582"/>
      <c r="K19" s="582"/>
      <c r="L19" s="582"/>
      <c r="M19" s="582"/>
      <c r="N19" s="582"/>
      <c r="O19" s="582"/>
      <c r="P19" s="582"/>
      <c r="R19" s="558">
        <v>18</v>
      </c>
      <c r="S19" s="558">
        <f t="shared" si="0"/>
        <v>68</v>
      </c>
      <c r="T19" s="558">
        <f t="shared" si="1"/>
        <v>79</v>
      </c>
      <c r="U19" s="558">
        <f t="shared" si="2"/>
        <v>-15</v>
      </c>
      <c r="V19" s="558">
        <f t="shared" si="5"/>
        <v>0</v>
      </c>
      <c r="W19" s="558">
        <f t="shared" si="3"/>
        <v>0</v>
      </c>
      <c r="X19" s="558">
        <f t="shared" si="4"/>
        <v>0</v>
      </c>
      <c r="Y19" s="558">
        <f t="shared" si="6"/>
        <v>0</v>
      </c>
    </row>
    <row r="20" spans="1:25" x14ac:dyDescent="0.2">
      <c r="A20" s="557"/>
      <c r="B20" s="584" t="s">
        <v>345</v>
      </c>
      <c r="C20" s="585"/>
      <c r="D20" s="529">
        <f>(B7*C8)/(C7*B8)</f>
        <v>3.0952380952380953</v>
      </c>
      <c r="E20" s="529"/>
      <c r="F20" s="529"/>
      <c r="G20" s="596" t="str">
        <f>CONCATENATE("(",ROUNDDOWN(EXP(G34),4)," ; ",ROUNDUP(EXP(H34),4),")")</f>
        <v>(1,5457 ; 6,198)</v>
      </c>
      <c r="H20" s="557"/>
      <c r="I20" s="582"/>
      <c r="J20" s="582"/>
      <c r="K20" s="582">
        <f>G28*LN(G28/G7)</f>
        <v>9.5616246826004261</v>
      </c>
      <c r="L20" s="582">
        <f>H28*LN(H28/H7)</f>
        <v>-7.4379460823787706</v>
      </c>
      <c r="M20" s="582">
        <f>SUM(K20:L20)</f>
        <v>2.1236786002216554</v>
      </c>
      <c r="N20" s="582"/>
      <c r="O20" s="582"/>
      <c r="P20" s="582"/>
      <c r="R20" s="558">
        <v>19</v>
      </c>
      <c r="S20" s="558">
        <f t="shared" si="0"/>
        <v>67</v>
      </c>
      <c r="T20" s="558">
        <f t="shared" si="1"/>
        <v>78</v>
      </c>
      <c r="U20" s="558">
        <f t="shared" si="2"/>
        <v>-14</v>
      </c>
      <c r="V20" s="558">
        <f t="shared" si="5"/>
        <v>0</v>
      </c>
      <c r="W20" s="558">
        <f t="shared" si="3"/>
        <v>0</v>
      </c>
      <c r="X20" s="558">
        <f t="shared" si="4"/>
        <v>0</v>
      </c>
      <c r="Y20" s="558">
        <f t="shared" si="6"/>
        <v>0</v>
      </c>
    </row>
    <row r="21" spans="1:25" x14ac:dyDescent="0.2">
      <c r="A21" s="557"/>
      <c r="B21" s="588" t="s">
        <v>346</v>
      </c>
      <c r="C21" s="589"/>
      <c r="D21" s="591">
        <f>1/D20</f>
        <v>0.32307692307692304</v>
      </c>
      <c r="E21" s="591"/>
      <c r="F21" s="591"/>
      <c r="G21" s="592" t="str">
        <f>CONCATENATE("(",ROUNDDOWN(1/EXP(H34),4)," ; ",ROUNDUP(1/EXP(G34),4),")")</f>
        <v>(0,1613 ; 0,647)</v>
      </c>
      <c r="H21" s="557"/>
      <c r="I21" s="582"/>
      <c r="J21" s="582"/>
      <c r="K21" s="582">
        <f>G29*LN(G29/G8)</f>
        <v>-7.8558570490109805</v>
      </c>
      <c r="L21" s="582">
        <f>H29*LN(H29/H8)</f>
        <v>10.440607055005556</v>
      </c>
      <c r="M21" s="582">
        <f t="shared" ref="M21:M22" si="8">SUM(K21:L21)</f>
        <v>2.5847500059945752</v>
      </c>
      <c r="N21" s="582"/>
      <c r="O21" s="582"/>
      <c r="P21" s="582"/>
      <c r="R21" s="558">
        <v>20</v>
      </c>
      <c r="S21" s="558">
        <f t="shared" si="0"/>
        <v>66</v>
      </c>
      <c r="T21" s="558">
        <f t="shared" si="1"/>
        <v>77</v>
      </c>
      <c r="U21" s="558">
        <f t="shared" si="2"/>
        <v>-13</v>
      </c>
      <c r="V21" s="558">
        <f t="shared" si="5"/>
        <v>0</v>
      </c>
      <c r="W21" s="558">
        <f t="shared" si="3"/>
        <v>0</v>
      </c>
      <c r="X21" s="558">
        <f t="shared" si="4"/>
        <v>0</v>
      </c>
      <c r="Y21" s="558">
        <f t="shared" si="6"/>
        <v>0</v>
      </c>
    </row>
    <row r="22" spans="1:25" x14ac:dyDescent="0.2">
      <c r="A22" s="557"/>
      <c r="B22" s="588" t="s">
        <v>347</v>
      </c>
      <c r="C22" s="589"/>
      <c r="D22" s="591">
        <f>LN(D20)</f>
        <v>1.1298648321722142</v>
      </c>
      <c r="E22" s="591"/>
      <c r="F22" s="591"/>
      <c r="G22" s="592" t="str">
        <f>CONCATENATE("(",ROUNDDOWN(G34,4)," ; ",ROUNDUP(H34,4),")")</f>
        <v>(0,4355 ; 1,8243)</v>
      </c>
      <c r="H22" s="557"/>
      <c r="I22" s="582"/>
      <c r="J22" s="582"/>
      <c r="K22" s="582">
        <f>SUM(K20:K21)</f>
        <v>1.7057676335894456</v>
      </c>
      <c r="L22" s="582">
        <f>SUM(L20:L21)</f>
        <v>3.002660972626785</v>
      </c>
      <c r="M22" s="582">
        <f t="shared" si="8"/>
        <v>4.7084286062162306</v>
      </c>
      <c r="N22" s="582">
        <f>M22*2</f>
        <v>9.4168572124324612</v>
      </c>
      <c r="O22" s="582"/>
      <c r="P22" s="582"/>
      <c r="R22" s="558">
        <v>21</v>
      </c>
      <c r="S22" s="558">
        <f t="shared" si="0"/>
        <v>65</v>
      </c>
      <c r="T22" s="558">
        <f t="shared" si="1"/>
        <v>76</v>
      </c>
      <c r="U22" s="558">
        <f t="shared" si="2"/>
        <v>-12</v>
      </c>
      <c r="V22" s="558">
        <f t="shared" si="5"/>
        <v>0</v>
      </c>
      <c r="W22" s="558">
        <f t="shared" si="3"/>
        <v>0</v>
      </c>
      <c r="X22" s="558">
        <f t="shared" si="4"/>
        <v>0</v>
      </c>
      <c r="Y22" s="558">
        <f t="shared" si="6"/>
        <v>0</v>
      </c>
    </row>
    <row r="23" spans="1:25" x14ac:dyDescent="0.2">
      <c r="A23" s="557"/>
      <c r="B23" s="588" t="s">
        <v>348</v>
      </c>
      <c r="C23" s="589"/>
      <c r="D23" s="591">
        <f>SQRT(1/B7+1/C7+1/B8+1/C8)</f>
        <v>0.35426496158054216</v>
      </c>
      <c r="E23" s="591"/>
      <c r="F23" s="591"/>
      <c r="G23" s="597"/>
      <c r="H23" s="557"/>
      <c r="I23" s="582"/>
      <c r="J23" s="582"/>
      <c r="K23" s="582">
        <f>G31*LN(G31/G7)</f>
        <v>10.717579109727424</v>
      </c>
      <c r="L23" s="582">
        <f>H31*LN(H31/H7)</f>
        <v>-8.0683701060827335</v>
      </c>
      <c r="M23" s="582">
        <f>SUM(K23:L23)</f>
        <v>2.6492090036446907</v>
      </c>
      <c r="N23" s="582"/>
      <c r="O23" s="582"/>
      <c r="P23" s="582"/>
      <c r="R23" s="558">
        <v>22</v>
      </c>
      <c r="S23" s="558">
        <f t="shared" si="0"/>
        <v>64</v>
      </c>
      <c r="T23" s="558">
        <f t="shared" si="1"/>
        <v>75</v>
      </c>
      <c r="U23" s="558">
        <f t="shared" si="2"/>
        <v>-11</v>
      </c>
      <c r="V23" s="558">
        <f t="shared" si="5"/>
        <v>0</v>
      </c>
      <c r="W23" s="558">
        <f t="shared" si="3"/>
        <v>0</v>
      </c>
      <c r="X23" s="558">
        <f t="shared" si="4"/>
        <v>0</v>
      </c>
      <c r="Y23" s="558">
        <f t="shared" si="6"/>
        <v>0</v>
      </c>
    </row>
    <row r="24" spans="1:25" ht="13.5" thickBot="1" x14ac:dyDescent="0.25">
      <c r="A24" s="557"/>
      <c r="B24" s="576" t="s">
        <v>349</v>
      </c>
      <c r="C24" s="577"/>
      <c r="D24" s="605">
        <v>0.95</v>
      </c>
      <c r="E24" s="532"/>
      <c r="F24" s="598">
        <f>-_xlfn.NORM.S.INV((1-D24)/2)</f>
        <v>1.9599639845400536</v>
      </c>
      <c r="G24" s="533"/>
      <c r="H24" s="557"/>
      <c r="I24" s="582"/>
      <c r="J24" s="582"/>
      <c r="K24" s="582">
        <f>G32*LN(G32/G8)</f>
        <v>-8.5985934909591624</v>
      </c>
      <c r="L24" s="582">
        <f>H32*LN(H32/H8)</f>
        <v>11.787762561904998</v>
      </c>
      <c r="M24" s="582">
        <f t="shared" ref="M24:M25" si="9">SUM(K24:L24)</f>
        <v>3.1891690709458356</v>
      </c>
      <c r="N24" s="582"/>
      <c r="O24" s="582"/>
      <c r="P24" s="582"/>
      <c r="R24" s="558">
        <v>23</v>
      </c>
      <c r="S24" s="558">
        <f t="shared" si="0"/>
        <v>63</v>
      </c>
      <c r="T24" s="558">
        <f t="shared" si="1"/>
        <v>74</v>
      </c>
      <c r="U24" s="558">
        <f t="shared" si="2"/>
        <v>-10</v>
      </c>
      <c r="V24" s="558">
        <f t="shared" si="5"/>
        <v>0</v>
      </c>
      <c r="W24" s="558">
        <f t="shared" si="3"/>
        <v>0</v>
      </c>
      <c r="X24" s="558">
        <f t="shared" si="4"/>
        <v>0</v>
      </c>
      <c r="Y24" s="558">
        <f t="shared" si="6"/>
        <v>0</v>
      </c>
    </row>
    <row r="25" spans="1:25" x14ac:dyDescent="0.2">
      <c r="A25" s="557"/>
      <c r="B25" s="557"/>
      <c r="C25" s="557"/>
      <c r="D25" s="557"/>
      <c r="E25" s="557"/>
      <c r="F25" s="557"/>
      <c r="G25" s="557"/>
      <c r="H25" s="557"/>
      <c r="I25" s="582"/>
      <c r="J25" s="582"/>
      <c r="K25" s="582">
        <f>SUM(K23:K24)</f>
        <v>2.1189856187682619</v>
      </c>
      <c r="L25" s="582">
        <f>SUM(L23:L24)</f>
        <v>3.7193924558222644</v>
      </c>
      <c r="M25" s="582">
        <f t="shared" si="9"/>
        <v>5.8383780745905263</v>
      </c>
      <c r="N25" s="582">
        <f>M25*2</f>
        <v>11.676756149181053</v>
      </c>
      <c r="O25" s="582"/>
      <c r="P25" s="582"/>
      <c r="R25" s="558">
        <v>24</v>
      </c>
      <c r="S25" s="558">
        <f t="shared" si="0"/>
        <v>62</v>
      </c>
      <c r="T25" s="558">
        <f t="shared" si="1"/>
        <v>73</v>
      </c>
      <c r="U25" s="558">
        <f t="shared" si="2"/>
        <v>-9</v>
      </c>
      <c r="V25" s="558">
        <f t="shared" si="5"/>
        <v>0</v>
      </c>
      <c r="W25" s="558">
        <f t="shared" si="3"/>
        <v>0</v>
      </c>
      <c r="X25" s="558">
        <f t="shared" si="4"/>
        <v>0</v>
      </c>
      <c r="Y25" s="558">
        <f t="shared" si="6"/>
        <v>0</v>
      </c>
    </row>
    <row r="26" spans="1:25" s="599" customFormat="1" x14ac:dyDescent="0.2">
      <c r="B26" s="600">
        <f>B7*LN(B7/G7)</f>
        <v>10.13767880027515</v>
      </c>
      <c r="C26" s="600">
        <f>C7*LN(C7/H7)</f>
        <v>-7.7591110377049688</v>
      </c>
      <c r="D26" s="599">
        <f>SUM(B26:C26)</f>
        <v>2.3785677625701815</v>
      </c>
      <c r="G26" s="599">
        <f>(B7*C8)-(C7*B8)</f>
        <v>1408</v>
      </c>
      <c r="R26" s="599">
        <v>25</v>
      </c>
      <c r="S26" s="599">
        <f t="shared" si="0"/>
        <v>61</v>
      </c>
      <c r="T26" s="599">
        <f t="shared" si="1"/>
        <v>72</v>
      </c>
      <c r="U26" s="599">
        <f t="shared" si="2"/>
        <v>-8</v>
      </c>
      <c r="V26" s="599">
        <f t="shared" si="5"/>
        <v>0</v>
      </c>
      <c r="W26" s="599">
        <f t="shared" si="3"/>
        <v>0</v>
      </c>
      <c r="X26" s="599">
        <f t="shared" si="4"/>
        <v>0</v>
      </c>
      <c r="Y26" s="599">
        <f t="shared" si="6"/>
        <v>0</v>
      </c>
    </row>
    <row r="27" spans="1:25" s="599" customFormat="1" x14ac:dyDescent="0.2">
      <c r="B27" s="600">
        <f>B8*LN(B8/G8)</f>
        <v>-8.2311316789463156</v>
      </c>
      <c r="C27" s="600">
        <f>C8*LN(C8/H8)</f>
        <v>11.110278399494034</v>
      </c>
      <c r="D27" s="599">
        <f>SUM(B27:C27)</f>
        <v>2.8791467205477179</v>
      </c>
      <c r="R27" s="599">
        <v>26</v>
      </c>
      <c r="S27" s="599">
        <f t="shared" si="0"/>
        <v>60</v>
      </c>
      <c r="T27" s="599">
        <f t="shared" si="1"/>
        <v>71</v>
      </c>
      <c r="U27" s="599">
        <f t="shared" si="2"/>
        <v>-7</v>
      </c>
      <c r="V27" s="599">
        <f t="shared" si="5"/>
        <v>0</v>
      </c>
      <c r="W27" s="599">
        <f t="shared" si="3"/>
        <v>0</v>
      </c>
      <c r="X27" s="599">
        <f t="shared" si="4"/>
        <v>0</v>
      </c>
      <c r="Y27" s="599">
        <f t="shared" si="6"/>
        <v>0</v>
      </c>
    </row>
    <row r="28" spans="1:25" s="599" customFormat="1" x14ac:dyDescent="0.2">
      <c r="B28" s="599">
        <f>SUM(B26:B27)</f>
        <v>1.9065471213288347</v>
      </c>
      <c r="C28" s="599">
        <f>SUM(C26:C27)</f>
        <v>3.3511673617890647</v>
      </c>
      <c r="D28" s="599">
        <f>SUM(D26:D27)</f>
        <v>5.2577144831178995</v>
      </c>
      <c r="G28" s="599">
        <f>B7-0.5</f>
        <v>64.5</v>
      </c>
      <c r="H28" s="599">
        <f>C7+0.5</f>
        <v>21.5</v>
      </c>
      <c r="R28" s="599">
        <v>27</v>
      </c>
      <c r="S28" s="599">
        <f t="shared" si="0"/>
        <v>59</v>
      </c>
      <c r="T28" s="599">
        <f t="shared" si="1"/>
        <v>70</v>
      </c>
      <c r="U28" s="599">
        <f t="shared" si="2"/>
        <v>-6</v>
      </c>
      <c r="V28" s="599">
        <f t="shared" si="5"/>
        <v>0</v>
      </c>
      <c r="W28" s="599">
        <f t="shared" si="3"/>
        <v>0</v>
      </c>
      <c r="X28" s="599">
        <f t="shared" si="4"/>
        <v>0</v>
      </c>
      <c r="Y28" s="599">
        <f t="shared" si="6"/>
        <v>0</v>
      </c>
    </row>
    <row r="29" spans="1:25" s="599" customFormat="1" x14ac:dyDescent="0.2">
      <c r="G29" s="599">
        <f>B8+0.5</f>
        <v>32.5</v>
      </c>
      <c r="H29" s="599">
        <f>C8-0.5</f>
        <v>31.5</v>
      </c>
      <c r="R29" s="599">
        <v>28</v>
      </c>
      <c r="S29" s="599">
        <f t="shared" si="0"/>
        <v>58</v>
      </c>
      <c r="T29" s="599">
        <f t="shared" si="1"/>
        <v>69</v>
      </c>
      <c r="U29" s="599">
        <f t="shared" si="2"/>
        <v>-5</v>
      </c>
      <c r="V29" s="599">
        <f t="shared" si="5"/>
        <v>0</v>
      </c>
      <c r="W29" s="599">
        <f t="shared" si="3"/>
        <v>0</v>
      </c>
      <c r="X29" s="599">
        <f t="shared" si="4"/>
        <v>0</v>
      </c>
      <c r="Y29" s="599">
        <f t="shared" si="6"/>
        <v>0</v>
      </c>
    </row>
    <row r="30" spans="1:25" s="599" customFormat="1" x14ac:dyDescent="0.2">
      <c r="R30" s="599">
        <v>29</v>
      </c>
      <c r="S30" s="599">
        <f t="shared" si="0"/>
        <v>57</v>
      </c>
      <c r="T30" s="599">
        <f t="shared" si="1"/>
        <v>68</v>
      </c>
      <c r="U30" s="599">
        <f t="shared" si="2"/>
        <v>-4</v>
      </c>
      <c r="V30" s="599">
        <f t="shared" si="5"/>
        <v>0</v>
      </c>
      <c r="W30" s="599">
        <f t="shared" si="3"/>
        <v>0</v>
      </c>
      <c r="X30" s="599">
        <f t="shared" si="4"/>
        <v>0</v>
      </c>
      <c r="Y30" s="599">
        <f t="shared" si="6"/>
        <v>0</v>
      </c>
    </row>
    <row r="31" spans="1:25" s="599" customFormat="1" x14ac:dyDescent="0.2">
      <c r="G31" s="599">
        <f>B7+0.5</f>
        <v>65.5</v>
      </c>
      <c r="H31" s="599">
        <f>C7-0.5</f>
        <v>20.5</v>
      </c>
      <c r="R31" s="599">
        <v>30</v>
      </c>
      <c r="S31" s="599">
        <f t="shared" si="0"/>
        <v>56</v>
      </c>
      <c r="T31" s="599">
        <f t="shared" si="1"/>
        <v>67</v>
      </c>
      <c r="U31" s="599">
        <f t="shared" si="2"/>
        <v>-3</v>
      </c>
      <c r="V31" s="599">
        <f t="shared" si="5"/>
        <v>0</v>
      </c>
      <c r="W31" s="599">
        <f t="shared" si="3"/>
        <v>0</v>
      </c>
      <c r="X31" s="599">
        <f t="shared" si="4"/>
        <v>0</v>
      </c>
      <c r="Y31" s="599">
        <f t="shared" si="6"/>
        <v>0</v>
      </c>
    </row>
    <row r="32" spans="1:25" s="599" customFormat="1" x14ac:dyDescent="0.2">
      <c r="G32" s="599">
        <f>B8-0.5</f>
        <v>31.5</v>
      </c>
      <c r="H32" s="599">
        <f>C8+0.5</f>
        <v>32.5</v>
      </c>
      <c r="R32" s="599">
        <v>31</v>
      </c>
      <c r="S32" s="599">
        <f t="shared" si="0"/>
        <v>55</v>
      </c>
      <c r="T32" s="599">
        <f t="shared" si="1"/>
        <v>66</v>
      </c>
      <c r="U32" s="599">
        <f t="shared" si="2"/>
        <v>-2</v>
      </c>
      <c r="V32" s="599">
        <f t="shared" si="5"/>
        <v>0</v>
      </c>
      <c r="W32" s="599">
        <f t="shared" si="3"/>
        <v>0</v>
      </c>
      <c r="X32" s="599">
        <f t="shared" si="4"/>
        <v>0</v>
      </c>
      <c r="Y32" s="599">
        <f t="shared" si="6"/>
        <v>0</v>
      </c>
    </row>
    <row r="33" spans="7:25" s="599" customFormat="1" x14ac:dyDescent="0.2">
      <c r="R33" s="599">
        <v>32</v>
      </c>
      <c r="S33" s="599">
        <f t="shared" si="0"/>
        <v>54</v>
      </c>
      <c r="T33" s="599">
        <f t="shared" si="1"/>
        <v>65</v>
      </c>
      <c r="U33" s="599">
        <f t="shared" si="2"/>
        <v>-1</v>
      </c>
      <c r="V33" s="599">
        <f t="shared" si="5"/>
        <v>0</v>
      </c>
      <c r="W33" s="599">
        <f t="shared" si="3"/>
        <v>0</v>
      </c>
      <c r="X33" s="599">
        <f t="shared" si="4"/>
        <v>0</v>
      </c>
      <c r="Y33" s="599">
        <f t="shared" si="6"/>
        <v>0</v>
      </c>
    </row>
    <row r="34" spans="7:25" s="599" customFormat="1" x14ac:dyDescent="0.2">
      <c r="G34" s="599">
        <f>D22-F24*D23</f>
        <v>0.43551826648988579</v>
      </c>
      <c r="H34" s="599">
        <f>D22+F24*D23</f>
        <v>1.8242113978545427</v>
      </c>
      <c r="R34" s="599">
        <v>33</v>
      </c>
      <c r="S34" s="599">
        <f t="shared" si="0"/>
        <v>53</v>
      </c>
      <c r="T34" s="599">
        <f t="shared" si="1"/>
        <v>64</v>
      </c>
      <c r="U34" s="599">
        <f t="shared" si="2"/>
        <v>0</v>
      </c>
      <c r="V34" s="599">
        <f t="shared" si="5"/>
        <v>1</v>
      </c>
      <c r="W34" s="599">
        <f t="shared" si="3"/>
        <v>4.6974767115743943E-18</v>
      </c>
      <c r="X34" s="599">
        <f t="shared" si="4"/>
        <v>0</v>
      </c>
      <c r="Y34" s="599">
        <f t="shared" si="6"/>
        <v>4.6974767115743943E-18</v>
      </c>
    </row>
    <row r="35" spans="7:25" x14ac:dyDescent="0.2">
      <c r="R35" s="558">
        <v>34</v>
      </c>
      <c r="S35" s="558">
        <f t="shared" si="0"/>
        <v>52</v>
      </c>
      <c r="T35" s="558">
        <f t="shared" si="1"/>
        <v>63</v>
      </c>
      <c r="U35" s="558">
        <f t="shared" si="2"/>
        <v>1</v>
      </c>
      <c r="V35" s="558">
        <f t="shared" si="5"/>
        <v>1</v>
      </c>
      <c r="W35" s="558">
        <f t="shared" si="3"/>
        <v>4.6864238251942917E-16</v>
      </c>
      <c r="X35" s="558">
        <f t="shared" si="4"/>
        <v>0</v>
      </c>
      <c r="Y35" s="558">
        <f t="shared" si="6"/>
        <v>4.6864238251942917E-16</v>
      </c>
    </row>
    <row r="36" spans="7:25" x14ac:dyDescent="0.2">
      <c r="R36" s="558">
        <v>35</v>
      </c>
      <c r="S36" s="558">
        <f t="shared" si="0"/>
        <v>51</v>
      </c>
      <c r="T36" s="558">
        <f t="shared" si="1"/>
        <v>62</v>
      </c>
      <c r="U36" s="558">
        <f t="shared" si="2"/>
        <v>2</v>
      </c>
      <c r="V36" s="558">
        <f t="shared" si="5"/>
        <v>1</v>
      </c>
      <c r="W36" s="558">
        <f t="shared" si="3"/>
        <v>2.1932463501908948E-14</v>
      </c>
      <c r="X36" s="558">
        <f t="shared" si="4"/>
        <v>0</v>
      </c>
      <c r="Y36" s="558">
        <f t="shared" si="6"/>
        <v>2.1932463501908948E-14</v>
      </c>
    </row>
    <row r="37" spans="7:25" x14ac:dyDescent="0.2">
      <c r="R37" s="558">
        <v>36</v>
      </c>
      <c r="S37" s="558">
        <f t="shared" si="0"/>
        <v>50</v>
      </c>
      <c r="T37" s="558">
        <f t="shared" si="1"/>
        <v>61</v>
      </c>
      <c r="U37" s="558">
        <f t="shared" si="2"/>
        <v>3</v>
      </c>
      <c r="V37" s="558">
        <f t="shared" si="5"/>
        <v>1</v>
      </c>
      <c r="W37" s="558">
        <f t="shared" si="3"/>
        <v>6.4213379252811023E-13</v>
      </c>
      <c r="X37" s="558">
        <f t="shared" si="4"/>
        <v>0</v>
      </c>
      <c r="Y37" s="558">
        <f t="shared" si="6"/>
        <v>6.4213379252811023E-13</v>
      </c>
    </row>
    <row r="38" spans="7:25" x14ac:dyDescent="0.2">
      <c r="R38" s="558">
        <v>37</v>
      </c>
      <c r="S38" s="558">
        <f t="shared" si="0"/>
        <v>49</v>
      </c>
      <c r="T38" s="558">
        <f t="shared" si="1"/>
        <v>60</v>
      </c>
      <c r="U38" s="558">
        <f t="shared" si="2"/>
        <v>4</v>
      </c>
      <c r="V38" s="558">
        <f t="shared" si="5"/>
        <v>1</v>
      </c>
      <c r="W38" s="558">
        <f t="shared" si="3"/>
        <v>1.3233162616288903E-11</v>
      </c>
      <c r="X38" s="558">
        <f t="shared" si="4"/>
        <v>0</v>
      </c>
      <c r="Y38" s="558">
        <f t="shared" si="6"/>
        <v>1.3233162616288903E-11</v>
      </c>
    </row>
    <row r="39" spans="7:25" x14ac:dyDescent="0.2">
      <c r="R39" s="558">
        <v>38</v>
      </c>
      <c r="S39" s="558">
        <f t="shared" si="0"/>
        <v>48</v>
      </c>
      <c r="T39" s="558">
        <f t="shared" si="1"/>
        <v>59</v>
      </c>
      <c r="U39" s="558">
        <f t="shared" si="2"/>
        <v>5</v>
      </c>
      <c r="V39" s="558">
        <f t="shared" si="5"/>
        <v>1</v>
      </c>
      <c r="W39" s="558">
        <f t="shared" si="3"/>
        <v>2.0476577943099605E-10</v>
      </c>
      <c r="X39" s="558">
        <f t="shared" si="4"/>
        <v>0</v>
      </c>
      <c r="Y39" s="558">
        <f t="shared" si="6"/>
        <v>2.0476577943099605E-10</v>
      </c>
    </row>
    <row r="40" spans="7:25" x14ac:dyDescent="0.2">
      <c r="R40" s="558">
        <v>39</v>
      </c>
      <c r="S40" s="558">
        <f t="shared" si="0"/>
        <v>47</v>
      </c>
      <c r="T40" s="558">
        <f t="shared" si="1"/>
        <v>58</v>
      </c>
      <c r="U40" s="558">
        <f t="shared" si="2"/>
        <v>6</v>
      </c>
      <c r="V40" s="558">
        <f t="shared" si="5"/>
        <v>1</v>
      </c>
      <c r="W40" s="558">
        <f t="shared" si="3"/>
        <v>2.4781909715751046E-9</v>
      </c>
      <c r="X40" s="558">
        <f t="shared" si="4"/>
        <v>0</v>
      </c>
      <c r="Y40" s="558">
        <f t="shared" si="6"/>
        <v>2.4781909715751046E-9</v>
      </c>
    </row>
    <row r="41" spans="7:25" x14ac:dyDescent="0.2">
      <c r="R41" s="558">
        <v>40</v>
      </c>
      <c r="S41" s="558">
        <f t="shared" si="0"/>
        <v>46</v>
      </c>
      <c r="T41" s="558">
        <f t="shared" si="1"/>
        <v>57</v>
      </c>
      <c r="U41" s="558">
        <f t="shared" si="2"/>
        <v>7</v>
      </c>
      <c r="V41" s="558">
        <f t="shared" si="5"/>
        <v>1</v>
      </c>
      <c r="W41" s="558">
        <f t="shared" si="3"/>
        <v>2.4126959244692071E-8</v>
      </c>
      <c r="X41" s="558">
        <f t="shared" si="4"/>
        <v>0</v>
      </c>
      <c r="Y41" s="558">
        <f t="shared" si="6"/>
        <v>2.4126959244692071E-8</v>
      </c>
    </row>
    <row r="42" spans="7:25" x14ac:dyDescent="0.2">
      <c r="R42" s="558">
        <v>41</v>
      </c>
      <c r="S42" s="558">
        <f t="shared" si="0"/>
        <v>45</v>
      </c>
      <c r="T42" s="558">
        <f t="shared" si="1"/>
        <v>56</v>
      </c>
      <c r="U42" s="558">
        <f t="shared" si="2"/>
        <v>8</v>
      </c>
      <c r="V42" s="558">
        <f t="shared" si="5"/>
        <v>1</v>
      </c>
      <c r="W42" s="558">
        <f t="shared" si="3"/>
        <v>1.9286855835238581E-7</v>
      </c>
      <c r="X42" s="558">
        <f t="shared" si="4"/>
        <v>0</v>
      </c>
      <c r="Y42" s="558">
        <f t="shared" si="6"/>
        <v>1.9286855835238581E-7</v>
      </c>
    </row>
    <row r="43" spans="7:25" x14ac:dyDescent="0.2">
      <c r="R43" s="558">
        <v>42</v>
      </c>
      <c r="S43" s="558">
        <f t="shared" si="0"/>
        <v>44</v>
      </c>
      <c r="T43" s="558">
        <f t="shared" si="1"/>
        <v>55</v>
      </c>
      <c r="U43" s="558">
        <f t="shared" si="2"/>
        <v>9</v>
      </c>
      <c r="V43" s="558">
        <f t="shared" si="5"/>
        <v>1</v>
      </c>
      <c r="W43" s="558">
        <f t="shared" si="3"/>
        <v>1.2857903890159259E-6</v>
      </c>
      <c r="X43" s="558">
        <f t="shared" si="4"/>
        <v>0</v>
      </c>
      <c r="Y43" s="558">
        <f t="shared" si="6"/>
        <v>1.2857903890159259E-6</v>
      </c>
    </row>
    <row r="44" spans="7:25" x14ac:dyDescent="0.2">
      <c r="R44" s="558">
        <v>43</v>
      </c>
      <c r="S44" s="558">
        <f t="shared" si="0"/>
        <v>43</v>
      </c>
      <c r="T44" s="558">
        <f t="shared" si="1"/>
        <v>54</v>
      </c>
      <c r="U44" s="558">
        <f t="shared" si="2"/>
        <v>10</v>
      </c>
      <c r="V44" s="558">
        <f t="shared" si="5"/>
        <v>1</v>
      </c>
      <c r="W44" s="558">
        <f t="shared" si="3"/>
        <v>7.2363087009732539E-6</v>
      </c>
      <c r="X44" s="558">
        <f t="shared" si="4"/>
        <v>0</v>
      </c>
      <c r="Y44" s="558">
        <f t="shared" si="6"/>
        <v>7.2363087009732539E-6</v>
      </c>
    </row>
    <row r="45" spans="7:25" x14ac:dyDescent="0.2">
      <c r="R45" s="558">
        <v>44</v>
      </c>
      <c r="S45" s="558">
        <f t="shared" si="0"/>
        <v>42</v>
      </c>
      <c r="T45" s="558">
        <f t="shared" si="1"/>
        <v>53</v>
      </c>
      <c r="U45" s="558">
        <f t="shared" si="2"/>
        <v>11</v>
      </c>
      <c r="V45" s="558">
        <f t="shared" si="5"/>
        <v>1</v>
      </c>
      <c r="W45" s="558">
        <f t="shared" si="3"/>
        <v>3.4716340503429459E-5</v>
      </c>
      <c r="X45" s="558">
        <f t="shared" si="4"/>
        <v>0</v>
      </c>
      <c r="Y45" s="558">
        <f t="shared" si="6"/>
        <v>3.4716340503429459E-5</v>
      </c>
    </row>
    <row r="46" spans="7:25" x14ac:dyDescent="0.2">
      <c r="R46" s="558">
        <v>45</v>
      </c>
      <c r="S46" s="558">
        <f t="shared" si="0"/>
        <v>41</v>
      </c>
      <c r="T46" s="558">
        <f t="shared" si="1"/>
        <v>52</v>
      </c>
      <c r="U46" s="558">
        <f t="shared" si="2"/>
        <v>12</v>
      </c>
      <c r="V46" s="558">
        <f t="shared" si="5"/>
        <v>1</v>
      </c>
      <c r="W46" s="558">
        <f t="shared" si="3"/>
        <v>1.4310847029747121E-4</v>
      </c>
      <c r="X46" s="558">
        <f t="shared" si="4"/>
        <v>0</v>
      </c>
      <c r="Y46" s="558">
        <f t="shared" si="6"/>
        <v>1.4310847029747121E-4</v>
      </c>
    </row>
    <row r="47" spans="7:25" x14ac:dyDescent="0.2">
      <c r="R47" s="558">
        <v>46</v>
      </c>
      <c r="S47" s="558">
        <f t="shared" si="0"/>
        <v>40</v>
      </c>
      <c r="T47" s="558">
        <f t="shared" si="1"/>
        <v>51</v>
      </c>
      <c r="U47" s="558">
        <f t="shared" si="2"/>
        <v>13</v>
      </c>
      <c r="V47" s="558">
        <f t="shared" si="5"/>
        <v>1</v>
      </c>
      <c r="W47" s="558">
        <f t="shared" si="3"/>
        <v>5.1021280714750109E-4</v>
      </c>
      <c r="X47" s="558">
        <f t="shared" si="4"/>
        <v>0</v>
      </c>
      <c r="Y47" s="558">
        <f t="shared" si="6"/>
        <v>5.1021280714750109E-4</v>
      </c>
    </row>
    <row r="48" spans="7:25" x14ac:dyDescent="0.2">
      <c r="R48" s="558">
        <v>47</v>
      </c>
      <c r="S48" s="558">
        <f t="shared" si="0"/>
        <v>39</v>
      </c>
      <c r="T48" s="558">
        <f t="shared" si="1"/>
        <v>50</v>
      </c>
      <c r="U48" s="558">
        <f t="shared" si="2"/>
        <v>14</v>
      </c>
      <c r="V48" s="558">
        <f t="shared" si="5"/>
        <v>1</v>
      </c>
      <c r="W48" s="558">
        <f t="shared" si="3"/>
        <v>1.5818147820378461E-3</v>
      </c>
      <c r="X48" s="558">
        <f t="shared" si="4"/>
        <v>0</v>
      </c>
      <c r="Y48" s="558">
        <f t="shared" si="6"/>
        <v>0</v>
      </c>
    </row>
    <row r="49" spans="18:25" x14ac:dyDescent="0.2">
      <c r="R49" s="558">
        <v>48</v>
      </c>
      <c r="S49" s="558">
        <f t="shared" si="0"/>
        <v>38</v>
      </c>
      <c r="T49" s="558">
        <f t="shared" si="1"/>
        <v>49</v>
      </c>
      <c r="U49" s="558">
        <f t="shared" si="2"/>
        <v>15</v>
      </c>
      <c r="V49" s="558">
        <f t="shared" si="5"/>
        <v>1</v>
      </c>
      <c r="W49" s="558">
        <f t="shared" si="3"/>
        <v>4.2840817013525866E-3</v>
      </c>
      <c r="X49" s="558">
        <f t="shared" si="4"/>
        <v>0</v>
      </c>
      <c r="Y49" s="558">
        <f t="shared" si="6"/>
        <v>0</v>
      </c>
    </row>
    <row r="50" spans="18:25" x14ac:dyDescent="0.2">
      <c r="R50" s="558">
        <v>49</v>
      </c>
      <c r="S50" s="558">
        <f t="shared" si="0"/>
        <v>37</v>
      </c>
      <c r="T50" s="558">
        <f t="shared" si="1"/>
        <v>48</v>
      </c>
      <c r="U50" s="558">
        <f t="shared" si="2"/>
        <v>16</v>
      </c>
      <c r="V50" s="558">
        <f t="shared" si="5"/>
        <v>1</v>
      </c>
      <c r="W50" s="558">
        <f t="shared" si="3"/>
        <v>1.0174694040712228E-2</v>
      </c>
      <c r="X50" s="558">
        <f t="shared" si="4"/>
        <v>0</v>
      </c>
      <c r="Y50" s="558">
        <f t="shared" si="6"/>
        <v>0</v>
      </c>
    </row>
    <row r="51" spans="18:25" x14ac:dyDescent="0.2">
      <c r="R51" s="558">
        <v>50</v>
      </c>
      <c r="S51" s="558">
        <f t="shared" si="0"/>
        <v>36</v>
      </c>
      <c r="T51" s="558">
        <f t="shared" si="1"/>
        <v>47</v>
      </c>
      <c r="U51" s="558">
        <f t="shared" si="2"/>
        <v>17</v>
      </c>
      <c r="V51" s="558">
        <f t="shared" si="5"/>
        <v>1</v>
      </c>
      <c r="W51" s="558">
        <f t="shared" si="3"/>
        <v>2.1259125430946726E-2</v>
      </c>
      <c r="X51" s="558">
        <f t="shared" si="4"/>
        <v>0</v>
      </c>
      <c r="Y51" s="558">
        <f t="shared" si="6"/>
        <v>0</v>
      </c>
    </row>
    <row r="52" spans="18:25" x14ac:dyDescent="0.2">
      <c r="R52" s="558">
        <v>51</v>
      </c>
      <c r="S52" s="558">
        <f t="shared" si="0"/>
        <v>35</v>
      </c>
      <c r="T52" s="558">
        <f t="shared" si="1"/>
        <v>46</v>
      </c>
      <c r="U52" s="558">
        <f t="shared" si="2"/>
        <v>18</v>
      </c>
      <c r="V52" s="558">
        <f t="shared" si="5"/>
        <v>1</v>
      </c>
      <c r="W52" s="558">
        <f t="shared" si="3"/>
        <v>3.918348608841201E-2</v>
      </c>
      <c r="X52" s="558">
        <f t="shared" si="4"/>
        <v>0</v>
      </c>
      <c r="Y52" s="558">
        <f t="shared" si="6"/>
        <v>0</v>
      </c>
    </row>
    <row r="53" spans="18:25" x14ac:dyDescent="0.2">
      <c r="R53" s="558">
        <v>52</v>
      </c>
      <c r="S53" s="558">
        <f t="shared" si="0"/>
        <v>34</v>
      </c>
      <c r="T53" s="558">
        <f t="shared" si="1"/>
        <v>45</v>
      </c>
      <c r="U53" s="558">
        <f t="shared" si="2"/>
        <v>19</v>
      </c>
      <c r="V53" s="558">
        <f t="shared" si="5"/>
        <v>1</v>
      </c>
      <c r="W53" s="558">
        <f t="shared" si="3"/>
        <v>6.385163218860751E-2</v>
      </c>
      <c r="X53" s="558">
        <f t="shared" si="4"/>
        <v>0</v>
      </c>
      <c r="Y53" s="558">
        <f t="shared" si="6"/>
        <v>0</v>
      </c>
    </row>
    <row r="54" spans="18:25" x14ac:dyDescent="0.2">
      <c r="R54" s="558">
        <v>53</v>
      </c>
      <c r="S54" s="558">
        <f t="shared" si="0"/>
        <v>33</v>
      </c>
      <c r="T54" s="558">
        <f t="shared" si="1"/>
        <v>44</v>
      </c>
      <c r="U54" s="558">
        <f t="shared" si="2"/>
        <v>20</v>
      </c>
      <c r="V54" s="558">
        <f t="shared" si="5"/>
        <v>1</v>
      </c>
      <c r="W54" s="558">
        <f t="shared" si="3"/>
        <v>9.2163204951480712E-2</v>
      </c>
      <c r="X54" s="558">
        <f t="shared" si="4"/>
        <v>0</v>
      </c>
      <c r="Y54" s="558">
        <f t="shared" si="6"/>
        <v>0</v>
      </c>
    </row>
    <row r="55" spans="18:25" x14ac:dyDescent="0.2">
      <c r="R55" s="558">
        <v>54</v>
      </c>
      <c r="S55" s="558">
        <f t="shared" si="0"/>
        <v>32</v>
      </c>
      <c r="T55" s="558">
        <f t="shared" si="1"/>
        <v>43</v>
      </c>
      <c r="U55" s="558">
        <f t="shared" si="2"/>
        <v>21</v>
      </c>
      <c r="V55" s="558">
        <f t="shared" si="5"/>
        <v>1</v>
      </c>
      <c r="W55" s="558">
        <f t="shared" si="3"/>
        <v>0.11800791321829594</v>
      </c>
      <c r="X55" s="558">
        <f t="shared" si="4"/>
        <v>0</v>
      </c>
      <c r="Y55" s="558">
        <f t="shared" si="6"/>
        <v>0</v>
      </c>
    </row>
    <row r="56" spans="18:25" x14ac:dyDescent="0.2">
      <c r="R56" s="558">
        <v>55</v>
      </c>
      <c r="S56" s="558">
        <f t="shared" si="0"/>
        <v>31</v>
      </c>
      <c r="T56" s="558">
        <f t="shared" si="1"/>
        <v>42</v>
      </c>
      <c r="U56" s="558">
        <f t="shared" si="2"/>
        <v>22</v>
      </c>
      <c r="V56" s="558">
        <f t="shared" si="5"/>
        <v>1</v>
      </c>
      <c r="W56" s="558">
        <f t="shared" si="3"/>
        <v>0.13419742858543587</v>
      </c>
      <c r="X56" s="558">
        <f t="shared" si="4"/>
        <v>0</v>
      </c>
      <c r="Y56" s="558">
        <f t="shared" si="6"/>
        <v>0</v>
      </c>
    </row>
    <row r="57" spans="18:25" x14ac:dyDescent="0.2">
      <c r="R57" s="558">
        <v>56</v>
      </c>
      <c r="S57" s="558">
        <f t="shared" si="0"/>
        <v>30</v>
      </c>
      <c r="T57" s="558">
        <f t="shared" si="1"/>
        <v>41</v>
      </c>
      <c r="U57" s="558">
        <f t="shared" si="2"/>
        <v>23</v>
      </c>
      <c r="V57" s="558">
        <f t="shared" si="5"/>
        <v>1</v>
      </c>
      <c r="W57" s="558">
        <f t="shared" si="3"/>
        <v>0.13565609628745021</v>
      </c>
      <c r="X57" s="558">
        <f t="shared" si="4"/>
        <v>0</v>
      </c>
      <c r="Y57" s="558">
        <f t="shared" si="6"/>
        <v>0</v>
      </c>
    </row>
    <row r="58" spans="18:25" x14ac:dyDescent="0.2">
      <c r="R58" s="558">
        <v>57</v>
      </c>
      <c r="S58" s="558">
        <f t="shared" si="0"/>
        <v>29</v>
      </c>
      <c r="T58" s="558">
        <f t="shared" si="1"/>
        <v>40</v>
      </c>
      <c r="U58" s="558">
        <f t="shared" si="2"/>
        <v>24</v>
      </c>
      <c r="V58" s="558">
        <f t="shared" si="5"/>
        <v>1</v>
      </c>
      <c r="W58" s="558">
        <f t="shared" si="3"/>
        <v>0.121971490083016</v>
      </c>
      <c r="X58" s="558">
        <f t="shared" si="4"/>
        <v>0</v>
      </c>
      <c r="Y58" s="558">
        <f t="shared" si="6"/>
        <v>0</v>
      </c>
    </row>
    <row r="59" spans="18:25" x14ac:dyDescent="0.2">
      <c r="R59" s="558">
        <v>58</v>
      </c>
      <c r="S59" s="558">
        <f t="shared" si="0"/>
        <v>28</v>
      </c>
      <c r="T59" s="558">
        <f t="shared" si="1"/>
        <v>39</v>
      </c>
      <c r="U59" s="558">
        <f t="shared" si="2"/>
        <v>25</v>
      </c>
      <c r="V59" s="558">
        <f t="shared" si="5"/>
        <v>1</v>
      </c>
      <c r="W59" s="558">
        <f t="shared" si="3"/>
        <v>9.7577192066410301E-2</v>
      </c>
      <c r="X59" s="558">
        <f t="shared" si="4"/>
        <v>0</v>
      </c>
      <c r="Y59" s="558">
        <f t="shared" si="6"/>
        <v>0</v>
      </c>
    </row>
    <row r="60" spans="18:25" x14ac:dyDescent="0.2">
      <c r="R60" s="558">
        <v>59</v>
      </c>
      <c r="S60" s="558">
        <f t="shared" si="0"/>
        <v>27</v>
      </c>
      <c r="T60" s="558">
        <f t="shared" si="1"/>
        <v>38</v>
      </c>
      <c r="U60" s="558">
        <f t="shared" si="2"/>
        <v>26</v>
      </c>
      <c r="V60" s="558">
        <f t="shared" si="5"/>
        <v>1</v>
      </c>
      <c r="W60" s="558">
        <f t="shared" si="3"/>
        <v>6.9461729945581405E-2</v>
      </c>
      <c r="X60" s="558">
        <f t="shared" si="4"/>
        <v>0</v>
      </c>
      <c r="Y60" s="558">
        <f t="shared" si="6"/>
        <v>0</v>
      </c>
    </row>
    <row r="61" spans="18:25" x14ac:dyDescent="0.2">
      <c r="R61" s="558">
        <v>60</v>
      </c>
      <c r="S61" s="558">
        <f t="shared" si="0"/>
        <v>26</v>
      </c>
      <c r="T61" s="558">
        <f t="shared" si="1"/>
        <v>37</v>
      </c>
      <c r="U61" s="558">
        <f t="shared" si="2"/>
        <v>27</v>
      </c>
      <c r="V61" s="558">
        <f t="shared" si="5"/>
        <v>1</v>
      </c>
      <c r="W61" s="558">
        <f t="shared" si="3"/>
        <v>4.3992428965535277E-2</v>
      </c>
      <c r="X61" s="558">
        <f t="shared" si="4"/>
        <v>0</v>
      </c>
      <c r="Y61" s="558">
        <f t="shared" si="6"/>
        <v>0</v>
      </c>
    </row>
    <row r="62" spans="18:25" x14ac:dyDescent="0.2">
      <c r="R62" s="558">
        <v>61</v>
      </c>
      <c r="S62" s="558">
        <f t="shared" si="0"/>
        <v>25</v>
      </c>
      <c r="T62" s="558">
        <f t="shared" si="1"/>
        <v>36</v>
      </c>
      <c r="U62" s="558">
        <f t="shared" si="2"/>
        <v>28</v>
      </c>
      <c r="V62" s="558">
        <f t="shared" si="5"/>
        <v>1</v>
      </c>
      <c r="W62" s="558">
        <f t="shared" si="3"/>
        <v>2.4777937157403219E-2</v>
      </c>
      <c r="X62" s="558">
        <f t="shared" si="4"/>
        <v>0</v>
      </c>
      <c r="Y62" s="558">
        <f t="shared" si="6"/>
        <v>0</v>
      </c>
    </row>
    <row r="63" spans="18:25" x14ac:dyDescent="0.2">
      <c r="R63" s="558">
        <v>62</v>
      </c>
      <c r="S63" s="558">
        <f t="shared" si="0"/>
        <v>24</v>
      </c>
      <c r="T63" s="558">
        <f t="shared" si="1"/>
        <v>35</v>
      </c>
      <c r="U63" s="558">
        <f t="shared" si="2"/>
        <v>29</v>
      </c>
      <c r="V63" s="558">
        <f t="shared" si="5"/>
        <v>1</v>
      </c>
      <c r="W63" s="558">
        <f t="shared" si="3"/>
        <v>1.240274941138076E-2</v>
      </c>
      <c r="X63" s="558">
        <f t="shared" si="4"/>
        <v>0</v>
      </c>
      <c r="Y63" s="558">
        <f t="shared" si="6"/>
        <v>0</v>
      </c>
    </row>
    <row r="64" spans="18:25" x14ac:dyDescent="0.2">
      <c r="R64" s="558">
        <v>63</v>
      </c>
      <c r="S64" s="558">
        <f t="shared" si="0"/>
        <v>23</v>
      </c>
      <c r="T64" s="558">
        <f t="shared" si="1"/>
        <v>34</v>
      </c>
      <c r="U64" s="558">
        <f t="shared" si="2"/>
        <v>30</v>
      </c>
      <c r="V64" s="558">
        <f t="shared" si="5"/>
        <v>1</v>
      </c>
      <c r="W64" s="558">
        <f t="shared" si="3"/>
        <v>5.512333071724761E-3</v>
      </c>
      <c r="X64" s="558">
        <f t="shared" si="4"/>
        <v>0</v>
      </c>
      <c r="Y64" s="558">
        <f t="shared" si="6"/>
        <v>0</v>
      </c>
    </row>
    <row r="65" spans="18:25" x14ac:dyDescent="0.2">
      <c r="R65" s="558">
        <v>64</v>
      </c>
      <c r="S65" s="558">
        <f t="shared" ref="S65:S128" si="10">$D$7-R65</f>
        <v>22</v>
      </c>
      <c r="T65" s="558">
        <f t="shared" ref="T65:T128" si="11">$B$9-R65</f>
        <v>33</v>
      </c>
      <c r="U65" s="558">
        <f t="shared" ref="U65:U128" si="12">$D$9-SUM(R65:T65)</f>
        <v>31</v>
      </c>
      <c r="V65" s="558">
        <f t="shared" si="5"/>
        <v>1</v>
      </c>
      <c r="W65" s="558">
        <f t="shared" ref="W65:W128" si="13">_xlfn.HYPGEOM.DIST(R65,R65+T65,R65+S65,SUM(R65:U65),0)</f>
        <v>2.1727038619399263E-3</v>
      </c>
      <c r="X65" s="558">
        <f t="shared" ref="X65:X128" si="14">IF(R65=$B$7,W65,0)</f>
        <v>0</v>
      </c>
      <c r="Y65" s="558">
        <f t="shared" si="6"/>
        <v>0</v>
      </c>
    </row>
    <row r="66" spans="18:25" x14ac:dyDescent="0.2">
      <c r="R66" s="558">
        <v>65</v>
      </c>
      <c r="S66" s="558">
        <f t="shared" si="10"/>
        <v>21</v>
      </c>
      <c r="T66" s="558">
        <f t="shared" si="11"/>
        <v>32</v>
      </c>
      <c r="U66" s="558">
        <f t="shared" si="12"/>
        <v>32</v>
      </c>
      <c r="V66" s="558">
        <f t="shared" ref="V66:V129" si="15">IF(S66&gt;=0,IF(T66&gt;=0,IF(U66&gt;=0,1,0),0),0)</f>
        <v>1</v>
      </c>
      <c r="W66" s="558">
        <f t="shared" si="13"/>
        <v>7.5835721335018905E-4</v>
      </c>
      <c r="X66" s="558">
        <f t="shared" si="14"/>
        <v>7.5835721335018905E-4</v>
      </c>
      <c r="Y66" s="558">
        <f t="shared" ref="Y66:Y129" si="16">IF(W66&lt;=SUM($X$1:$X$1101),W66,0)</f>
        <v>7.5835721335018905E-4</v>
      </c>
    </row>
    <row r="67" spans="18:25" x14ac:dyDescent="0.2">
      <c r="R67" s="558">
        <v>66</v>
      </c>
      <c r="S67" s="558">
        <f t="shared" si="10"/>
        <v>20</v>
      </c>
      <c r="T67" s="558">
        <f t="shared" si="11"/>
        <v>31</v>
      </c>
      <c r="U67" s="558">
        <f t="shared" si="12"/>
        <v>33</v>
      </c>
      <c r="V67" s="558">
        <f t="shared" si="15"/>
        <v>1</v>
      </c>
      <c r="W67" s="558">
        <f t="shared" si="13"/>
        <v>2.3398349282430182E-4</v>
      </c>
      <c r="X67" s="558">
        <f t="shared" si="14"/>
        <v>0</v>
      </c>
      <c r="Y67" s="558">
        <f t="shared" si="16"/>
        <v>2.3398349282430182E-4</v>
      </c>
    </row>
    <row r="68" spans="18:25" x14ac:dyDescent="0.2">
      <c r="R68" s="558">
        <v>67</v>
      </c>
      <c r="S68" s="558">
        <f t="shared" si="10"/>
        <v>19</v>
      </c>
      <c r="T68" s="558">
        <f t="shared" si="11"/>
        <v>30</v>
      </c>
      <c r="U68" s="558">
        <f t="shared" si="12"/>
        <v>34</v>
      </c>
      <c r="V68" s="558">
        <f t="shared" si="15"/>
        <v>1</v>
      </c>
      <c r="W68" s="558">
        <f t="shared" si="13"/>
        <v>6.3682952392917451E-5</v>
      </c>
      <c r="X68" s="558">
        <f t="shared" si="14"/>
        <v>0</v>
      </c>
      <c r="Y68" s="558">
        <f t="shared" si="16"/>
        <v>6.3682952392917451E-5</v>
      </c>
    </row>
    <row r="69" spans="18:25" x14ac:dyDescent="0.2">
      <c r="R69" s="558">
        <v>68</v>
      </c>
      <c r="S69" s="558">
        <f t="shared" si="10"/>
        <v>18</v>
      </c>
      <c r="T69" s="558">
        <f t="shared" si="11"/>
        <v>29</v>
      </c>
      <c r="U69" s="558">
        <f t="shared" si="12"/>
        <v>35</v>
      </c>
      <c r="V69" s="558">
        <f t="shared" si="15"/>
        <v>1</v>
      </c>
      <c r="W69" s="558">
        <f t="shared" si="13"/>
        <v>1.5251799522673624E-5</v>
      </c>
      <c r="X69" s="558">
        <f t="shared" si="14"/>
        <v>0</v>
      </c>
      <c r="Y69" s="558">
        <f t="shared" si="16"/>
        <v>1.5251799522673624E-5</v>
      </c>
    </row>
    <row r="70" spans="18:25" x14ac:dyDescent="0.2">
      <c r="R70" s="558">
        <v>69</v>
      </c>
      <c r="S70" s="558">
        <f t="shared" si="10"/>
        <v>17</v>
      </c>
      <c r="T70" s="558">
        <f t="shared" si="11"/>
        <v>28</v>
      </c>
      <c r="U70" s="558">
        <f t="shared" si="12"/>
        <v>36</v>
      </c>
      <c r="V70" s="558">
        <f t="shared" si="15"/>
        <v>1</v>
      </c>
      <c r="W70" s="558">
        <f t="shared" si="13"/>
        <v>3.2050883054893604E-6</v>
      </c>
      <c r="X70" s="558">
        <f t="shared" si="14"/>
        <v>0</v>
      </c>
      <c r="Y70" s="558">
        <f t="shared" si="16"/>
        <v>3.2050883054893604E-6</v>
      </c>
    </row>
    <row r="71" spans="18:25" x14ac:dyDescent="0.2">
      <c r="R71" s="558">
        <v>70</v>
      </c>
      <c r="S71" s="558">
        <f t="shared" si="10"/>
        <v>16</v>
      </c>
      <c r="T71" s="558">
        <f t="shared" si="11"/>
        <v>27</v>
      </c>
      <c r="U71" s="558">
        <f t="shared" si="12"/>
        <v>37</v>
      </c>
      <c r="V71" s="558">
        <f t="shared" si="15"/>
        <v>1</v>
      </c>
      <c r="W71" s="558">
        <f t="shared" si="13"/>
        <v>5.8904325614398829E-7</v>
      </c>
      <c r="X71" s="558">
        <f t="shared" si="14"/>
        <v>0</v>
      </c>
      <c r="Y71" s="558">
        <f t="shared" si="16"/>
        <v>5.8904325614398829E-7</v>
      </c>
    </row>
    <row r="72" spans="18:25" x14ac:dyDescent="0.2">
      <c r="R72" s="558">
        <v>71</v>
      </c>
      <c r="S72" s="558">
        <f t="shared" si="10"/>
        <v>15</v>
      </c>
      <c r="T72" s="558">
        <f t="shared" si="11"/>
        <v>26</v>
      </c>
      <c r="U72" s="558">
        <f t="shared" si="12"/>
        <v>38</v>
      </c>
      <c r="V72" s="558">
        <f t="shared" si="15"/>
        <v>1</v>
      </c>
      <c r="W72" s="558">
        <f t="shared" si="13"/>
        <v>9.4316785268420795E-8</v>
      </c>
      <c r="X72" s="558">
        <f t="shared" si="14"/>
        <v>0</v>
      </c>
      <c r="Y72" s="558">
        <f t="shared" si="16"/>
        <v>9.4316785268420795E-8</v>
      </c>
    </row>
    <row r="73" spans="18:25" x14ac:dyDescent="0.2">
      <c r="R73" s="558">
        <v>72</v>
      </c>
      <c r="S73" s="558">
        <f t="shared" si="10"/>
        <v>14</v>
      </c>
      <c r="T73" s="558">
        <f t="shared" si="11"/>
        <v>25</v>
      </c>
      <c r="U73" s="558">
        <f t="shared" si="12"/>
        <v>39</v>
      </c>
      <c r="V73" s="558">
        <f t="shared" si="15"/>
        <v>1</v>
      </c>
      <c r="W73" s="558">
        <f t="shared" si="13"/>
        <v>1.309955350950297E-8</v>
      </c>
      <c r="X73" s="558">
        <f t="shared" si="14"/>
        <v>0</v>
      </c>
      <c r="Y73" s="558">
        <f t="shared" si="16"/>
        <v>1.309955350950297E-8</v>
      </c>
    </row>
    <row r="74" spans="18:25" x14ac:dyDescent="0.2">
      <c r="R74" s="558">
        <v>73</v>
      </c>
      <c r="S74" s="558">
        <f t="shared" si="10"/>
        <v>13</v>
      </c>
      <c r="T74" s="558">
        <f t="shared" si="11"/>
        <v>24</v>
      </c>
      <c r="U74" s="558">
        <f t="shared" si="12"/>
        <v>40</v>
      </c>
      <c r="V74" s="558">
        <f t="shared" si="15"/>
        <v>1</v>
      </c>
      <c r="W74" s="558">
        <f t="shared" si="13"/>
        <v>1.5701519617555269E-9</v>
      </c>
      <c r="X74" s="558">
        <f t="shared" si="14"/>
        <v>0</v>
      </c>
      <c r="Y74" s="558">
        <f t="shared" si="16"/>
        <v>1.5701519617555269E-9</v>
      </c>
    </row>
    <row r="75" spans="18:25" x14ac:dyDescent="0.2">
      <c r="R75" s="558">
        <v>74</v>
      </c>
      <c r="S75" s="558">
        <f t="shared" si="10"/>
        <v>12</v>
      </c>
      <c r="T75" s="558">
        <f t="shared" si="11"/>
        <v>23</v>
      </c>
      <c r="U75" s="558">
        <f t="shared" si="12"/>
        <v>41</v>
      </c>
      <c r="V75" s="558">
        <f t="shared" si="15"/>
        <v>1</v>
      </c>
      <c r="W75" s="558">
        <f t="shared" si="13"/>
        <v>1.6146585763602943E-10</v>
      </c>
      <c r="X75" s="558">
        <f t="shared" si="14"/>
        <v>0</v>
      </c>
      <c r="Y75" s="558">
        <f t="shared" si="16"/>
        <v>1.6146585763602943E-10</v>
      </c>
    </row>
    <row r="76" spans="18:25" x14ac:dyDescent="0.2">
      <c r="R76" s="558">
        <v>75</v>
      </c>
      <c r="S76" s="558">
        <f t="shared" si="10"/>
        <v>11</v>
      </c>
      <c r="T76" s="558">
        <f t="shared" si="11"/>
        <v>22</v>
      </c>
      <c r="U76" s="558">
        <f t="shared" si="12"/>
        <v>42</v>
      </c>
      <c r="V76" s="558">
        <f t="shared" si="15"/>
        <v>1</v>
      </c>
      <c r="W76" s="558">
        <f t="shared" si="13"/>
        <v>1.4147484669061925E-11</v>
      </c>
      <c r="X76" s="558">
        <f t="shared" si="14"/>
        <v>0</v>
      </c>
      <c r="Y76" s="558">
        <f t="shared" si="16"/>
        <v>1.4147484669061925E-11</v>
      </c>
    </row>
    <row r="77" spans="18:25" x14ac:dyDescent="0.2">
      <c r="R77" s="558">
        <v>76</v>
      </c>
      <c r="S77" s="558">
        <f t="shared" si="10"/>
        <v>10</v>
      </c>
      <c r="T77" s="558">
        <f t="shared" si="11"/>
        <v>21</v>
      </c>
      <c r="U77" s="558">
        <f t="shared" si="12"/>
        <v>43</v>
      </c>
      <c r="V77" s="558">
        <f t="shared" si="15"/>
        <v>1</v>
      </c>
      <c r="W77" s="558">
        <f t="shared" si="13"/>
        <v>1.0476411535841417E-12</v>
      </c>
      <c r="X77" s="558">
        <f t="shared" si="14"/>
        <v>0</v>
      </c>
      <c r="Y77" s="558">
        <f t="shared" si="16"/>
        <v>1.0476411535841417E-12</v>
      </c>
    </row>
    <row r="78" spans="18:25" x14ac:dyDescent="0.2">
      <c r="R78" s="558">
        <v>77</v>
      </c>
      <c r="S78" s="558">
        <f t="shared" si="10"/>
        <v>9</v>
      </c>
      <c r="T78" s="558">
        <f t="shared" si="11"/>
        <v>20</v>
      </c>
      <c r="U78" s="558">
        <f t="shared" si="12"/>
        <v>44</v>
      </c>
      <c r="V78" s="558">
        <f t="shared" si="15"/>
        <v>1</v>
      </c>
      <c r="W78" s="558">
        <f t="shared" si="13"/>
        <v>6.4936435139512061E-14</v>
      </c>
      <c r="X78" s="558">
        <f t="shared" si="14"/>
        <v>0</v>
      </c>
      <c r="Y78" s="558">
        <f t="shared" si="16"/>
        <v>6.4936435139512061E-14</v>
      </c>
    </row>
    <row r="79" spans="18:25" x14ac:dyDescent="0.2">
      <c r="R79" s="558">
        <v>78</v>
      </c>
      <c r="S79" s="558">
        <f t="shared" si="10"/>
        <v>8</v>
      </c>
      <c r="T79" s="558">
        <f t="shared" si="11"/>
        <v>19</v>
      </c>
      <c r="U79" s="558">
        <f t="shared" si="12"/>
        <v>45</v>
      </c>
      <c r="V79" s="558">
        <f t="shared" si="15"/>
        <v>1</v>
      </c>
      <c r="W79" s="558">
        <f t="shared" si="13"/>
        <v>3.3300735968980311E-15</v>
      </c>
      <c r="X79" s="558">
        <f t="shared" si="14"/>
        <v>0</v>
      </c>
      <c r="Y79" s="558">
        <f t="shared" si="16"/>
        <v>3.3300735968980311E-15</v>
      </c>
    </row>
    <row r="80" spans="18:25" x14ac:dyDescent="0.2">
      <c r="R80" s="558">
        <v>79</v>
      </c>
      <c r="S80" s="558">
        <f t="shared" si="10"/>
        <v>7</v>
      </c>
      <c r="T80" s="558">
        <f t="shared" si="11"/>
        <v>18</v>
      </c>
      <c r="U80" s="558">
        <f t="shared" si="12"/>
        <v>46</v>
      </c>
      <c r="V80" s="558">
        <f t="shared" si="15"/>
        <v>1</v>
      </c>
      <c r="W80" s="558">
        <f t="shared" si="13"/>
        <v>1.3928761329898295E-16</v>
      </c>
      <c r="X80" s="558">
        <f t="shared" si="14"/>
        <v>0</v>
      </c>
      <c r="Y80" s="558">
        <f t="shared" si="16"/>
        <v>1.3928761329898295E-16</v>
      </c>
    </row>
    <row r="81" spans="18:25" x14ac:dyDescent="0.2">
      <c r="R81" s="558">
        <v>80</v>
      </c>
      <c r="S81" s="558">
        <f t="shared" si="10"/>
        <v>6</v>
      </c>
      <c r="T81" s="558">
        <f t="shared" si="11"/>
        <v>17</v>
      </c>
      <c r="U81" s="558">
        <f t="shared" si="12"/>
        <v>47</v>
      </c>
      <c r="V81" s="558">
        <f t="shared" si="15"/>
        <v>1</v>
      </c>
      <c r="W81" s="558">
        <f t="shared" si="13"/>
        <v>4.6676168286361645E-18</v>
      </c>
      <c r="X81" s="558">
        <f t="shared" si="14"/>
        <v>0</v>
      </c>
      <c r="Y81" s="558">
        <f t="shared" si="16"/>
        <v>4.6676168286361645E-18</v>
      </c>
    </row>
    <row r="82" spans="18:25" x14ac:dyDescent="0.2">
      <c r="R82" s="558">
        <v>81</v>
      </c>
      <c r="S82" s="558">
        <f t="shared" si="10"/>
        <v>5</v>
      </c>
      <c r="T82" s="558">
        <f t="shared" si="11"/>
        <v>16</v>
      </c>
      <c r="U82" s="558">
        <f t="shared" si="12"/>
        <v>48</v>
      </c>
      <c r="V82" s="558">
        <f t="shared" si="15"/>
        <v>1</v>
      </c>
      <c r="W82" s="558">
        <f t="shared" si="13"/>
        <v>1.224529106278008E-19</v>
      </c>
      <c r="X82" s="558">
        <f t="shared" si="14"/>
        <v>0</v>
      </c>
      <c r="Y82" s="558">
        <f t="shared" si="16"/>
        <v>1.224529106278008E-19</v>
      </c>
    </row>
    <row r="83" spans="18:25" x14ac:dyDescent="0.2">
      <c r="R83" s="558">
        <v>82</v>
      </c>
      <c r="S83" s="558">
        <f t="shared" si="10"/>
        <v>4</v>
      </c>
      <c r="T83" s="558">
        <f t="shared" si="11"/>
        <v>15</v>
      </c>
      <c r="U83" s="558">
        <f t="shared" si="12"/>
        <v>49</v>
      </c>
      <c r="V83" s="558">
        <f t="shared" si="15"/>
        <v>1</v>
      </c>
      <c r="W83" s="558">
        <f t="shared" si="13"/>
        <v>2.4380868218576309E-21</v>
      </c>
      <c r="X83" s="558">
        <f t="shared" si="14"/>
        <v>0</v>
      </c>
      <c r="Y83" s="558">
        <f t="shared" si="16"/>
        <v>2.4380868218576309E-21</v>
      </c>
    </row>
    <row r="84" spans="18:25" x14ac:dyDescent="0.2">
      <c r="R84" s="558">
        <v>83</v>
      </c>
      <c r="S84" s="558">
        <f t="shared" si="10"/>
        <v>3</v>
      </c>
      <c r="T84" s="558">
        <f t="shared" si="11"/>
        <v>14</v>
      </c>
      <c r="U84" s="558">
        <f t="shared" si="12"/>
        <v>50</v>
      </c>
      <c r="V84" s="558">
        <f t="shared" si="15"/>
        <v>1</v>
      </c>
      <c r="W84" s="558">
        <f t="shared" si="13"/>
        <v>3.5249448026857558E-23</v>
      </c>
      <c r="X84" s="558">
        <f t="shared" si="14"/>
        <v>0</v>
      </c>
      <c r="Y84" s="558">
        <f t="shared" si="16"/>
        <v>3.5249448026857558E-23</v>
      </c>
    </row>
    <row r="85" spans="18:25" x14ac:dyDescent="0.2">
      <c r="R85" s="558">
        <v>84</v>
      </c>
      <c r="S85" s="558">
        <f t="shared" si="10"/>
        <v>2</v>
      </c>
      <c r="T85" s="558">
        <f t="shared" si="11"/>
        <v>13</v>
      </c>
      <c r="U85" s="558">
        <f t="shared" si="12"/>
        <v>51</v>
      </c>
      <c r="V85" s="558">
        <f t="shared" si="15"/>
        <v>1</v>
      </c>
      <c r="W85" s="558">
        <f t="shared" si="13"/>
        <v>3.4558282379272057E-25</v>
      </c>
      <c r="X85" s="558">
        <f t="shared" si="14"/>
        <v>0</v>
      </c>
      <c r="Y85" s="558">
        <f t="shared" si="16"/>
        <v>3.4558282379272057E-25</v>
      </c>
    </row>
    <row r="86" spans="18:25" x14ac:dyDescent="0.2">
      <c r="R86" s="558">
        <v>85</v>
      </c>
      <c r="S86" s="558">
        <f t="shared" si="10"/>
        <v>1</v>
      </c>
      <c r="T86" s="558">
        <f t="shared" si="11"/>
        <v>12</v>
      </c>
      <c r="U86" s="558">
        <f t="shared" si="12"/>
        <v>52</v>
      </c>
      <c r="V86" s="558">
        <f t="shared" si="15"/>
        <v>1</v>
      </c>
      <c r="W86" s="558">
        <f t="shared" si="13"/>
        <v>2.032840139957195E-27</v>
      </c>
      <c r="X86" s="558">
        <f t="shared" si="14"/>
        <v>0</v>
      </c>
      <c r="Y86" s="558">
        <f t="shared" si="16"/>
        <v>2.032840139957195E-27</v>
      </c>
    </row>
    <row r="87" spans="18:25" x14ac:dyDescent="0.2">
      <c r="R87" s="558">
        <v>86</v>
      </c>
      <c r="S87" s="558">
        <f t="shared" si="10"/>
        <v>0</v>
      </c>
      <c r="T87" s="558">
        <f t="shared" si="11"/>
        <v>11</v>
      </c>
      <c r="U87" s="558">
        <f t="shared" si="12"/>
        <v>53</v>
      </c>
      <c r="V87" s="558">
        <f t="shared" si="15"/>
        <v>1</v>
      </c>
      <c r="W87" s="558">
        <f t="shared" si="13"/>
        <v>5.3519266519276323E-30</v>
      </c>
      <c r="X87" s="558">
        <f t="shared" si="14"/>
        <v>0</v>
      </c>
      <c r="Y87" s="558">
        <f t="shared" si="16"/>
        <v>5.3519266519276323E-30</v>
      </c>
    </row>
    <row r="88" spans="18:25" x14ac:dyDescent="0.2">
      <c r="R88" s="558">
        <v>87</v>
      </c>
      <c r="S88" s="558">
        <f t="shared" si="10"/>
        <v>-1</v>
      </c>
      <c r="T88" s="558">
        <f t="shared" si="11"/>
        <v>10</v>
      </c>
      <c r="U88" s="558">
        <f t="shared" si="12"/>
        <v>54</v>
      </c>
      <c r="V88" s="558">
        <f t="shared" si="15"/>
        <v>0</v>
      </c>
      <c r="W88" s="558">
        <f t="shared" si="13"/>
        <v>0</v>
      </c>
      <c r="X88" s="558">
        <f t="shared" si="14"/>
        <v>0</v>
      </c>
      <c r="Y88" s="558">
        <f t="shared" si="16"/>
        <v>0</v>
      </c>
    </row>
    <row r="89" spans="18:25" x14ac:dyDescent="0.2">
      <c r="R89" s="558">
        <v>88</v>
      </c>
      <c r="S89" s="558">
        <f t="shared" si="10"/>
        <v>-2</v>
      </c>
      <c r="T89" s="558">
        <f t="shared" si="11"/>
        <v>9</v>
      </c>
      <c r="U89" s="558">
        <f t="shared" si="12"/>
        <v>55</v>
      </c>
      <c r="V89" s="558">
        <f t="shared" si="15"/>
        <v>0</v>
      </c>
      <c r="W89" s="558">
        <f t="shared" si="13"/>
        <v>0</v>
      </c>
      <c r="X89" s="558">
        <f t="shared" si="14"/>
        <v>0</v>
      </c>
      <c r="Y89" s="558">
        <f t="shared" si="16"/>
        <v>0</v>
      </c>
    </row>
    <row r="90" spans="18:25" x14ac:dyDescent="0.2">
      <c r="R90" s="558">
        <v>89</v>
      </c>
      <c r="S90" s="558">
        <f t="shared" si="10"/>
        <v>-3</v>
      </c>
      <c r="T90" s="558">
        <f t="shared" si="11"/>
        <v>8</v>
      </c>
      <c r="U90" s="558">
        <f t="shared" si="12"/>
        <v>56</v>
      </c>
      <c r="V90" s="558">
        <f t="shared" si="15"/>
        <v>0</v>
      </c>
      <c r="W90" s="558">
        <f t="shared" si="13"/>
        <v>0</v>
      </c>
      <c r="X90" s="558">
        <f t="shared" si="14"/>
        <v>0</v>
      </c>
      <c r="Y90" s="558">
        <f t="shared" si="16"/>
        <v>0</v>
      </c>
    </row>
    <row r="91" spans="18:25" x14ac:dyDescent="0.2">
      <c r="R91" s="558">
        <v>90</v>
      </c>
      <c r="S91" s="558">
        <f t="shared" si="10"/>
        <v>-4</v>
      </c>
      <c r="T91" s="558">
        <f t="shared" si="11"/>
        <v>7</v>
      </c>
      <c r="U91" s="558">
        <f t="shared" si="12"/>
        <v>57</v>
      </c>
      <c r="V91" s="558">
        <f t="shared" si="15"/>
        <v>0</v>
      </c>
      <c r="W91" s="558">
        <f t="shared" si="13"/>
        <v>0</v>
      </c>
      <c r="X91" s="558">
        <f t="shared" si="14"/>
        <v>0</v>
      </c>
      <c r="Y91" s="558">
        <f t="shared" si="16"/>
        <v>0</v>
      </c>
    </row>
    <row r="92" spans="18:25" x14ac:dyDescent="0.2">
      <c r="R92" s="558">
        <v>91</v>
      </c>
      <c r="S92" s="558">
        <f t="shared" si="10"/>
        <v>-5</v>
      </c>
      <c r="T92" s="558">
        <f t="shared" si="11"/>
        <v>6</v>
      </c>
      <c r="U92" s="558">
        <f t="shared" si="12"/>
        <v>58</v>
      </c>
      <c r="V92" s="558">
        <f t="shared" si="15"/>
        <v>0</v>
      </c>
      <c r="W92" s="558">
        <f t="shared" si="13"/>
        <v>0</v>
      </c>
      <c r="X92" s="558">
        <f t="shared" si="14"/>
        <v>0</v>
      </c>
      <c r="Y92" s="558">
        <f t="shared" si="16"/>
        <v>0</v>
      </c>
    </row>
    <row r="93" spans="18:25" x14ac:dyDescent="0.2">
      <c r="R93" s="558">
        <v>92</v>
      </c>
      <c r="S93" s="558">
        <f t="shared" si="10"/>
        <v>-6</v>
      </c>
      <c r="T93" s="558">
        <f t="shared" si="11"/>
        <v>5</v>
      </c>
      <c r="U93" s="558">
        <f t="shared" si="12"/>
        <v>59</v>
      </c>
      <c r="V93" s="558">
        <f t="shared" si="15"/>
        <v>0</v>
      </c>
      <c r="W93" s="558">
        <f t="shared" si="13"/>
        <v>0</v>
      </c>
      <c r="X93" s="558">
        <f t="shared" si="14"/>
        <v>0</v>
      </c>
      <c r="Y93" s="558">
        <f t="shared" si="16"/>
        <v>0</v>
      </c>
    </row>
    <row r="94" spans="18:25" x14ac:dyDescent="0.2">
      <c r="R94" s="558">
        <v>93</v>
      </c>
      <c r="S94" s="558">
        <f t="shared" si="10"/>
        <v>-7</v>
      </c>
      <c r="T94" s="558">
        <f t="shared" si="11"/>
        <v>4</v>
      </c>
      <c r="U94" s="558">
        <f t="shared" si="12"/>
        <v>60</v>
      </c>
      <c r="V94" s="558">
        <f t="shared" si="15"/>
        <v>0</v>
      </c>
      <c r="W94" s="558">
        <f t="shared" si="13"/>
        <v>0</v>
      </c>
      <c r="X94" s="558">
        <f t="shared" si="14"/>
        <v>0</v>
      </c>
      <c r="Y94" s="558">
        <f t="shared" si="16"/>
        <v>0</v>
      </c>
    </row>
    <row r="95" spans="18:25" x14ac:dyDescent="0.2">
      <c r="R95" s="558">
        <v>94</v>
      </c>
      <c r="S95" s="558">
        <f t="shared" si="10"/>
        <v>-8</v>
      </c>
      <c r="T95" s="558">
        <f t="shared" si="11"/>
        <v>3</v>
      </c>
      <c r="U95" s="558">
        <f t="shared" si="12"/>
        <v>61</v>
      </c>
      <c r="V95" s="558">
        <f t="shared" si="15"/>
        <v>0</v>
      </c>
      <c r="W95" s="558">
        <f t="shared" si="13"/>
        <v>0</v>
      </c>
      <c r="X95" s="558">
        <f t="shared" si="14"/>
        <v>0</v>
      </c>
      <c r="Y95" s="558">
        <f t="shared" si="16"/>
        <v>0</v>
      </c>
    </row>
    <row r="96" spans="18:25" x14ac:dyDescent="0.2">
      <c r="R96" s="558">
        <v>95</v>
      </c>
      <c r="S96" s="558">
        <f t="shared" si="10"/>
        <v>-9</v>
      </c>
      <c r="T96" s="558">
        <f t="shared" si="11"/>
        <v>2</v>
      </c>
      <c r="U96" s="558">
        <f t="shared" si="12"/>
        <v>62</v>
      </c>
      <c r="V96" s="558">
        <f t="shared" si="15"/>
        <v>0</v>
      </c>
      <c r="W96" s="558">
        <f t="shared" si="13"/>
        <v>0</v>
      </c>
      <c r="X96" s="558">
        <f t="shared" si="14"/>
        <v>0</v>
      </c>
      <c r="Y96" s="558">
        <f t="shared" si="16"/>
        <v>0</v>
      </c>
    </row>
    <row r="97" spans="18:25" x14ac:dyDescent="0.2">
      <c r="R97" s="558">
        <v>96</v>
      </c>
      <c r="S97" s="558">
        <f t="shared" si="10"/>
        <v>-10</v>
      </c>
      <c r="T97" s="558">
        <f t="shared" si="11"/>
        <v>1</v>
      </c>
      <c r="U97" s="558">
        <f t="shared" si="12"/>
        <v>63</v>
      </c>
      <c r="V97" s="558">
        <f t="shared" si="15"/>
        <v>0</v>
      </c>
      <c r="W97" s="558">
        <f t="shared" si="13"/>
        <v>0</v>
      </c>
      <c r="X97" s="558">
        <f t="shared" si="14"/>
        <v>0</v>
      </c>
      <c r="Y97" s="558">
        <f t="shared" si="16"/>
        <v>0</v>
      </c>
    </row>
    <row r="98" spans="18:25" x14ac:dyDescent="0.2">
      <c r="R98" s="558">
        <v>97</v>
      </c>
      <c r="S98" s="558">
        <f t="shared" si="10"/>
        <v>-11</v>
      </c>
      <c r="T98" s="558">
        <f t="shared" si="11"/>
        <v>0</v>
      </c>
      <c r="U98" s="558">
        <f t="shared" si="12"/>
        <v>64</v>
      </c>
      <c r="V98" s="558">
        <f t="shared" si="15"/>
        <v>0</v>
      </c>
      <c r="W98" s="558">
        <f t="shared" si="13"/>
        <v>0</v>
      </c>
      <c r="X98" s="558">
        <f t="shared" si="14"/>
        <v>0</v>
      </c>
      <c r="Y98" s="558">
        <f t="shared" si="16"/>
        <v>0</v>
      </c>
    </row>
    <row r="99" spans="18:25" x14ac:dyDescent="0.2">
      <c r="R99" s="558">
        <v>98</v>
      </c>
      <c r="S99" s="558">
        <f t="shared" si="10"/>
        <v>-12</v>
      </c>
      <c r="T99" s="558">
        <f t="shared" si="11"/>
        <v>-1</v>
      </c>
      <c r="U99" s="558">
        <f t="shared" si="12"/>
        <v>65</v>
      </c>
      <c r="V99" s="558">
        <f t="shared" si="15"/>
        <v>0</v>
      </c>
      <c r="W99" s="558">
        <f t="shared" si="13"/>
        <v>0</v>
      </c>
      <c r="X99" s="558">
        <f t="shared" si="14"/>
        <v>0</v>
      </c>
      <c r="Y99" s="558">
        <f t="shared" si="16"/>
        <v>0</v>
      </c>
    </row>
    <row r="100" spans="18:25" x14ac:dyDescent="0.2">
      <c r="R100" s="558">
        <v>99</v>
      </c>
      <c r="S100" s="558">
        <f t="shared" si="10"/>
        <v>-13</v>
      </c>
      <c r="T100" s="558">
        <f t="shared" si="11"/>
        <v>-2</v>
      </c>
      <c r="U100" s="558">
        <f t="shared" si="12"/>
        <v>66</v>
      </c>
      <c r="V100" s="558">
        <f t="shared" si="15"/>
        <v>0</v>
      </c>
      <c r="W100" s="558">
        <f t="shared" si="13"/>
        <v>0</v>
      </c>
      <c r="X100" s="558">
        <f t="shared" si="14"/>
        <v>0</v>
      </c>
      <c r="Y100" s="558">
        <f t="shared" si="16"/>
        <v>0</v>
      </c>
    </row>
    <row r="101" spans="18:25" x14ac:dyDescent="0.2">
      <c r="R101" s="558">
        <v>100</v>
      </c>
      <c r="S101" s="558">
        <f t="shared" si="10"/>
        <v>-14</v>
      </c>
      <c r="T101" s="558">
        <f t="shared" si="11"/>
        <v>-3</v>
      </c>
      <c r="U101" s="558">
        <f t="shared" si="12"/>
        <v>67</v>
      </c>
      <c r="V101" s="558">
        <f t="shared" si="15"/>
        <v>0</v>
      </c>
      <c r="W101" s="558">
        <f t="shared" si="13"/>
        <v>0</v>
      </c>
      <c r="X101" s="558">
        <f t="shared" si="14"/>
        <v>0</v>
      </c>
      <c r="Y101" s="558">
        <f t="shared" si="16"/>
        <v>0</v>
      </c>
    </row>
    <row r="102" spans="18:25" x14ac:dyDescent="0.2">
      <c r="R102" s="558">
        <v>101</v>
      </c>
      <c r="S102" s="558">
        <f t="shared" si="10"/>
        <v>-15</v>
      </c>
      <c r="T102" s="558">
        <f t="shared" si="11"/>
        <v>-4</v>
      </c>
      <c r="U102" s="558">
        <f t="shared" si="12"/>
        <v>68</v>
      </c>
      <c r="V102" s="558">
        <f t="shared" si="15"/>
        <v>0</v>
      </c>
      <c r="W102" s="558">
        <f t="shared" si="13"/>
        <v>0</v>
      </c>
      <c r="X102" s="558">
        <f t="shared" si="14"/>
        <v>0</v>
      </c>
      <c r="Y102" s="558">
        <f t="shared" si="16"/>
        <v>0</v>
      </c>
    </row>
    <row r="103" spans="18:25" x14ac:dyDescent="0.2">
      <c r="R103" s="558">
        <v>102</v>
      </c>
      <c r="S103" s="558">
        <f t="shared" si="10"/>
        <v>-16</v>
      </c>
      <c r="T103" s="558">
        <f t="shared" si="11"/>
        <v>-5</v>
      </c>
      <c r="U103" s="558">
        <f t="shared" si="12"/>
        <v>69</v>
      </c>
      <c r="V103" s="558">
        <f t="shared" si="15"/>
        <v>0</v>
      </c>
      <c r="W103" s="558">
        <f t="shared" si="13"/>
        <v>0</v>
      </c>
      <c r="X103" s="558">
        <f t="shared" si="14"/>
        <v>0</v>
      </c>
      <c r="Y103" s="558">
        <f t="shared" si="16"/>
        <v>0</v>
      </c>
    </row>
    <row r="104" spans="18:25" x14ac:dyDescent="0.2">
      <c r="R104" s="558">
        <v>103</v>
      </c>
      <c r="S104" s="558">
        <f t="shared" si="10"/>
        <v>-17</v>
      </c>
      <c r="T104" s="558">
        <f t="shared" si="11"/>
        <v>-6</v>
      </c>
      <c r="U104" s="558">
        <f t="shared" si="12"/>
        <v>70</v>
      </c>
      <c r="V104" s="558">
        <f t="shared" si="15"/>
        <v>0</v>
      </c>
      <c r="W104" s="558">
        <f t="shared" si="13"/>
        <v>0</v>
      </c>
      <c r="X104" s="558">
        <f t="shared" si="14"/>
        <v>0</v>
      </c>
      <c r="Y104" s="558">
        <f t="shared" si="16"/>
        <v>0</v>
      </c>
    </row>
    <row r="105" spans="18:25" x14ac:dyDescent="0.2">
      <c r="R105" s="558">
        <v>104</v>
      </c>
      <c r="S105" s="558">
        <f t="shared" si="10"/>
        <v>-18</v>
      </c>
      <c r="T105" s="558">
        <f t="shared" si="11"/>
        <v>-7</v>
      </c>
      <c r="U105" s="558">
        <f t="shared" si="12"/>
        <v>71</v>
      </c>
      <c r="V105" s="558">
        <f t="shared" si="15"/>
        <v>0</v>
      </c>
      <c r="W105" s="558">
        <f t="shared" si="13"/>
        <v>0</v>
      </c>
      <c r="X105" s="558">
        <f t="shared" si="14"/>
        <v>0</v>
      </c>
      <c r="Y105" s="558">
        <f t="shared" si="16"/>
        <v>0</v>
      </c>
    </row>
    <row r="106" spans="18:25" x14ac:dyDescent="0.2">
      <c r="R106" s="558">
        <v>105</v>
      </c>
      <c r="S106" s="558">
        <f t="shared" si="10"/>
        <v>-19</v>
      </c>
      <c r="T106" s="558">
        <f t="shared" si="11"/>
        <v>-8</v>
      </c>
      <c r="U106" s="558">
        <f t="shared" si="12"/>
        <v>72</v>
      </c>
      <c r="V106" s="558">
        <f t="shared" si="15"/>
        <v>0</v>
      </c>
      <c r="W106" s="558">
        <f t="shared" si="13"/>
        <v>0</v>
      </c>
      <c r="X106" s="558">
        <f t="shared" si="14"/>
        <v>0</v>
      </c>
      <c r="Y106" s="558">
        <f t="shared" si="16"/>
        <v>0</v>
      </c>
    </row>
    <row r="107" spans="18:25" x14ac:dyDescent="0.2">
      <c r="R107" s="558">
        <v>106</v>
      </c>
      <c r="S107" s="558">
        <f t="shared" si="10"/>
        <v>-20</v>
      </c>
      <c r="T107" s="558">
        <f t="shared" si="11"/>
        <v>-9</v>
      </c>
      <c r="U107" s="558">
        <f t="shared" si="12"/>
        <v>73</v>
      </c>
      <c r="V107" s="558">
        <f t="shared" si="15"/>
        <v>0</v>
      </c>
      <c r="W107" s="558">
        <f t="shared" si="13"/>
        <v>0</v>
      </c>
      <c r="X107" s="558">
        <f t="shared" si="14"/>
        <v>0</v>
      </c>
      <c r="Y107" s="558">
        <f t="shared" si="16"/>
        <v>0</v>
      </c>
    </row>
    <row r="108" spans="18:25" x14ac:dyDescent="0.2">
      <c r="R108" s="558">
        <v>107</v>
      </c>
      <c r="S108" s="558">
        <f t="shared" si="10"/>
        <v>-21</v>
      </c>
      <c r="T108" s="558">
        <f t="shared" si="11"/>
        <v>-10</v>
      </c>
      <c r="U108" s="558">
        <f t="shared" si="12"/>
        <v>74</v>
      </c>
      <c r="V108" s="558">
        <f t="shared" si="15"/>
        <v>0</v>
      </c>
      <c r="W108" s="558">
        <f t="shared" si="13"/>
        <v>0</v>
      </c>
      <c r="X108" s="558">
        <f t="shared" si="14"/>
        <v>0</v>
      </c>
      <c r="Y108" s="558">
        <f t="shared" si="16"/>
        <v>0</v>
      </c>
    </row>
    <row r="109" spans="18:25" x14ac:dyDescent="0.2">
      <c r="R109" s="558">
        <v>108</v>
      </c>
      <c r="S109" s="558">
        <f t="shared" si="10"/>
        <v>-22</v>
      </c>
      <c r="T109" s="558">
        <f t="shared" si="11"/>
        <v>-11</v>
      </c>
      <c r="U109" s="558">
        <f t="shared" si="12"/>
        <v>75</v>
      </c>
      <c r="V109" s="558">
        <f t="shared" si="15"/>
        <v>0</v>
      </c>
      <c r="W109" s="558">
        <f t="shared" si="13"/>
        <v>0</v>
      </c>
      <c r="X109" s="558">
        <f t="shared" si="14"/>
        <v>0</v>
      </c>
      <c r="Y109" s="558">
        <f t="shared" si="16"/>
        <v>0</v>
      </c>
    </row>
    <row r="110" spans="18:25" x14ac:dyDescent="0.2">
      <c r="R110" s="558">
        <v>109</v>
      </c>
      <c r="S110" s="558">
        <f t="shared" si="10"/>
        <v>-23</v>
      </c>
      <c r="T110" s="558">
        <f t="shared" si="11"/>
        <v>-12</v>
      </c>
      <c r="U110" s="558">
        <f t="shared" si="12"/>
        <v>76</v>
      </c>
      <c r="V110" s="558">
        <f t="shared" si="15"/>
        <v>0</v>
      </c>
      <c r="W110" s="558">
        <f t="shared" si="13"/>
        <v>0</v>
      </c>
      <c r="X110" s="558">
        <f t="shared" si="14"/>
        <v>0</v>
      </c>
      <c r="Y110" s="558">
        <f t="shared" si="16"/>
        <v>0</v>
      </c>
    </row>
    <row r="111" spans="18:25" x14ac:dyDescent="0.2">
      <c r="R111" s="558">
        <v>110</v>
      </c>
      <c r="S111" s="558">
        <f t="shared" si="10"/>
        <v>-24</v>
      </c>
      <c r="T111" s="558">
        <f t="shared" si="11"/>
        <v>-13</v>
      </c>
      <c r="U111" s="558">
        <f t="shared" si="12"/>
        <v>77</v>
      </c>
      <c r="V111" s="558">
        <f t="shared" si="15"/>
        <v>0</v>
      </c>
      <c r="W111" s="558">
        <f t="shared" si="13"/>
        <v>0</v>
      </c>
      <c r="X111" s="558">
        <f t="shared" si="14"/>
        <v>0</v>
      </c>
      <c r="Y111" s="558">
        <f t="shared" si="16"/>
        <v>0</v>
      </c>
    </row>
    <row r="112" spans="18:25" x14ac:dyDescent="0.2">
      <c r="R112" s="558">
        <v>111</v>
      </c>
      <c r="S112" s="558">
        <f t="shared" si="10"/>
        <v>-25</v>
      </c>
      <c r="T112" s="558">
        <f t="shared" si="11"/>
        <v>-14</v>
      </c>
      <c r="U112" s="558">
        <f t="shared" si="12"/>
        <v>78</v>
      </c>
      <c r="V112" s="558">
        <f t="shared" si="15"/>
        <v>0</v>
      </c>
      <c r="W112" s="558">
        <f t="shared" si="13"/>
        <v>0</v>
      </c>
      <c r="X112" s="558">
        <f t="shared" si="14"/>
        <v>0</v>
      </c>
      <c r="Y112" s="558">
        <f t="shared" si="16"/>
        <v>0</v>
      </c>
    </row>
    <row r="113" spans="18:25" x14ac:dyDescent="0.2">
      <c r="R113" s="558">
        <v>112</v>
      </c>
      <c r="S113" s="558">
        <f t="shared" si="10"/>
        <v>-26</v>
      </c>
      <c r="T113" s="558">
        <f t="shared" si="11"/>
        <v>-15</v>
      </c>
      <c r="U113" s="558">
        <f t="shared" si="12"/>
        <v>79</v>
      </c>
      <c r="V113" s="558">
        <f t="shared" si="15"/>
        <v>0</v>
      </c>
      <c r="W113" s="558">
        <f t="shared" si="13"/>
        <v>0</v>
      </c>
      <c r="X113" s="558">
        <f t="shared" si="14"/>
        <v>0</v>
      </c>
      <c r="Y113" s="558">
        <f t="shared" si="16"/>
        <v>0</v>
      </c>
    </row>
    <row r="114" spans="18:25" x14ac:dyDescent="0.2">
      <c r="R114" s="558">
        <v>113</v>
      </c>
      <c r="S114" s="558">
        <f t="shared" si="10"/>
        <v>-27</v>
      </c>
      <c r="T114" s="558">
        <f t="shared" si="11"/>
        <v>-16</v>
      </c>
      <c r="U114" s="558">
        <f t="shared" si="12"/>
        <v>80</v>
      </c>
      <c r="V114" s="558">
        <f t="shared" si="15"/>
        <v>0</v>
      </c>
      <c r="W114" s="558">
        <f t="shared" si="13"/>
        <v>0</v>
      </c>
      <c r="X114" s="558">
        <f t="shared" si="14"/>
        <v>0</v>
      </c>
      <c r="Y114" s="558">
        <f t="shared" si="16"/>
        <v>0</v>
      </c>
    </row>
    <row r="115" spans="18:25" x14ac:dyDescent="0.2">
      <c r="R115" s="558">
        <v>114</v>
      </c>
      <c r="S115" s="558">
        <f t="shared" si="10"/>
        <v>-28</v>
      </c>
      <c r="T115" s="558">
        <f t="shared" si="11"/>
        <v>-17</v>
      </c>
      <c r="U115" s="558">
        <f t="shared" si="12"/>
        <v>81</v>
      </c>
      <c r="V115" s="558">
        <f t="shared" si="15"/>
        <v>0</v>
      </c>
      <c r="W115" s="558">
        <f t="shared" si="13"/>
        <v>0</v>
      </c>
      <c r="X115" s="558">
        <f t="shared" si="14"/>
        <v>0</v>
      </c>
      <c r="Y115" s="558">
        <f t="shared" si="16"/>
        <v>0</v>
      </c>
    </row>
    <row r="116" spans="18:25" x14ac:dyDescent="0.2">
      <c r="R116" s="558">
        <v>115</v>
      </c>
      <c r="S116" s="558">
        <f t="shared" si="10"/>
        <v>-29</v>
      </c>
      <c r="T116" s="558">
        <f t="shared" si="11"/>
        <v>-18</v>
      </c>
      <c r="U116" s="558">
        <f t="shared" si="12"/>
        <v>82</v>
      </c>
      <c r="V116" s="558">
        <f t="shared" si="15"/>
        <v>0</v>
      </c>
      <c r="W116" s="558">
        <f t="shared" si="13"/>
        <v>0</v>
      </c>
      <c r="X116" s="558">
        <f t="shared" si="14"/>
        <v>0</v>
      </c>
      <c r="Y116" s="558">
        <f t="shared" si="16"/>
        <v>0</v>
      </c>
    </row>
    <row r="117" spans="18:25" x14ac:dyDescent="0.2">
      <c r="R117" s="558">
        <v>116</v>
      </c>
      <c r="S117" s="558">
        <f t="shared" si="10"/>
        <v>-30</v>
      </c>
      <c r="T117" s="558">
        <f t="shared" si="11"/>
        <v>-19</v>
      </c>
      <c r="U117" s="558">
        <f t="shared" si="12"/>
        <v>83</v>
      </c>
      <c r="V117" s="558">
        <f t="shared" si="15"/>
        <v>0</v>
      </c>
      <c r="W117" s="558">
        <f t="shared" si="13"/>
        <v>0</v>
      </c>
      <c r="X117" s="558">
        <f t="shared" si="14"/>
        <v>0</v>
      </c>
      <c r="Y117" s="558">
        <f t="shared" si="16"/>
        <v>0</v>
      </c>
    </row>
    <row r="118" spans="18:25" x14ac:dyDescent="0.2">
      <c r="R118" s="558">
        <v>117</v>
      </c>
      <c r="S118" s="558">
        <f t="shared" si="10"/>
        <v>-31</v>
      </c>
      <c r="T118" s="558">
        <f t="shared" si="11"/>
        <v>-20</v>
      </c>
      <c r="U118" s="558">
        <f t="shared" si="12"/>
        <v>84</v>
      </c>
      <c r="V118" s="558">
        <f t="shared" si="15"/>
        <v>0</v>
      </c>
      <c r="W118" s="558">
        <f t="shared" si="13"/>
        <v>0</v>
      </c>
      <c r="X118" s="558">
        <f t="shared" si="14"/>
        <v>0</v>
      </c>
      <c r="Y118" s="558">
        <f t="shared" si="16"/>
        <v>0</v>
      </c>
    </row>
    <row r="119" spans="18:25" x14ac:dyDescent="0.2">
      <c r="R119" s="558">
        <v>118</v>
      </c>
      <c r="S119" s="558">
        <f t="shared" si="10"/>
        <v>-32</v>
      </c>
      <c r="T119" s="558">
        <f t="shared" si="11"/>
        <v>-21</v>
      </c>
      <c r="U119" s="558">
        <f t="shared" si="12"/>
        <v>85</v>
      </c>
      <c r="V119" s="558">
        <f t="shared" si="15"/>
        <v>0</v>
      </c>
      <c r="W119" s="558">
        <f t="shared" si="13"/>
        <v>0</v>
      </c>
      <c r="X119" s="558">
        <f t="shared" si="14"/>
        <v>0</v>
      </c>
      <c r="Y119" s="558">
        <f t="shared" si="16"/>
        <v>0</v>
      </c>
    </row>
    <row r="120" spans="18:25" x14ac:dyDescent="0.2">
      <c r="R120" s="558">
        <v>119</v>
      </c>
      <c r="S120" s="558">
        <f t="shared" si="10"/>
        <v>-33</v>
      </c>
      <c r="T120" s="558">
        <f t="shared" si="11"/>
        <v>-22</v>
      </c>
      <c r="U120" s="558">
        <f t="shared" si="12"/>
        <v>86</v>
      </c>
      <c r="V120" s="558">
        <f t="shared" si="15"/>
        <v>0</v>
      </c>
      <c r="W120" s="558">
        <f t="shared" si="13"/>
        <v>0</v>
      </c>
      <c r="X120" s="558">
        <f t="shared" si="14"/>
        <v>0</v>
      </c>
      <c r="Y120" s="558">
        <f t="shared" si="16"/>
        <v>0</v>
      </c>
    </row>
    <row r="121" spans="18:25" x14ac:dyDescent="0.2">
      <c r="R121" s="558">
        <v>120</v>
      </c>
      <c r="S121" s="558">
        <f t="shared" si="10"/>
        <v>-34</v>
      </c>
      <c r="T121" s="558">
        <f t="shared" si="11"/>
        <v>-23</v>
      </c>
      <c r="U121" s="558">
        <f t="shared" si="12"/>
        <v>87</v>
      </c>
      <c r="V121" s="558">
        <f t="shared" si="15"/>
        <v>0</v>
      </c>
      <c r="W121" s="558">
        <f t="shared" si="13"/>
        <v>0</v>
      </c>
      <c r="X121" s="558">
        <f t="shared" si="14"/>
        <v>0</v>
      </c>
      <c r="Y121" s="558">
        <f t="shared" si="16"/>
        <v>0</v>
      </c>
    </row>
    <row r="122" spans="18:25" x14ac:dyDescent="0.2">
      <c r="R122" s="558">
        <v>121</v>
      </c>
      <c r="S122" s="558">
        <f t="shared" si="10"/>
        <v>-35</v>
      </c>
      <c r="T122" s="558">
        <f t="shared" si="11"/>
        <v>-24</v>
      </c>
      <c r="U122" s="558">
        <f t="shared" si="12"/>
        <v>88</v>
      </c>
      <c r="V122" s="558">
        <f t="shared" si="15"/>
        <v>0</v>
      </c>
      <c r="W122" s="558">
        <f t="shared" si="13"/>
        <v>0</v>
      </c>
      <c r="X122" s="558">
        <f t="shared" si="14"/>
        <v>0</v>
      </c>
      <c r="Y122" s="558">
        <f t="shared" si="16"/>
        <v>0</v>
      </c>
    </row>
    <row r="123" spans="18:25" x14ac:dyDescent="0.2">
      <c r="R123" s="558">
        <v>122</v>
      </c>
      <c r="S123" s="558">
        <f t="shared" si="10"/>
        <v>-36</v>
      </c>
      <c r="T123" s="558">
        <f t="shared" si="11"/>
        <v>-25</v>
      </c>
      <c r="U123" s="558">
        <f t="shared" si="12"/>
        <v>89</v>
      </c>
      <c r="V123" s="558">
        <f t="shared" si="15"/>
        <v>0</v>
      </c>
      <c r="W123" s="558">
        <f t="shared" si="13"/>
        <v>0</v>
      </c>
      <c r="X123" s="558">
        <f t="shared" si="14"/>
        <v>0</v>
      </c>
      <c r="Y123" s="558">
        <f t="shared" si="16"/>
        <v>0</v>
      </c>
    </row>
    <row r="124" spans="18:25" x14ac:dyDescent="0.2">
      <c r="R124" s="558">
        <v>123</v>
      </c>
      <c r="S124" s="558">
        <f t="shared" si="10"/>
        <v>-37</v>
      </c>
      <c r="T124" s="558">
        <f t="shared" si="11"/>
        <v>-26</v>
      </c>
      <c r="U124" s="558">
        <f t="shared" si="12"/>
        <v>90</v>
      </c>
      <c r="V124" s="558">
        <f t="shared" si="15"/>
        <v>0</v>
      </c>
      <c r="W124" s="558">
        <f t="shared" si="13"/>
        <v>0</v>
      </c>
      <c r="X124" s="558">
        <f t="shared" si="14"/>
        <v>0</v>
      </c>
      <c r="Y124" s="558">
        <f t="shared" si="16"/>
        <v>0</v>
      </c>
    </row>
    <row r="125" spans="18:25" x14ac:dyDescent="0.2">
      <c r="R125" s="558">
        <v>124</v>
      </c>
      <c r="S125" s="558">
        <f t="shared" si="10"/>
        <v>-38</v>
      </c>
      <c r="T125" s="558">
        <f t="shared" si="11"/>
        <v>-27</v>
      </c>
      <c r="U125" s="558">
        <f t="shared" si="12"/>
        <v>91</v>
      </c>
      <c r="V125" s="558">
        <f t="shared" si="15"/>
        <v>0</v>
      </c>
      <c r="W125" s="558">
        <f t="shared" si="13"/>
        <v>0</v>
      </c>
      <c r="X125" s="558">
        <f t="shared" si="14"/>
        <v>0</v>
      </c>
      <c r="Y125" s="558">
        <f t="shared" si="16"/>
        <v>0</v>
      </c>
    </row>
    <row r="126" spans="18:25" x14ac:dyDescent="0.2">
      <c r="R126" s="558">
        <v>125</v>
      </c>
      <c r="S126" s="558">
        <f t="shared" si="10"/>
        <v>-39</v>
      </c>
      <c r="T126" s="558">
        <f t="shared" si="11"/>
        <v>-28</v>
      </c>
      <c r="U126" s="558">
        <f t="shared" si="12"/>
        <v>92</v>
      </c>
      <c r="V126" s="558">
        <f t="shared" si="15"/>
        <v>0</v>
      </c>
      <c r="W126" s="558">
        <f t="shared" si="13"/>
        <v>0</v>
      </c>
      <c r="X126" s="558">
        <f t="shared" si="14"/>
        <v>0</v>
      </c>
      <c r="Y126" s="558">
        <f t="shared" si="16"/>
        <v>0</v>
      </c>
    </row>
    <row r="127" spans="18:25" x14ac:dyDescent="0.2">
      <c r="R127" s="558">
        <v>126</v>
      </c>
      <c r="S127" s="558">
        <f t="shared" si="10"/>
        <v>-40</v>
      </c>
      <c r="T127" s="558">
        <f t="shared" si="11"/>
        <v>-29</v>
      </c>
      <c r="U127" s="558">
        <f t="shared" si="12"/>
        <v>93</v>
      </c>
      <c r="V127" s="558">
        <f t="shared" si="15"/>
        <v>0</v>
      </c>
      <c r="W127" s="558">
        <f t="shared" si="13"/>
        <v>0</v>
      </c>
      <c r="X127" s="558">
        <f t="shared" si="14"/>
        <v>0</v>
      </c>
      <c r="Y127" s="558">
        <f t="shared" si="16"/>
        <v>0</v>
      </c>
    </row>
    <row r="128" spans="18:25" x14ac:dyDescent="0.2">
      <c r="R128" s="558">
        <v>127</v>
      </c>
      <c r="S128" s="558">
        <f t="shared" si="10"/>
        <v>-41</v>
      </c>
      <c r="T128" s="558">
        <f t="shared" si="11"/>
        <v>-30</v>
      </c>
      <c r="U128" s="558">
        <f t="shared" si="12"/>
        <v>94</v>
      </c>
      <c r="V128" s="558">
        <f t="shared" si="15"/>
        <v>0</v>
      </c>
      <c r="W128" s="558">
        <f t="shared" si="13"/>
        <v>0</v>
      </c>
      <c r="X128" s="558">
        <f t="shared" si="14"/>
        <v>0</v>
      </c>
      <c r="Y128" s="558">
        <f t="shared" si="16"/>
        <v>0</v>
      </c>
    </row>
    <row r="129" spans="18:25" x14ac:dyDescent="0.2">
      <c r="R129" s="558">
        <v>128</v>
      </c>
      <c r="S129" s="558">
        <f t="shared" ref="S129:S192" si="17">$D$7-R129</f>
        <v>-42</v>
      </c>
      <c r="T129" s="558">
        <f t="shared" ref="T129:T192" si="18">$B$9-R129</f>
        <v>-31</v>
      </c>
      <c r="U129" s="558">
        <f t="shared" ref="U129:U192" si="19">$D$9-SUM(R129:T129)</f>
        <v>95</v>
      </c>
      <c r="V129" s="558">
        <f t="shared" si="15"/>
        <v>0</v>
      </c>
      <c r="W129" s="558">
        <f t="shared" ref="W129:W192" si="20">_xlfn.HYPGEOM.DIST(R129,R129+T129,R129+S129,SUM(R129:U129),0)</f>
        <v>0</v>
      </c>
      <c r="X129" s="558">
        <f t="shared" ref="X129:X192" si="21">IF(R129=$B$7,W129,0)</f>
        <v>0</v>
      </c>
      <c r="Y129" s="558">
        <f t="shared" si="16"/>
        <v>0</v>
      </c>
    </row>
    <row r="130" spans="18:25" x14ac:dyDescent="0.2">
      <c r="R130" s="558">
        <v>129</v>
      </c>
      <c r="S130" s="558">
        <f t="shared" si="17"/>
        <v>-43</v>
      </c>
      <c r="T130" s="558">
        <f t="shared" si="18"/>
        <v>-32</v>
      </c>
      <c r="U130" s="558">
        <f t="shared" si="19"/>
        <v>96</v>
      </c>
      <c r="V130" s="558">
        <f t="shared" ref="V130:V193" si="22">IF(S130&gt;=0,IF(T130&gt;=0,IF(U130&gt;=0,1,0),0),0)</f>
        <v>0</v>
      </c>
      <c r="W130" s="558">
        <f t="shared" si="20"/>
        <v>0</v>
      </c>
      <c r="X130" s="558">
        <f t="shared" si="21"/>
        <v>0</v>
      </c>
      <c r="Y130" s="558">
        <f t="shared" ref="Y130:Y193" si="23">IF(W130&lt;=SUM($X$1:$X$1101),W130,0)</f>
        <v>0</v>
      </c>
    </row>
    <row r="131" spans="18:25" x14ac:dyDescent="0.2">
      <c r="R131" s="558">
        <v>130</v>
      </c>
      <c r="S131" s="558">
        <f t="shared" si="17"/>
        <v>-44</v>
      </c>
      <c r="T131" s="558">
        <f t="shared" si="18"/>
        <v>-33</v>
      </c>
      <c r="U131" s="558">
        <f t="shared" si="19"/>
        <v>97</v>
      </c>
      <c r="V131" s="558">
        <f t="shared" si="22"/>
        <v>0</v>
      </c>
      <c r="W131" s="558">
        <f t="shared" si="20"/>
        <v>0</v>
      </c>
      <c r="X131" s="558">
        <f t="shared" si="21"/>
        <v>0</v>
      </c>
      <c r="Y131" s="558">
        <f t="shared" si="23"/>
        <v>0</v>
      </c>
    </row>
    <row r="132" spans="18:25" x14ac:dyDescent="0.2">
      <c r="R132" s="558">
        <v>131</v>
      </c>
      <c r="S132" s="558">
        <f t="shared" si="17"/>
        <v>-45</v>
      </c>
      <c r="T132" s="558">
        <f t="shared" si="18"/>
        <v>-34</v>
      </c>
      <c r="U132" s="558">
        <f t="shared" si="19"/>
        <v>98</v>
      </c>
      <c r="V132" s="558">
        <f t="shared" si="22"/>
        <v>0</v>
      </c>
      <c r="W132" s="558">
        <f t="shared" si="20"/>
        <v>0</v>
      </c>
      <c r="X132" s="558">
        <f t="shared" si="21"/>
        <v>0</v>
      </c>
      <c r="Y132" s="558">
        <f t="shared" si="23"/>
        <v>0</v>
      </c>
    </row>
    <row r="133" spans="18:25" x14ac:dyDescent="0.2">
      <c r="R133" s="558">
        <v>132</v>
      </c>
      <c r="S133" s="558">
        <f t="shared" si="17"/>
        <v>-46</v>
      </c>
      <c r="T133" s="558">
        <f t="shared" si="18"/>
        <v>-35</v>
      </c>
      <c r="U133" s="558">
        <f t="shared" si="19"/>
        <v>99</v>
      </c>
      <c r="V133" s="558">
        <f t="shared" si="22"/>
        <v>0</v>
      </c>
      <c r="W133" s="558">
        <f t="shared" si="20"/>
        <v>0</v>
      </c>
      <c r="X133" s="558">
        <f t="shared" si="21"/>
        <v>0</v>
      </c>
      <c r="Y133" s="558">
        <f t="shared" si="23"/>
        <v>0</v>
      </c>
    </row>
    <row r="134" spans="18:25" x14ac:dyDescent="0.2">
      <c r="R134" s="558">
        <v>133</v>
      </c>
      <c r="S134" s="558">
        <f t="shared" si="17"/>
        <v>-47</v>
      </c>
      <c r="T134" s="558">
        <f t="shared" si="18"/>
        <v>-36</v>
      </c>
      <c r="U134" s="558">
        <f t="shared" si="19"/>
        <v>100</v>
      </c>
      <c r="V134" s="558">
        <f t="shared" si="22"/>
        <v>0</v>
      </c>
      <c r="W134" s="558">
        <f t="shared" si="20"/>
        <v>0</v>
      </c>
      <c r="X134" s="558">
        <f t="shared" si="21"/>
        <v>0</v>
      </c>
      <c r="Y134" s="558">
        <f t="shared" si="23"/>
        <v>0</v>
      </c>
    </row>
    <row r="135" spans="18:25" x14ac:dyDescent="0.2">
      <c r="R135" s="558">
        <v>134</v>
      </c>
      <c r="S135" s="558">
        <f t="shared" si="17"/>
        <v>-48</v>
      </c>
      <c r="T135" s="558">
        <f t="shared" si="18"/>
        <v>-37</v>
      </c>
      <c r="U135" s="558">
        <f t="shared" si="19"/>
        <v>101</v>
      </c>
      <c r="V135" s="558">
        <f t="shared" si="22"/>
        <v>0</v>
      </c>
      <c r="W135" s="558">
        <f t="shared" si="20"/>
        <v>0</v>
      </c>
      <c r="X135" s="558">
        <f t="shared" si="21"/>
        <v>0</v>
      </c>
      <c r="Y135" s="558">
        <f t="shared" si="23"/>
        <v>0</v>
      </c>
    </row>
    <row r="136" spans="18:25" x14ac:dyDescent="0.2">
      <c r="R136" s="558">
        <v>135</v>
      </c>
      <c r="S136" s="558">
        <f t="shared" si="17"/>
        <v>-49</v>
      </c>
      <c r="T136" s="558">
        <f t="shared" si="18"/>
        <v>-38</v>
      </c>
      <c r="U136" s="558">
        <f t="shared" si="19"/>
        <v>102</v>
      </c>
      <c r="V136" s="558">
        <f t="shared" si="22"/>
        <v>0</v>
      </c>
      <c r="W136" s="558">
        <f t="shared" si="20"/>
        <v>0</v>
      </c>
      <c r="X136" s="558">
        <f t="shared" si="21"/>
        <v>0</v>
      </c>
      <c r="Y136" s="558">
        <f t="shared" si="23"/>
        <v>0</v>
      </c>
    </row>
    <row r="137" spans="18:25" x14ac:dyDescent="0.2">
      <c r="R137" s="558">
        <v>136</v>
      </c>
      <c r="S137" s="558">
        <f t="shared" si="17"/>
        <v>-50</v>
      </c>
      <c r="T137" s="558">
        <f t="shared" si="18"/>
        <v>-39</v>
      </c>
      <c r="U137" s="558">
        <f t="shared" si="19"/>
        <v>103</v>
      </c>
      <c r="V137" s="558">
        <f t="shared" si="22"/>
        <v>0</v>
      </c>
      <c r="W137" s="558">
        <f t="shared" si="20"/>
        <v>0</v>
      </c>
      <c r="X137" s="558">
        <f t="shared" si="21"/>
        <v>0</v>
      </c>
      <c r="Y137" s="558">
        <f t="shared" si="23"/>
        <v>0</v>
      </c>
    </row>
    <row r="138" spans="18:25" x14ac:dyDescent="0.2">
      <c r="R138" s="558">
        <v>137</v>
      </c>
      <c r="S138" s="558">
        <f t="shared" si="17"/>
        <v>-51</v>
      </c>
      <c r="T138" s="558">
        <f t="shared" si="18"/>
        <v>-40</v>
      </c>
      <c r="U138" s="558">
        <f t="shared" si="19"/>
        <v>104</v>
      </c>
      <c r="V138" s="558">
        <f t="shared" si="22"/>
        <v>0</v>
      </c>
      <c r="W138" s="558">
        <f t="shared" si="20"/>
        <v>0</v>
      </c>
      <c r="X138" s="558">
        <f t="shared" si="21"/>
        <v>0</v>
      </c>
      <c r="Y138" s="558">
        <f t="shared" si="23"/>
        <v>0</v>
      </c>
    </row>
    <row r="139" spans="18:25" x14ac:dyDescent="0.2">
      <c r="R139" s="558">
        <v>138</v>
      </c>
      <c r="S139" s="558">
        <f t="shared" si="17"/>
        <v>-52</v>
      </c>
      <c r="T139" s="558">
        <f t="shared" si="18"/>
        <v>-41</v>
      </c>
      <c r="U139" s="558">
        <f t="shared" si="19"/>
        <v>105</v>
      </c>
      <c r="V139" s="558">
        <f t="shared" si="22"/>
        <v>0</v>
      </c>
      <c r="W139" s="558">
        <f t="shared" si="20"/>
        <v>0</v>
      </c>
      <c r="X139" s="558">
        <f t="shared" si="21"/>
        <v>0</v>
      </c>
      <c r="Y139" s="558">
        <f t="shared" si="23"/>
        <v>0</v>
      </c>
    </row>
    <row r="140" spans="18:25" x14ac:dyDescent="0.2">
      <c r="R140" s="558">
        <v>139</v>
      </c>
      <c r="S140" s="558">
        <f t="shared" si="17"/>
        <v>-53</v>
      </c>
      <c r="T140" s="558">
        <f t="shared" si="18"/>
        <v>-42</v>
      </c>
      <c r="U140" s="558">
        <f t="shared" si="19"/>
        <v>106</v>
      </c>
      <c r="V140" s="558">
        <f t="shared" si="22"/>
        <v>0</v>
      </c>
      <c r="W140" s="558">
        <f t="shared" si="20"/>
        <v>0</v>
      </c>
      <c r="X140" s="558">
        <f t="shared" si="21"/>
        <v>0</v>
      </c>
      <c r="Y140" s="558">
        <f t="shared" si="23"/>
        <v>0</v>
      </c>
    </row>
    <row r="141" spans="18:25" x14ac:dyDescent="0.2">
      <c r="R141" s="558">
        <v>140</v>
      </c>
      <c r="S141" s="558">
        <f t="shared" si="17"/>
        <v>-54</v>
      </c>
      <c r="T141" s="558">
        <f t="shared" si="18"/>
        <v>-43</v>
      </c>
      <c r="U141" s="558">
        <f t="shared" si="19"/>
        <v>107</v>
      </c>
      <c r="V141" s="558">
        <f t="shared" si="22"/>
        <v>0</v>
      </c>
      <c r="W141" s="558">
        <f t="shared" si="20"/>
        <v>0</v>
      </c>
      <c r="X141" s="558">
        <f t="shared" si="21"/>
        <v>0</v>
      </c>
      <c r="Y141" s="558">
        <f t="shared" si="23"/>
        <v>0</v>
      </c>
    </row>
    <row r="142" spans="18:25" x14ac:dyDescent="0.2">
      <c r="R142" s="558">
        <v>141</v>
      </c>
      <c r="S142" s="558">
        <f t="shared" si="17"/>
        <v>-55</v>
      </c>
      <c r="T142" s="558">
        <f t="shared" si="18"/>
        <v>-44</v>
      </c>
      <c r="U142" s="558">
        <f t="shared" si="19"/>
        <v>108</v>
      </c>
      <c r="V142" s="558">
        <f t="shared" si="22"/>
        <v>0</v>
      </c>
      <c r="W142" s="558">
        <f t="shared" si="20"/>
        <v>0</v>
      </c>
      <c r="X142" s="558">
        <f t="shared" si="21"/>
        <v>0</v>
      </c>
      <c r="Y142" s="558">
        <f t="shared" si="23"/>
        <v>0</v>
      </c>
    </row>
    <row r="143" spans="18:25" x14ac:dyDescent="0.2">
      <c r="R143" s="558">
        <v>142</v>
      </c>
      <c r="S143" s="558">
        <f t="shared" si="17"/>
        <v>-56</v>
      </c>
      <c r="T143" s="558">
        <f t="shared" si="18"/>
        <v>-45</v>
      </c>
      <c r="U143" s="558">
        <f t="shared" si="19"/>
        <v>109</v>
      </c>
      <c r="V143" s="558">
        <f t="shared" si="22"/>
        <v>0</v>
      </c>
      <c r="W143" s="558">
        <f t="shared" si="20"/>
        <v>0</v>
      </c>
      <c r="X143" s="558">
        <f t="shared" si="21"/>
        <v>0</v>
      </c>
      <c r="Y143" s="558">
        <f t="shared" si="23"/>
        <v>0</v>
      </c>
    </row>
    <row r="144" spans="18:25" x14ac:dyDescent="0.2">
      <c r="R144" s="558">
        <v>143</v>
      </c>
      <c r="S144" s="558">
        <f t="shared" si="17"/>
        <v>-57</v>
      </c>
      <c r="T144" s="558">
        <f t="shared" si="18"/>
        <v>-46</v>
      </c>
      <c r="U144" s="558">
        <f t="shared" si="19"/>
        <v>110</v>
      </c>
      <c r="V144" s="558">
        <f t="shared" si="22"/>
        <v>0</v>
      </c>
      <c r="W144" s="558">
        <f t="shared" si="20"/>
        <v>0</v>
      </c>
      <c r="X144" s="558">
        <f t="shared" si="21"/>
        <v>0</v>
      </c>
      <c r="Y144" s="558">
        <f t="shared" si="23"/>
        <v>0</v>
      </c>
    </row>
    <row r="145" spans="18:25" x14ac:dyDescent="0.2">
      <c r="R145" s="558">
        <v>144</v>
      </c>
      <c r="S145" s="558">
        <f t="shared" si="17"/>
        <v>-58</v>
      </c>
      <c r="T145" s="558">
        <f t="shared" si="18"/>
        <v>-47</v>
      </c>
      <c r="U145" s="558">
        <f t="shared" si="19"/>
        <v>111</v>
      </c>
      <c r="V145" s="558">
        <f t="shared" si="22"/>
        <v>0</v>
      </c>
      <c r="W145" s="558">
        <f t="shared" si="20"/>
        <v>0</v>
      </c>
      <c r="X145" s="558">
        <f t="shared" si="21"/>
        <v>0</v>
      </c>
      <c r="Y145" s="558">
        <f t="shared" si="23"/>
        <v>0</v>
      </c>
    </row>
    <row r="146" spans="18:25" x14ac:dyDescent="0.2">
      <c r="R146" s="558">
        <v>145</v>
      </c>
      <c r="S146" s="558">
        <f t="shared" si="17"/>
        <v>-59</v>
      </c>
      <c r="T146" s="558">
        <f t="shared" si="18"/>
        <v>-48</v>
      </c>
      <c r="U146" s="558">
        <f t="shared" si="19"/>
        <v>112</v>
      </c>
      <c r="V146" s="558">
        <f t="shared" si="22"/>
        <v>0</v>
      </c>
      <c r="W146" s="558">
        <f t="shared" si="20"/>
        <v>0</v>
      </c>
      <c r="X146" s="558">
        <f t="shared" si="21"/>
        <v>0</v>
      </c>
      <c r="Y146" s="558">
        <f t="shared" si="23"/>
        <v>0</v>
      </c>
    </row>
    <row r="147" spans="18:25" x14ac:dyDescent="0.2">
      <c r="R147" s="558">
        <v>146</v>
      </c>
      <c r="S147" s="558">
        <f t="shared" si="17"/>
        <v>-60</v>
      </c>
      <c r="T147" s="558">
        <f t="shared" si="18"/>
        <v>-49</v>
      </c>
      <c r="U147" s="558">
        <f t="shared" si="19"/>
        <v>113</v>
      </c>
      <c r="V147" s="558">
        <f t="shared" si="22"/>
        <v>0</v>
      </c>
      <c r="W147" s="558">
        <f t="shared" si="20"/>
        <v>0</v>
      </c>
      <c r="X147" s="558">
        <f t="shared" si="21"/>
        <v>0</v>
      </c>
      <c r="Y147" s="558">
        <f t="shared" si="23"/>
        <v>0</v>
      </c>
    </row>
    <row r="148" spans="18:25" x14ac:dyDescent="0.2">
      <c r="R148" s="558">
        <v>147</v>
      </c>
      <c r="S148" s="558">
        <f t="shared" si="17"/>
        <v>-61</v>
      </c>
      <c r="T148" s="558">
        <f t="shared" si="18"/>
        <v>-50</v>
      </c>
      <c r="U148" s="558">
        <f t="shared" si="19"/>
        <v>114</v>
      </c>
      <c r="V148" s="558">
        <f t="shared" si="22"/>
        <v>0</v>
      </c>
      <c r="W148" s="558">
        <f t="shared" si="20"/>
        <v>0</v>
      </c>
      <c r="X148" s="558">
        <f t="shared" si="21"/>
        <v>0</v>
      </c>
      <c r="Y148" s="558">
        <f t="shared" si="23"/>
        <v>0</v>
      </c>
    </row>
    <row r="149" spans="18:25" x14ac:dyDescent="0.2">
      <c r="R149" s="558">
        <v>148</v>
      </c>
      <c r="S149" s="558">
        <f t="shared" si="17"/>
        <v>-62</v>
      </c>
      <c r="T149" s="558">
        <f t="shared" si="18"/>
        <v>-51</v>
      </c>
      <c r="U149" s="558">
        <f t="shared" si="19"/>
        <v>115</v>
      </c>
      <c r="V149" s="558">
        <f t="shared" si="22"/>
        <v>0</v>
      </c>
      <c r="W149" s="558">
        <f t="shared" si="20"/>
        <v>0</v>
      </c>
      <c r="X149" s="558">
        <f t="shared" si="21"/>
        <v>0</v>
      </c>
      <c r="Y149" s="558">
        <f t="shared" si="23"/>
        <v>0</v>
      </c>
    </row>
    <row r="150" spans="18:25" x14ac:dyDescent="0.2">
      <c r="R150" s="558">
        <v>149</v>
      </c>
      <c r="S150" s="558">
        <f t="shared" si="17"/>
        <v>-63</v>
      </c>
      <c r="T150" s="558">
        <f t="shared" si="18"/>
        <v>-52</v>
      </c>
      <c r="U150" s="558">
        <f t="shared" si="19"/>
        <v>116</v>
      </c>
      <c r="V150" s="558">
        <f t="shared" si="22"/>
        <v>0</v>
      </c>
      <c r="W150" s="558">
        <f t="shared" si="20"/>
        <v>0</v>
      </c>
      <c r="X150" s="558">
        <f t="shared" si="21"/>
        <v>0</v>
      </c>
      <c r="Y150" s="558">
        <f t="shared" si="23"/>
        <v>0</v>
      </c>
    </row>
    <row r="151" spans="18:25" x14ac:dyDescent="0.2">
      <c r="R151" s="558">
        <v>150</v>
      </c>
      <c r="S151" s="558">
        <f t="shared" si="17"/>
        <v>-64</v>
      </c>
      <c r="T151" s="558">
        <f t="shared" si="18"/>
        <v>-53</v>
      </c>
      <c r="U151" s="558">
        <f t="shared" si="19"/>
        <v>117</v>
      </c>
      <c r="V151" s="558">
        <f t="shared" si="22"/>
        <v>0</v>
      </c>
      <c r="W151" s="558">
        <f t="shared" si="20"/>
        <v>0</v>
      </c>
      <c r="X151" s="558">
        <f t="shared" si="21"/>
        <v>0</v>
      </c>
      <c r="Y151" s="558">
        <f t="shared" si="23"/>
        <v>0</v>
      </c>
    </row>
    <row r="152" spans="18:25" x14ac:dyDescent="0.2">
      <c r="R152" s="558">
        <v>151</v>
      </c>
      <c r="S152" s="558">
        <f t="shared" si="17"/>
        <v>-65</v>
      </c>
      <c r="T152" s="558">
        <f t="shared" si="18"/>
        <v>-54</v>
      </c>
      <c r="U152" s="558">
        <f t="shared" si="19"/>
        <v>118</v>
      </c>
      <c r="V152" s="558">
        <f t="shared" si="22"/>
        <v>0</v>
      </c>
      <c r="W152" s="558">
        <f t="shared" si="20"/>
        <v>0</v>
      </c>
      <c r="X152" s="558">
        <f t="shared" si="21"/>
        <v>0</v>
      </c>
      <c r="Y152" s="558">
        <f t="shared" si="23"/>
        <v>0</v>
      </c>
    </row>
    <row r="153" spans="18:25" x14ac:dyDescent="0.2">
      <c r="R153" s="558">
        <v>152</v>
      </c>
      <c r="S153" s="558">
        <f t="shared" si="17"/>
        <v>-66</v>
      </c>
      <c r="T153" s="558">
        <f t="shared" si="18"/>
        <v>-55</v>
      </c>
      <c r="U153" s="558">
        <f t="shared" si="19"/>
        <v>119</v>
      </c>
      <c r="V153" s="558">
        <f t="shared" si="22"/>
        <v>0</v>
      </c>
      <c r="W153" s="558">
        <f t="shared" si="20"/>
        <v>0</v>
      </c>
      <c r="X153" s="558">
        <f t="shared" si="21"/>
        <v>0</v>
      </c>
      <c r="Y153" s="558">
        <f t="shared" si="23"/>
        <v>0</v>
      </c>
    </row>
    <row r="154" spans="18:25" x14ac:dyDescent="0.2">
      <c r="R154" s="558">
        <v>153</v>
      </c>
      <c r="S154" s="558">
        <f t="shared" si="17"/>
        <v>-67</v>
      </c>
      <c r="T154" s="558">
        <f t="shared" si="18"/>
        <v>-56</v>
      </c>
      <c r="U154" s="558">
        <f t="shared" si="19"/>
        <v>120</v>
      </c>
      <c r="V154" s="558">
        <f t="shared" si="22"/>
        <v>0</v>
      </c>
      <c r="W154" s="558">
        <f t="shared" si="20"/>
        <v>0</v>
      </c>
      <c r="X154" s="558">
        <f t="shared" si="21"/>
        <v>0</v>
      </c>
      <c r="Y154" s="558">
        <f t="shared" si="23"/>
        <v>0</v>
      </c>
    </row>
    <row r="155" spans="18:25" x14ac:dyDescent="0.2">
      <c r="R155" s="558">
        <v>154</v>
      </c>
      <c r="S155" s="558">
        <f t="shared" si="17"/>
        <v>-68</v>
      </c>
      <c r="T155" s="558">
        <f t="shared" si="18"/>
        <v>-57</v>
      </c>
      <c r="U155" s="558">
        <f t="shared" si="19"/>
        <v>121</v>
      </c>
      <c r="V155" s="558">
        <f t="shared" si="22"/>
        <v>0</v>
      </c>
      <c r="W155" s="558">
        <f t="shared" si="20"/>
        <v>0</v>
      </c>
      <c r="X155" s="558">
        <f t="shared" si="21"/>
        <v>0</v>
      </c>
      <c r="Y155" s="558">
        <f t="shared" si="23"/>
        <v>0</v>
      </c>
    </row>
    <row r="156" spans="18:25" x14ac:dyDescent="0.2">
      <c r="R156" s="558">
        <v>155</v>
      </c>
      <c r="S156" s="558">
        <f t="shared" si="17"/>
        <v>-69</v>
      </c>
      <c r="T156" s="558">
        <f t="shared" si="18"/>
        <v>-58</v>
      </c>
      <c r="U156" s="558">
        <f t="shared" si="19"/>
        <v>122</v>
      </c>
      <c r="V156" s="558">
        <f t="shared" si="22"/>
        <v>0</v>
      </c>
      <c r="W156" s="558">
        <f t="shared" si="20"/>
        <v>0</v>
      </c>
      <c r="X156" s="558">
        <f t="shared" si="21"/>
        <v>0</v>
      </c>
      <c r="Y156" s="558">
        <f t="shared" si="23"/>
        <v>0</v>
      </c>
    </row>
    <row r="157" spans="18:25" x14ac:dyDescent="0.2">
      <c r="R157" s="558">
        <v>156</v>
      </c>
      <c r="S157" s="558">
        <f t="shared" si="17"/>
        <v>-70</v>
      </c>
      <c r="T157" s="558">
        <f t="shared" si="18"/>
        <v>-59</v>
      </c>
      <c r="U157" s="558">
        <f t="shared" si="19"/>
        <v>123</v>
      </c>
      <c r="V157" s="558">
        <f t="shared" si="22"/>
        <v>0</v>
      </c>
      <c r="W157" s="558">
        <f t="shared" si="20"/>
        <v>0</v>
      </c>
      <c r="X157" s="558">
        <f t="shared" si="21"/>
        <v>0</v>
      </c>
      <c r="Y157" s="558">
        <f t="shared" si="23"/>
        <v>0</v>
      </c>
    </row>
    <row r="158" spans="18:25" x14ac:dyDescent="0.2">
      <c r="R158" s="558">
        <v>157</v>
      </c>
      <c r="S158" s="558">
        <f t="shared" si="17"/>
        <v>-71</v>
      </c>
      <c r="T158" s="558">
        <f t="shared" si="18"/>
        <v>-60</v>
      </c>
      <c r="U158" s="558">
        <f t="shared" si="19"/>
        <v>124</v>
      </c>
      <c r="V158" s="558">
        <f t="shared" si="22"/>
        <v>0</v>
      </c>
      <c r="W158" s="558">
        <f t="shared" si="20"/>
        <v>0</v>
      </c>
      <c r="X158" s="558">
        <f t="shared" si="21"/>
        <v>0</v>
      </c>
      <c r="Y158" s="558">
        <f t="shared" si="23"/>
        <v>0</v>
      </c>
    </row>
    <row r="159" spans="18:25" x14ac:dyDescent="0.2">
      <c r="R159" s="558">
        <v>158</v>
      </c>
      <c r="S159" s="558">
        <f t="shared" si="17"/>
        <v>-72</v>
      </c>
      <c r="T159" s="558">
        <f t="shared" si="18"/>
        <v>-61</v>
      </c>
      <c r="U159" s="558">
        <f t="shared" si="19"/>
        <v>125</v>
      </c>
      <c r="V159" s="558">
        <f t="shared" si="22"/>
        <v>0</v>
      </c>
      <c r="W159" s="558">
        <f t="shared" si="20"/>
        <v>0</v>
      </c>
      <c r="X159" s="558">
        <f t="shared" si="21"/>
        <v>0</v>
      </c>
      <c r="Y159" s="558">
        <f t="shared" si="23"/>
        <v>0</v>
      </c>
    </row>
    <row r="160" spans="18:25" x14ac:dyDescent="0.2">
      <c r="R160" s="558">
        <v>159</v>
      </c>
      <c r="S160" s="558">
        <f t="shared" si="17"/>
        <v>-73</v>
      </c>
      <c r="T160" s="558">
        <f t="shared" si="18"/>
        <v>-62</v>
      </c>
      <c r="U160" s="558">
        <f t="shared" si="19"/>
        <v>126</v>
      </c>
      <c r="V160" s="558">
        <f t="shared" si="22"/>
        <v>0</v>
      </c>
      <c r="W160" s="558">
        <f t="shared" si="20"/>
        <v>0</v>
      </c>
      <c r="X160" s="558">
        <f t="shared" si="21"/>
        <v>0</v>
      </c>
      <c r="Y160" s="558">
        <f t="shared" si="23"/>
        <v>0</v>
      </c>
    </row>
    <row r="161" spans="18:25" x14ac:dyDescent="0.2">
      <c r="R161" s="558">
        <v>160</v>
      </c>
      <c r="S161" s="558">
        <f t="shared" si="17"/>
        <v>-74</v>
      </c>
      <c r="T161" s="558">
        <f t="shared" si="18"/>
        <v>-63</v>
      </c>
      <c r="U161" s="558">
        <f t="shared" si="19"/>
        <v>127</v>
      </c>
      <c r="V161" s="558">
        <f t="shared" si="22"/>
        <v>0</v>
      </c>
      <c r="W161" s="558">
        <f t="shared" si="20"/>
        <v>0</v>
      </c>
      <c r="X161" s="558">
        <f t="shared" si="21"/>
        <v>0</v>
      </c>
      <c r="Y161" s="558">
        <f t="shared" si="23"/>
        <v>0</v>
      </c>
    </row>
    <row r="162" spans="18:25" x14ac:dyDescent="0.2">
      <c r="R162" s="558">
        <v>161</v>
      </c>
      <c r="S162" s="558">
        <f t="shared" si="17"/>
        <v>-75</v>
      </c>
      <c r="T162" s="558">
        <f t="shared" si="18"/>
        <v>-64</v>
      </c>
      <c r="U162" s="558">
        <f t="shared" si="19"/>
        <v>128</v>
      </c>
      <c r="V162" s="558">
        <f t="shared" si="22"/>
        <v>0</v>
      </c>
      <c r="W162" s="558">
        <f t="shared" si="20"/>
        <v>0</v>
      </c>
      <c r="X162" s="558">
        <f t="shared" si="21"/>
        <v>0</v>
      </c>
      <c r="Y162" s="558">
        <f t="shared" si="23"/>
        <v>0</v>
      </c>
    </row>
    <row r="163" spans="18:25" x14ac:dyDescent="0.2">
      <c r="R163" s="558">
        <v>162</v>
      </c>
      <c r="S163" s="558">
        <f t="shared" si="17"/>
        <v>-76</v>
      </c>
      <c r="T163" s="558">
        <f t="shared" si="18"/>
        <v>-65</v>
      </c>
      <c r="U163" s="558">
        <f t="shared" si="19"/>
        <v>129</v>
      </c>
      <c r="V163" s="558">
        <f t="shared" si="22"/>
        <v>0</v>
      </c>
      <c r="W163" s="558">
        <f t="shared" si="20"/>
        <v>0</v>
      </c>
      <c r="X163" s="558">
        <f t="shared" si="21"/>
        <v>0</v>
      </c>
      <c r="Y163" s="558">
        <f t="shared" si="23"/>
        <v>0</v>
      </c>
    </row>
    <row r="164" spans="18:25" x14ac:dyDescent="0.2">
      <c r="R164" s="558">
        <v>163</v>
      </c>
      <c r="S164" s="558">
        <f t="shared" si="17"/>
        <v>-77</v>
      </c>
      <c r="T164" s="558">
        <f t="shared" si="18"/>
        <v>-66</v>
      </c>
      <c r="U164" s="558">
        <f t="shared" si="19"/>
        <v>130</v>
      </c>
      <c r="V164" s="558">
        <f t="shared" si="22"/>
        <v>0</v>
      </c>
      <c r="W164" s="558">
        <f t="shared" si="20"/>
        <v>0</v>
      </c>
      <c r="X164" s="558">
        <f t="shared" si="21"/>
        <v>0</v>
      </c>
      <c r="Y164" s="558">
        <f t="shared" si="23"/>
        <v>0</v>
      </c>
    </row>
    <row r="165" spans="18:25" x14ac:dyDescent="0.2">
      <c r="R165" s="558">
        <v>164</v>
      </c>
      <c r="S165" s="558">
        <f t="shared" si="17"/>
        <v>-78</v>
      </c>
      <c r="T165" s="558">
        <f t="shared" si="18"/>
        <v>-67</v>
      </c>
      <c r="U165" s="558">
        <f t="shared" si="19"/>
        <v>131</v>
      </c>
      <c r="V165" s="558">
        <f t="shared" si="22"/>
        <v>0</v>
      </c>
      <c r="W165" s="558">
        <f t="shared" si="20"/>
        <v>0</v>
      </c>
      <c r="X165" s="558">
        <f t="shared" si="21"/>
        <v>0</v>
      </c>
      <c r="Y165" s="558">
        <f t="shared" si="23"/>
        <v>0</v>
      </c>
    </row>
    <row r="166" spans="18:25" x14ac:dyDescent="0.2">
      <c r="R166" s="558">
        <v>165</v>
      </c>
      <c r="S166" s="558">
        <f t="shared" si="17"/>
        <v>-79</v>
      </c>
      <c r="T166" s="558">
        <f t="shared" si="18"/>
        <v>-68</v>
      </c>
      <c r="U166" s="558">
        <f t="shared" si="19"/>
        <v>132</v>
      </c>
      <c r="V166" s="558">
        <f t="shared" si="22"/>
        <v>0</v>
      </c>
      <c r="W166" s="558">
        <f t="shared" si="20"/>
        <v>0</v>
      </c>
      <c r="X166" s="558">
        <f t="shared" si="21"/>
        <v>0</v>
      </c>
      <c r="Y166" s="558">
        <f t="shared" si="23"/>
        <v>0</v>
      </c>
    </row>
    <row r="167" spans="18:25" x14ac:dyDescent="0.2">
      <c r="R167" s="558">
        <v>166</v>
      </c>
      <c r="S167" s="558">
        <f t="shared" si="17"/>
        <v>-80</v>
      </c>
      <c r="T167" s="558">
        <f t="shared" si="18"/>
        <v>-69</v>
      </c>
      <c r="U167" s="558">
        <f t="shared" si="19"/>
        <v>133</v>
      </c>
      <c r="V167" s="558">
        <f t="shared" si="22"/>
        <v>0</v>
      </c>
      <c r="W167" s="558">
        <f t="shared" si="20"/>
        <v>0</v>
      </c>
      <c r="X167" s="558">
        <f t="shared" si="21"/>
        <v>0</v>
      </c>
      <c r="Y167" s="558">
        <f t="shared" si="23"/>
        <v>0</v>
      </c>
    </row>
    <row r="168" spans="18:25" x14ac:dyDescent="0.2">
      <c r="R168" s="558">
        <v>167</v>
      </c>
      <c r="S168" s="558">
        <f t="shared" si="17"/>
        <v>-81</v>
      </c>
      <c r="T168" s="558">
        <f t="shared" si="18"/>
        <v>-70</v>
      </c>
      <c r="U168" s="558">
        <f t="shared" si="19"/>
        <v>134</v>
      </c>
      <c r="V168" s="558">
        <f t="shared" si="22"/>
        <v>0</v>
      </c>
      <c r="W168" s="558">
        <f t="shared" si="20"/>
        <v>0</v>
      </c>
      <c r="X168" s="558">
        <f t="shared" si="21"/>
        <v>0</v>
      </c>
      <c r="Y168" s="558">
        <f t="shared" si="23"/>
        <v>0</v>
      </c>
    </row>
    <row r="169" spans="18:25" x14ac:dyDescent="0.2">
      <c r="R169" s="558">
        <v>168</v>
      </c>
      <c r="S169" s="558">
        <f t="shared" si="17"/>
        <v>-82</v>
      </c>
      <c r="T169" s="558">
        <f t="shared" si="18"/>
        <v>-71</v>
      </c>
      <c r="U169" s="558">
        <f t="shared" si="19"/>
        <v>135</v>
      </c>
      <c r="V169" s="558">
        <f t="shared" si="22"/>
        <v>0</v>
      </c>
      <c r="W169" s="558">
        <f t="shared" si="20"/>
        <v>0</v>
      </c>
      <c r="X169" s="558">
        <f t="shared" si="21"/>
        <v>0</v>
      </c>
      <c r="Y169" s="558">
        <f t="shared" si="23"/>
        <v>0</v>
      </c>
    </row>
    <row r="170" spans="18:25" x14ac:dyDescent="0.2">
      <c r="R170" s="558">
        <v>169</v>
      </c>
      <c r="S170" s="558">
        <f t="shared" si="17"/>
        <v>-83</v>
      </c>
      <c r="T170" s="558">
        <f t="shared" si="18"/>
        <v>-72</v>
      </c>
      <c r="U170" s="558">
        <f t="shared" si="19"/>
        <v>136</v>
      </c>
      <c r="V170" s="558">
        <f t="shared" si="22"/>
        <v>0</v>
      </c>
      <c r="W170" s="558">
        <f t="shared" si="20"/>
        <v>0</v>
      </c>
      <c r="X170" s="558">
        <f t="shared" si="21"/>
        <v>0</v>
      </c>
      <c r="Y170" s="558">
        <f t="shared" si="23"/>
        <v>0</v>
      </c>
    </row>
    <row r="171" spans="18:25" x14ac:dyDescent="0.2">
      <c r="R171" s="558">
        <v>170</v>
      </c>
      <c r="S171" s="558">
        <f t="shared" si="17"/>
        <v>-84</v>
      </c>
      <c r="T171" s="558">
        <f t="shared" si="18"/>
        <v>-73</v>
      </c>
      <c r="U171" s="558">
        <f t="shared" si="19"/>
        <v>137</v>
      </c>
      <c r="V171" s="558">
        <f t="shared" si="22"/>
        <v>0</v>
      </c>
      <c r="W171" s="558">
        <f t="shared" si="20"/>
        <v>0</v>
      </c>
      <c r="X171" s="558">
        <f t="shared" si="21"/>
        <v>0</v>
      </c>
      <c r="Y171" s="558">
        <f t="shared" si="23"/>
        <v>0</v>
      </c>
    </row>
    <row r="172" spans="18:25" x14ac:dyDescent="0.2">
      <c r="R172" s="558">
        <v>171</v>
      </c>
      <c r="S172" s="558">
        <f t="shared" si="17"/>
        <v>-85</v>
      </c>
      <c r="T172" s="558">
        <f t="shared" si="18"/>
        <v>-74</v>
      </c>
      <c r="U172" s="558">
        <f t="shared" si="19"/>
        <v>138</v>
      </c>
      <c r="V172" s="558">
        <f t="shared" si="22"/>
        <v>0</v>
      </c>
      <c r="W172" s="558">
        <f t="shared" si="20"/>
        <v>0</v>
      </c>
      <c r="X172" s="558">
        <f t="shared" si="21"/>
        <v>0</v>
      </c>
      <c r="Y172" s="558">
        <f t="shared" si="23"/>
        <v>0</v>
      </c>
    </row>
    <row r="173" spans="18:25" x14ac:dyDescent="0.2">
      <c r="R173" s="558">
        <v>172</v>
      </c>
      <c r="S173" s="558">
        <f t="shared" si="17"/>
        <v>-86</v>
      </c>
      <c r="T173" s="558">
        <f t="shared" si="18"/>
        <v>-75</v>
      </c>
      <c r="U173" s="558">
        <f t="shared" si="19"/>
        <v>139</v>
      </c>
      <c r="V173" s="558">
        <f t="shared" si="22"/>
        <v>0</v>
      </c>
      <c r="W173" s="558">
        <f t="shared" si="20"/>
        <v>0</v>
      </c>
      <c r="X173" s="558">
        <f t="shared" si="21"/>
        <v>0</v>
      </c>
      <c r="Y173" s="558">
        <f t="shared" si="23"/>
        <v>0</v>
      </c>
    </row>
    <row r="174" spans="18:25" x14ac:dyDescent="0.2">
      <c r="R174" s="558">
        <v>173</v>
      </c>
      <c r="S174" s="558">
        <f t="shared" si="17"/>
        <v>-87</v>
      </c>
      <c r="T174" s="558">
        <f t="shared" si="18"/>
        <v>-76</v>
      </c>
      <c r="U174" s="558">
        <f t="shared" si="19"/>
        <v>140</v>
      </c>
      <c r="V174" s="558">
        <f t="shared" si="22"/>
        <v>0</v>
      </c>
      <c r="W174" s="558">
        <f t="shared" si="20"/>
        <v>0</v>
      </c>
      <c r="X174" s="558">
        <f t="shared" si="21"/>
        <v>0</v>
      </c>
      <c r="Y174" s="558">
        <f t="shared" si="23"/>
        <v>0</v>
      </c>
    </row>
    <row r="175" spans="18:25" x14ac:dyDescent="0.2">
      <c r="R175" s="558">
        <v>174</v>
      </c>
      <c r="S175" s="558">
        <f t="shared" si="17"/>
        <v>-88</v>
      </c>
      <c r="T175" s="558">
        <f t="shared" si="18"/>
        <v>-77</v>
      </c>
      <c r="U175" s="558">
        <f t="shared" si="19"/>
        <v>141</v>
      </c>
      <c r="V175" s="558">
        <f t="shared" si="22"/>
        <v>0</v>
      </c>
      <c r="W175" s="558">
        <f t="shared" si="20"/>
        <v>0</v>
      </c>
      <c r="X175" s="558">
        <f t="shared" si="21"/>
        <v>0</v>
      </c>
      <c r="Y175" s="558">
        <f t="shared" si="23"/>
        <v>0</v>
      </c>
    </row>
    <row r="176" spans="18:25" x14ac:dyDescent="0.2">
      <c r="R176" s="558">
        <v>175</v>
      </c>
      <c r="S176" s="558">
        <f t="shared" si="17"/>
        <v>-89</v>
      </c>
      <c r="T176" s="558">
        <f t="shared" si="18"/>
        <v>-78</v>
      </c>
      <c r="U176" s="558">
        <f t="shared" si="19"/>
        <v>142</v>
      </c>
      <c r="V176" s="558">
        <f t="shared" si="22"/>
        <v>0</v>
      </c>
      <c r="W176" s="558">
        <f t="shared" si="20"/>
        <v>0</v>
      </c>
      <c r="X176" s="558">
        <f t="shared" si="21"/>
        <v>0</v>
      </c>
      <c r="Y176" s="558">
        <f t="shared" si="23"/>
        <v>0</v>
      </c>
    </row>
    <row r="177" spans="18:25" x14ac:dyDescent="0.2">
      <c r="R177" s="558">
        <v>176</v>
      </c>
      <c r="S177" s="558">
        <f t="shared" si="17"/>
        <v>-90</v>
      </c>
      <c r="T177" s="558">
        <f t="shared" si="18"/>
        <v>-79</v>
      </c>
      <c r="U177" s="558">
        <f t="shared" si="19"/>
        <v>143</v>
      </c>
      <c r="V177" s="558">
        <f t="shared" si="22"/>
        <v>0</v>
      </c>
      <c r="W177" s="558">
        <f t="shared" si="20"/>
        <v>0</v>
      </c>
      <c r="X177" s="558">
        <f t="shared" si="21"/>
        <v>0</v>
      </c>
      <c r="Y177" s="558">
        <f t="shared" si="23"/>
        <v>0</v>
      </c>
    </row>
    <row r="178" spans="18:25" x14ac:dyDescent="0.2">
      <c r="R178" s="558">
        <v>177</v>
      </c>
      <c r="S178" s="558">
        <f t="shared" si="17"/>
        <v>-91</v>
      </c>
      <c r="T178" s="558">
        <f t="shared" si="18"/>
        <v>-80</v>
      </c>
      <c r="U178" s="558">
        <f t="shared" si="19"/>
        <v>144</v>
      </c>
      <c r="V178" s="558">
        <f t="shared" si="22"/>
        <v>0</v>
      </c>
      <c r="W178" s="558">
        <f t="shared" si="20"/>
        <v>0</v>
      </c>
      <c r="X178" s="558">
        <f t="shared" si="21"/>
        <v>0</v>
      </c>
      <c r="Y178" s="558">
        <f t="shared" si="23"/>
        <v>0</v>
      </c>
    </row>
    <row r="179" spans="18:25" x14ac:dyDescent="0.2">
      <c r="R179" s="558">
        <v>178</v>
      </c>
      <c r="S179" s="558">
        <f t="shared" si="17"/>
        <v>-92</v>
      </c>
      <c r="T179" s="558">
        <f t="shared" si="18"/>
        <v>-81</v>
      </c>
      <c r="U179" s="558">
        <f t="shared" si="19"/>
        <v>145</v>
      </c>
      <c r="V179" s="558">
        <f t="shared" si="22"/>
        <v>0</v>
      </c>
      <c r="W179" s="558">
        <f t="shared" si="20"/>
        <v>0</v>
      </c>
      <c r="X179" s="558">
        <f t="shared" si="21"/>
        <v>0</v>
      </c>
      <c r="Y179" s="558">
        <f t="shared" si="23"/>
        <v>0</v>
      </c>
    </row>
    <row r="180" spans="18:25" x14ac:dyDescent="0.2">
      <c r="R180" s="558">
        <v>179</v>
      </c>
      <c r="S180" s="558">
        <f t="shared" si="17"/>
        <v>-93</v>
      </c>
      <c r="T180" s="558">
        <f t="shared" si="18"/>
        <v>-82</v>
      </c>
      <c r="U180" s="558">
        <f t="shared" si="19"/>
        <v>146</v>
      </c>
      <c r="V180" s="558">
        <f t="shared" si="22"/>
        <v>0</v>
      </c>
      <c r="W180" s="558">
        <f t="shared" si="20"/>
        <v>0</v>
      </c>
      <c r="X180" s="558">
        <f t="shared" si="21"/>
        <v>0</v>
      </c>
      <c r="Y180" s="558">
        <f t="shared" si="23"/>
        <v>0</v>
      </c>
    </row>
    <row r="181" spans="18:25" x14ac:dyDescent="0.2">
      <c r="R181" s="558">
        <v>180</v>
      </c>
      <c r="S181" s="558">
        <f t="shared" si="17"/>
        <v>-94</v>
      </c>
      <c r="T181" s="558">
        <f t="shared" si="18"/>
        <v>-83</v>
      </c>
      <c r="U181" s="558">
        <f t="shared" si="19"/>
        <v>147</v>
      </c>
      <c r="V181" s="558">
        <f t="shared" si="22"/>
        <v>0</v>
      </c>
      <c r="W181" s="558">
        <f t="shared" si="20"/>
        <v>0</v>
      </c>
      <c r="X181" s="558">
        <f t="shared" si="21"/>
        <v>0</v>
      </c>
      <c r="Y181" s="558">
        <f t="shared" si="23"/>
        <v>0</v>
      </c>
    </row>
    <row r="182" spans="18:25" x14ac:dyDescent="0.2">
      <c r="R182" s="558">
        <v>181</v>
      </c>
      <c r="S182" s="558">
        <f t="shared" si="17"/>
        <v>-95</v>
      </c>
      <c r="T182" s="558">
        <f t="shared" si="18"/>
        <v>-84</v>
      </c>
      <c r="U182" s="558">
        <f t="shared" si="19"/>
        <v>148</v>
      </c>
      <c r="V182" s="558">
        <f t="shared" si="22"/>
        <v>0</v>
      </c>
      <c r="W182" s="558">
        <f t="shared" si="20"/>
        <v>0</v>
      </c>
      <c r="X182" s="558">
        <f t="shared" si="21"/>
        <v>0</v>
      </c>
      <c r="Y182" s="558">
        <f t="shared" si="23"/>
        <v>0</v>
      </c>
    </row>
    <row r="183" spans="18:25" x14ac:dyDescent="0.2">
      <c r="R183" s="558">
        <v>182</v>
      </c>
      <c r="S183" s="558">
        <f t="shared" si="17"/>
        <v>-96</v>
      </c>
      <c r="T183" s="558">
        <f t="shared" si="18"/>
        <v>-85</v>
      </c>
      <c r="U183" s="558">
        <f t="shared" si="19"/>
        <v>149</v>
      </c>
      <c r="V183" s="558">
        <f t="shared" si="22"/>
        <v>0</v>
      </c>
      <c r="W183" s="558">
        <f t="shared" si="20"/>
        <v>0</v>
      </c>
      <c r="X183" s="558">
        <f t="shared" si="21"/>
        <v>0</v>
      </c>
      <c r="Y183" s="558">
        <f t="shared" si="23"/>
        <v>0</v>
      </c>
    </row>
    <row r="184" spans="18:25" x14ac:dyDescent="0.2">
      <c r="R184" s="558">
        <v>183</v>
      </c>
      <c r="S184" s="558">
        <f t="shared" si="17"/>
        <v>-97</v>
      </c>
      <c r="T184" s="558">
        <f t="shared" si="18"/>
        <v>-86</v>
      </c>
      <c r="U184" s="558">
        <f t="shared" si="19"/>
        <v>150</v>
      </c>
      <c r="V184" s="558">
        <f t="shared" si="22"/>
        <v>0</v>
      </c>
      <c r="W184" s="558">
        <f t="shared" si="20"/>
        <v>0</v>
      </c>
      <c r="X184" s="558">
        <f t="shared" si="21"/>
        <v>0</v>
      </c>
      <c r="Y184" s="558">
        <f t="shared" si="23"/>
        <v>0</v>
      </c>
    </row>
    <row r="185" spans="18:25" x14ac:dyDescent="0.2">
      <c r="R185" s="558">
        <v>184</v>
      </c>
      <c r="S185" s="558">
        <f t="shared" si="17"/>
        <v>-98</v>
      </c>
      <c r="T185" s="558">
        <f t="shared" si="18"/>
        <v>-87</v>
      </c>
      <c r="U185" s="558">
        <f t="shared" si="19"/>
        <v>151</v>
      </c>
      <c r="V185" s="558">
        <f t="shared" si="22"/>
        <v>0</v>
      </c>
      <c r="W185" s="558">
        <f t="shared" si="20"/>
        <v>0</v>
      </c>
      <c r="X185" s="558">
        <f t="shared" si="21"/>
        <v>0</v>
      </c>
      <c r="Y185" s="558">
        <f t="shared" si="23"/>
        <v>0</v>
      </c>
    </row>
    <row r="186" spans="18:25" x14ac:dyDescent="0.2">
      <c r="R186" s="558">
        <v>185</v>
      </c>
      <c r="S186" s="558">
        <f t="shared" si="17"/>
        <v>-99</v>
      </c>
      <c r="T186" s="558">
        <f t="shared" si="18"/>
        <v>-88</v>
      </c>
      <c r="U186" s="558">
        <f t="shared" si="19"/>
        <v>152</v>
      </c>
      <c r="V186" s="558">
        <f t="shared" si="22"/>
        <v>0</v>
      </c>
      <c r="W186" s="558">
        <f t="shared" si="20"/>
        <v>0</v>
      </c>
      <c r="X186" s="558">
        <f t="shared" si="21"/>
        <v>0</v>
      </c>
      <c r="Y186" s="558">
        <f t="shared" si="23"/>
        <v>0</v>
      </c>
    </row>
    <row r="187" spans="18:25" x14ac:dyDescent="0.2">
      <c r="R187" s="558">
        <v>186</v>
      </c>
      <c r="S187" s="558">
        <f t="shared" si="17"/>
        <v>-100</v>
      </c>
      <c r="T187" s="558">
        <f t="shared" si="18"/>
        <v>-89</v>
      </c>
      <c r="U187" s="558">
        <f t="shared" si="19"/>
        <v>153</v>
      </c>
      <c r="V187" s="558">
        <f t="shared" si="22"/>
        <v>0</v>
      </c>
      <c r="W187" s="558">
        <f t="shared" si="20"/>
        <v>0</v>
      </c>
      <c r="X187" s="558">
        <f t="shared" si="21"/>
        <v>0</v>
      </c>
      <c r="Y187" s="558">
        <f t="shared" si="23"/>
        <v>0</v>
      </c>
    </row>
    <row r="188" spans="18:25" x14ac:dyDescent="0.2">
      <c r="R188" s="558">
        <v>187</v>
      </c>
      <c r="S188" s="558">
        <f t="shared" si="17"/>
        <v>-101</v>
      </c>
      <c r="T188" s="558">
        <f t="shared" si="18"/>
        <v>-90</v>
      </c>
      <c r="U188" s="558">
        <f t="shared" si="19"/>
        <v>154</v>
      </c>
      <c r="V188" s="558">
        <f t="shared" si="22"/>
        <v>0</v>
      </c>
      <c r="W188" s="558">
        <f t="shared" si="20"/>
        <v>0</v>
      </c>
      <c r="X188" s="558">
        <f t="shared" si="21"/>
        <v>0</v>
      </c>
      <c r="Y188" s="558">
        <f t="shared" si="23"/>
        <v>0</v>
      </c>
    </row>
    <row r="189" spans="18:25" x14ac:dyDescent="0.2">
      <c r="R189" s="558">
        <v>188</v>
      </c>
      <c r="S189" s="558">
        <f t="shared" si="17"/>
        <v>-102</v>
      </c>
      <c r="T189" s="558">
        <f t="shared" si="18"/>
        <v>-91</v>
      </c>
      <c r="U189" s="558">
        <f t="shared" si="19"/>
        <v>155</v>
      </c>
      <c r="V189" s="558">
        <f t="shared" si="22"/>
        <v>0</v>
      </c>
      <c r="W189" s="558">
        <f t="shared" si="20"/>
        <v>0</v>
      </c>
      <c r="X189" s="558">
        <f t="shared" si="21"/>
        <v>0</v>
      </c>
      <c r="Y189" s="558">
        <f t="shared" si="23"/>
        <v>0</v>
      </c>
    </row>
    <row r="190" spans="18:25" x14ac:dyDescent="0.2">
      <c r="R190" s="558">
        <v>189</v>
      </c>
      <c r="S190" s="558">
        <f t="shared" si="17"/>
        <v>-103</v>
      </c>
      <c r="T190" s="558">
        <f t="shared" si="18"/>
        <v>-92</v>
      </c>
      <c r="U190" s="558">
        <f t="shared" si="19"/>
        <v>156</v>
      </c>
      <c r="V190" s="558">
        <f t="shared" si="22"/>
        <v>0</v>
      </c>
      <c r="W190" s="558">
        <f t="shared" si="20"/>
        <v>0</v>
      </c>
      <c r="X190" s="558">
        <f t="shared" si="21"/>
        <v>0</v>
      </c>
      <c r="Y190" s="558">
        <f t="shared" si="23"/>
        <v>0</v>
      </c>
    </row>
    <row r="191" spans="18:25" x14ac:dyDescent="0.2">
      <c r="R191" s="558">
        <v>190</v>
      </c>
      <c r="S191" s="558">
        <f t="shared" si="17"/>
        <v>-104</v>
      </c>
      <c r="T191" s="558">
        <f t="shared" si="18"/>
        <v>-93</v>
      </c>
      <c r="U191" s="558">
        <f t="shared" si="19"/>
        <v>157</v>
      </c>
      <c r="V191" s="558">
        <f t="shared" si="22"/>
        <v>0</v>
      </c>
      <c r="W191" s="558">
        <f t="shared" si="20"/>
        <v>0</v>
      </c>
      <c r="X191" s="558">
        <f t="shared" si="21"/>
        <v>0</v>
      </c>
      <c r="Y191" s="558">
        <f t="shared" si="23"/>
        <v>0</v>
      </c>
    </row>
    <row r="192" spans="18:25" x14ac:dyDescent="0.2">
      <c r="R192" s="558">
        <v>191</v>
      </c>
      <c r="S192" s="558">
        <f t="shared" si="17"/>
        <v>-105</v>
      </c>
      <c r="T192" s="558">
        <f t="shared" si="18"/>
        <v>-94</v>
      </c>
      <c r="U192" s="558">
        <f t="shared" si="19"/>
        <v>158</v>
      </c>
      <c r="V192" s="558">
        <f t="shared" si="22"/>
        <v>0</v>
      </c>
      <c r="W192" s="558">
        <f t="shared" si="20"/>
        <v>0</v>
      </c>
      <c r="X192" s="558">
        <f t="shared" si="21"/>
        <v>0</v>
      </c>
      <c r="Y192" s="558">
        <f t="shared" si="23"/>
        <v>0</v>
      </c>
    </row>
    <row r="193" spans="18:25" x14ac:dyDescent="0.2">
      <c r="R193" s="558">
        <v>192</v>
      </c>
      <c r="S193" s="558">
        <f t="shared" ref="S193:S256" si="24">$D$7-R193</f>
        <v>-106</v>
      </c>
      <c r="T193" s="558">
        <f t="shared" ref="T193:T256" si="25">$B$9-R193</f>
        <v>-95</v>
      </c>
      <c r="U193" s="558">
        <f t="shared" ref="U193:U256" si="26">$D$9-SUM(R193:T193)</f>
        <v>159</v>
      </c>
      <c r="V193" s="558">
        <f t="shared" si="22"/>
        <v>0</v>
      </c>
      <c r="W193" s="558">
        <f t="shared" ref="W193:W256" si="27">_xlfn.HYPGEOM.DIST(R193,R193+T193,R193+S193,SUM(R193:U193),0)</f>
        <v>0</v>
      </c>
      <c r="X193" s="558">
        <f t="shared" ref="X193:X226" si="28">IF(R193=$B$7,W193,0)</f>
        <v>0</v>
      </c>
      <c r="Y193" s="558">
        <f t="shared" si="23"/>
        <v>0</v>
      </c>
    </row>
    <row r="194" spans="18:25" x14ac:dyDescent="0.2">
      <c r="R194" s="558">
        <v>193</v>
      </c>
      <c r="S194" s="558">
        <f t="shared" si="24"/>
        <v>-107</v>
      </c>
      <c r="T194" s="558">
        <f t="shared" si="25"/>
        <v>-96</v>
      </c>
      <c r="U194" s="558">
        <f t="shared" si="26"/>
        <v>160</v>
      </c>
      <c r="V194" s="558">
        <f t="shared" ref="V194:V257" si="29">IF(S194&gt;=0,IF(T194&gt;=0,IF(U194&gt;=0,1,0),0),0)</f>
        <v>0</v>
      </c>
      <c r="W194" s="558">
        <f t="shared" si="27"/>
        <v>0</v>
      </c>
      <c r="X194" s="558">
        <f t="shared" si="28"/>
        <v>0</v>
      </c>
      <c r="Y194" s="558">
        <f t="shared" ref="Y194:Y257" si="30">IF(W194&lt;=SUM($X$1:$X$1101),W194,0)</f>
        <v>0</v>
      </c>
    </row>
    <row r="195" spans="18:25" x14ac:dyDescent="0.2">
      <c r="R195" s="558">
        <v>194</v>
      </c>
      <c r="S195" s="558">
        <f t="shared" si="24"/>
        <v>-108</v>
      </c>
      <c r="T195" s="558">
        <f t="shared" si="25"/>
        <v>-97</v>
      </c>
      <c r="U195" s="558">
        <f t="shared" si="26"/>
        <v>161</v>
      </c>
      <c r="V195" s="558">
        <f t="shared" si="29"/>
        <v>0</v>
      </c>
      <c r="W195" s="558">
        <f t="shared" si="27"/>
        <v>0</v>
      </c>
      <c r="X195" s="558">
        <f t="shared" si="28"/>
        <v>0</v>
      </c>
      <c r="Y195" s="558">
        <f t="shared" si="30"/>
        <v>0</v>
      </c>
    </row>
    <row r="196" spans="18:25" x14ac:dyDescent="0.2">
      <c r="R196" s="558">
        <v>195</v>
      </c>
      <c r="S196" s="558">
        <f t="shared" si="24"/>
        <v>-109</v>
      </c>
      <c r="T196" s="558">
        <f t="shared" si="25"/>
        <v>-98</v>
      </c>
      <c r="U196" s="558">
        <f t="shared" si="26"/>
        <v>162</v>
      </c>
      <c r="V196" s="558">
        <f t="shared" si="29"/>
        <v>0</v>
      </c>
      <c r="W196" s="558">
        <f t="shared" si="27"/>
        <v>0</v>
      </c>
      <c r="X196" s="558">
        <f t="shared" si="28"/>
        <v>0</v>
      </c>
      <c r="Y196" s="558">
        <f t="shared" si="30"/>
        <v>0</v>
      </c>
    </row>
    <row r="197" spans="18:25" x14ac:dyDescent="0.2">
      <c r="R197" s="558">
        <v>196</v>
      </c>
      <c r="S197" s="558">
        <f t="shared" si="24"/>
        <v>-110</v>
      </c>
      <c r="T197" s="558">
        <f t="shared" si="25"/>
        <v>-99</v>
      </c>
      <c r="U197" s="558">
        <f t="shared" si="26"/>
        <v>163</v>
      </c>
      <c r="V197" s="558">
        <f t="shared" si="29"/>
        <v>0</v>
      </c>
      <c r="W197" s="558">
        <f t="shared" si="27"/>
        <v>0</v>
      </c>
      <c r="X197" s="558">
        <f t="shared" si="28"/>
        <v>0</v>
      </c>
      <c r="Y197" s="558">
        <f t="shared" si="30"/>
        <v>0</v>
      </c>
    </row>
    <row r="198" spans="18:25" x14ac:dyDescent="0.2">
      <c r="R198" s="558">
        <v>197</v>
      </c>
      <c r="S198" s="558">
        <f t="shared" si="24"/>
        <v>-111</v>
      </c>
      <c r="T198" s="558">
        <f t="shared" si="25"/>
        <v>-100</v>
      </c>
      <c r="U198" s="558">
        <f t="shared" si="26"/>
        <v>164</v>
      </c>
      <c r="V198" s="558">
        <f t="shared" si="29"/>
        <v>0</v>
      </c>
      <c r="W198" s="558">
        <f t="shared" si="27"/>
        <v>0</v>
      </c>
      <c r="X198" s="558">
        <f t="shared" si="28"/>
        <v>0</v>
      </c>
      <c r="Y198" s="558">
        <f t="shared" si="30"/>
        <v>0</v>
      </c>
    </row>
    <row r="199" spans="18:25" x14ac:dyDescent="0.2">
      <c r="R199" s="558">
        <v>198</v>
      </c>
      <c r="S199" s="558">
        <f t="shared" si="24"/>
        <v>-112</v>
      </c>
      <c r="T199" s="558">
        <f t="shared" si="25"/>
        <v>-101</v>
      </c>
      <c r="U199" s="558">
        <f t="shared" si="26"/>
        <v>165</v>
      </c>
      <c r="V199" s="558">
        <f t="shared" si="29"/>
        <v>0</v>
      </c>
      <c r="W199" s="558">
        <f t="shared" si="27"/>
        <v>0</v>
      </c>
      <c r="X199" s="558">
        <f t="shared" si="28"/>
        <v>0</v>
      </c>
      <c r="Y199" s="558">
        <f t="shared" si="30"/>
        <v>0</v>
      </c>
    </row>
    <row r="200" spans="18:25" x14ac:dyDescent="0.2">
      <c r="R200" s="558">
        <v>199</v>
      </c>
      <c r="S200" s="558">
        <f t="shared" si="24"/>
        <v>-113</v>
      </c>
      <c r="T200" s="558">
        <f t="shared" si="25"/>
        <v>-102</v>
      </c>
      <c r="U200" s="558">
        <f t="shared" si="26"/>
        <v>166</v>
      </c>
      <c r="V200" s="558">
        <f t="shared" si="29"/>
        <v>0</v>
      </c>
      <c r="W200" s="558">
        <f t="shared" si="27"/>
        <v>0</v>
      </c>
      <c r="X200" s="558">
        <f t="shared" si="28"/>
        <v>0</v>
      </c>
      <c r="Y200" s="558">
        <f t="shared" si="30"/>
        <v>0</v>
      </c>
    </row>
    <row r="201" spans="18:25" x14ac:dyDescent="0.2">
      <c r="R201" s="558">
        <v>200</v>
      </c>
      <c r="S201" s="558">
        <f t="shared" si="24"/>
        <v>-114</v>
      </c>
      <c r="T201" s="558">
        <f t="shared" si="25"/>
        <v>-103</v>
      </c>
      <c r="U201" s="558">
        <f t="shared" si="26"/>
        <v>167</v>
      </c>
      <c r="V201" s="558">
        <f t="shared" si="29"/>
        <v>0</v>
      </c>
      <c r="W201" s="558">
        <f t="shared" si="27"/>
        <v>0</v>
      </c>
      <c r="X201" s="558">
        <f t="shared" si="28"/>
        <v>0</v>
      </c>
      <c r="Y201" s="558">
        <f t="shared" si="30"/>
        <v>0</v>
      </c>
    </row>
    <row r="202" spans="18:25" x14ac:dyDescent="0.2">
      <c r="R202" s="558">
        <v>201</v>
      </c>
      <c r="S202" s="558">
        <f t="shared" si="24"/>
        <v>-115</v>
      </c>
      <c r="T202" s="558">
        <f t="shared" si="25"/>
        <v>-104</v>
      </c>
      <c r="U202" s="558">
        <f t="shared" si="26"/>
        <v>168</v>
      </c>
      <c r="V202" s="558">
        <f t="shared" si="29"/>
        <v>0</v>
      </c>
      <c r="W202" s="558">
        <f t="shared" si="27"/>
        <v>0</v>
      </c>
      <c r="X202" s="558">
        <f t="shared" si="28"/>
        <v>0</v>
      </c>
      <c r="Y202" s="558">
        <f t="shared" si="30"/>
        <v>0</v>
      </c>
    </row>
    <row r="203" spans="18:25" x14ac:dyDescent="0.2">
      <c r="R203" s="558">
        <v>202</v>
      </c>
      <c r="S203" s="558">
        <f t="shared" si="24"/>
        <v>-116</v>
      </c>
      <c r="T203" s="558">
        <f t="shared" si="25"/>
        <v>-105</v>
      </c>
      <c r="U203" s="558">
        <f t="shared" si="26"/>
        <v>169</v>
      </c>
      <c r="V203" s="558">
        <f t="shared" si="29"/>
        <v>0</v>
      </c>
      <c r="W203" s="558">
        <f t="shared" si="27"/>
        <v>0</v>
      </c>
      <c r="X203" s="558">
        <f t="shared" si="28"/>
        <v>0</v>
      </c>
      <c r="Y203" s="558">
        <f t="shared" si="30"/>
        <v>0</v>
      </c>
    </row>
    <row r="204" spans="18:25" x14ac:dyDescent="0.2">
      <c r="R204" s="558">
        <v>203</v>
      </c>
      <c r="S204" s="558">
        <f t="shared" si="24"/>
        <v>-117</v>
      </c>
      <c r="T204" s="558">
        <f t="shared" si="25"/>
        <v>-106</v>
      </c>
      <c r="U204" s="558">
        <f t="shared" si="26"/>
        <v>170</v>
      </c>
      <c r="V204" s="558">
        <f t="shared" si="29"/>
        <v>0</v>
      </c>
      <c r="W204" s="558">
        <f t="shared" si="27"/>
        <v>0</v>
      </c>
      <c r="X204" s="558">
        <f t="shared" si="28"/>
        <v>0</v>
      </c>
      <c r="Y204" s="558">
        <f t="shared" si="30"/>
        <v>0</v>
      </c>
    </row>
    <row r="205" spans="18:25" x14ac:dyDescent="0.2">
      <c r="R205" s="558">
        <v>204</v>
      </c>
      <c r="S205" s="558">
        <f t="shared" si="24"/>
        <v>-118</v>
      </c>
      <c r="T205" s="558">
        <f t="shared" si="25"/>
        <v>-107</v>
      </c>
      <c r="U205" s="558">
        <f t="shared" si="26"/>
        <v>171</v>
      </c>
      <c r="V205" s="558">
        <f t="shared" si="29"/>
        <v>0</v>
      </c>
      <c r="W205" s="558">
        <f t="shared" si="27"/>
        <v>0</v>
      </c>
      <c r="X205" s="558">
        <f t="shared" si="28"/>
        <v>0</v>
      </c>
      <c r="Y205" s="558">
        <f t="shared" si="30"/>
        <v>0</v>
      </c>
    </row>
    <row r="206" spans="18:25" x14ac:dyDescent="0.2">
      <c r="R206" s="558">
        <v>205</v>
      </c>
      <c r="S206" s="558">
        <f t="shared" si="24"/>
        <v>-119</v>
      </c>
      <c r="T206" s="558">
        <f t="shared" si="25"/>
        <v>-108</v>
      </c>
      <c r="U206" s="558">
        <f t="shared" si="26"/>
        <v>172</v>
      </c>
      <c r="V206" s="558">
        <f t="shared" si="29"/>
        <v>0</v>
      </c>
      <c r="W206" s="558">
        <f t="shared" si="27"/>
        <v>0</v>
      </c>
      <c r="X206" s="558">
        <f t="shared" si="28"/>
        <v>0</v>
      </c>
      <c r="Y206" s="558">
        <f t="shared" si="30"/>
        <v>0</v>
      </c>
    </row>
    <row r="207" spans="18:25" x14ac:dyDescent="0.2">
      <c r="R207" s="558">
        <v>206</v>
      </c>
      <c r="S207" s="558">
        <f t="shared" si="24"/>
        <v>-120</v>
      </c>
      <c r="T207" s="558">
        <f t="shared" si="25"/>
        <v>-109</v>
      </c>
      <c r="U207" s="558">
        <f t="shared" si="26"/>
        <v>173</v>
      </c>
      <c r="V207" s="558">
        <f t="shared" si="29"/>
        <v>0</v>
      </c>
      <c r="W207" s="558">
        <f t="shared" si="27"/>
        <v>0</v>
      </c>
      <c r="X207" s="558">
        <f t="shared" si="28"/>
        <v>0</v>
      </c>
      <c r="Y207" s="558">
        <f t="shared" si="30"/>
        <v>0</v>
      </c>
    </row>
    <row r="208" spans="18:25" x14ac:dyDescent="0.2">
      <c r="R208" s="558">
        <v>207</v>
      </c>
      <c r="S208" s="558">
        <f t="shared" si="24"/>
        <v>-121</v>
      </c>
      <c r="T208" s="558">
        <f t="shared" si="25"/>
        <v>-110</v>
      </c>
      <c r="U208" s="558">
        <f t="shared" si="26"/>
        <v>174</v>
      </c>
      <c r="V208" s="558">
        <f t="shared" si="29"/>
        <v>0</v>
      </c>
      <c r="W208" s="558">
        <f t="shared" si="27"/>
        <v>0</v>
      </c>
      <c r="X208" s="558">
        <f t="shared" si="28"/>
        <v>0</v>
      </c>
      <c r="Y208" s="558">
        <f t="shared" si="30"/>
        <v>0</v>
      </c>
    </row>
    <row r="209" spans="18:25" x14ac:dyDescent="0.2">
      <c r="R209" s="558">
        <v>208</v>
      </c>
      <c r="S209" s="558">
        <f t="shared" si="24"/>
        <v>-122</v>
      </c>
      <c r="T209" s="558">
        <f t="shared" si="25"/>
        <v>-111</v>
      </c>
      <c r="U209" s="558">
        <f t="shared" si="26"/>
        <v>175</v>
      </c>
      <c r="V209" s="558">
        <f t="shared" si="29"/>
        <v>0</v>
      </c>
      <c r="W209" s="558">
        <f t="shared" si="27"/>
        <v>0</v>
      </c>
      <c r="X209" s="558">
        <f t="shared" si="28"/>
        <v>0</v>
      </c>
      <c r="Y209" s="558">
        <f t="shared" si="30"/>
        <v>0</v>
      </c>
    </row>
    <row r="210" spans="18:25" x14ac:dyDescent="0.2">
      <c r="R210" s="558">
        <v>209</v>
      </c>
      <c r="S210" s="558">
        <f t="shared" si="24"/>
        <v>-123</v>
      </c>
      <c r="T210" s="558">
        <f t="shared" si="25"/>
        <v>-112</v>
      </c>
      <c r="U210" s="558">
        <f t="shared" si="26"/>
        <v>176</v>
      </c>
      <c r="V210" s="558">
        <f t="shared" si="29"/>
        <v>0</v>
      </c>
      <c r="W210" s="558">
        <f t="shared" si="27"/>
        <v>0</v>
      </c>
      <c r="X210" s="558">
        <f t="shared" si="28"/>
        <v>0</v>
      </c>
      <c r="Y210" s="558">
        <f t="shared" si="30"/>
        <v>0</v>
      </c>
    </row>
    <row r="211" spans="18:25" x14ac:dyDescent="0.2">
      <c r="R211" s="558">
        <v>210</v>
      </c>
      <c r="S211" s="558">
        <f t="shared" si="24"/>
        <v>-124</v>
      </c>
      <c r="T211" s="558">
        <f t="shared" si="25"/>
        <v>-113</v>
      </c>
      <c r="U211" s="558">
        <f t="shared" si="26"/>
        <v>177</v>
      </c>
      <c r="V211" s="558">
        <f t="shared" si="29"/>
        <v>0</v>
      </c>
      <c r="W211" s="558">
        <f t="shared" si="27"/>
        <v>0</v>
      </c>
      <c r="X211" s="558">
        <f t="shared" si="28"/>
        <v>0</v>
      </c>
      <c r="Y211" s="558">
        <f t="shared" si="30"/>
        <v>0</v>
      </c>
    </row>
    <row r="212" spans="18:25" x14ac:dyDescent="0.2">
      <c r="R212" s="558">
        <v>211</v>
      </c>
      <c r="S212" s="558">
        <f t="shared" si="24"/>
        <v>-125</v>
      </c>
      <c r="T212" s="558">
        <f t="shared" si="25"/>
        <v>-114</v>
      </c>
      <c r="U212" s="558">
        <f t="shared" si="26"/>
        <v>178</v>
      </c>
      <c r="V212" s="558">
        <f t="shared" si="29"/>
        <v>0</v>
      </c>
      <c r="W212" s="558">
        <f t="shared" si="27"/>
        <v>0</v>
      </c>
      <c r="X212" s="558">
        <f t="shared" si="28"/>
        <v>0</v>
      </c>
      <c r="Y212" s="558">
        <f t="shared" si="30"/>
        <v>0</v>
      </c>
    </row>
    <row r="213" spans="18:25" x14ac:dyDescent="0.2">
      <c r="R213" s="558">
        <v>212</v>
      </c>
      <c r="S213" s="558">
        <f t="shared" si="24"/>
        <v>-126</v>
      </c>
      <c r="T213" s="558">
        <f t="shared" si="25"/>
        <v>-115</v>
      </c>
      <c r="U213" s="558">
        <f t="shared" si="26"/>
        <v>179</v>
      </c>
      <c r="V213" s="558">
        <f t="shared" si="29"/>
        <v>0</v>
      </c>
      <c r="W213" s="558">
        <f t="shared" si="27"/>
        <v>0</v>
      </c>
      <c r="X213" s="558">
        <f t="shared" si="28"/>
        <v>0</v>
      </c>
      <c r="Y213" s="558">
        <f t="shared" si="30"/>
        <v>0</v>
      </c>
    </row>
    <row r="214" spans="18:25" x14ac:dyDescent="0.2">
      <c r="R214" s="558">
        <v>213</v>
      </c>
      <c r="S214" s="558">
        <f t="shared" si="24"/>
        <v>-127</v>
      </c>
      <c r="T214" s="558">
        <f t="shared" si="25"/>
        <v>-116</v>
      </c>
      <c r="U214" s="558">
        <f t="shared" si="26"/>
        <v>180</v>
      </c>
      <c r="V214" s="558">
        <f t="shared" si="29"/>
        <v>0</v>
      </c>
      <c r="W214" s="558">
        <f t="shared" si="27"/>
        <v>0</v>
      </c>
      <c r="X214" s="558">
        <f t="shared" si="28"/>
        <v>0</v>
      </c>
      <c r="Y214" s="558">
        <f t="shared" si="30"/>
        <v>0</v>
      </c>
    </row>
    <row r="215" spans="18:25" x14ac:dyDescent="0.2">
      <c r="R215" s="558">
        <v>214</v>
      </c>
      <c r="S215" s="558">
        <f t="shared" si="24"/>
        <v>-128</v>
      </c>
      <c r="T215" s="558">
        <f t="shared" si="25"/>
        <v>-117</v>
      </c>
      <c r="U215" s="558">
        <f t="shared" si="26"/>
        <v>181</v>
      </c>
      <c r="V215" s="558">
        <f t="shared" si="29"/>
        <v>0</v>
      </c>
      <c r="W215" s="558">
        <f t="shared" si="27"/>
        <v>0</v>
      </c>
      <c r="X215" s="558">
        <f t="shared" si="28"/>
        <v>0</v>
      </c>
      <c r="Y215" s="558">
        <f t="shared" si="30"/>
        <v>0</v>
      </c>
    </row>
    <row r="216" spans="18:25" x14ac:dyDescent="0.2">
      <c r="R216" s="558">
        <v>215</v>
      </c>
      <c r="S216" s="558">
        <f t="shared" si="24"/>
        <v>-129</v>
      </c>
      <c r="T216" s="558">
        <f t="shared" si="25"/>
        <v>-118</v>
      </c>
      <c r="U216" s="558">
        <f t="shared" si="26"/>
        <v>182</v>
      </c>
      <c r="V216" s="558">
        <f t="shared" si="29"/>
        <v>0</v>
      </c>
      <c r="W216" s="558">
        <f t="shared" si="27"/>
        <v>0</v>
      </c>
      <c r="X216" s="558">
        <f t="shared" si="28"/>
        <v>0</v>
      </c>
      <c r="Y216" s="558">
        <f t="shared" si="30"/>
        <v>0</v>
      </c>
    </row>
    <row r="217" spans="18:25" x14ac:dyDescent="0.2">
      <c r="R217" s="558">
        <v>216</v>
      </c>
      <c r="S217" s="558">
        <f t="shared" si="24"/>
        <v>-130</v>
      </c>
      <c r="T217" s="558">
        <f t="shared" si="25"/>
        <v>-119</v>
      </c>
      <c r="U217" s="558">
        <f t="shared" si="26"/>
        <v>183</v>
      </c>
      <c r="V217" s="558">
        <f t="shared" si="29"/>
        <v>0</v>
      </c>
      <c r="W217" s="558">
        <f t="shared" si="27"/>
        <v>0</v>
      </c>
      <c r="X217" s="558">
        <f t="shared" si="28"/>
        <v>0</v>
      </c>
      <c r="Y217" s="558">
        <f t="shared" si="30"/>
        <v>0</v>
      </c>
    </row>
    <row r="218" spans="18:25" x14ac:dyDescent="0.2">
      <c r="R218" s="558">
        <v>217</v>
      </c>
      <c r="S218" s="558">
        <f t="shared" si="24"/>
        <v>-131</v>
      </c>
      <c r="T218" s="558">
        <f t="shared" si="25"/>
        <v>-120</v>
      </c>
      <c r="U218" s="558">
        <f t="shared" si="26"/>
        <v>184</v>
      </c>
      <c r="V218" s="558">
        <f t="shared" si="29"/>
        <v>0</v>
      </c>
      <c r="W218" s="558">
        <f t="shared" si="27"/>
        <v>0</v>
      </c>
      <c r="X218" s="558">
        <f t="shared" si="28"/>
        <v>0</v>
      </c>
      <c r="Y218" s="558">
        <f t="shared" si="30"/>
        <v>0</v>
      </c>
    </row>
    <row r="219" spans="18:25" x14ac:dyDescent="0.2">
      <c r="R219" s="558">
        <v>218</v>
      </c>
      <c r="S219" s="558">
        <f t="shared" si="24"/>
        <v>-132</v>
      </c>
      <c r="T219" s="558">
        <f t="shared" si="25"/>
        <v>-121</v>
      </c>
      <c r="U219" s="558">
        <f t="shared" si="26"/>
        <v>185</v>
      </c>
      <c r="V219" s="558">
        <f t="shared" si="29"/>
        <v>0</v>
      </c>
      <c r="W219" s="558">
        <f t="shared" si="27"/>
        <v>0</v>
      </c>
      <c r="X219" s="558">
        <f t="shared" si="28"/>
        <v>0</v>
      </c>
      <c r="Y219" s="558">
        <f t="shared" si="30"/>
        <v>0</v>
      </c>
    </row>
    <row r="220" spans="18:25" x14ac:dyDescent="0.2">
      <c r="R220" s="558">
        <v>219</v>
      </c>
      <c r="S220" s="558">
        <f t="shared" si="24"/>
        <v>-133</v>
      </c>
      <c r="T220" s="558">
        <f t="shared" si="25"/>
        <v>-122</v>
      </c>
      <c r="U220" s="558">
        <f t="shared" si="26"/>
        <v>186</v>
      </c>
      <c r="V220" s="558">
        <f t="shared" si="29"/>
        <v>0</v>
      </c>
      <c r="W220" s="558">
        <f t="shared" si="27"/>
        <v>0</v>
      </c>
      <c r="X220" s="558">
        <f t="shared" si="28"/>
        <v>0</v>
      </c>
      <c r="Y220" s="558">
        <f t="shared" si="30"/>
        <v>0</v>
      </c>
    </row>
    <row r="221" spans="18:25" x14ac:dyDescent="0.2">
      <c r="R221" s="558">
        <v>220</v>
      </c>
      <c r="S221" s="558">
        <f t="shared" si="24"/>
        <v>-134</v>
      </c>
      <c r="T221" s="558">
        <f t="shared" si="25"/>
        <v>-123</v>
      </c>
      <c r="U221" s="558">
        <f t="shared" si="26"/>
        <v>187</v>
      </c>
      <c r="V221" s="558">
        <f t="shared" si="29"/>
        <v>0</v>
      </c>
      <c r="W221" s="558">
        <f t="shared" si="27"/>
        <v>0</v>
      </c>
      <c r="X221" s="558">
        <f t="shared" si="28"/>
        <v>0</v>
      </c>
      <c r="Y221" s="558">
        <f t="shared" si="30"/>
        <v>0</v>
      </c>
    </row>
    <row r="222" spans="18:25" x14ac:dyDescent="0.2">
      <c r="R222" s="558">
        <v>221</v>
      </c>
      <c r="S222" s="558">
        <f t="shared" si="24"/>
        <v>-135</v>
      </c>
      <c r="T222" s="558">
        <f t="shared" si="25"/>
        <v>-124</v>
      </c>
      <c r="U222" s="558">
        <f t="shared" si="26"/>
        <v>188</v>
      </c>
      <c r="V222" s="558">
        <f t="shared" si="29"/>
        <v>0</v>
      </c>
      <c r="W222" s="558">
        <f t="shared" si="27"/>
        <v>0</v>
      </c>
      <c r="X222" s="558">
        <f t="shared" si="28"/>
        <v>0</v>
      </c>
      <c r="Y222" s="558">
        <f t="shared" si="30"/>
        <v>0</v>
      </c>
    </row>
    <row r="223" spans="18:25" x14ac:dyDescent="0.2">
      <c r="R223" s="558">
        <v>222</v>
      </c>
      <c r="S223" s="558">
        <f t="shared" si="24"/>
        <v>-136</v>
      </c>
      <c r="T223" s="558">
        <f t="shared" si="25"/>
        <v>-125</v>
      </c>
      <c r="U223" s="558">
        <f t="shared" si="26"/>
        <v>189</v>
      </c>
      <c r="V223" s="558">
        <f t="shared" si="29"/>
        <v>0</v>
      </c>
      <c r="W223" s="558">
        <f t="shared" si="27"/>
        <v>0</v>
      </c>
      <c r="X223" s="558">
        <f t="shared" si="28"/>
        <v>0</v>
      </c>
      <c r="Y223" s="558">
        <f t="shared" si="30"/>
        <v>0</v>
      </c>
    </row>
    <row r="224" spans="18:25" x14ac:dyDescent="0.2">
      <c r="R224" s="558">
        <v>223</v>
      </c>
      <c r="S224" s="558">
        <f t="shared" si="24"/>
        <v>-137</v>
      </c>
      <c r="T224" s="558">
        <f t="shared" si="25"/>
        <v>-126</v>
      </c>
      <c r="U224" s="558">
        <f t="shared" si="26"/>
        <v>190</v>
      </c>
      <c r="V224" s="558">
        <f t="shared" si="29"/>
        <v>0</v>
      </c>
      <c r="W224" s="558">
        <f t="shared" si="27"/>
        <v>0</v>
      </c>
      <c r="X224" s="558">
        <f t="shared" si="28"/>
        <v>0</v>
      </c>
      <c r="Y224" s="558">
        <f t="shared" si="30"/>
        <v>0</v>
      </c>
    </row>
    <row r="225" spans="18:25" x14ac:dyDescent="0.2">
      <c r="R225" s="558">
        <v>224</v>
      </c>
      <c r="S225" s="558">
        <f t="shared" si="24"/>
        <v>-138</v>
      </c>
      <c r="T225" s="558">
        <f t="shared" si="25"/>
        <v>-127</v>
      </c>
      <c r="U225" s="558">
        <f t="shared" si="26"/>
        <v>191</v>
      </c>
      <c r="V225" s="558">
        <f t="shared" si="29"/>
        <v>0</v>
      </c>
      <c r="W225" s="558">
        <f t="shared" si="27"/>
        <v>0</v>
      </c>
      <c r="X225" s="558">
        <f t="shared" si="28"/>
        <v>0</v>
      </c>
      <c r="Y225" s="558">
        <f t="shared" si="30"/>
        <v>0</v>
      </c>
    </row>
    <row r="226" spans="18:25" x14ac:dyDescent="0.2">
      <c r="R226" s="558">
        <v>225</v>
      </c>
      <c r="S226" s="558">
        <f t="shared" si="24"/>
        <v>-139</v>
      </c>
      <c r="T226" s="558">
        <f t="shared" si="25"/>
        <v>-128</v>
      </c>
      <c r="U226" s="558">
        <f t="shared" si="26"/>
        <v>192</v>
      </c>
      <c r="V226" s="558">
        <f t="shared" si="29"/>
        <v>0</v>
      </c>
      <c r="W226" s="558">
        <f t="shared" si="27"/>
        <v>0</v>
      </c>
      <c r="X226" s="558">
        <f t="shared" si="28"/>
        <v>0</v>
      </c>
      <c r="Y226" s="558">
        <f t="shared" si="30"/>
        <v>0</v>
      </c>
    </row>
    <row r="227" spans="18:25" x14ac:dyDescent="0.2">
      <c r="R227" s="558">
        <v>226</v>
      </c>
      <c r="S227" s="558">
        <f t="shared" si="24"/>
        <v>-140</v>
      </c>
      <c r="T227" s="558">
        <f t="shared" si="25"/>
        <v>-129</v>
      </c>
      <c r="U227" s="558">
        <f t="shared" si="26"/>
        <v>193</v>
      </c>
      <c r="V227" s="558">
        <f t="shared" si="29"/>
        <v>0</v>
      </c>
      <c r="W227" s="558">
        <f t="shared" si="27"/>
        <v>0</v>
      </c>
      <c r="X227" s="558">
        <f t="shared" ref="X227:X290" si="31">IF(R227=$B$7,W227,0)</f>
        <v>0</v>
      </c>
      <c r="Y227" s="558">
        <f t="shared" si="30"/>
        <v>0</v>
      </c>
    </row>
    <row r="228" spans="18:25" x14ac:dyDescent="0.2">
      <c r="R228" s="558">
        <v>227</v>
      </c>
      <c r="S228" s="558">
        <f t="shared" si="24"/>
        <v>-141</v>
      </c>
      <c r="T228" s="558">
        <f t="shared" si="25"/>
        <v>-130</v>
      </c>
      <c r="U228" s="558">
        <f t="shared" si="26"/>
        <v>194</v>
      </c>
      <c r="V228" s="558">
        <f t="shared" si="29"/>
        <v>0</v>
      </c>
      <c r="W228" s="558">
        <f t="shared" si="27"/>
        <v>0</v>
      </c>
      <c r="X228" s="558">
        <f t="shared" si="31"/>
        <v>0</v>
      </c>
      <c r="Y228" s="558">
        <f t="shared" si="30"/>
        <v>0</v>
      </c>
    </row>
    <row r="229" spans="18:25" x14ac:dyDescent="0.2">
      <c r="R229" s="558">
        <v>228</v>
      </c>
      <c r="S229" s="558">
        <f t="shared" si="24"/>
        <v>-142</v>
      </c>
      <c r="T229" s="558">
        <f t="shared" si="25"/>
        <v>-131</v>
      </c>
      <c r="U229" s="558">
        <f t="shared" si="26"/>
        <v>195</v>
      </c>
      <c r="V229" s="558">
        <f t="shared" si="29"/>
        <v>0</v>
      </c>
      <c r="W229" s="558">
        <f t="shared" si="27"/>
        <v>0</v>
      </c>
      <c r="X229" s="558">
        <f t="shared" si="31"/>
        <v>0</v>
      </c>
      <c r="Y229" s="558">
        <f t="shared" si="30"/>
        <v>0</v>
      </c>
    </row>
    <row r="230" spans="18:25" x14ac:dyDescent="0.2">
      <c r="R230" s="558">
        <v>229</v>
      </c>
      <c r="S230" s="558">
        <f t="shared" si="24"/>
        <v>-143</v>
      </c>
      <c r="T230" s="558">
        <f t="shared" si="25"/>
        <v>-132</v>
      </c>
      <c r="U230" s="558">
        <f t="shared" si="26"/>
        <v>196</v>
      </c>
      <c r="V230" s="558">
        <f t="shared" si="29"/>
        <v>0</v>
      </c>
      <c r="W230" s="558">
        <f t="shared" si="27"/>
        <v>0</v>
      </c>
      <c r="X230" s="558">
        <f t="shared" si="31"/>
        <v>0</v>
      </c>
      <c r="Y230" s="558">
        <f t="shared" si="30"/>
        <v>0</v>
      </c>
    </row>
    <row r="231" spans="18:25" x14ac:dyDescent="0.2">
      <c r="R231" s="558">
        <v>230</v>
      </c>
      <c r="S231" s="558">
        <f t="shared" si="24"/>
        <v>-144</v>
      </c>
      <c r="T231" s="558">
        <f t="shared" si="25"/>
        <v>-133</v>
      </c>
      <c r="U231" s="558">
        <f t="shared" si="26"/>
        <v>197</v>
      </c>
      <c r="V231" s="558">
        <f t="shared" si="29"/>
        <v>0</v>
      </c>
      <c r="W231" s="558">
        <f t="shared" si="27"/>
        <v>0</v>
      </c>
      <c r="X231" s="558">
        <f t="shared" si="31"/>
        <v>0</v>
      </c>
      <c r="Y231" s="558">
        <f t="shared" si="30"/>
        <v>0</v>
      </c>
    </row>
    <row r="232" spans="18:25" x14ac:dyDescent="0.2">
      <c r="R232" s="558">
        <v>231</v>
      </c>
      <c r="S232" s="558">
        <f t="shared" si="24"/>
        <v>-145</v>
      </c>
      <c r="T232" s="558">
        <f t="shared" si="25"/>
        <v>-134</v>
      </c>
      <c r="U232" s="558">
        <f t="shared" si="26"/>
        <v>198</v>
      </c>
      <c r="V232" s="558">
        <f t="shared" si="29"/>
        <v>0</v>
      </c>
      <c r="W232" s="558">
        <f t="shared" si="27"/>
        <v>0</v>
      </c>
      <c r="X232" s="558">
        <f t="shared" si="31"/>
        <v>0</v>
      </c>
      <c r="Y232" s="558">
        <f t="shared" si="30"/>
        <v>0</v>
      </c>
    </row>
    <row r="233" spans="18:25" x14ac:dyDescent="0.2">
      <c r="R233" s="558">
        <v>232</v>
      </c>
      <c r="S233" s="558">
        <f t="shared" si="24"/>
        <v>-146</v>
      </c>
      <c r="T233" s="558">
        <f t="shared" si="25"/>
        <v>-135</v>
      </c>
      <c r="U233" s="558">
        <f t="shared" si="26"/>
        <v>199</v>
      </c>
      <c r="V233" s="558">
        <f t="shared" si="29"/>
        <v>0</v>
      </c>
      <c r="W233" s="558">
        <f t="shared" si="27"/>
        <v>0</v>
      </c>
      <c r="X233" s="558">
        <f t="shared" si="31"/>
        <v>0</v>
      </c>
      <c r="Y233" s="558">
        <f t="shared" si="30"/>
        <v>0</v>
      </c>
    </row>
    <row r="234" spans="18:25" x14ac:dyDescent="0.2">
      <c r="R234" s="558">
        <v>233</v>
      </c>
      <c r="S234" s="558">
        <f t="shared" si="24"/>
        <v>-147</v>
      </c>
      <c r="T234" s="558">
        <f t="shared" si="25"/>
        <v>-136</v>
      </c>
      <c r="U234" s="558">
        <f t="shared" si="26"/>
        <v>200</v>
      </c>
      <c r="V234" s="558">
        <f t="shared" si="29"/>
        <v>0</v>
      </c>
      <c r="W234" s="558">
        <f t="shared" si="27"/>
        <v>0</v>
      </c>
      <c r="X234" s="558">
        <f t="shared" si="31"/>
        <v>0</v>
      </c>
      <c r="Y234" s="558">
        <f t="shared" si="30"/>
        <v>0</v>
      </c>
    </row>
    <row r="235" spans="18:25" x14ac:dyDescent="0.2">
      <c r="R235" s="558">
        <v>234</v>
      </c>
      <c r="S235" s="558">
        <f t="shared" si="24"/>
        <v>-148</v>
      </c>
      <c r="T235" s="558">
        <f t="shared" si="25"/>
        <v>-137</v>
      </c>
      <c r="U235" s="558">
        <f t="shared" si="26"/>
        <v>201</v>
      </c>
      <c r="V235" s="558">
        <f t="shared" si="29"/>
        <v>0</v>
      </c>
      <c r="W235" s="558">
        <f t="shared" si="27"/>
        <v>0</v>
      </c>
      <c r="X235" s="558">
        <f t="shared" si="31"/>
        <v>0</v>
      </c>
      <c r="Y235" s="558">
        <f t="shared" si="30"/>
        <v>0</v>
      </c>
    </row>
    <row r="236" spans="18:25" x14ac:dyDescent="0.2">
      <c r="R236" s="558">
        <v>235</v>
      </c>
      <c r="S236" s="558">
        <f t="shared" si="24"/>
        <v>-149</v>
      </c>
      <c r="T236" s="558">
        <f t="shared" si="25"/>
        <v>-138</v>
      </c>
      <c r="U236" s="558">
        <f t="shared" si="26"/>
        <v>202</v>
      </c>
      <c r="V236" s="558">
        <f t="shared" si="29"/>
        <v>0</v>
      </c>
      <c r="W236" s="558">
        <f t="shared" si="27"/>
        <v>0</v>
      </c>
      <c r="X236" s="558">
        <f t="shared" si="31"/>
        <v>0</v>
      </c>
      <c r="Y236" s="558">
        <f t="shared" si="30"/>
        <v>0</v>
      </c>
    </row>
    <row r="237" spans="18:25" x14ac:dyDescent="0.2">
      <c r="R237" s="558">
        <v>236</v>
      </c>
      <c r="S237" s="558">
        <f t="shared" si="24"/>
        <v>-150</v>
      </c>
      <c r="T237" s="558">
        <f t="shared" si="25"/>
        <v>-139</v>
      </c>
      <c r="U237" s="558">
        <f t="shared" si="26"/>
        <v>203</v>
      </c>
      <c r="V237" s="558">
        <f t="shared" si="29"/>
        <v>0</v>
      </c>
      <c r="W237" s="558">
        <f t="shared" si="27"/>
        <v>0</v>
      </c>
      <c r="X237" s="558">
        <f t="shared" si="31"/>
        <v>0</v>
      </c>
      <c r="Y237" s="558">
        <f t="shared" si="30"/>
        <v>0</v>
      </c>
    </row>
    <row r="238" spans="18:25" x14ac:dyDescent="0.2">
      <c r="R238" s="558">
        <v>237</v>
      </c>
      <c r="S238" s="558">
        <f t="shared" si="24"/>
        <v>-151</v>
      </c>
      <c r="T238" s="558">
        <f t="shared" si="25"/>
        <v>-140</v>
      </c>
      <c r="U238" s="558">
        <f t="shared" si="26"/>
        <v>204</v>
      </c>
      <c r="V238" s="558">
        <f t="shared" si="29"/>
        <v>0</v>
      </c>
      <c r="W238" s="558">
        <f t="shared" si="27"/>
        <v>0</v>
      </c>
      <c r="X238" s="558">
        <f t="shared" si="31"/>
        <v>0</v>
      </c>
      <c r="Y238" s="558">
        <f t="shared" si="30"/>
        <v>0</v>
      </c>
    </row>
    <row r="239" spans="18:25" x14ac:dyDescent="0.2">
      <c r="R239" s="558">
        <v>238</v>
      </c>
      <c r="S239" s="558">
        <f t="shared" si="24"/>
        <v>-152</v>
      </c>
      <c r="T239" s="558">
        <f t="shared" si="25"/>
        <v>-141</v>
      </c>
      <c r="U239" s="558">
        <f t="shared" si="26"/>
        <v>205</v>
      </c>
      <c r="V239" s="558">
        <f t="shared" si="29"/>
        <v>0</v>
      </c>
      <c r="W239" s="558">
        <f t="shared" si="27"/>
        <v>0</v>
      </c>
      <c r="X239" s="558">
        <f t="shared" si="31"/>
        <v>0</v>
      </c>
      <c r="Y239" s="558">
        <f t="shared" si="30"/>
        <v>0</v>
      </c>
    </row>
    <row r="240" spans="18:25" x14ac:dyDescent="0.2">
      <c r="R240" s="558">
        <v>239</v>
      </c>
      <c r="S240" s="558">
        <f t="shared" si="24"/>
        <v>-153</v>
      </c>
      <c r="T240" s="558">
        <f t="shared" si="25"/>
        <v>-142</v>
      </c>
      <c r="U240" s="558">
        <f t="shared" si="26"/>
        <v>206</v>
      </c>
      <c r="V240" s="558">
        <f t="shared" si="29"/>
        <v>0</v>
      </c>
      <c r="W240" s="558">
        <f t="shared" si="27"/>
        <v>0</v>
      </c>
      <c r="X240" s="558">
        <f t="shared" si="31"/>
        <v>0</v>
      </c>
      <c r="Y240" s="558">
        <f t="shared" si="30"/>
        <v>0</v>
      </c>
    </row>
    <row r="241" spans="18:25" x14ac:dyDescent="0.2">
      <c r="R241" s="558">
        <v>240</v>
      </c>
      <c r="S241" s="558">
        <f t="shared" si="24"/>
        <v>-154</v>
      </c>
      <c r="T241" s="558">
        <f t="shared" si="25"/>
        <v>-143</v>
      </c>
      <c r="U241" s="558">
        <f t="shared" si="26"/>
        <v>207</v>
      </c>
      <c r="V241" s="558">
        <f t="shared" si="29"/>
        <v>0</v>
      </c>
      <c r="W241" s="558">
        <f t="shared" si="27"/>
        <v>0</v>
      </c>
      <c r="X241" s="558">
        <f t="shared" si="31"/>
        <v>0</v>
      </c>
      <c r="Y241" s="558">
        <f t="shared" si="30"/>
        <v>0</v>
      </c>
    </row>
    <row r="242" spans="18:25" x14ac:dyDescent="0.2">
      <c r="R242" s="558">
        <v>241</v>
      </c>
      <c r="S242" s="558">
        <f t="shared" si="24"/>
        <v>-155</v>
      </c>
      <c r="T242" s="558">
        <f t="shared" si="25"/>
        <v>-144</v>
      </c>
      <c r="U242" s="558">
        <f t="shared" si="26"/>
        <v>208</v>
      </c>
      <c r="V242" s="558">
        <f t="shared" si="29"/>
        <v>0</v>
      </c>
      <c r="W242" s="558">
        <f t="shared" si="27"/>
        <v>0</v>
      </c>
      <c r="X242" s="558">
        <f t="shared" si="31"/>
        <v>0</v>
      </c>
      <c r="Y242" s="558">
        <f t="shared" si="30"/>
        <v>0</v>
      </c>
    </row>
    <row r="243" spans="18:25" x14ac:dyDescent="0.2">
      <c r="R243" s="558">
        <v>242</v>
      </c>
      <c r="S243" s="558">
        <f t="shared" si="24"/>
        <v>-156</v>
      </c>
      <c r="T243" s="558">
        <f t="shared" si="25"/>
        <v>-145</v>
      </c>
      <c r="U243" s="558">
        <f t="shared" si="26"/>
        <v>209</v>
      </c>
      <c r="V243" s="558">
        <f t="shared" si="29"/>
        <v>0</v>
      </c>
      <c r="W243" s="558">
        <f t="shared" si="27"/>
        <v>0</v>
      </c>
      <c r="X243" s="558">
        <f t="shared" si="31"/>
        <v>0</v>
      </c>
      <c r="Y243" s="558">
        <f t="shared" si="30"/>
        <v>0</v>
      </c>
    </row>
    <row r="244" spans="18:25" x14ac:dyDescent="0.2">
      <c r="R244" s="558">
        <v>243</v>
      </c>
      <c r="S244" s="558">
        <f t="shared" si="24"/>
        <v>-157</v>
      </c>
      <c r="T244" s="558">
        <f t="shared" si="25"/>
        <v>-146</v>
      </c>
      <c r="U244" s="558">
        <f t="shared" si="26"/>
        <v>210</v>
      </c>
      <c r="V244" s="558">
        <f t="shared" si="29"/>
        <v>0</v>
      </c>
      <c r="W244" s="558">
        <f t="shared" si="27"/>
        <v>0</v>
      </c>
      <c r="X244" s="558">
        <f t="shared" si="31"/>
        <v>0</v>
      </c>
      <c r="Y244" s="558">
        <f t="shared" si="30"/>
        <v>0</v>
      </c>
    </row>
    <row r="245" spans="18:25" x14ac:dyDescent="0.2">
      <c r="R245" s="558">
        <v>244</v>
      </c>
      <c r="S245" s="558">
        <f t="shared" si="24"/>
        <v>-158</v>
      </c>
      <c r="T245" s="558">
        <f t="shared" si="25"/>
        <v>-147</v>
      </c>
      <c r="U245" s="558">
        <f t="shared" si="26"/>
        <v>211</v>
      </c>
      <c r="V245" s="558">
        <f t="shared" si="29"/>
        <v>0</v>
      </c>
      <c r="W245" s="558">
        <f t="shared" si="27"/>
        <v>0</v>
      </c>
      <c r="X245" s="558">
        <f t="shared" si="31"/>
        <v>0</v>
      </c>
      <c r="Y245" s="558">
        <f t="shared" si="30"/>
        <v>0</v>
      </c>
    </row>
    <row r="246" spans="18:25" x14ac:dyDescent="0.2">
      <c r="R246" s="558">
        <v>245</v>
      </c>
      <c r="S246" s="558">
        <f t="shared" si="24"/>
        <v>-159</v>
      </c>
      <c r="T246" s="558">
        <f t="shared" si="25"/>
        <v>-148</v>
      </c>
      <c r="U246" s="558">
        <f t="shared" si="26"/>
        <v>212</v>
      </c>
      <c r="V246" s="558">
        <f t="shared" si="29"/>
        <v>0</v>
      </c>
      <c r="W246" s="558">
        <f t="shared" si="27"/>
        <v>0</v>
      </c>
      <c r="X246" s="558">
        <f t="shared" si="31"/>
        <v>0</v>
      </c>
      <c r="Y246" s="558">
        <f t="shared" si="30"/>
        <v>0</v>
      </c>
    </row>
    <row r="247" spans="18:25" x14ac:dyDescent="0.2">
      <c r="R247" s="558">
        <v>246</v>
      </c>
      <c r="S247" s="558">
        <f t="shared" si="24"/>
        <v>-160</v>
      </c>
      <c r="T247" s="558">
        <f t="shared" si="25"/>
        <v>-149</v>
      </c>
      <c r="U247" s="558">
        <f t="shared" si="26"/>
        <v>213</v>
      </c>
      <c r="V247" s="558">
        <f t="shared" si="29"/>
        <v>0</v>
      </c>
      <c r="W247" s="558">
        <f t="shared" si="27"/>
        <v>0</v>
      </c>
      <c r="X247" s="558">
        <f t="shared" si="31"/>
        <v>0</v>
      </c>
      <c r="Y247" s="558">
        <f t="shared" si="30"/>
        <v>0</v>
      </c>
    </row>
    <row r="248" spans="18:25" x14ac:dyDescent="0.2">
      <c r="R248" s="558">
        <v>247</v>
      </c>
      <c r="S248" s="558">
        <f t="shared" si="24"/>
        <v>-161</v>
      </c>
      <c r="T248" s="558">
        <f t="shared" si="25"/>
        <v>-150</v>
      </c>
      <c r="U248" s="558">
        <f t="shared" si="26"/>
        <v>214</v>
      </c>
      <c r="V248" s="558">
        <f t="shared" si="29"/>
        <v>0</v>
      </c>
      <c r="W248" s="558">
        <f t="shared" si="27"/>
        <v>0</v>
      </c>
      <c r="X248" s="558">
        <f t="shared" si="31"/>
        <v>0</v>
      </c>
      <c r="Y248" s="558">
        <f t="shared" si="30"/>
        <v>0</v>
      </c>
    </row>
    <row r="249" spans="18:25" x14ac:dyDescent="0.2">
      <c r="R249" s="558">
        <v>248</v>
      </c>
      <c r="S249" s="558">
        <f t="shared" si="24"/>
        <v>-162</v>
      </c>
      <c r="T249" s="558">
        <f t="shared" si="25"/>
        <v>-151</v>
      </c>
      <c r="U249" s="558">
        <f t="shared" si="26"/>
        <v>215</v>
      </c>
      <c r="V249" s="558">
        <f t="shared" si="29"/>
        <v>0</v>
      </c>
      <c r="W249" s="558">
        <f t="shared" si="27"/>
        <v>0</v>
      </c>
      <c r="X249" s="558">
        <f t="shared" si="31"/>
        <v>0</v>
      </c>
      <c r="Y249" s="558">
        <f t="shared" si="30"/>
        <v>0</v>
      </c>
    </row>
    <row r="250" spans="18:25" x14ac:dyDescent="0.2">
      <c r="R250" s="558">
        <v>249</v>
      </c>
      <c r="S250" s="558">
        <f t="shared" si="24"/>
        <v>-163</v>
      </c>
      <c r="T250" s="558">
        <f t="shared" si="25"/>
        <v>-152</v>
      </c>
      <c r="U250" s="558">
        <f t="shared" si="26"/>
        <v>216</v>
      </c>
      <c r="V250" s="558">
        <f t="shared" si="29"/>
        <v>0</v>
      </c>
      <c r="W250" s="558">
        <f t="shared" si="27"/>
        <v>0</v>
      </c>
      <c r="X250" s="558">
        <f t="shared" si="31"/>
        <v>0</v>
      </c>
      <c r="Y250" s="558">
        <f t="shared" si="30"/>
        <v>0</v>
      </c>
    </row>
    <row r="251" spans="18:25" x14ac:dyDescent="0.2">
      <c r="R251" s="558">
        <v>250</v>
      </c>
      <c r="S251" s="558">
        <f t="shared" si="24"/>
        <v>-164</v>
      </c>
      <c r="T251" s="558">
        <f t="shared" si="25"/>
        <v>-153</v>
      </c>
      <c r="U251" s="558">
        <f t="shared" si="26"/>
        <v>217</v>
      </c>
      <c r="V251" s="558">
        <f t="shared" si="29"/>
        <v>0</v>
      </c>
      <c r="W251" s="558">
        <f t="shared" si="27"/>
        <v>0</v>
      </c>
      <c r="X251" s="558">
        <f t="shared" si="31"/>
        <v>0</v>
      </c>
      <c r="Y251" s="558">
        <f t="shared" si="30"/>
        <v>0</v>
      </c>
    </row>
    <row r="252" spans="18:25" x14ac:dyDescent="0.2">
      <c r="R252" s="558">
        <v>251</v>
      </c>
      <c r="S252" s="558">
        <f t="shared" si="24"/>
        <v>-165</v>
      </c>
      <c r="T252" s="558">
        <f t="shared" si="25"/>
        <v>-154</v>
      </c>
      <c r="U252" s="558">
        <f t="shared" si="26"/>
        <v>218</v>
      </c>
      <c r="V252" s="558">
        <f t="shared" si="29"/>
        <v>0</v>
      </c>
      <c r="W252" s="558">
        <f t="shared" si="27"/>
        <v>0</v>
      </c>
      <c r="X252" s="558">
        <f t="shared" si="31"/>
        <v>0</v>
      </c>
      <c r="Y252" s="558">
        <f t="shared" si="30"/>
        <v>0</v>
      </c>
    </row>
    <row r="253" spans="18:25" x14ac:dyDescent="0.2">
      <c r="R253" s="558">
        <v>252</v>
      </c>
      <c r="S253" s="558">
        <f t="shared" si="24"/>
        <v>-166</v>
      </c>
      <c r="T253" s="558">
        <f t="shared" si="25"/>
        <v>-155</v>
      </c>
      <c r="U253" s="558">
        <f t="shared" si="26"/>
        <v>219</v>
      </c>
      <c r="V253" s="558">
        <f t="shared" si="29"/>
        <v>0</v>
      </c>
      <c r="W253" s="558">
        <f t="shared" si="27"/>
        <v>0</v>
      </c>
      <c r="X253" s="558">
        <f t="shared" si="31"/>
        <v>0</v>
      </c>
      <c r="Y253" s="558">
        <f t="shared" si="30"/>
        <v>0</v>
      </c>
    </row>
    <row r="254" spans="18:25" x14ac:dyDescent="0.2">
      <c r="R254" s="558">
        <v>253</v>
      </c>
      <c r="S254" s="558">
        <f t="shared" si="24"/>
        <v>-167</v>
      </c>
      <c r="T254" s="558">
        <f t="shared" si="25"/>
        <v>-156</v>
      </c>
      <c r="U254" s="558">
        <f t="shared" si="26"/>
        <v>220</v>
      </c>
      <c r="V254" s="558">
        <f t="shared" si="29"/>
        <v>0</v>
      </c>
      <c r="W254" s="558">
        <f t="shared" si="27"/>
        <v>0</v>
      </c>
      <c r="X254" s="558">
        <f t="shared" si="31"/>
        <v>0</v>
      </c>
      <c r="Y254" s="558">
        <f t="shared" si="30"/>
        <v>0</v>
      </c>
    </row>
    <row r="255" spans="18:25" x14ac:dyDescent="0.2">
      <c r="R255" s="558">
        <v>254</v>
      </c>
      <c r="S255" s="558">
        <f t="shared" si="24"/>
        <v>-168</v>
      </c>
      <c r="T255" s="558">
        <f t="shared" si="25"/>
        <v>-157</v>
      </c>
      <c r="U255" s="558">
        <f t="shared" si="26"/>
        <v>221</v>
      </c>
      <c r="V255" s="558">
        <f t="shared" si="29"/>
        <v>0</v>
      </c>
      <c r="W255" s="558">
        <f t="shared" si="27"/>
        <v>0</v>
      </c>
      <c r="X255" s="558">
        <f t="shared" si="31"/>
        <v>0</v>
      </c>
      <c r="Y255" s="558">
        <f t="shared" si="30"/>
        <v>0</v>
      </c>
    </row>
    <row r="256" spans="18:25" x14ac:dyDescent="0.2">
      <c r="R256" s="558">
        <v>255</v>
      </c>
      <c r="S256" s="558">
        <f t="shared" si="24"/>
        <v>-169</v>
      </c>
      <c r="T256" s="558">
        <f t="shared" si="25"/>
        <v>-158</v>
      </c>
      <c r="U256" s="558">
        <f t="shared" si="26"/>
        <v>222</v>
      </c>
      <c r="V256" s="558">
        <f t="shared" si="29"/>
        <v>0</v>
      </c>
      <c r="W256" s="558">
        <f t="shared" si="27"/>
        <v>0</v>
      </c>
      <c r="X256" s="558">
        <f t="shared" si="31"/>
        <v>0</v>
      </c>
      <c r="Y256" s="558">
        <f t="shared" si="30"/>
        <v>0</v>
      </c>
    </row>
    <row r="257" spans="18:25" x14ac:dyDescent="0.2">
      <c r="R257" s="558">
        <v>256</v>
      </c>
      <c r="S257" s="558">
        <f t="shared" ref="S257:S320" si="32">$D$7-R257</f>
        <v>-170</v>
      </c>
      <c r="T257" s="558">
        <f t="shared" ref="T257:T320" si="33">$B$9-R257</f>
        <v>-159</v>
      </c>
      <c r="U257" s="558">
        <f t="shared" ref="U257:U320" si="34">$D$9-SUM(R257:T257)</f>
        <v>223</v>
      </c>
      <c r="V257" s="558">
        <f t="shared" si="29"/>
        <v>0</v>
      </c>
      <c r="W257" s="558">
        <f t="shared" ref="W257:W320" si="35">_xlfn.HYPGEOM.DIST(R257,R257+T257,R257+S257,SUM(R257:U257),0)</f>
        <v>0</v>
      </c>
      <c r="X257" s="558">
        <f t="shared" si="31"/>
        <v>0</v>
      </c>
      <c r="Y257" s="558">
        <f t="shared" si="30"/>
        <v>0</v>
      </c>
    </row>
    <row r="258" spans="18:25" x14ac:dyDescent="0.2">
      <c r="R258" s="558">
        <v>257</v>
      </c>
      <c r="S258" s="558">
        <f t="shared" si="32"/>
        <v>-171</v>
      </c>
      <c r="T258" s="558">
        <f t="shared" si="33"/>
        <v>-160</v>
      </c>
      <c r="U258" s="558">
        <f t="shared" si="34"/>
        <v>224</v>
      </c>
      <c r="V258" s="558">
        <f t="shared" ref="V258:V321" si="36">IF(S258&gt;=0,IF(T258&gt;=0,IF(U258&gt;=0,1,0),0),0)</f>
        <v>0</v>
      </c>
      <c r="W258" s="558">
        <f t="shared" si="35"/>
        <v>0</v>
      </c>
      <c r="X258" s="558">
        <f t="shared" si="31"/>
        <v>0</v>
      </c>
      <c r="Y258" s="558">
        <f t="shared" ref="Y258:Y321" si="37">IF(W258&lt;=SUM($X$1:$X$1101),W258,0)</f>
        <v>0</v>
      </c>
    </row>
    <row r="259" spans="18:25" x14ac:dyDescent="0.2">
      <c r="R259" s="558">
        <v>258</v>
      </c>
      <c r="S259" s="558">
        <f t="shared" si="32"/>
        <v>-172</v>
      </c>
      <c r="T259" s="558">
        <f t="shared" si="33"/>
        <v>-161</v>
      </c>
      <c r="U259" s="558">
        <f t="shared" si="34"/>
        <v>225</v>
      </c>
      <c r="V259" s="558">
        <f t="shared" si="36"/>
        <v>0</v>
      </c>
      <c r="W259" s="558">
        <f t="shared" si="35"/>
        <v>0</v>
      </c>
      <c r="X259" s="558">
        <f t="shared" si="31"/>
        <v>0</v>
      </c>
      <c r="Y259" s="558">
        <f t="shared" si="37"/>
        <v>0</v>
      </c>
    </row>
    <row r="260" spans="18:25" x14ac:dyDescent="0.2">
      <c r="R260" s="558">
        <v>259</v>
      </c>
      <c r="S260" s="558">
        <f t="shared" si="32"/>
        <v>-173</v>
      </c>
      <c r="T260" s="558">
        <f t="shared" si="33"/>
        <v>-162</v>
      </c>
      <c r="U260" s="558">
        <f t="shared" si="34"/>
        <v>226</v>
      </c>
      <c r="V260" s="558">
        <f t="shared" si="36"/>
        <v>0</v>
      </c>
      <c r="W260" s="558">
        <f t="shared" si="35"/>
        <v>0</v>
      </c>
      <c r="X260" s="558">
        <f t="shared" si="31"/>
        <v>0</v>
      </c>
      <c r="Y260" s="558">
        <f t="shared" si="37"/>
        <v>0</v>
      </c>
    </row>
    <row r="261" spans="18:25" x14ac:dyDescent="0.2">
      <c r="R261" s="558">
        <v>260</v>
      </c>
      <c r="S261" s="558">
        <f t="shared" si="32"/>
        <v>-174</v>
      </c>
      <c r="T261" s="558">
        <f t="shared" si="33"/>
        <v>-163</v>
      </c>
      <c r="U261" s="558">
        <f t="shared" si="34"/>
        <v>227</v>
      </c>
      <c r="V261" s="558">
        <f t="shared" si="36"/>
        <v>0</v>
      </c>
      <c r="W261" s="558">
        <f t="shared" si="35"/>
        <v>0</v>
      </c>
      <c r="X261" s="558">
        <f t="shared" si="31"/>
        <v>0</v>
      </c>
      <c r="Y261" s="558">
        <f t="shared" si="37"/>
        <v>0</v>
      </c>
    </row>
    <row r="262" spans="18:25" x14ac:dyDescent="0.2">
      <c r="R262" s="558">
        <v>261</v>
      </c>
      <c r="S262" s="558">
        <f t="shared" si="32"/>
        <v>-175</v>
      </c>
      <c r="T262" s="558">
        <f t="shared" si="33"/>
        <v>-164</v>
      </c>
      <c r="U262" s="558">
        <f t="shared" si="34"/>
        <v>228</v>
      </c>
      <c r="V262" s="558">
        <f t="shared" si="36"/>
        <v>0</v>
      </c>
      <c r="W262" s="558">
        <f t="shared" si="35"/>
        <v>0</v>
      </c>
      <c r="X262" s="558">
        <f t="shared" si="31"/>
        <v>0</v>
      </c>
      <c r="Y262" s="558">
        <f t="shared" si="37"/>
        <v>0</v>
      </c>
    </row>
    <row r="263" spans="18:25" x14ac:dyDescent="0.2">
      <c r="R263" s="558">
        <v>262</v>
      </c>
      <c r="S263" s="558">
        <f t="shared" si="32"/>
        <v>-176</v>
      </c>
      <c r="T263" s="558">
        <f t="shared" si="33"/>
        <v>-165</v>
      </c>
      <c r="U263" s="558">
        <f t="shared" si="34"/>
        <v>229</v>
      </c>
      <c r="V263" s="558">
        <f t="shared" si="36"/>
        <v>0</v>
      </c>
      <c r="W263" s="558">
        <f t="shared" si="35"/>
        <v>0</v>
      </c>
      <c r="X263" s="558">
        <f t="shared" si="31"/>
        <v>0</v>
      </c>
      <c r="Y263" s="558">
        <f t="shared" si="37"/>
        <v>0</v>
      </c>
    </row>
    <row r="264" spans="18:25" x14ac:dyDescent="0.2">
      <c r="R264" s="558">
        <v>263</v>
      </c>
      <c r="S264" s="558">
        <f t="shared" si="32"/>
        <v>-177</v>
      </c>
      <c r="T264" s="558">
        <f t="shared" si="33"/>
        <v>-166</v>
      </c>
      <c r="U264" s="558">
        <f t="shared" si="34"/>
        <v>230</v>
      </c>
      <c r="V264" s="558">
        <f t="shared" si="36"/>
        <v>0</v>
      </c>
      <c r="W264" s="558">
        <f t="shared" si="35"/>
        <v>0</v>
      </c>
      <c r="X264" s="558">
        <f t="shared" si="31"/>
        <v>0</v>
      </c>
      <c r="Y264" s="558">
        <f t="shared" si="37"/>
        <v>0</v>
      </c>
    </row>
    <row r="265" spans="18:25" x14ac:dyDescent="0.2">
      <c r="R265" s="558">
        <v>264</v>
      </c>
      <c r="S265" s="558">
        <f t="shared" si="32"/>
        <v>-178</v>
      </c>
      <c r="T265" s="558">
        <f t="shared" si="33"/>
        <v>-167</v>
      </c>
      <c r="U265" s="558">
        <f t="shared" si="34"/>
        <v>231</v>
      </c>
      <c r="V265" s="558">
        <f t="shared" si="36"/>
        <v>0</v>
      </c>
      <c r="W265" s="558">
        <f t="shared" si="35"/>
        <v>0</v>
      </c>
      <c r="X265" s="558">
        <f t="shared" si="31"/>
        <v>0</v>
      </c>
      <c r="Y265" s="558">
        <f t="shared" si="37"/>
        <v>0</v>
      </c>
    </row>
    <row r="266" spans="18:25" x14ac:dyDescent="0.2">
      <c r="R266" s="558">
        <v>265</v>
      </c>
      <c r="S266" s="558">
        <f t="shared" si="32"/>
        <v>-179</v>
      </c>
      <c r="T266" s="558">
        <f t="shared" si="33"/>
        <v>-168</v>
      </c>
      <c r="U266" s="558">
        <f t="shared" si="34"/>
        <v>232</v>
      </c>
      <c r="V266" s="558">
        <f t="shared" si="36"/>
        <v>0</v>
      </c>
      <c r="W266" s="558">
        <f t="shared" si="35"/>
        <v>0</v>
      </c>
      <c r="X266" s="558">
        <f t="shared" si="31"/>
        <v>0</v>
      </c>
      <c r="Y266" s="558">
        <f t="shared" si="37"/>
        <v>0</v>
      </c>
    </row>
    <row r="267" spans="18:25" x14ac:dyDescent="0.2">
      <c r="R267" s="558">
        <v>266</v>
      </c>
      <c r="S267" s="558">
        <f t="shared" si="32"/>
        <v>-180</v>
      </c>
      <c r="T267" s="558">
        <f t="shared" si="33"/>
        <v>-169</v>
      </c>
      <c r="U267" s="558">
        <f t="shared" si="34"/>
        <v>233</v>
      </c>
      <c r="V267" s="558">
        <f t="shared" si="36"/>
        <v>0</v>
      </c>
      <c r="W267" s="558">
        <f t="shared" si="35"/>
        <v>0</v>
      </c>
      <c r="X267" s="558">
        <f t="shared" si="31"/>
        <v>0</v>
      </c>
      <c r="Y267" s="558">
        <f t="shared" si="37"/>
        <v>0</v>
      </c>
    </row>
    <row r="268" spans="18:25" x14ac:dyDescent="0.2">
      <c r="R268" s="558">
        <v>267</v>
      </c>
      <c r="S268" s="558">
        <f t="shared" si="32"/>
        <v>-181</v>
      </c>
      <c r="T268" s="558">
        <f t="shared" si="33"/>
        <v>-170</v>
      </c>
      <c r="U268" s="558">
        <f t="shared" si="34"/>
        <v>234</v>
      </c>
      <c r="V268" s="558">
        <f t="shared" si="36"/>
        <v>0</v>
      </c>
      <c r="W268" s="558">
        <f t="shared" si="35"/>
        <v>0</v>
      </c>
      <c r="X268" s="558">
        <f t="shared" si="31"/>
        <v>0</v>
      </c>
      <c r="Y268" s="558">
        <f t="shared" si="37"/>
        <v>0</v>
      </c>
    </row>
    <row r="269" spans="18:25" x14ac:dyDescent="0.2">
      <c r="R269" s="558">
        <v>268</v>
      </c>
      <c r="S269" s="558">
        <f t="shared" si="32"/>
        <v>-182</v>
      </c>
      <c r="T269" s="558">
        <f t="shared" si="33"/>
        <v>-171</v>
      </c>
      <c r="U269" s="558">
        <f t="shared" si="34"/>
        <v>235</v>
      </c>
      <c r="V269" s="558">
        <f t="shared" si="36"/>
        <v>0</v>
      </c>
      <c r="W269" s="558">
        <f t="shared" si="35"/>
        <v>0</v>
      </c>
      <c r="X269" s="558">
        <f t="shared" si="31"/>
        <v>0</v>
      </c>
      <c r="Y269" s="558">
        <f t="shared" si="37"/>
        <v>0</v>
      </c>
    </row>
    <row r="270" spans="18:25" x14ac:dyDescent="0.2">
      <c r="R270" s="558">
        <v>269</v>
      </c>
      <c r="S270" s="558">
        <f t="shared" si="32"/>
        <v>-183</v>
      </c>
      <c r="T270" s="558">
        <f t="shared" si="33"/>
        <v>-172</v>
      </c>
      <c r="U270" s="558">
        <f t="shared" si="34"/>
        <v>236</v>
      </c>
      <c r="V270" s="558">
        <f t="shared" si="36"/>
        <v>0</v>
      </c>
      <c r="W270" s="558">
        <f t="shared" si="35"/>
        <v>0</v>
      </c>
      <c r="X270" s="558">
        <f t="shared" si="31"/>
        <v>0</v>
      </c>
      <c r="Y270" s="558">
        <f t="shared" si="37"/>
        <v>0</v>
      </c>
    </row>
    <row r="271" spans="18:25" x14ac:dyDescent="0.2">
      <c r="R271" s="558">
        <v>270</v>
      </c>
      <c r="S271" s="558">
        <f t="shared" si="32"/>
        <v>-184</v>
      </c>
      <c r="T271" s="558">
        <f t="shared" si="33"/>
        <v>-173</v>
      </c>
      <c r="U271" s="558">
        <f t="shared" si="34"/>
        <v>237</v>
      </c>
      <c r="V271" s="558">
        <f t="shared" si="36"/>
        <v>0</v>
      </c>
      <c r="W271" s="558">
        <f t="shared" si="35"/>
        <v>0</v>
      </c>
      <c r="X271" s="558">
        <f t="shared" si="31"/>
        <v>0</v>
      </c>
      <c r="Y271" s="558">
        <f t="shared" si="37"/>
        <v>0</v>
      </c>
    </row>
    <row r="272" spans="18:25" x14ac:dyDescent="0.2">
      <c r="R272" s="558">
        <v>271</v>
      </c>
      <c r="S272" s="558">
        <f t="shared" si="32"/>
        <v>-185</v>
      </c>
      <c r="T272" s="558">
        <f t="shared" si="33"/>
        <v>-174</v>
      </c>
      <c r="U272" s="558">
        <f t="shared" si="34"/>
        <v>238</v>
      </c>
      <c r="V272" s="558">
        <f t="shared" si="36"/>
        <v>0</v>
      </c>
      <c r="W272" s="558">
        <f t="shared" si="35"/>
        <v>0</v>
      </c>
      <c r="X272" s="558">
        <f t="shared" si="31"/>
        <v>0</v>
      </c>
      <c r="Y272" s="558">
        <f t="shared" si="37"/>
        <v>0</v>
      </c>
    </row>
    <row r="273" spans="18:25" x14ac:dyDescent="0.2">
      <c r="R273" s="558">
        <v>272</v>
      </c>
      <c r="S273" s="558">
        <f t="shared" si="32"/>
        <v>-186</v>
      </c>
      <c r="T273" s="558">
        <f t="shared" si="33"/>
        <v>-175</v>
      </c>
      <c r="U273" s="558">
        <f t="shared" si="34"/>
        <v>239</v>
      </c>
      <c r="V273" s="558">
        <f t="shared" si="36"/>
        <v>0</v>
      </c>
      <c r="W273" s="558">
        <f t="shared" si="35"/>
        <v>0</v>
      </c>
      <c r="X273" s="558">
        <f t="shared" si="31"/>
        <v>0</v>
      </c>
      <c r="Y273" s="558">
        <f t="shared" si="37"/>
        <v>0</v>
      </c>
    </row>
    <row r="274" spans="18:25" x14ac:dyDescent="0.2">
      <c r="R274" s="558">
        <v>273</v>
      </c>
      <c r="S274" s="558">
        <f t="shared" si="32"/>
        <v>-187</v>
      </c>
      <c r="T274" s="558">
        <f t="shared" si="33"/>
        <v>-176</v>
      </c>
      <c r="U274" s="558">
        <f t="shared" si="34"/>
        <v>240</v>
      </c>
      <c r="V274" s="558">
        <f t="shared" si="36"/>
        <v>0</v>
      </c>
      <c r="W274" s="558">
        <f t="shared" si="35"/>
        <v>0</v>
      </c>
      <c r="X274" s="558">
        <f t="shared" si="31"/>
        <v>0</v>
      </c>
      <c r="Y274" s="558">
        <f t="shared" si="37"/>
        <v>0</v>
      </c>
    </row>
    <row r="275" spans="18:25" x14ac:dyDescent="0.2">
      <c r="R275" s="558">
        <v>274</v>
      </c>
      <c r="S275" s="558">
        <f t="shared" si="32"/>
        <v>-188</v>
      </c>
      <c r="T275" s="558">
        <f t="shared" si="33"/>
        <v>-177</v>
      </c>
      <c r="U275" s="558">
        <f t="shared" si="34"/>
        <v>241</v>
      </c>
      <c r="V275" s="558">
        <f t="shared" si="36"/>
        <v>0</v>
      </c>
      <c r="W275" s="558">
        <f t="shared" si="35"/>
        <v>0</v>
      </c>
      <c r="X275" s="558">
        <f t="shared" si="31"/>
        <v>0</v>
      </c>
      <c r="Y275" s="558">
        <f t="shared" si="37"/>
        <v>0</v>
      </c>
    </row>
    <row r="276" spans="18:25" x14ac:dyDescent="0.2">
      <c r="R276" s="558">
        <v>275</v>
      </c>
      <c r="S276" s="558">
        <f t="shared" si="32"/>
        <v>-189</v>
      </c>
      <c r="T276" s="558">
        <f t="shared" si="33"/>
        <v>-178</v>
      </c>
      <c r="U276" s="558">
        <f t="shared" si="34"/>
        <v>242</v>
      </c>
      <c r="V276" s="558">
        <f t="shared" si="36"/>
        <v>0</v>
      </c>
      <c r="W276" s="558">
        <f t="shared" si="35"/>
        <v>0</v>
      </c>
      <c r="X276" s="558">
        <f t="shared" si="31"/>
        <v>0</v>
      </c>
      <c r="Y276" s="558">
        <f t="shared" si="37"/>
        <v>0</v>
      </c>
    </row>
    <row r="277" spans="18:25" x14ac:dyDescent="0.2">
      <c r="R277" s="558">
        <v>276</v>
      </c>
      <c r="S277" s="558">
        <f t="shared" si="32"/>
        <v>-190</v>
      </c>
      <c r="T277" s="558">
        <f t="shared" si="33"/>
        <v>-179</v>
      </c>
      <c r="U277" s="558">
        <f t="shared" si="34"/>
        <v>243</v>
      </c>
      <c r="V277" s="558">
        <f t="shared" si="36"/>
        <v>0</v>
      </c>
      <c r="W277" s="558">
        <f t="shared" si="35"/>
        <v>0</v>
      </c>
      <c r="X277" s="558">
        <f t="shared" si="31"/>
        <v>0</v>
      </c>
      <c r="Y277" s="558">
        <f t="shared" si="37"/>
        <v>0</v>
      </c>
    </row>
    <row r="278" spans="18:25" x14ac:dyDescent="0.2">
      <c r="R278" s="558">
        <v>277</v>
      </c>
      <c r="S278" s="558">
        <f t="shared" si="32"/>
        <v>-191</v>
      </c>
      <c r="T278" s="558">
        <f t="shared" si="33"/>
        <v>-180</v>
      </c>
      <c r="U278" s="558">
        <f t="shared" si="34"/>
        <v>244</v>
      </c>
      <c r="V278" s="558">
        <f t="shared" si="36"/>
        <v>0</v>
      </c>
      <c r="W278" s="558">
        <f t="shared" si="35"/>
        <v>0</v>
      </c>
      <c r="X278" s="558">
        <f t="shared" si="31"/>
        <v>0</v>
      </c>
      <c r="Y278" s="558">
        <f t="shared" si="37"/>
        <v>0</v>
      </c>
    </row>
    <row r="279" spans="18:25" x14ac:dyDescent="0.2">
      <c r="R279" s="558">
        <v>278</v>
      </c>
      <c r="S279" s="558">
        <f t="shared" si="32"/>
        <v>-192</v>
      </c>
      <c r="T279" s="558">
        <f t="shared" si="33"/>
        <v>-181</v>
      </c>
      <c r="U279" s="558">
        <f t="shared" si="34"/>
        <v>245</v>
      </c>
      <c r="V279" s="558">
        <f t="shared" si="36"/>
        <v>0</v>
      </c>
      <c r="W279" s="558">
        <f t="shared" si="35"/>
        <v>0</v>
      </c>
      <c r="X279" s="558">
        <f t="shared" si="31"/>
        <v>0</v>
      </c>
      <c r="Y279" s="558">
        <f t="shared" si="37"/>
        <v>0</v>
      </c>
    </row>
    <row r="280" spans="18:25" x14ac:dyDescent="0.2">
      <c r="R280" s="558">
        <v>279</v>
      </c>
      <c r="S280" s="558">
        <f t="shared" si="32"/>
        <v>-193</v>
      </c>
      <c r="T280" s="558">
        <f t="shared" si="33"/>
        <v>-182</v>
      </c>
      <c r="U280" s="558">
        <f t="shared" si="34"/>
        <v>246</v>
      </c>
      <c r="V280" s="558">
        <f t="shared" si="36"/>
        <v>0</v>
      </c>
      <c r="W280" s="558">
        <f t="shared" si="35"/>
        <v>0</v>
      </c>
      <c r="X280" s="558">
        <f t="shared" si="31"/>
        <v>0</v>
      </c>
      <c r="Y280" s="558">
        <f t="shared" si="37"/>
        <v>0</v>
      </c>
    </row>
    <row r="281" spans="18:25" x14ac:dyDescent="0.2">
      <c r="R281" s="558">
        <v>280</v>
      </c>
      <c r="S281" s="558">
        <f t="shared" si="32"/>
        <v>-194</v>
      </c>
      <c r="T281" s="558">
        <f t="shared" si="33"/>
        <v>-183</v>
      </c>
      <c r="U281" s="558">
        <f t="shared" si="34"/>
        <v>247</v>
      </c>
      <c r="V281" s="558">
        <f t="shared" si="36"/>
        <v>0</v>
      </c>
      <c r="W281" s="558">
        <f t="shared" si="35"/>
        <v>0</v>
      </c>
      <c r="X281" s="558">
        <f t="shared" si="31"/>
        <v>0</v>
      </c>
      <c r="Y281" s="558">
        <f t="shared" si="37"/>
        <v>0</v>
      </c>
    </row>
    <row r="282" spans="18:25" x14ac:dyDescent="0.2">
      <c r="R282" s="558">
        <v>281</v>
      </c>
      <c r="S282" s="558">
        <f t="shared" si="32"/>
        <v>-195</v>
      </c>
      <c r="T282" s="558">
        <f t="shared" si="33"/>
        <v>-184</v>
      </c>
      <c r="U282" s="558">
        <f t="shared" si="34"/>
        <v>248</v>
      </c>
      <c r="V282" s="558">
        <f t="shared" si="36"/>
        <v>0</v>
      </c>
      <c r="W282" s="558">
        <f t="shared" si="35"/>
        <v>0</v>
      </c>
      <c r="X282" s="558">
        <f t="shared" si="31"/>
        <v>0</v>
      </c>
      <c r="Y282" s="558">
        <f t="shared" si="37"/>
        <v>0</v>
      </c>
    </row>
    <row r="283" spans="18:25" x14ac:dyDescent="0.2">
      <c r="R283" s="558">
        <v>282</v>
      </c>
      <c r="S283" s="558">
        <f t="shared" si="32"/>
        <v>-196</v>
      </c>
      <c r="T283" s="558">
        <f t="shared" si="33"/>
        <v>-185</v>
      </c>
      <c r="U283" s="558">
        <f t="shared" si="34"/>
        <v>249</v>
      </c>
      <c r="V283" s="558">
        <f t="shared" si="36"/>
        <v>0</v>
      </c>
      <c r="W283" s="558">
        <f t="shared" si="35"/>
        <v>0</v>
      </c>
      <c r="X283" s="558">
        <f t="shared" si="31"/>
        <v>0</v>
      </c>
      <c r="Y283" s="558">
        <f t="shared" si="37"/>
        <v>0</v>
      </c>
    </row>
    <row r="284" spans="18:25" x14ac:dyDescent="0.2">
      <c r="R284" s="558">
        <v>283</v>
      </c>
      <c r="S284" s="558">
        <f t="shared" si="32"/>
        <v>-197</v>
      </c>
      <c r="T284" s="558">
        <f t="shared" si="33"/>
        <v>-186</v>
      </c>
      <c r="U284" s="558">
        <f t="shared" si="34"/>
        <v>250</v>
      </c>
      <c r="V284" s="558">
        <f t="shared" si="36"/>
        <v>0</v>
      </c>
      <c r="W284" s="558">
        <f t="shared" si="35"/>
        <v>0</v>
      </c>
      <c r="X284" s="558">
        <f t="shared" si="31"/>
        <v>0</v>
      </c>
      <c r="Y284" s="558">
        <f t="shared" si="37"/>
        <v>0</v>
      </c>
    </row>
    <row r="285" spans="18:25" x14ac:dyDescent="0.2">
      <c r="R285" s="558">
        <v>284</v>
      </c>
      <c r="S285" s="558">
        <f t="shared" si="32"/>
        <v>-198</v>
      </c>
      <c r="T285" s="558">
        <f t="shared" si="33"/>
        <v>-187</v>
      </c>
      <c r="U285" s="558">
        <f t="shared" si="34"/>
        <v>251</v>
      </c>
      <c r="V285" s="558">
        <f t="shared" si="36"/>
        <v>0</v>
      </c>
      <c r="W285" s="558">
        <f t="shared" si="35"/>
        <v>0</v>
      </c>
      <c r="X285" s="558">
        <f t="shared" si="31"/>
        <v>0</v>
      </c>
      <c r="Y285" s="558">
        <f t="shared" si="37"/>
        <v>0</v>
      </c>
    </row>
    <row r="286" spans="18:25" x14ac:dyDescent="0.2">
      <c r="R286" s="558">
        <v>285</v>
      </c>
      <c r="S286" s="558">
        <f t="shared" si="32"/>
        <v>-199</v>
      </c>
      <c r="T286" s="558">
        <f t="shared" si="33"/>
        <v>-188</v>
      </c>
      <c r="U286" s="558">
        <f t="shared" si="34"/>
        <v>252</v>
      </c>
      <c r="V286" s="558">
        <f t="shared" si="36"/>
        <v>0</v>
      </c>
      <c r="W286" s="558">
        <f t="shared" si="35"/>
        <v>0</v>
      </c>
      <c r="X286" s="558">
        <f t="shared" si="31"/>
        <v>0</v>
      </c>
      <c r="Y286" s="558">
        <f t="shared" si="37"/>
        <v>0</v>
      </c>
    </row>
    <row r="287" spans="18:25" x14ac:dyDescent="0.2">
      <c r="R287" s="558">
        <v>286</v>
      </c>
      <c r="S287" s="558">
        <f t="shared" si="32"/>
        <v>-200</v>
      </c>
      <c r="T287" s="558">
        <f t="shared" si="33"/>
        <v>-189</v>
      </c>
      <c r="U287" s="558">
        <f t="shared" si="34"/>
        <v>253</v>
      </c>
      <c r="V287" s="558">
        <f t="shared" si="36"/>
        <v>0</v>
      </c>
      <c r="W287" s="558">
        <f t="shared" si="35"/>
        <v>0</v>
      </c>
      <c r="X287" s="558">
        <f t="shared" si="31"/>
        <v>0</v>
      </c>
      <c r="Y287" s="558">
        <f t="shared" si="37"/>
        <v>0</v>
      </c>
    </row>
    <row r="288" spans="18:25" x14ac:dyDescent="0.2">
      <c r="R288" s="558">
        <v>287</v>
      </c>
      <c r="S288" s="558">
        <f t="shared" si="32"/>
        <v>-201</v>
      </c>
      <c r="T288" s="558">
        <f t="shared" si="33"/>
        <v>-190</v>
      </c>
      <c r="U288" s="558">
        <f t="shared" si="34"/>
        <v>254</v>
      </c>
      <c r="V288" s="558">
        <f t="shared" si="36"/>
        <v>0</v>
      </c>
      <c r="W288" s="558">
        <f t="shared" si="35"/>
        <v>0</v>
      </c>
      <c r="X288" s="558">
        <f t="shared" si="31"/>
        <v>0</v>
      </c>
      <c r="Y288" s="558">
        <f t="shared" si="37"/>
        <v>0</v>
      </c>
    </row>
    <row r="289" spans="18:25" x14ac:dyDescent="0.2">
      <c r="R289" s="558">
        <v>288</v>
      </c>
      <c r="S289" s="558">
        <f t="shared" si="32"/>
        <v>-202</v>
      </c>
      <c r="T289" s="558">
        <f t="shared" si="33"/>
        <v>-191</v>
      </c>
      <c r="U289" s="558">
        <f t="shared" si="34"/>
        <v>255</v>
      </c>
      <c r="V289" s="558">
        <f t="shared" si="36"/>
        <v>0</v>
      </c>
      <c r="W289" s="558">
        <f t="shared" si="35"/>
        <v>0</v>
      </c>
      <c r="X289" s="558">
        <f t="shared" si="31"/>
        <v>0</v>
      </c>
      <c r="Y289" s="558">
        <f t="shared" si="37"/>
        <v>0</v>
      </c>
    </row>
    <row r="290" spans="18:25" x14ac:dyDescent="0.2">
      <c r="R290" s="558">
        <v>289</v>
      </c>
      <c r="S290" s="558">
        <f t="shared" si="32"/>
        <v>-203</v>
      </c>
      <c r="T290" s="558">
        <f t="shared" si="33"/>
        <v>-192</v>
      </c>
      <c r="U290" s="558">
        <f t="shared" si="34"/>
        <v>256</v>
      </c>
      <c r="V290" s="558">
        <f t="shared" si="36"/>
        <v>0</v>
      </c>
      <c r="W290" s="558">
        <f t="shared" si="35"/>
        <v>0</v>
      </c>
      <c r="X290" s="558">
        <f t="shared" si="31"/>
        <v>0</v>
      </c>
      <c r="Y290" s="558">
        <f t="shared" si="37"/>
        <v>0</v>
      </c>
    </row>
    <row r="291" spans="18:25" x14ac:dyDescent="0.2">
      <c r="R291" s="558">
        <v>290</v>
      </c>
      <c r="S291" s="558">
        <f t="shared" si="32"/>
        <v>-204</v>
      </c>
      <c r="T291" s="558">
        <f t="shared" si="33"/>
        <v>-193</v>
      </c>
      <c r="U291" s="558">
        <f t="shared" si="34"/>
        <v>257</v>
      </c>
      <c r="V291" s="558">
        <f t="shared" si="36"/>
        <v>0</v>
      </c>
      <c r="W291" s="558">
        <f t="shared" si="35"/>
        <v>0</v>
      </c>
      <c r="X291" s="558">
        <f t="shared" ref="X291:X354" si="38">IF(R291=$B$7,W291,0)</f>
        <v>0</v>
      </c>
      <c r="Y291" s="558">
        <f t="shared" si="37"/>
        <v>0</v>
      </c>
    </row>
    <row r="292" spans="18:25" x14ac:dyDescent="0.2">
      <c r="R292" s="558">
        <v>291</v>
      </c>
      <c r="S292" s="558">
        <f t="shared" si="32"/>
        <v>-205</v>
      </c>
      <c r="T292" s="558">
        <f t="shared" si="33"/>
        <v>-194</v>
      </c>
      <c r="U292" s="558">
        <f t="shared" si="34"/>
        <v>258</v>
      </c>
      <c r="V292" s="558">
        <f t="shared" si="36"/>
        <v>0</v>
      </c>
      <c r="W292" s="558">
        <f t="shared" si="35"/>
        <v>0</v>
      </c>
      <c r="X292" s="558">
        <f t="shared" si="38"/>
        <v>0</v>
      </c>
      <c r="Y292" s="558">
        <f t="shared" si="37"/>
        <v>0</v>
      </c>
    </row>
    <row r="293" spans="18:25" x14ac:dyDescent="0.2">
      <c r="R293" s="558">
        <v>292</v>
      </c>
      <c r="S293" s="558">
        <f t="shared" si="32"/>
        <v>-206</v>
      </c>
      <c r="T293" s="558">
        <f t="shared" si="33"/>
        <v>-195</v>
      </c>
      <c r="U293" s="558">
        <f t="shared" si="34"/>
        <v>259</v>
      </c>
      <c r="V293" s="558">
        <f t="shared" si="36"/>
        <v>0</v>
      </c>
      <c r="W293" s="558">
        <f t="shared" si="35"/>
        <v>0</v>
      </c>
      <c r="X293" s="558">
        <f t="shared" si="38"/>
        <v>0</v>
      </c>
      <c r="Y293" s="558">
        <f t="shared" si="37"/>
        <v>0</v>
      </c>
    </row>
    <row r="294" spans="18:25" x14ac:dyDescent="0.2">
      <c r="R294" s="558">
        <v>293</v>
      </c>
      <c r="S294" s="558">
        <f t="shared" si="32"/>
        <v>-207</v>
      </c>
      <c r="T294" s="558">
        <f t="shared" si="33"/>
        <v>-196</v>
      </c>
      <c r="U294" s="558">
        <f t="shared" si="34"/>
        <v>260</v>
      </c>
      <c r="V294" s="558">
        <f t="shared" si="36"/>
        <v>0</v>
      </c>
      <c r="W294" s="558">
        <f t="shared" si="35"/>
        <v>0</v>
      </c>
      <c r="X294" s="558">
        <f t="shared" si="38"/>
        <v>0</v>
      </c>
      <c r="Y294" s="558">
        <f t="shared" si="37"/>
        <v>0</v>
      </c>
    </row>
    <row r="295" spans="18:25" x14ac:dyDescent="0.2">
      <c r="R295" s="558">
        <v>294</v>
      </c>
      <c r="S295" s="558">
        <f t="shared" si="32"/>
        <v>-208</v>
      </c>
      <c r="T295" s="558">
        <f t="shared" si="33"/>
        <v>-197</v>
      </c>
      <c r="U295" s="558">
        <f t="shared" si="34"/>
        <v>261</v>
      </c>
      <c r="V295" s="558">
        <f t="shared" si="36"/>
        <v>0</v>
      </c>
      <c r="W295" s="558">
        <f t="shared" si="35"/>
        <v>0</v>
      </c>
      <c r="X295" s="558">
        <f t="shared" si="38"/>
        <v>0</v>
      </c>
      <c r="Y295" s="558">
        <f t="shared" si="37"/>
        <v>0</v>
      </c>
    </row>
    <row r="296" spans="18:25" x14ac:dyDescent="0.2">
      <c r="R296" s="558">
        <v>295</v>
      </c>
      <c r="S296" s="558">
        <f t="shared" si="32"/>
        <v>-209</v>
      </c>
      <c r="T296" s="558">
        <f t="shared" si="33"/>
        <v>-198</v>
      </c>
      <c r="U296" s="558">
        <f t="shared" si="34"/>
        <v>262</v>
      </c>
      <c r="V296" s="558">
        <f t="shared" si="36"/>
        <v>0</v>
      </c>
      <c r="W296" s="558">
        <f t="shared" si="35"/>
        <v>0</v>
      </c>
      <c r="X296" s="558">
        <f t="shared" si="38"/>
        <v>0</v>
      </c>
      <c r="Y296" s="558">
        <f t="shared" si="37"/>
        <v>0</v>
      </c>
    </row>
    <row r="297" spans="18:25" x14ac:dyDescent="0.2">
      <c r="R297" s="558">
        <v>296</v>
      </c>
      <c r="S297" s="558">
        <f t="shared" si="32"/>
        <v>-210</v>
      </c>
      <c r="T297" s="558">
        <f t="shared" si="33"/>
        <v>-199</v>
      </c>
      <c r="U297" s="558">
        <f t="shared" si="34"/>
        <v>263</v>
      </c>
      <c r="V297" s="558">
        <f t="shared" si="36"/>
        <v>0</v>
      </c>
      <c r="W297" s="558">
        <f t="shared" si="35"/>
        <v>0</v>
      </c>
      <c r="X297" s="558">
        <f t="shared" si="38"/>
        <v>0</v>
      </c>
      <c r="Y297" s="558">
        <f t="shared" si="37"/>
        <v>0</v>
      </c>
    </row>
    <row r="298" spans="18:25" x14ac:dyDescent="0.2">
      <c r="R298" s="558">
        <v>297</v>
      </c>
      <c r="S298" s="558">
        <f t="shared" si="32"/>
        <v>-211</v>
      </c>
      <c r="T298" s="558">
        <f t="shared" si="33"/>
        <v>-200</v>
      </c>
      <c r="U298" s="558">
        <f t="shared" si="34"/>
        <v>264</v>
      </c>
      <c r="V298" s="558">
        <f t="shared" si="36"/>
        <v>0</v>
      </c>
      <c r="W298" s="558">
        <f t="shared" si="35"/>
        <v>0</v>
      </c>
      <c r="X298" s="558">
        <f t="shared" si="38"/>
        <v>0</v>
      </c>
      <c r="Y298" s="558">
        <f t="shared" si="37"/>
        <v>0</v>
      </c>
    </row>
    <row r="299" spans="18:25" x14ac:dyDescent="0.2">
      <c r="R299" s="558">
        <v>298</v>
      </c>
      <c r="S299" s="558">
        <f t="shared" si="32"/>
        <v>-212</v>
      </c>
      <c r="T299" s="558">
        <f t="shared" si="33"/>
        <v>-201</v>
      </c>
      <c r="U299" s="558">
        <f t="shared" si="34"/>
        <v>265</v>
      </c>
      <c r="V299" s="558">
        <f t="shared" si="36"/>
        <v>0</v>
      </c>
      <c r="W299" s="558">
        <f t="shared" si="35"/>
        <v>0</v>
      </c>
      <c r="X299" s="558">
        <f t="shared" si="38"/>
        <v>0</v>
      </c>
      <c r="Y299" s="558">
        <f t="shared" si="37"/>
        <v>0</v>
      </c>
    </row>
    <row r="300" spans="18:25" x14ac:dyDescent="0.2">
      <c r="R300" s="558">
        <v>299</v>
      </c>
      <c r="S300" s="558">
        <f t="shared" si="32"/>
        <v>-213</v>
      </c>
      <c r="T300" s="558">
        <f t="shared" si="33"/>
        <v>-202</v>
      </c>
      <c r="U300" s="558">
        <f t="shared" si="34"/>
        <v>266</v>
      </c>
      <c r="V300" s="558">
        <f t="shared" si="36"/>
        <v>0</v>
      </c>
      <c r="W300" s="558">
        <f t="shared" si="35"/>
        <v>0</v>
      </c>
      <c r="X300" s="558">
        <f t="shared" si="38"/>
        <v>0</v>
      </c>
      <c r="Y300" s="558">
        <f t="shared" si="37"/>
        <v>0</v>
      </c>
    </row>
    <row r="301" spans="18:25" x14ac:dyDescent="0.2">
      <c r="R301" s="558">
        <v>300</v>
      </c>
      <c r="S301" s="558">
        <f t="shared" si="32"/>
        <v>-214</v>
      </c>
      <c r="T301" s="558">
        <f t="shared" si="33"/>
        <v>-203</v>
      </c>
      <c r="U301" s="558">
        <f t="shared" si="34"/>
        <v>267</v>
      </c>
      <c r="V301" s="558">
        <f t="shared" si="36"/>
        <v>0</v>
      </c>
      <c r="W301" s="558">
        <f t="shared" si="35"/>
        <v>0</v>
      </c>
      <c r="X301" s="558">
        <f t="shared" si="38"/>
        <v>0</v>
      </c>
      <c r="Y301" s="558">
        <f t="shared" si="37"/>
        <v>0</v>
      </c>
    </row>
    <row r="302" spans="18:25" x14ac:dyDescent="0.2">
      <c r="R302" s="558">
        <v>301</v>
      </c>
      <c r="S302" s="558">
        <f t="shared" si="32"/>
        <v>-215</v>
      </c>
      <c r="T302" s="558">
        <f t="shared" si="33"/>
        <v>-204</v>
      </c>
      <c r="U302" s="558">
        <f t="shared" si="34"/>
        <v>268</v>
      </c>
      <c r="V302" s="558">
        <f t="shared" si="36"/>
        <v>0</v>
      </c>
      <c r="W302" s="558">
        <f t="shared" si="35"/>
        <v>0</v>
      </c>
      <c r="X302" s="558">
        <f t="shared" si="38"/>
        <v>0</v>
      </c>
      <c r="Y302" s="558">
        <f t="shared" si="37"/>
        <v>0</v>
      </c>
    </row>
    <row r="303" spans="18:25" x14ac:dyDescent="0.2">
      <c r="R303" s="558">
        <v>302</v>
      </c>
      <c r="S303" s="558">
        <f t="shared" si="32"/>
        <v>-216</v>
      </c>
      <c r="T303" s="558">
        <f t="shared" si="33"/>
        <v>-205</v>
      </c>
      <c r="U303" s="558">
        <f t="shared" si="34"/>
        <v>269</v>
      </c>
      <c r="V303" s="558">
        <f t="shared" si="36"/>
        <v>0</v>
      </c>
      <c r="W303" s="558">
        <f t="shared" si="35"/>
        <v>0</v>
      </c>
      <c r="X303" s="558">
        <f t="shared" si="38"/>
        <v>0</v>
      </c>
      <c r="Y303" s="558">
        <f t="shared" si="37"/>
        <v>0</v>
      </c>
    </row>
    <row r="304" spans="18:25" x14ac:dyDescent="0.2">
      <c r="R304" s="558">
        <v>303</v>
      </c>
      <c r="S304" s="558">
        <f t="shared" si="32"/>
        <v>-217</v>
      </c>
      <c r="T304" s="558">
        <f t="shared" si="33"/>
        <v>-206</v>
      </c>
      <c r="U304" s="558">
        <f t="shared" si="34"/>
        <v>270</v>
      </c>
      <c r="V304" s="558">
        <f t="shared" si="36"/>
        <v>0</v>
      </c>
      <c r="W304" s="558">
        <f t="shared" si="35"/>
        <v>0</v>
      </c>
      <c r="X304" s="558">
        <f t="shared" si="38"/>
        <v>0</v>
      </c>
      <c r="Y304" s="558">
        <f t="shared" si="37"/>
        <v>0</v>
      </c>
    </row>
    <row r="305" spans="18:25" x14ac:dyDescent="0.2">
      <c r="R305" s="558">
        <v>304</v>
      </c>
      <c r="S305" s="558">
        <f t="shared" si="32"/>
        <v>-218</v>
      </c>
      <c r="T305" s="558">
        <f t="shared" si="33"/>
        <v>-207</v>
      </c>
      <c r="U305" s="558">
        <f t="shared" si="34"/>
        <v>271</v>
      </c>
      <c r="V305" s="558">
        <f t="shared" si="36"/>
        <v>0</v>
      </c>
      <c r="W305" s="558">
        <f t="shared" si="35"/>
        <v>0</v>
      </c>
      <c r="X305" s="558">
        <f t="shared" si="38"/>
        <v>0</v>
      </c>
      <c r="Y305" s="558">
        <f t="shared" si="37"/>
        <v>0</v>
      </c>
    </row>
    <row r="306" spans="18:25" x14ac:dyDescent="0.2">
      <c r="R306" s="558">
        <v>305</v>
      </c>
      <c r="S306" s="558">
        <f t="shared" si="32"/>
        <v>-219</v>
      </c>
      <c r="T306" s="558">
        <f t="shared" si="33"/>
        <v>-208</v>
      </c>
      <c r="U306" s="558">
        <f t="shared" si="34"/>
        <v>272</v>
      </c>
      <c r="V306" s="558">
        <f t="shared" si="36"/>
        <v>0</v>
      </c>
      <c r="W306" s="558">
        <f t="shared" si="35"/>
        <v>0</v>
      </c>
      <c r="X306" s="558">
        <f t="shared" si="38"/>
        <v>0</v>
      </c>
      <c r="Y306" s="558">
        <f t="shared" si="37"/>
        <v>0</v>
      </c>
    </row>
    <row r="307" spans="18:25" x14ac:dyDescent="0.2">
      <c r="R307" s="558">
        <v>306</v>
      </c>
      <c r="S307" s="558">
        <f t="shared" si="32"/>
        <v>-220</v>
      </c>
      <c r="T307" s="558">
        <f t="shared" si="33"/>
        <v>-209</v>
      </c>
      <c r="U307" s="558">
        <f t="shared" si="34"/>
        <v>273</v>
      </c>
      <c r="V307" s="558">
        <f t="shared" si="36"/>
        <v>0</v>
      </c>
      <c r="W307" s="558">
        <f t="shared" si="35"/>
        <v>0</v>
      </c>
      <c r="X307" s="558">
        <f t="shared" si="38"/>
        <v>0</v>
      </c>
      <c r="Y307" s="558">
        <f t="shared" si="37"/>
        <v>0</v>
      </c>
    </row>
    <row r="308" spans="18:25" x14ac:dyDescent="0.2">
      <c r="R308" s="558">
        <v>307</v>
      </c>
      <c r="S308" s="558">
        <f t="shared" si="32"/>
        <v>-221</v>
      </c>
      <c r="T308" s="558">
        <f t="shared" si="33"/>
        <v>-210</v>
      </c>
      <c r="U308" s="558">
        <f t="shared" si="34"/>
        <v>274</v>
      </c>
      <c r="V308" s="558">
        <f t="shared" si="36"/>
        <v>0</v>
      </c>
      <c r="W308" s="558">
        <f t="shared" si="35"/>
        <v>0</v>
      </c>
      <c r="X308" s="558">
        <f t="shared" si="38"/>
        <v>0</v>
      </c>
      <c r="Y308" s="558">
        <f t="shared" si="37"/>
        <v>0</v>
      </c>
    </row>
    <row r="309" spans="18:25" x14ac:dyDescent="0.2">
      <c r="R309" s="558">
        <v>308</v>
      </c>
      <c r="S309" s="558">
        <f t="shared" si="32"/>
        <v>-222</v>
      </c>
      <c r="T309" s="558">
        <f t="shared" si="33"/>
        <v>-211</v>
      </c>
      <c r="U309" s="558">
        <f t="shared" si="34"/>
        <v>275</v>
      </c>
      <c r="V309" s="558">
        <f t="shared" si="36"/>
        <v>0</v>
      </c>
      <c r="W309" s="558">
        <f t="shared" si="35"/>
        <v>0</v>
      </c>
      <c r="X309" s="558">
        <f t="shared" si="38"/>
        <v>0</v>
      </c>
      <c r="Y309" s="558">
        <f t="shared" si="37"/>
        <v>0</v>
      </c>
    </row>
    <row r="310" spans="18:25" x14ac:dyDescent="0.2">
      <c r="R310" s="558">
        <v>309</v>
      </c>
      <c r="S310" s="558">
        <f t="shared" si="32"/>
        <v>-223</v>
      </c>
      <c r="T310" s="558">
        <f t="shared" si="33"/>
        <v>-212</v>
      </c>
      <c r="U310" s="558">
        <f t="shared" si="34"/>
        <v>276</v>
      </c>
      <c r="V310" s="558">
        <f t="shared" si="36"/>
        <v>0</v>
      </c>
      <c r="W310" s="558">
        <f t="shared" si="35"/>
        <v>0</v>
      </c>
      <c r="X310" s="558">
        <f t="shared" si="38"/>
        <v>0</v>
      </c>
      <c r="Y310" s="558">
        <f t="shared" si="37"/>
        <v>0</v>
      </c>
    </row>
    <row r="311" spans="18:25" x14ac:dyDescent="0.2">
      <c r="R311" s="558">
        <v>310</v>
      </c>
      <c r="S311" s="558">
        <f t="shared" si="32"/>
        <v>-224</v>
      </c>
      <c r="T311" s="558">
        <f t="shared" si="33"/>
        <v>-213</v>
      </c>
      <c r="U311" s="558">
        <f t="shared" si="34"/>
        <v>277</v>
      </c>
      <c r="V311" s="558">
        <f t="shared" si="36"/>
        <v>0</v>
      </c>
      <c r="W311" s="558">
        <f t="shared" si="35"/>
        <v>0</v>
      </c>
      <c r="X311" s="558">
        <f t="shared" si="38"/>
        <v>0</v>
      </c>
      <c r="Y311" s="558">
        <f t="shared" si="37"/>
        <v>0</v>
      </c>
    </row>
    <row r="312" spans="18:25" x14ac:dyDescent="0.2">
      <c r="R312" s="558">
        <v>311</v>
      </c>
      <c r="S312" s="558">
        <f t="shared" si="32"/>
        <v>-225</v>
      </c>
      <c r="T312" s="558">
        <f t="shared" si="33"/>
        <v>-214</v>
      </c>
      <c r="U312" s="558">
        <f t="shared" si="34"/>
        <v>278</v>
      </c>
      <c r="V312" s="558">
        <f t="shared" si="36"/>
        <v>0</v>
      </c>
      <c r="W312" s="558">
        <f t="shared" si="35"/>
        <v>0</v>
      </c>
      <c r="X312" s="558">
        <f t="shared" si="38"/>
        <v>0</v>
      </c>
      <c r="Y312" s="558">
        <f t="shared" si="37"/>
        <v>0</v>
      </c>
    </row>
    <row r="313" spans="18:25" x14ac:dyDescent="0.2">
      <c r="R313" s="558">
        <v>312</v>
      </c>
      <c r="S313" s="558">
        <f t="shared" si="32"/>
        <v>-226</v>
      </c>
      <c r="T313" s="558">
        <f t="shared" si="33"/>
        <v>-215</v>
      </c>
      <c r="U313" s="558">
        <f t="shared" si="34"/>
        <v>279</v>
      </c>
      <c r="V313" s="558">
        <f t="shared" si="36"/>
        <v>0</v>
      </c>
      <c r="W313" s="558">
        <f t="shared" si="35"/>
        <v>0</v>
      </c>
      <c r="X313" s="558">
        <f t="shared" si="38"/>
        <v>0</v>
      </c>
      <c r="Y313" s="558">
        <f t="shared" si="37"/>
        <v>0</v>
      </c>
    </row>
    <row r="314" spans="18:25" x14ac:dyDescent="0.2">
      <c r="R314" s="558">
        <v>313</v>
      </c>
      <c r="S314" s="558">
        <f t="shared" si="32"/>
        <v>-227</v>
      </c>
      <c r="T314" s="558">
        <f t="shared" si="33"/>
        <v>-216</v>
      </c>
      <c r="U314" s="558">
        <f t="shared" si="34"/>
        <v>280</v>
      </c>
      <c r="V314" s="558">
        <f t="shared" si="36"/>
        <v>0</v>
      </c>
      <c r="W314" s="558">
        <f t="shared" si="35"/>
        <v>0</v>
      </c>
      <c r="X314" s="558">
        <f t="shared" si="38"/>
        <v>0</v>
      </c>
      <c r="Y314" s="558">
        <f t="shared" si="37"/>
        <v>0</v>
      </c>
    </row>
    <row r="315" spans="18:25" x14ac:dyDescent="0.2">
      <c r="R315" s="558">
        <v>314</v>
      </c>
      <c r="S315" s="558">
        <f t="shared" si="32"/>
        <v>-228</v>
      </c>
      <c r="T315" s="558">
        <f t="shared" si="33"/>
        <v>-217</v>
      </c>
      <c r="U315" s="558">
        <f t="shared" si="34"/>
        <v>281</v>
      </c>
      <c r="V315" s="558">
        <f t="shared" si="36"/>
        <v>0</v>
      </c>
      <c r="W315" s="558">
        <f t="shared" si="35"/>
        <v>0</v>
      </c>
      <c r="X315" s="558">
        <f t="shared" si="38"/>
        <v>0</v>
      </c>
      <c r="Y315" s="558">
        <f t="shared" si="37"/>
        <v>0</v>
      </c>
    </row>
    <row r="316" spans="18:25" x14ac:dyDescent="0.2">
      <c r="R316" s="558">
        <v>315</v>
      </c>
      <c r="S316" s="558">
        <f t="shared" si="32"/>
        <v>-229</v>
      </c>
      <c r="T316" s="558">
        <f t="shared" si="33"/>
        <v>-218</v>
      </c>
      <c r="U316" s="558">
        <f t="shared" si="34"/>
        <v>282</v>
      </c>
      <c r="V316" s="558">
        <f t="shared" si="36"/>
        <v>0</v>
      </c>
      <c r="W316" s="558">
        <f t="shared" si="35"/>
        <v>0</v>
      </c>
      <c r="X316" s="558">
        <f t="shared" si="38"/>
        <v>0</v>
      </c>
      <c r="Y316" s="558">
        <f t="shared" si="37"/>
        <v>0</v>
      </c>
    </row>
    <row r="317" spans="18:25" x14ac:dyDescent="0.2">
      <c r="R317" s="558">
        <v>316</v>
      </c>
      <c r="S317" s="558">
        <f t="shared" si="32"/>
        <v>-230</v>
      </c>
      <c r="T317" s="558">
        <f t="shared" si="33"/>
        <v>-219</v>
      </c>
      <c r="U317" s="558">
        <f t="shared" si="34"/>
        <v>283</v>
      </c>
      <c r="V317" s="558">
        <f t="shared" si="36"/>
        <v>0</v>
      </c>
      <c r="W317" s="558">
        <f t="shared" si="35"/>
        <v>0</v>
      </c>
      <c r="X317" s="558">
        <f t="shared" si="38"/>
        <v>0</v>
      </c>
      <c r="Y317" s="558">
        <f t="shared" si="37"/>
        <v>0</v>
      </c>
    </row>
    <row r="318" spans="18:25" x14ac:dyDescent="0.2">
      <c r="R318" s="558">
        <v>317</v>
      </c>
      <c r="S318" s="558">
        <f t="shared" si="32"/>
        <v>-231</v>
      </c>
      <c r="T318" s="558">
        <f t="shared" si="33"/>
        <v>-220</v>
      </c>
      <c r="U318" s="558">
        <f t="shared" si="34"/>
        <v>284</v>
      </c>
      <c r="V318" s="558">
        <f t="shared" si="36"/>
        <v>0</v>
      </c>
      <c r="W318" s="558">
        <f t="shared" si="35"/>
        <v>0</v>
      </c>
      <c r="X318" s="558">
        <f t="shared" si="38"/>
        <v>0</v>
      </c>
      <c r="Y318" s="558">
        <f t="shared" si="37"/>
        <v>0</v>
      </c>
    </row>
    <row r="319" spans="18:25" x14ac:dyDescent="0.2">
      <c r="R319" s="558">
        <v>318</v>
      </c>
      <c r="S319" s="558">
        <f t="shared" si="32"/>
        <v>-232</v>
      </c>
      <c r="T319" s="558">
        <f t="shared" si="33"/>
        <v>-221</v>
      </c>
      <c r="U319" s="558">
        <f t="shared" si="34"/>
        <v>285</v>
      </c>
      <c r="V319" s="558">
        <f t="shared" si="36"/>
        <v>0</v>
      </c>
      <c r="W319" s="558">
        <f t="shared" si="35"/>
        <v>0</v>
      </c>
      <c r="X319" s="558">
        <f t="shared" si="38"/>
        <v>0</v>
      </c>
      <c r="Y319" s="558">
        <f t="shared" si="37"/>
        <v>0</v>
      </c>
    </row>
    <row r="320" spans="18:25" x14ac:dyDescent="0.2">
      <c r="R320" s="558">
        <v>319</v>
      </c>
      <c r="S320" s="558">
        <f t="shared" si="32"/>
        <v>-233</v>
      </c>
      <c r="T320" s="558">
        <f t="shared" si="33"/>
        <v>-222</v>
      </c>
      <c r="U320" s="558">
        <f t="shared" si="34"/>
        <v>286</v>
      </c>
      <c r="V320" s="558">
        <f t="shared" si="36"/>
        <v>0</v>
      </c>
      <c r="W320" s="558">
        <f t="shared" si="35"/>
        <v>0</v>
      </c>
      <c r="X320" s="558">
        <f t="shared" si="38"/>
        <v>0</v>
      </c>
      <c r="Y320" s="558">
        <f t="shared" si="37"/>
        <v>0</v>
      </c>
    </row>
    <row r="321" spans="18:25" x14ac:dyDescent="0.2">
      <c r="R321" s="558">
        <v>320</v>
      </c>
      <c r="S321" s="558">
        <f t="shared" ref="S321:S384" si="39">$D$7-R321</f>
        <v>-234</v>
      </c>
      <c r="T321" s="558">
        <f t="shared" ref="T321:T384" si="40">$B$9-R321</f>
        <v>-223</v>
      </c>
      <c r="U321" s="558">
        <f t="shared" ref="U321:U384" si="41">$D$9-SUM(R321:T321)</f>
        <v>287</v>
      </c>
      <c r="V321" s="558">
        <f t="shared" si="36"/>
        <v>0</v>
      </c>
      <c r="W321" s="558">
        <f t="shared" ref="W321:W384" si="42">_xlfn.HYPGEOM.DIST(R321,R321+T321,R321+S321,SUM(R321:U321),0)</f>
        <v>0</v>
      </c>
      <c r="X321" s="558">
        <f t="shared" si="38"/>
        <v>0</v>
      </c>
      <c r="Y321" s="558">
        <f t="shared" si="37"/>
        <v>0</v>
      </c>
    </row>
    <row r="322" spans="18:25" x14ac:dyDescent="0.2">
      <c r="R322" s="558">
        <v>321</v>
      </c>
      <c r="S322" s="558">
        <f t="shared" si="39"/>
        <v>-235</v>
      </c>
      <c r="T322" s="558">
        <f t="shared" si="40"/>
        <v>-224</v>
      </c>
      <c r="U322" s="558">
        <f t="shared" si="41"/>
        <v>288</v>
      </c>
      <c r="V322" s="558">
        <f t="shared" ref="V322:V385" si="43">IF(S322&gt;=0,IF(T322&gt;=0,IF(U322&gt;=0,1,0),0),0)</f>
        <v>0</v>
      </c>
      <c r="W322" s="558">
        <f t="shared" si="42"/>
        <v>0</v>
      </c>
      <c r="X322" s="558">
        <f t="shared" si="38"/>
        <v>0</v>
      </c>
      <c r="Y322" s="558">
        <f t="shared" ref="Y322:Y385" si="44">IF(W322&lt;=SUM($X$1:$X$1101),W322,0)</f>
        <v>0</v>
      </c>
    </row>
    <row r="323" spans="18:25" x14ac:dyDescent="0.2">
      <c r="R323" s="558">
        <v>322</v>
      </c>
      <c r="S323" s="558">
        <f t="shared" si="39"/>
        <v>-236</v>
      </c>
      <c r="T323" s="558">
        <f t="shared" si="40"/>
        <v>-225</v>
      </c>
      <c r="U323" s="558">
        <f t="shared" si="41"/>
        <v>289</v>
      </c>
      <c r="V323" s="558">
        <f t="shared" si="43"/>
        <v>0</v>
      </c>
      <c r="W323" s="558">
        <f t="shared" si="42"/>
        <v>0</v>
      </c>
      <c r="X323" s="558">
        <f t="shared" si="38"/>
        <v>0</v>
      </c>
      <c r="Y323" s="558">
        <f t="shared" si="44"/>
        <v>0</v>
      </c>
    </row>
    <row r="324" spans="18:25" x14ac:dyDescent="0.2">
      <c r="R324" s="558">
        <v>323</v>
      </c>
      <c r="S324" s="558">
        <f t="shared" si="39"/>
        <v>-237</v>
      </c>
      <c r="T324" s="558">
        <f t="shared" si="40"/>
        <v>-226</v>
      </c>
      <c r="U324" s="558">
        <f t="shared" si="41"/>
        <v>290</v>
      </c>
      <c r="V324" s="558">
        <f t="shared" si="43"/>
        <v>0</v>
      </c>
      <c r="W324" s="558">
        <f t="shared" si="42"/>
        <v>0</v>
      </c>
      <c r="X324" s="558">
        <f t="shared" si="38"/>
        <v>0</v>
      </c>
      <c r="Y324" s="558">
        <f t="shared" si="44"/>
        <v>0</v>
      </c>
    </row>
    <row r="325" spans="18:25" x14ac:dyDescent="0.2">
      <c r="R325" s="558">
        <v>324</v>
      </c>
      <c r="S325" s="558">
        <f t="shared" si="39"/>
        <v>-238</v>
      </c>
      <c r="T325" s="558">
        <f t="shared" si="40"/>
        <v>-227</v>
      </c>
      <c r="U325" s="558">
        <f t="shared" si="41"/>
        <v>291</v>
      </c>
      <c r="V325" s="558">
        <f t="shared" si="43"/>
        <v>0</v>
      </c>
      <c r="W325" s="558">
        <f t="shared" si="42"/>
        <v>0</v>
      </c>
      <c r="X325" s="558">
        <f t="shared" si="38"/>
        <v>0</v>
      </c>
      <c r="Y325" s="558">
        <f t="shared" si="44"/>
        <v>0</v>
      </c>
    </row>
    <row r="326" spans="18:25" x14ac:dyDescent="0.2">
      <c r="R326" s="558">
        <v>325</v>
      </c>
      <c r="S326" s="558">
        <f t="shared" si="39"/>
        <v>-239</v>
      </c>
      <c r="T326" s="558">
        <f t="shared" si="40"/>
        <v>-228</v>
      </c>
      <c r="U326" s="558">
        <f t="shared" si="41"/>
        <v>292</v>
      </c>
      <c r="V326" s="558">
        <f t="shared" si="43"/>
        <v>0</v>
      </c>
      <c r="W326" s="558">
        <f t="shared" si="42"/>
        <v>0</v>
      </c>
      <c r="X326" s="558">
        <f t="shared" si="38"/>
        <v>0</v>
      </c>
      <c r="Y326" s="558">
        <f t="shared" si="44"/>
        <v>0</v>
      </c>
    </row>
    <row r="327" spans="18:25" x14ac:dyDescent="0.2">
      <c r="R327" s="558">
        <v>326</v>
      </c>
      <c r="S327" s="558">
        <f t="shared" si="39"/>
        <v>-240</v>
      </c>
      <c r="T327" s="558">
        <f t="shared" si="40"/>
        <v>-229</v>
      </c>
      <c r="U327" s="558">
        <f t="shared" si="41"/>
        <v>293</v>
      </c>
      <c r="V327" s="558">
        <f t="shared" si="43"/>
        <v>0</v>
      </c>
      <c r="W327" s="558">
        <f t="shared" si="42"/>
        <v>0</v>
      </c>
      <c r="X327" s="558">
        <f t="shared" si="38"/>
        <v>0</v>
      </c>
      <c r="Y327" s="558">
        <f t="shared" si="44"/>
        <v>0</v>
      </c>
    </row>
    <row r="328" spans="18:25" x14ac:dyDescent="0.2">
      <c r="R328" s="558">
        <v>327</v>
      </c>
      <c r="S328" s="558">
        <f t="shared" si="39"/>
        <v>-241</v>
      </c>
      <c r="T328" s="558">
        <f t="shared" si="40"/>
        <v>-230</v>
      </c>
      <c r="U328" s="558">
        <f t="shared" si="41"/>
        <v>294</v>
      </c>
      <c r="V328" s="558">
        <f t="shared" si="43"/>
        <v>0</v>
      </c>
      <c r="W328" s="558">
        <f t="shared" si="42"/>
        <v>0</v>
      </c>
      <c r="X328" s="558">
        <f t="shared" si="38"/>
        <v>0</v>
      </c>
      <c r="Y328" s="558">
        <f t="shared" si="44"/>
        <v>0</v>
      </c>
    </row>
    <row r="329" spans="18:25" x14ac:dyDescent="0.2">
      <c r="R329" s="558">
        <v>328</v>
      </c>
      <c r="S329" s="558">
        <f t="shared" si="39"/>
        <v>-242</v>
      </c>
      <c r="T329" s="558">
        <f t="shared" si="40"/>
        <v>-231</v>
      </c>
      <c r="U329" s="558">
        <f t="shared" si="41"/>
        <v>295</v>
      </c>
      <c r="V329" s="558">
        <f t="shared" si="43"/>
        <v>0</v>
      </c>
      <c r="W329" s="558">
        <f t="shared" si="42"/>
        <v>0</v>
      </c>
      <c r="X329" s="558">
        <f t="shared" si="38"/>
        <v>0</v>
      </c>
      <c r="Y329" s="558">
        <f t="shared" si="44"/>
        <v>0</v>
      </c>
    </row>
    <row r="330" spans="18:25" x14ac:dyDescent="0.2">
      <c r="R330" s="558">
        <v>329</v>
      </c>
      <c r="S330" s="558">
        <f t="shared" si="39"/>
        <v>-243</v>
      </c>
      <c r="T330" s="558">
        <f t="shared" si="40"/>
        <v>-232</v>
      </c>
      <c r="U330" s="558">
        <f t="shared" si="41"/>
        <v>296</v>
      </c>
      <c r="V330" s="558">
        <f t="shared" si="43"/>
        <v>0</v>
      </c>
      <c r="W330" s="558">
        <f t="shared" si="42"/>
        <v>0</v>
      </c>
      <c r="X330" s="558">
        <f t="shared" si="38"/>
        <v>0</v>
      </c>
      <c r="Y330" s="558">
        <f t="shared" si="44"/>
        <v>0</v>
      </c>
    </row>
    <row r="331" spans="18:25" x14ac:dyDescent="0.2">
      <c r="R331" s="558">
        <v>330</v>
      </c>
      <c r="S331" s="558">
        <f t="shared" si="39"/>
        <v>-244</v>
      </c>
      <c r="T331" s="558">
        <f t="shared" si="40"/>
        <v>-233</v>
      </c>
      <c r="U331" s="558">
        <f t="shared" si="41"/>
        <v>297</v>
      </c>
      <c r="V331" s="558">
        <f t="shared" si="43"/>
        <v>0</v>
      </c>
      <c r="W331" s="558">
        <f t="shared" si="42"/>
        <v>0</v>
      </c>
      <c r="X331" s="558">
        <f t="shared" si="38"/>
        <v>0</v>
      </c>
      <c r="Y331" s="558">
        <f t="shared" si="44"/>
        <v>0</v>
      </c>
    </row>
    <row r="332" spans="18:25" x14ac:dyDescent="0.2">
      <c r="R332" s="558">
        <v>331</v>
      </c>
      <c r="S332" s="558">
        <f t="shared" si="39"/>
        <v>-245</v>
      </c>
      <c r="T332" s="558">
        <f t="shared" si="40"/>
        <v>-234</v>
      </c>
      <c r="U332" s="558">
        <f t="shared" si="41"/>
        <v>298</v>
      </c>
      <c r="V332" s="558">
        <f t="shared" si="43"/>
        <v>0</v>
      </c>
      <c r="W332" s="558">
        <f t="shared" si="42"/>
        <v>0</v>
      </c>
      <c r="X332" s="558">
        <f t="shared" si="38"/>
        <v>0</v>
      </c>
      <c r="Y332" s="558">
        <f t="shared" si="44"/>
        <v>0</v>
      </c>
    </row>
    <row r="333" spans="18:25" x14ac:dyDescent="0.2">
      <c r="R333" s="558">
        <v>332</v>
      </c>
      <c r="S333" s="558">
        <f t="shared" si="39"/>
        <v>-246</v>
      </c>
      <c r="T333" s="558">
        <f t="shared" si="40"/>
        <v>-235</v>
      </c>
      <c r="U333" s="558">
        <f t="shared" si="41"/>
        <v>299</v>
      </c>
      <c r="V333" s="558">
        <f t="shared" si="43"/>
        <v>0</v>
      </c>
      <c r="W333" s="558">
        <f t="shared" si="42"/>
        <v>0</v>
      </c>
      <c r="X333" s="558">
        <f t="shared" si="38"/>
        <v>0</v>
      </c>
      <c r="Y333" s="558">
        <f t="shared" si="44"/>
        <v>0</v>
      </c>
    </row>
    <row r="334" spans="18:25" x14ac:dyDescent="0.2">
      <c r="R334" s="558">
        <v>333</v>
      </c>
      <c r="S334" s="558">
        <f t="shared" si="39"/>
        <v>-247</v>
      </c>
      <c r="T334" s="558">
        <f t="shared" si="40"/>
        <v>-236</v>
      </c>
      <c r="U334" s="558">
        <f t="shared" si="41"/>
        <v>300</v>
      </c>
      <c r="V334" s="558">
        <f t="shared" si="43"/>
        <v>0</v>
      </c>
      <c r="W334" s="558">
        <f t="shared" si="42"/>
        <v>0</v>
      </c>
      <c r="X334" s="558">
        <f t="shared" si="38"/>
        <v>0</v>
      </c>
      <c r="Y334" s="558">
        <f t="shared" si="44"/>
        <v>0</v>
      </c>
    </row>
    <row r="335" spans="18:25" x14ac:dyDescent="0.2">
      <c r="R335" s="558">
        <v>334</v>
      </c>
      <c r="S335" s="558">
        <f t="shared" si="39"/>
        <v>-248</v>
      </c>
      <c r="T335" s="558">
        <f t="shared" si="40"/>
        <v>-237</v>
      </c>
      <c r="U335" s="558">
        <f t="shared" si="41"/>
        <v>301</v>
      </c>
      <c r="V335" s="558">
        <f t="shared" si="43"/>
        <v>0</v>
      </c>
      <c r="W335" s="558">
        <f t="shared" si="42"/>
        <v>0</v>
      </c>
      <c r="X335" s="558">
        <f t="shared" si="38"/>
        <v>0</v>
      </c>
      <c r="Y335" s="558">
        <f t="shared" si="44"/>
        <v>0</v>
      </c>
    </row>
    <row r="336" spans="18:25" x14ac:dyDescent="0.2">
      <c r="R336" s="558">
        <v>335</v>
      </c>
      <c r="S336" s="558">
        <f t="shared" si="39"/>
        <v>-249</v>
      </c>
      <c r="T336" s="558">
        <f t="shared" si="40"/>
        <v>-238</v>
      </c>
      <c r="U336" s="558">
        <f t="shared" si="41"/>
        <v>302</v>
      </c>
      <c r="V336" s="558">
        <f t="shared" si="43"/>
        <v>0</v>
      </c>
      <c r="W336" s="558">
        <f t="shared" si="42"/>
        <v>0</v>
      </c>
      <c r="X336" s="558">
        <f t="shared" si="38"/>
        <v>0</v>
      </c>
      <c r="Y336" s="558">
        <f t="shared" si="44"/>
        <v>0</v>
      </c>
    </row>
    <row r="337" spans="18:25" x14ac:dyDescent="0.2">
      <c r="R337" s="558">
        <v>336</v>
      </c>
      <c r="S337" s="558">
        <f t="shared" si="39"/>
        <v>-250</v>
      </c>
      <c r="T337" s="558">
        <f t="shared" si="40"/>
        <v>-239</v>
      </c>
      <c r="U337" s="558">
        <f t="shared" si="41"/>
        <v>303</v>
      </c>
      <c r="V337" s="558">
        <f t="shared" si="43"/>
        <v>0</v>
      </c>
      <c r="W337" s="558">
        <f t="shared" si="42"/>
        <v>0</v>
      </c>
      <c r="X337" s="558">
        <f t="shared" si="38"/>
        <v>0</v>
      </c>
      <c r="Y337" s="558">
        <f t="shared" si="44"/>
        <v>0</v>
      </c>
    </row>
    <row r="338" spans="18:25" x14ac:dyDescent="0.2">
      <c r="R338" s="558">
        <v>337</v>
      </c>
      <c r="S338" s="558">
        <f t="shared" si="39"/>
        <v>-251</v>
      </c>
      <c r="T338" s="558">
        <f t="shared" si="40"/>
        <v>-240</v>
      </c>
      <c r="U338" s="558">
        <f t="shared" si="41"/>
        <v>304</v>
      </c>
      <c r="V338" s="558">
        <f t="shared" si="43"/>
        <v>0</v>
      </c>
      <c r="W338" s="558">
        <f t="shared" si="42"/>
        <v>0</v>
      </c>
      <c r="X338" s="558">
        <f t="shared" si="38"/>
        <v>0</v>
      </c>
      <c r="Y338" s="558">
        <f t="shared" si="44"/>
        <v>0</v>
      </c>
    </row>
    <row r="339" spans="18:25" x14ac:dyDescent="0.2">
      <c r="R339" s="558">
        <v>338</v>
      </c>
      <c r="S339" s="558">
        <f t="shared" si="39"/>
        <v>-252</v>
      </c>
      <c r="T339" s="558">
        <f t="shared" si="40"/>
        <v>-241</v>
      </c>
      <c r="U339" s="558">
        <f t="shared" si="41"/>
        <v>305</v>
      </c>
      <c r="V339" s="558">
        <f t="shared" si="43"/>
        <v>0</v>
      </c>
      <c r="W339" s="558">
        <f t="shared" si="42"/>
        <v>0</v>
      </c>
      <c r="X339" s="558">
        <f t="shared" si="38"/>
        <v>0</v>
      </c>
      <c r="Y339" s="558">
        <f t="shared" si="44"/>
        <v>0</v>
      </c>
    </row>
    <row r="340" spans="18:25" x14ac:dyDescent="0.2">
      <c r="R340" s="558">
        <v>339</v>
      </c>
      <c r="S340" s="558">
        <f t="shared" si="39"/>
        <v>-253</v>
      </c>
      <c r="T340" s="558">
        <f t="shared" si="40"/>
        <v>-242</v>
      </c>
      <c r="U340" s="558">
        <f t="shared" si="41"/>
        <v>306</v>
      </c>
      <c r="V340" s="558">
        <f t="shared" si="43"/>
        <v>0</v>
      </c>
      <c r="W340" s="558">
        <f t="shared" si="42"/>
        <v>0</v>
      </c>
      <c r="X340" s="558">
        <f t="shared" si="38"/>
        <v>0</v>
      </c>
      <c r="Y340" s="558">
        <f t="shared" si="44"/>
        <v>0</v>
      </c>
    </row>
    <row r="341" spans="18:25" x14ac:dyDescent="0.2">
      <c r="R341" s="558">
        <v>340</v>
      </c>
      <c r="S341" s="558">
        <f t="shared" si="39"/>
        <v>-254</v>
      </c>
      <c r="T341" s="558">
        <f t="shared" si="40"/>
        <v>-243</v>
      </c>
      <c r="U341" s="558">
        <f t="shared" si="41"/>
        <v>307</v>
      </c>
      <c r="V341" s="558">
        <f t="shared" si="43"/>
        <v>0</v>
      </c>
      <c r="W341" s="558">
        <f t="shared" si="42"/>
        <v>0</v>
      </c>
      <c r="X341" s="558">
        <f t="shared" si="38"/>
        <v>0</v>
      </c>
      <c r="Y341" s="558">
        <f t="shared" si="44"/>
        <v>0</v>
      </c>
    </row>
    <row r="342" spans="18:25" x14ac:dyDescent="0.2">
      <c r="R342" s="558">
        <v>341</v>
      </c>
      <c r="S342" s="558">
        <f t="shared" si="39"/>
        <v>-255</v>
      </c>
      <c r="T342" s="558">
        <f t="shared" si="40"/>
        <v>-244</v>
      </c>
      <c r="U342" s="558">
        <f t="shared" si="41"/>
        <v>308</v>
      </c>
      <c r="V342" s="558">
        <f t="shared" si="43"/>
        <v>0</v>
      </c>
      <c r="W342" s="558">
        <f t="shared" si="42"/>
        <v>0</v>
      </c>
      <c r="X342" s="558">
        <f t="shared" si="38"/>
        <v>0</v>
      </c>
      <c r="Y342" s="558">
        <f t="shared" si="44"/>
        <v>0</v>
      </c>
    </row>
    <row r="343" spans="18:25" x14ac:dyDescent="0.2">
      <c r="R343" s="558">
        <v>342</v>
      </c>
      <c r="S343" s="558">
        <f t="shared" si="39"/>
        <v>-256</v>
      </c>
      <c r="T343" s="558">
        <f t="shared" si="40"/>
        <v>-245</v>
      </c>
      <c r="U343" s="558">
        <f t="shared" si="41"/>
        <v>309</v>
      </c>
      <c r="V343" s="558">
        <f t="shared" si="43"/>
        <v>0</v>
      </c>
      <c r="W343" s="558">
        <f t="shared" si="42"/>
        <v>0</v>
      </c>
      <c r="X343" s="558">
        <f t="shared" si="38"/>
        <v>0</v>
      </c>
      <c r="Y343" s="558">
        <f t="shared" si="44"/>
        <v>0</v>
      </c>
    </row>
    <row r="344" spans="18:25" x14ac:dyDescent="0.2">
      <c r="R344" s="558">
        <v>343</v>
      </c>
      <c r="S344" s="558">
        <f t="shared" si="39"/>
        <v>-257</v>
      </c>
      <c r="T344" s="558">
        <f t="shared" si="40"/>
        <v>-246</v>
      </c>
      <c r="U344" s="558">
        <f t="shared" si="41"/>
        <v>310</v>
      </c>
      <c r="V344" s="558">
        <f t="shared" si="43"/>
        <v>0</v>
      </c>
      <c r="W344" s="558">
        <f t="shared" si="42"/>
        <v>0</v>
      </c>
      <c r="X344" s="558">
        <f t="shared" si="38"/>
        <v>0</v>
      </c>
      <c r="Y344" s="558">
        <f t="shared" si="44"/>
        <v>0</v>
      </c>
    </row>
    <row r="345" spans="18:25" x14ac:dyDescent="0.2">
      <c r="R345" s="558">
        <v>344</v>
      </c>
      <c r="S345" s="558">
        <f t="shared" si="39"/>
        <v>-258</v>
      </c>
      <c r="T345" s="558">
        <f t="shared" si="40"/>
        <v>-247</v>
      </c>
      <c r="U345" s="558">
        <f t="shared" si="41"/>
        <v>311</v>
      </c>
      <c r="V345" s="558">
        <f t="shared" si="43"/>
        <v>0</v>
      </c>
      <c r="W345" s="558">
        <f t="shared" si="42"/>
        <v>0</v>
      </c>
      <c r="X345" s="558">
        <f t="shared" si="38"/>
        <v>0</v>
      </c>
      <c r="Y345" s="558">
        <f t="shared" si="44"/>
        <v>0</v>
      </c>
    </row>
    <row r="346" spans="18:25" x14ac:dyDescent="0.2">
      <c r="R346" s="558">
        <v>345</v>
      </c>
      <c r="S346" s="558">
        <f t="shared" si="39"/>
        <v>-259</v>
      </c>
      <c r="T346" s="558">
        <f t="shared" si="40"/>
        <v>-248</v>
      </c>
      <c r="U346" s="558">
        <f t="shared" si="41"/>
        <v>312</v>
      </c>
      <c r="V346" s="558">
        <f t="shared" si="43"/>
        <v>0</v>
      </c>
      <c r="W346" s="558">
        <f t="shared" si="42"/>
        <v>0</v>
      </c>
      <c r="X346" s="558">
        <f t="shared" si="38"/>
        <v>0</v>
      </c>
      <c r="Y346" s="558">
        <f t="shared" si="44"/>
        <v>0</v>
      </c>
    </row>
    <row r="347" spans="18:25" x14ac:dyDescent="0.2">
      <c r="R347" s="558">
        <v>346</v>
      </c>
      <c r="S347" s="558">
        <f t="shared" si="39"/>
        <v>-260</v>
      </c>
      <c r="T347" s="558">
        <f t="shared" si="40"/>
        <v>-249</v>
      </c>
      <c r="U347" s="558">
        <f t="shared" si="41"/>
        <v>313</v>
      </c>
      <c r="V347" s="558">
        <f t="shared" si="43"/>
        <v>0</v>
      </c>
      <c r="W347" s="558">
        <f t="shared" si="42"/>
        <v>0</v>
      </c>
      <c r="X347" s="558">
        <f t="shared" si="38"/>
        <v>0</v>
      </c>
      <c r="Y347" s="558">
        <f t="shared" si="44"/>
        <v>0</v>
      </c>
    </row>
    <row r="348" spans="18:25" x14ac:dyDescent="0.2">
      <c r="R348" s="558">
        <v>347</v>
      </c>
      <c r="S348" s="558">
        <f t="shared" si="39"/>
        <v>-261</v>
      </c>
      <c r="T348" s="558">
        <f t="shared" si="40"/>
        <v>-250</v>
      </c>
      <c r="U348" s="558">
        <f t="shared" si="41"/>
        <v>314</v>
      </c>
      <c r="V348" s="558">
        <f t="shared" si="43"/>
        <v>0</v>
      </c>
      <c r="W348" s="558">
        <f t="shared" si="42"/>
        <v>0</v>
      </c>
      <c r="X348" s="558">
        <f t="shared" si="38"/>
        <v>0</v>
      </c>
      <c r="Y348" s="558">
        <f t="shared" si="44"/>
        <v>0</v>
      </c>
    </row>
    <row r="349" spans="18:25" x14ac:dyDescent="0.2">
      <c r="R349" s="558">
        <v>348</v>
      </c>
      <c r="S349" s="558">
        <f t="shared" si="39"/>
        <v>-262</v>
      </c>
      <c r="T349" s="558">
        <f t="shared" si="40"/>
        <v>-251</v>
      </c>
      <c r="U349" s="558">
        <f t="shared" si="41"/>
        <v>315</v>
      </c>
      <c r="V349" s="558">
        <f t="shared" si="43"/>
        <v>0</v>
      </c>
      <c r="W349" s="558">
        <f t="shared" si="42"/>
        <v>0</v>
      </c>
      <c r="X349" s="558">
        <f t="shared" si="38"/>
        <v>0</v>
      </c>
      <c r="Y349" s="558">
        <f t="shared" si="44"/>
        <v>0</v>
      </c>
    </row>
    <row r="350" spans="18:25" x14ac:dyDescent="0.2">
      <c r="R350" s="558">
        <v>349</v>
      </c>
      <c r="S350" s="558">
        <f t="shared" si="39"/>
        <v>-263</v>
      </c>
      <c r="T350" s="558">
        <f t="shared" si="40"/>
        <v>-252</v>
      </c>
      <c r="U350" s="558">
        <f t="shared" si="41"/>
        <v>316</v>
      </c>
      <c r="V350" s="558">
        <f t="shared" si="43"/>
        <v>0</v>
      </c>
      <c r="W350" s="558">
        <f t="shared" si="42"/>
        <v>0</v>
      </c>
      <c r="X350" s="558">
        <f t="shared" si="38"/>
        <v>0</v>
      </c>
      <c r="Y350" s="558">
        <f t="shared" si="44"/>
        <v>0</v>
      </c>
    </row>
    <row r="351" spans="18:25" x14ac:dyDescent="0.2">
      <c r="R351" s="558">
        <v>350</v>
      </c>
      <c r="S351" s="558">
        <f t="shared" si="39"/>
        <v>-264</v>
      </c>
      <c r="T351" s="558">
        <f t="shared" si="40"/>
        <v>-253</v>
      </c>
      <c r="U351" s="558">
        <f t="shared" si="41"/>
        <v>317</v>
      </c>
      <c r="V351" s="558">
        <f t="shared" si="43"/>
        <v>0</v>
      </c>
      <c r="W351" s="558">
        <f t="shared" si="42"/>
        <v>0</v>
      </c>
      <c r="X351" s="558">
        <f t="shared" si="38"/>
        <v>0</v>
      </c>
      <c r="Y351" s="558">
        <f t="shared" si="44"/>
        <v>0</v>
      </c>
    </row>
    <row r="352" spans="18:25" x14ac:dyDescent="0.2">
      <c r="R352" s="558">
        <v>351</v>
      </c>
      <c r="S352" s="558">
        <f t="shared" si="39"/>
        <v>-265</v>
      </c>
      <c r="T352" s="558">
        <f t="shared" si="40"/>
        <v>-254</v>
      </c>
      <c r="U352" s="558">
        <f t="shared" si="41"/>
        <v>318</v>
      </c>
      <c r="V352" s="558">
        <f t="shared" si="43"/>
        <v>0</v>
      </c>
      <c r="W352" s="558">
        <f t="shared" si="42"/>
        <v>0</v>
      </c>
      <c r="X352" s="558">
        <f t="shared" si="38"/>
        <v>0</v>
      </c>
      <c r="Y352" s="558">
        <f t="shared" si="44"/>
        <v>0</v>
      </c>
    </row>
    <row r="353" spans="18:25" x14ac:dyDescent="0.2">
      <c r="R353" s="558">
        <v>352</v>
      </c>
      <c r="S353" s="558">
        <f t="shared" si="39"/>
        <v>-266</v>
      </c>
      <c r="T353" s="558">
        <f t="shared" si="40"/>
        <v>-255</v>
      </c>
      <c r="U353" s="558">
        <f t="shared" si="41"/>
        <v>319</v>
      </c>
      <c r="V353" s="558">
        <f t="shared" si="43"/>
        <v>0</v>
      </c>
      <c r="W353" s="558">
        <f t="shared" si="42"/>
        <v>0</v>
      </c>
      <c r="X353" s="558">
        <f t="shared" si="38"/>
        <v>0</v>
      </c>
      <c r="Y353" s="558">
        <f t="shared" si="44"/>
        <v>0</v>
      </c>
    </row>
    <row r="354" spans="18:25" x14ac:dyDescent="0.2">
      <c r="R354" s="558">
        <v>353</v>
      </c>
      <c r="S354" s="558">
        <f t="shared" si="39"/>
        <v>-267</v>
      </c>
      <c r="T354" s="558">
        <f t="shared" si="40"/>
        <v>-256</v>
      </c>
      <c r="U354" s="558">
        <f t="shared" si="41"/>
        <v>320</v>
      </c>
      <c r="V354" s="558">
        <f t="shared" si="43"/>
        <v>0</v>
      </c>
      <c r="W354" s="558">
        <f t="shared" si="42"/>
        <v>0</v>
      </c>
      <c r="X354" s="558">
        <f t="shared" si="38"/>
        <v>0</v>
      </c>
      <c r="Y354" s="558">
        <f t="shared" si="44"/>
        <v>0</v>
      </c>
    </row>
    <row r="355" spans="18:25" x14ac:dyDescent="0.2">
      <c r="R355" s="558">
        <v>354</v>
      </c>
      <c r="S355" s="558">
        <f t="shared" si="39"/>
        <v>-268</v>
      </c>
      <c r="T355" s="558">
        <f t="shared" si="40"/>
        <v>-257</v>
      </c>
      <c r="U355" s="558">
        <f t="shared" si="41"/>
        <v>321</v>
      </c>
      <c r="V355" s="558">
        <f t="shared" si="43"/>
        <v>0</v>
      </c>
      <c r="W355" s="558">
        <f t="shared" si="42"/>
        <v>0</v>
      </c>
      <c r="X355" s="558">
        <f t="shared" ref="X355:X418" si="45">IF(R355=$B$7,W355,0)</f>
        <v>0</v>
      </c>
      <c r="Y355" s="558">
        <f t="shared" si="44"/>
        <v>0</v>
      </c>
    </row>
    <row r="356" spans="18:25" x14ac:dyDescent="0.2">
      <c r="R356" s="558">
        <v>355</v>
      </c>
      <c r="S356" s="558">
        <f t="shared" si="39"/>
        <v>-269</v>
      </c>
      <c r="T356" s="558">
        <f t="shared" si="40"/>
        <v>-258</v>
      </c>
      <c r="U356" s="558">
        <f t="shared" si="41"/>
        <v>322</v>
      </c>
      <c r="V356" s="558">
        <f t="shared" si="43"/>
        <v>0</v>
      </c>
      <c r="W356" s="558">
        <f t="shared" si="42"/>
        <v>0</v>
      </c>
      <c r="X356" s="558">
        <f t="shared" si="45"/>
        <v>0</v>
      </c>
      <c r="Y356" s="558">
        <f t="shared" si="44"/>
        <v>0</v>
      </c>
    </row>
    <row r="357" spans="18:25" x14ac:dyDescent="0.2">
      <c r="R357" s="558">
        <v>356</v>
      </c>
      <c r="S357" s="558">
        <f t="shared" si="39"/>
        <v>-270</v>
      </c>
      <c r="T357" s="558">
        <f t="shared" si="40"/>
        <v>-259</v>
      </c>
      <c r="U357" s="558">
        <f t="shared" si="41"/>
        <v>323</v>
      </c>
      <c r="V357" s="558">
        <f t="shared" si="43"/>
        <v>0</v>
      </c>
      <c r="W357" s="558">
        <f t="shared" si="42"/>
        <v>0</v>
      </c>
      <c r="X357" s="558">
        <f t="shared" si="45"/>
        <v>0</v>
      </c>
      <c r="Y357" s="558">
        <f t="shared" si="44"/>
        <v>0</v>
      </c>
    </row>
    <row r="358" spans="18:25" x14ac:dyDescent="0.2">
      <c r="R358" s="558">
        <v>357</v>
      </c>
      <c r="S358" s="558">
        <f t="shared" si="39"/>
        <v>-271</v>
      </c>
      <c r="T358" s="558">
        <f t="shared" si="40"/>
        <v>-260</v>
      </c>
      <c r="U358" s="558">
        <f t="shared" si="41"/>
        <v>324</v>
      </c>
      <c r="V358" s="558">
        <f t="shared" si="43"/>
        <v>0</v>
      </c>
      <c r="W358" s="558">
        <f t="shared" si="42"/>
        <v>0</v>
      </c>
      <c r="X358" s="558">
        <f t="shared" si="45"/>
        <v>0</v>
      </c>
      <c r="Y358" s="558">
        <f t="shared" si="44"/>
        <v>0</v>
      </c>
    </row>
    <row r="359" spans="18:25" x14ac:dyDescent="0.2">
      <c r="R359" s="558">
        <v>358</v>
      </c>
      <c r="S359" s="558">
        <f t="shared" si="39"/>
        <v>-272</v>
      </c>
      <c r="T359" s="558">
        <f t="shared" si="40"/>
        <v>-261</v>
      </c>
      <c r="U359" s="558">
        <f t="shared" si="41"/>
        <v>325</v>
      </c>
      <c r="V359" s="558">
        <f t="shared" si="43"/>
        <v>0</v>
      </c>
      <c r="W359" s="558">
        <f t="shared" si="42"/>
        <v>0</v>
      </c>
      <c r="X359" s="558">
        <f t="shared" si="45"/>
        <v>0</v>
      </c>
      <c r="Y359" s="558">
        <f t="shared" si="44"/>
        <v>0</v>
      </c>
    </row>
    <row r="360" spans="18:25" x14ac:dyDescent="0.2">
      <c r="R360" s="558">
        <v>359</v>
      </c>
      <c r="S360" s="558">
        <f t="shared" si="39"/>
        <v>-273</v>
      </c>
      <c r="T360" s="558">
        <f t="shared" si="40"/>
        <v>-262</v>
      </c>
      <c r="U360" s="558">
        <f t="shared" si="41"/>
        <v>326</v>
      </c>
      <c r="V360" s="558">
        <f t="shared" si="43"/>
        <v>0</v>
      </c>
      <c r="W360" s="558">
        <f t="shared" si="42"/>
        <v>0</v>
      </c>
      <c r="X360" s="558">
        <f t="shared" si="45"/>
        <v>0</v>
      </c>
      <c r="Y360" s="558">
        <f t="shared" si="44"/>
        <v>0</v>
      </c>
    </row>
    <row r="361" spans="18:25" x14ac:dyDescent="0.2">
      <c r="R361" s="558">
        <v>360</v>
      </c>
      <c r="S361" s="558">
        <f t="shared" si="39"/>
        <v>-274</v>
      </c>
      <c r="T361" s="558">
        <f t="shared" si="40"/>
        <v>-263</v>
      </c>
      <c r="U361" s="558">
        <f t="shared" si="41"/>
        <v>327</v>
      </c>
      <c r="V361" s="558">
        <f t="shared" si="43"/>
        <v>0</v>
      </c>
      <c r="W361" s="558">
        <f t="shared" si="42"/>
        <v>0</v>
      </c>
      <c r="X361" s="558">
        <f t="shared" si="45"/>
        <v>0</v>
      </c>
      <c r="Y361" s="558">
        <f t="shared" si="44"/>
        <v>0</v>
      </c>
    </row>
    <row r="362" spans="18:25" x14ac:dyDescent="0.2">
      <c r="R362" s="558">
        <v>361</v>
      </c>
      <c r="S362" s="558">
        <f t="shared" si="39"/>
        <v>-275</v>
      </c>
      <c r="T362" s="558">
        <f t="shared" si="40"/>
        <v>-264</v>
      </c>
      <c r="U362" s="558">
        <f t="shared" si="41"/>
        <v>328</v>
      </c>
      <c r="V362" s="558">
        <f t="shared" si="43"/>
        <v>0</v>
      </c>
      <c r="W362" s="558">
        <f t="shared" si="42"/>
        <v>0</v>
      </c>
      <c r="X362" s="558">
        <f t="shared" si="45"/>
        <v>0</v>
      </c>
      <c r="Y362" s="558">
        <f t="shared" si="44"/>
        <v>0</v>
      </c>
    </row>
    <row r="363" spans="18:25" x14ac:dyDescent="0.2">
      <c r="R363" s="558">
        <v>362</v>
      </c>
      <c r="S363" s="558">
        <f t="shared" si="39"/>
        <v>-276</v>
      </c>
      <c r="T363" s="558">
        <f t="shared" si="40"/>
        <v>-265</v>
      </c>
      <c r="U363" s="558">
        <f t="shared" si="41"/>
        <v>329</v>
      </c>
      <c r="V363" s="558">
        <f t="shared" si="43"/>
        <v>0</v>
      </c>
      <c r="W363" s="558">
        <f t="shared" si="42"/>
        <v>0</v>
      </c>
      <c r="X363" s="558">
        <f t="shared" si="45"/>
        <v>0</v>
      </c>
      <c r="Y363" s="558">
        <f t="shared" si="44"/>
        <v>0</v>
      </c>
    </row>
    <row r="364" spans="18:25" x14ac:dyDescent="0.2">
      <c r="R364" s="558">
        <v>363</v>
      </c>
      <c r="S364" s="558">
        <f t="shared" si="39"/>
        <v>-277</v>
      </c>
      <c r="T364" s="558">
        <f t="shared" si="40"/>
        <v>-266</v>
      </c>
      <c r="U364" s="558">
        <f t="shared" si="41"/>
        <v>330</v>
      </c>
      <c r="V364" s="558">
        <f t="shared" si="43"/>
        <v>0</v>
      </c>
      <c r="W364" s="558">
        <f t="shared" si="42"/>
        <v>0</v>
      </c>
      <c r="X364" s="558">
        <f t="shared" si="45"/>
        <v>0</v>
      </c>
      <c r="Y364" s="558">
        <f t="shared" si="44"/>
        <v>0</v>
      </c>
    </row>
    <row r="365" spans="18:25" x14ac:dyDescent="0.2">
      <c r="R365" s="558">
        <v>364</v>
      </c>
      <c r="S365" s="558">
        <f t="shared" si="39"/>
        <v>-278</v>
      </c>
      <c r="T365" s="558">
        <f t="shared" si="40"/>
        <v>-267</v>
      </c>
      <c r="U365" s="558">
        <f t="shared" si="41"/>
        <v>331</v>
      </c>
      <c r="V365" s="558">
        <f t="shared" si="43"/>
        <v>0</v>
      </c>
      <c r="W365" s="558">
        <f t="shared" si="42"/>
        <v>0</v>
      </c>
      <c r="X365" s="558">
        <f t="shared" si="45"/>
        <v>0</v>
      </c>
      <c r="Y365" s="558">
        <f t="shared" si="44"/>
        <v>0</v>
      </c>
    </row>
    <row r="366" spans="18:25" x14ac:dyDescent="0.2">
      <c r="R366" s="558">
        <v>365</v>
      </c>
      <c r="S366" s="558">
        <f t="shared" si="39"/>
        <v>-279</v>
      </c>
      <c r="T366" s="558">
        <f t="shared" si="40"/>
        <v>-268</v>
      </c>
      <c r="U366" s="558">
        <f t="shared" si="41"/>
        <v>332</v>
      </c>
      <c r="V366" s="558">
        <f t="shared" si="43"/>
        <v>0</v>
      </c>
      <c r="W366" s="558">
        <f t="shared" si="42"/>
        <v>0</v>
      </c>
      <c r="X366" s="558">
        <f t="shared" si="45"/>
        <v>0</v>
      </c>
      <c r="Y366" s="558">
        <f t="shared" si="44"/>
        <v>0</v>
      </c>
    </row>
    <row r="367" spans="18:25" x14ac:dyDescent="0.2">
      <c r="R367" s="558">
        <v>366</v>
      </c>
      <c r="S367" s="558">
        <f t="shared" si="39"/>
        <v>-280</v>
      </c>
      <c r="T367" s="558">
        <f t="shared" si="40"/>
        <v>-269</v>
      </c>
      <c r="U367" s="558">
        <f t="shared" si="41"/>
        <v>333</v>
      </c>
      <c r="V367" s="558">
        <f t="shared" si="43"/>
        <v>0</v>
      </c>
      <c r="W367" s="558">
        <f t="shared" si="42"/>
        <v>0</v>
      </c>
      <c r="X367" s="558">
        <f t="shared" si="45"/>
        <v>0</v>
      </c>
      <c r="Y367" s="558">
        <f t="shared" si="44"/>
        <v>0</v>
      </c>
    </row>
    <row r="368" spans="18:25" x14ac:dyDescent="0.2">
      <c r="R368" s="558">
        <v>367</v>
      </c>
      <c r="S368" s="558">
        <f t="shared" si="39"/>
        <v>-281</v>
      </c>
      <c r="T368" s="558">
        <f t="shared" si="40"/>
        <v>-270</v>
      </c>
      <c r="U368" s="558">
        <f t="shared" si="41"/>
        <v>334</v>
      </c>
      <c r="V368" s="558">
        <f t="shared" si="43"/>
        <v>0</v>
      </c>
      <c r="W368" s="558">
        <f t="shared" si="42"/>
        <v>0</v>
      </c>
      <c r="X368" s="558">
        <f t="shared" si="45"/>
        <v>0</v>
      </c>
      <c r="Y368" s="558">
        <f t="shared" si="44"/>
        <v>0</v>
      </c>
    </row>
    <row r="369" spans="18:25" x14ac:dyDescent="0.2">
      <c r="R369" s="558">
        <v>368</v>
      </c>
      <c r="S369" s="558">
        <f t="shared" si="39"/>
        <v>-282</v>
      </c>
      <c r="T369" s="558">
        <f t="shared" si="40"/>
        <v>-271</v>
      </c>
      <c r="U369" s="558">
        <f t="shared" si="41"/>
        <v>335</v>
      </c>
      <c r="V369" s="558">
        <f t="shared" si="43"/>
        <v>0</v>
      </c>
      <c r="W369" s="558">
        <f t="shared" si="42"/>
        <v>0</v>
      </c>
      <c r="X369" s="558">
        <f t="shared" si="45"/>
        <v>0</v>
      </c>
      <c r="Y369" s="558">
        <f t="shared" si="44"/>
        <v>0</v>
      </c>
    </row>
    <row r="370" spans="18:25" x14ac:dyDescent="0.2">
      <c r="R370" s="558">
        <v>369</v>
      </c>
      <c r="S370" s="558">
        <f t="shared" si="39"/>
        <v>-283</v>
      </c>
      <c r="T370" s="558">
        <f t="shared" si="40"/>
        <v>-272</v>
      </c>
      <c r="U370" s="558">
        <f t="shared" si="41"/>
        <v>336</v>
      </c>
      <c r="V370" s="558">
        <f t="shared" si="43"/>
        <v>0</v>
      </c>
      <c r="W370" s="558">
        <f t="shared" si="42"/>
        <v>0</v>
      </c>
      <c r="X370" s="558">
        <f t="shared" si="45"/>
        <v>0</v>
      </c>
      <c r="Y370" s="558">
        <f t="shared" si="44"/>
        <v>0</v>
      </c>
    </row>
    <row r="371" spans="18:25" x14ac:dyDescent="0.2">
      <c r="R371" s="558">
        <v>370</v>
      </c>
      <c r="S371" s="558">
        <f t="shared" si="39"/>
        <v>-284</v>
      </c>
      <c r="T371" s="558">
        <f t="shared" si="40"/>
        <v>-273</v>
      </c>
      <c r="U371" s="558">
        <f t="shared" si="41"/>
        <v>337</v>
      </c>
      <c r="V371" s="558">
        <f t="shared" si="43"/>
        <v>0</v>
      </c>
      <c r="W371" s="558">
        <f t="shared" si="42"/>
        <v>0</v>
      </c>
      <c r="X371" s="558">
        <f t="shared" si="45"/>
        <v>0</v>
      </c>
      <c r="Y371" s="558">
        <f t="shared" si="44"/>
        <v>0</v>
      </c>
    </row>
    <row r="372" spans="18:25" x14ac:dyDescent="0.2">
      <c r="R372" s="558">
        <v>371</v>
      </c>
      <c r="S372" s="558">
        <f t="shared" si="39"/>
        <v>-285</v>
      </c>
      <c r="T372" s="558">
        <f t="shared" si="40"/>
        <v>-274</v>
      </c>
      <c r="U372" s="558">
        <f t="shared" si="41"/>
        <v>338</v>
      </c>
      <c r="V372" s="558">
        <f t="shared" si="43"/>
        <v>0</v>
      </c>
      <c r="W372" s="558">
        <f t="shared" si="42"/>
        <v>0</v>
      </c>
      <c r="X372" s="558">
        <f t="shared" si="45"/>
        <v>0</v>
      </c>
      <c r="Y372" s="558">
        <f t="shared" si="44"/>
        <v>0</v>
      </c>
    </row>
    <row r="373" spans="18:25" x14ac:dyDescent="0.2">
      <c r="R373" s="558">
        <v>372</v>
      </c>
      <c r="S373" s="558">
        <f t="shared" si="39"/>
        <v>-286</v>
      </c>
      <c r="T373" s="558">
        <f t="shared" si="40"/>
        <v>-275</v>
      </c>
      <c r="U373" s="558">
        <f t="shared" si="41"/>
        <v>339</v>
      </c>
      <c r="V373" s="558">
        <f t="shared" si="43"/>
        <v>0</v>
      </c>
      <c r="W373" s="558">
        <f t="shared" si="42"/>
        <v>0</v>
      </c>
      <c r="X373" s="558">
        <f t="shared" si="45"/>
        <v>0</v>
      </c>
      <c r="Y373" s="558">
        <f t="shared" si="44"/>
        <v>0</v>
      </c>
    </row>
    <row r="374" spans="18:25" x14ac:dyDescent="0.2">
      <c r="R374" s="558">
        <v>373</v>
      </c>
      <c r="S374" s="558">
        <f t="shared" si="39"/>
        <v>-287</v>
      </c>
      <c r="T374" s="558">
        <f t="shared" si="40"/>
        <v>-276</v>
      </c>
      <c r="U374" s="558">
        <f t="shared" si="41"/>
        <v>340</v>
      </c>
      <c r="V374" s="558">
        <f t="shared" si="43"/>
        <v>0</v>
      </c>
      <c r="W374" s="558">
        <f t="shared" si="42"/>
        <v>0</v>
      </c>
      <c r="X374" s="558">
        <f t="shared" si="45"/>
        <v>0</v>
      </c>
      <c r="Y374" s="558">
        <f t="shared" si="44"/>
        <v>0</v>
      </c>
    </row>
    <row r="375" spans="18:25" x14ac:dyDescent="0.2">
      <c r="R375" s="558">
        <v>374</v>
      </c>
      <c r="S375" s="558">
        <f t="shared" si="39"/>
        <v>-288</v>
      </c>
      <c r="T375" s="558">
        <f t="shared" si="40"/>
        <v>-277</v>
      </c>
      <c r="U375" s="558">
        <f t="shared" si="41"/>
        <v>341</v>
      </c>
      <c r="V375" s="558">
        <f t="shared" si="43"/>
        <v>0</v>
      </c>
      <c r="W375" s="558">
        <f t="shared" si="42"/>
        <v>0</v>
      </c>
      <c r="X375" s="558">
        <f t="shared" si="45"/>
        <v>0</v>
      </c>
      <c r="Y375" s="558">
        <f t="shared" si="44"/>
        <v>0</v>
      </c>
    </row>
    <row r="376" spans="18:25" x14ac:dyDescent="0.2">
      <c r="R376" s="558">
        <v>375</v>
      </c>
      <c r="S376" s="558">
        <f t="shared" si="39"/>
        <v>-289</v>
      </c>
      <c r="T376" s="558">
        <f t="shared" si="40"/>
        <v>-278</v>
      </c>
      <c r="U376" s="558">
        <f t="shared" si="41"/>
        <v>342</v>
      </c>
      <c r="V376" s="558">
        <f t="shared" si="43"/>
        <v>0</v>
      </c>
      <c r="W376" s="558">
        <f t="shared" si="42"/>
        <v>0</v>
      </c>
      <c r="X376" s="558">
        <f t="shared" si="45"/>
        <v>0</v>
      </c>
      <c r="Y376" s="558">
        <f t="shared" si="44"/>
        <v>0</v>
      </c>
    </row>
    <row r="377" spans="18:25" x14ac:dyDescent="0.2">
      <c r="R377" s="558">
        <v>376</v>
      </c>
      <c r="S377" s="558">
        <f t="shared" si="39"/>
        <v>-290</v>
      </c>
      <c r="T377" s="558">
        <f t="shared" si="40"/>
        <v>-279</v>
      </c>
      <c r="U377" s="558">
        <f t="shared" si="41"/>
        <v>343</v>
      </c>
      <c r="V377" s="558">
        <f t="shared" si="43"/>
        <v>0</v>
      </c>
      <c r="W377" s="558">
        <f t="shared" si="42"/>
        <v>0</v>
      </c>
      <c r="X377" s="558">
        <f t="shared" si="45"/>
        <v>0</v>
      </c>
      <c r="Y377" s="558">
        <f t="shared" si="44"/>
        <v>0</v>
      </c>
    </row>
    <row r="378" spans="18:25" x14ac:dyDescent="0.2">
      <c r="R378" s="558">
        <v>377</v>
      </c>
      <c r="S378" s="558">
        <f t="shared" si="39"/>
        <v>-291</v>
      </c>
      <c r="T378" s="558">
        <f t="shared" si="40"/>
        <v>-280</v>
      </c>
      <c r="U378" s="558">
        <f t="shared" si="41"/>
        <v>344</v>
      </c>
      <c r="V378" s="558">
        <f t="shared" si="43"/>
        <v>0</v>
      </c>
      <c r="W378" s="558">
        <f t="shared" si="42"/>
        <v>0</v>
      </c>
      <c r="X378" s="558">
        <f t="shared" si="45"/>
        <v>0</v>
      </c>
      <c r="Y378" s="558">
        <f t="shared" si="44"/>
        <v>0</v>
      </c>
    </row>
    <row r="379" spans="18:25" x14ac:dyDescent="0.2">
      <c r="R379" s="558">
        <v>378</v>
      </c>
      <c r="S379" s="558">
        <f t="shared" si="39"/>
        <v>-292</v>
      </c>
      <c r="T379" s="558">
        <f t="shared" si="40"/>
        <v>-281</v>
      </c>
      <c r="U379" s="558">
        <f t="shared" si="41"/>
        <v>345</v>
      </c>
      <c r="V379" s="558">
        <f t="shared" si="43"/>
        <v>0</v>
      </c>
      <c r="W379" s="558">
        <f t="shared" si="42"/>
        <v>0</v>
      </c>
      <c r="X379" s="558">
        <f t="shared" si="45"/>
        <v>0</v>
      </c>
      <c r="Y379" s="558">
        <f t="shared" si="44"/>
        <v>0</v>
      </c>
    </row>
    <row r="380" spans="18:25" x14ac:dyDescent="0.2">
      <c r="R380" s="558">
        <v>379</v>
      </c>
      <c r="S380" s="558">
        <f t="shared" si="39"/>
        <v>-293</v>
      </c>
      <c r="T380" s="558">
        <f t="shared" si="40"/>
        <v>-282</v>
      </c>
      <c r="U380" s="558">
        <f t="shared" si="41"/>
        <v>346</v>
      </c>
      <c r="V380" s="558">
        <f t="shared" si="43"/>
        <v>0</v>
      </c>
      <c r="W380" s="558">
        <f t="shared" si="42"/>
        <v>0</v>
      </c>
      <c r="X380" s="558">
        <f t="shared" si="45"/>
        <v>0</v>
      </c>
      <c r="Y380" s="558">
        <f t="shared" si="44"/>
        <v>0</v>
      </c>
    </row>
    <row r="381" spans="18:25" x14ac:dyDescent="0.2">
      <c r="R381" s="558">
        <v>380</v>
      </c>
      <c r="S381" s="558">
        <f t="shared" si="39"/>
        <v>-294</v>
      </c>
      <c r="T381" s="558">
        <f t="shared" si="40"/>
        <v>-283</v>
      </c>
      <c r="U381" s="558">
        <f t="shared" si="41"/>
        <v>347</v>
      </c>
      <c r="V381" s="558">
        <f t="shared" si="43"/>
        <v>0</v>
      </c>
      <c r="W381" s="558">
        <f t="shared" si="42"/>
        <v>0</v>
      </c>
      <c r="X381" s="558">
        <f t="shared" si="45"/>
        <v>0</v>
      </c>
      <c r="Y381" s="558">
        <f t="shared" si="44"/>
        <v>0</v>
      </c>
    </row>
    <row r="382" spans="18:25" x14ac:dyDescent="0.2">
      <c r="R382" s="558">
        <v>381</v>
      </c>
      <c r="S382" s="558">
        <f t="shared" si="39"/>
        <v>-295</v>
      </c>
      <c r="T382" s="558">
        <f t="shared" si="40"/>
        <v>-284</v>
      </c>
      <c r="U382" s="558">
        <f t="shared" si="41"/>
        <v>348</v>
      </c>
      <c r="V382" s="558">
        <f t="shared" si="43"/>
        <v>0</v>
      </c>
      <c r="W382" s="558">
        <f t="shared" si="42"/>
        <v>0</v>
      </c>
      <c r="X382" s="558">
        <f t="shared" si="45"/>
        <v>0</v>
      </c>
      <c r="Y382" s="558">
        <f t="shared" si="44"/>
        <v>0</v>
      </c>
    </row>
    <row r="383" spans="18:25" x14ac:dyDescent="0.2">
      <c r="R383" s="558">
        <v>382</v>
      </c>
      <c r="S383" s="558">
        <f t="shared" si="39"/>
        <v>-296</v>
      </c>
      <c r="T383" s="558">
        <f t="shared" si="40"/>
        <v>-285</v>
      </c>
      <c r="U383" s="558">
        <f t="shared" si="41"/>
        <v>349</v>
      </c>
      <c r="V383" s="558">
        <f t="shared" si="43"/>
        <v>0</v>
      </c>
      <c r="W383" s="558">
        <f t="shared" si="42"/>
        <v>0</v>
      </c>
      <c r="X383" s="558">
        <f t="shared" si="45"/>
        <v>0</v>
      </c>
      <c r="Y383" s="558">
        <f t="shared" si="44"/>
        <v>0</v>
      </c>
    </row>
    <row r="384" spans="18:25" x14ac:dyDescent="0.2">
      <c r="R384" s="558">
        <v>383</v>
      </c>
      <c r="S384" s="558">
        <f t="shared" si="39"/>
        <v>-297</v>
      </c>
      <c r="T384" s="558">
        <f t="shared" si="40"/>
        <v>-286</v>
      </c>
      <c r="U384" s="558">
        <f t="shared" si="41"/>
        <v>350</v>
      </c>
      <c r="V384" s="558">
        <f t="shared" si="43"/>
        <v>0</v>
      </c>
      <c r="W384" s="558">
        <f t="shared" si="42"/>
        <v>0</v>
      </c>
      <c r="X384" s="558">
        <f t="shared" si="45"/>
        <v>0</v>
      </c>
      <c r="Y384" s="558">
        <f t="shared" si="44"/>
        <v>0</v>
      </c>
    </row>
    <row r="385" spans="18:25" x14ac:dyDescent="0.2">
      <c r="R385" s="558">
        <v>384</v>
      </c>
      <c r="S385" s="558">
        <f t="shared" ref="S385:S448" si="46">$D$7-R385</f>
        <v>-298</v>
      </c>
      <c r="T385" s="558">
        <f t="shared" ref="T385:T448" si="47">$B$9-R385</f>
        <v>-287</v>
      </c>
      <c r="U385" s="558">
        <f t="shared" ref="U385:U448" si="48">$D$9-SUM(R385:T385)</f>
        <v>351</v>
      </c>
      <c r="V385" s="558">
        <f t="shared" si="43"/>
        <v>0</v>
      </c>
      <c r="W385" s="558">
        <f t="shared" ref="W385:W448" si="49">_xlfn.HYPGEOM.DIST(R385,R385+T385,R385+S385,SUM(R385:U385),0)</f>
        <v>0</v>
      </c>
      <c r="X385" s="558">
        <f t="shared" si="45"/>
        <v>0</v>
      </c>
      <c r="Y385" s="558">
        <f t="shared" si="44"/>
        <v>0</v>
      </c>
    </row>
    <row r="386" spans="18:25" x14ac:dyDescent="0.2">
      <c r="R386" s="558">
        <v>385</v>
      </c>
      <c r="S386" s="558">
        <f t="shared" si="46"/>
        <v>-299</v>
      </c>
      <c r="T386" s="558">
        <f t="shared" si="47"/>
        <v>-288</v>
      </c>
      <c r="U386" s="558">
        <f t="shared" si="48"/>
        <v>352</v>
      </c>
      <c r="V386" s="558">
        <f t="shared" ref="V386:V449" si="50">IF(S386&gt;=0,IF(T386&gt;=0,IF(U386&gt;=0,1,0),0),0)</f>
        <v>0</v>
      </c>
      <c r="W386" s="558">
        <f t="shared" si="49"/>
        <v>0</v>
      </c>
      <c r="X386" s="558">
        <f t="shared" si="45"/>
        <v>0</v>
      </c>
      <c r="Y386" s="558">
        <f t="shared" ref="Y386:Y449" si="51">IF(W386&lt;=SUM($X$1:$X$1101),W386,0)</f>
        <v>0</v>
      </c>
    </row>
    <row r="387" spans="18:25" x14ac:dyDescent="0.2">
      <c r="R387" s="558">
        <v>386</v>
      </c>
      <c r="S387" s="558">
        <f t="shared" si="46"/>
        <v>-300</v>
      </c>
      <c r="T387" s="558">
        <f t="shared" si="47"/>
        <v>-289</v>
      </c>
      <c r="U387" s="558">
        <f t="shared" si="48"/>
        <v>353</v>
      </c>
      <c r="V387" s="558">
        <f t="shared" si="50"/>
        <v>0</v>
      </c>
      <c r="W387" s="558">
        <f t="shared" si="49"/>
        <v>0</v>
      </c>
      <c r="X387" s="558">
        <f t="shared" si="45"/>
        <v>0</v>
      </c>
      <c r="Y387" s="558">
        <f t="shared" si="51"/>
        <v>0</v>
      </c>
    </row>
    <row r="388" spans="18:25" x14ac:dyDescent="0.2">
      <c r="R388" s="558">
        <v>387</v>
      </c>
      <c r="S388" s="558">
        <f t="shared" si="46"/>
        <v>-301</v>
      </c>
      <c r="T388" s="558">
        <f t="shared" si="47"/>
        <v>-290</v>
      </c>
      <c r="U388" s="558">
        <f t="shared" si="48"/>
        <v>354</v>
      </c>
      <c r="V388" s="558">
        <f t="shared" si="50"/>
        <v>0</v>
      </c>
      <c r="W388" s="558">
        <f t="shared" si="49"/>
        <v>0</v>
      </c>
      <c r="X388" s="558">
        <f t="shared" si="45"/>
        <v>0</v>
      </c>
      <c r="Y388" s="558">
        <f t="shared" si="51"/>
        <v>0</v>
      </c>
    </row>
    <row r="389" spans="18:25" x14ac:dyDescent="0.2">
      <c r="R389" s="558">
        <v>388</v>
      </c>
      <c r="S389" s="558">
        <f t="shared" si="46"/>
        <v>-302</v>
      </c>
      <c r="T389" s="558">
        <f t="shared" si="47"/>
        <v>-291</v>
      </c>
      <c r="U389" s="558">
        <f t="shared" si="48"/>
        <v>355</v>
      </c>
      <c r="V389" s="558">
        <f t="shared" si="50"/>
        <v>0</v>
      </c>
      <c r="W389" s="558">
        <f t="shared" si="49"/>
        <v>0</v>
      </c>
      <c r="X389" s="558">
        <f t="shared" si="45"/>
        <v>0</v>
      </c>
      <c r="Y389" s="558">
        <f t="shared" si="51"/>
        <v>0</v>
      </c>
    </row>
    <row r="390" spans="18:25" x14ac:dyDescent="0.2">
      <c r="R390" s="558">
        <v>389</v>
      </c>
      <c r="S390" s="558">
        <f t="shared" si="46"/>
        <v>-303</v>
      </c>
      <c r="T390" s="558">
        <f t="shared" si="47"/>
        <v>-292</v>
      </c>
      <c r="U390" s="558">
        <f t="shared" si="48"/>
        <v>356</v>
      </c>
      <c r="V390" s="558">
        <f t="shared" si="50"/>
        <v>0</v>
      </c>
      <c r="W390" s="558">
        <f t="shared" si="49"/>
        <v>0</v>
      </c>
      <c r="X390" s="558">
        <f t="shared" si="45"/>
        <v>0</v>
      </c>
      <c r="Y390" s="558">
        <f t="shared" si="51"/>
        <v>0</v>
      </c>
    </row>
    <row r="391" spans="18:25" x14ac:dyDescent="0.2">
      <c r="R391" s="558">
        <v>390</v>
      </c>
      <c r="S391" s="558">
        <f t="shared" si="46"/>
        <v>-304</v>
      </c>
      <c r="T391" s="558">
        <f t="shared" si="47"/>
        <v>-293</v>
      </c>
      <c r="U391" s="558">
        <f t="shared" si="48"/>
        <v>357</v>
      </c>
      <c r="V391" s="558">
        <f t="shared" si="50"/>
        <v>0</v>
      </c>
      <c r="W391" s="558">
        <f t="shared" si="49"/>
        <v>0</v>
      </c>
      <c r="X391" s="558">
        <f t="shared" si="45"/>
        <v>0</v>
      </c>
      <c r="Y391" s="558">
        <f t="shared" si="51"/>
        <v>0</v>
      </c>
    </row>
    <row r="392" spans="18:25" x14ac:dyDescent="0.2">
      <c r="R392" s="558">
        <v>391</v>
      </c>
      <c r="S392" s="558">
        <f t="shared" si="46"/>
        <v>-305</v>
      </c>
      <c r="T392" s="558">
        <f t="shared" si="47"/>
        <v>-294</v>
      </c>
      <c r="U392" s="558">
        <f t="shared" si="48"/>
        <v>358</v>
      </c>
      <c r="V392" s="558">
        <f t="shared" si="50"/>
        <v>0</v>
      </c>
      <c r="W392" s="558">
        <f t="shared" si="49"/>
        <v>0</v>
      </c>
      <c r="X392" s="558">
        <f t="shared" si="45"/>
        <v>0</v>
      </c>
      <c r="Y392" s="558">
        <f t="shared" si="51"/>
        <v>0</v>
      </c>
    </row>
    <row r="393" spans="18:25" x14ac:dyDescent="0.2">
      <c r="R393" s="558">
        <v>392</v>
      </c>
      <c r="S393" s="558">
        <f t="shared" si="46"/>
        <v>-306</v>
      </c>
      <c r="T393" s="558">
        <f t="shared" si="47"/>
        <v>-295</v>
      </c>
      <c r="U393" s="558">
        <f t="shared" si="48"/>
        <v>359</v>
      </c>
      <c r="V393" s="558">
        <f t="shared" si="50"/>
        <v>0</v>
      </c>
      <c r="W393" s="558">
        <f t="shared" si="49"/>
        <v>0</v>
      </c>
      <c r="X393" s="558">
        <f t="shared" si="45"/>
        <v>0</v>
      </c>
      <c r="Y393" s="558">
        <f t="shared" si="51"/>
        <v>0</v>
      </c>
    </row>
    <row r="394" spans="18:25" x14ac:dyDescent="0.2">
      <c r="R394" s="558">
        <v>393</v>
      </c>
      <c r="S394" s="558">
        <f t="shared" si="46"/>
        <v>-307</v>
      </c>
      <c r="T394" s="558">
        <f t="shared" si="47"/>
        <v>-296</v>
      </c>
      <c r="U394" s="558">
        <f t="shared" si="48"/>
        <v>360</v>
      </c>
      <c r="V394" s="558">
        <f t="shared" si="50"/>
        <v>0</v>
      </c>
      <c r="W394" s="558">
        <f t="shared" si="49"/>
        <v>0</v>
      </c>
      <c r="X394" s="558">
        <f t="shared" si="45"/>
        <v>0</v>
      </c>
      <c r="Y394" s="558">
        <f t="shared" si="51"/>
        <v>0</v>
      </c>
    </row>
    <row r="395" spans="18:25" x14ac:dyDescent="0.2">
      <c r="R395" s="558">
        <v>394</v>
      </c>
      <c r="S395" s="558">
        <f t="shared" si="46"/>
        <v>-308</v>
      </c>
      <c r="T395" s="558">
        <f t="shared" si="47"/>
        <v>-297</v>
      </c>
      <c r="U395" s="558">
        <f t="shared" si="48"/>
        <v>361</v>
      </c>
      <c r="V395" s="558">
        <f t="shared" si="50"/>
        <v>0</v>
      </c>
      <c r="W395" s="558">
        <f t="shared" si="49"/>
        <v>0</v>
      </c>
      <c r="X395" s="558">
        <f t="shared" si="45"/>
        <v>0</v>
      </c>
      <c r="Y395" s="558">
        <f t="shared" si="51"/>
        <v>0</v>
      </c>
    </row>
    <row r="396" spans="18:25" x14ac:dyDescent="0.2">
      <c r="R396" s="558">
        <v>395</v>
      </c>
      <c r="S396" s="558">
        <f t="shared" si="46"/>
        <v>-309</v>
      </c>
      <c r="T396" s="558">
        <f t="shared" si="47"/>
        <v>-298</v>
      </c>
      <c r="U396" s="558">
        <f t="shared" si="48"/>
        <v>362</v>
      </c>
      <c r="V396" s="558">
        <f t="shared" si="50"/>
        <v>0</v>
      </c>
      <c r="W396" s="558">
        <f t="shared" si="49"/>
        <v>0</v>
      </c>
      <c r="X396" s="558">
        <f t="shared" si="45"/>
        <v>0</v>
      </c>
      <c r="Y396" s="558">
        <f t="shared" si="51"/>
        <v>0</v>
      </c>
    </row>
    <row r="397" spans="18:25" x14ac:dyDescent="0.2">
      <c r="R397" s="558">
        <v>396</v>
      </c>
      <c r="S397" s="558">
        <f t="shared" si="46"/>
        <v>-310</v>
      </c>
      <c r="T397" s="558">
        <f t="shared" si="47"/>
        <v>-299</v>
      </c>
      <c r="U397" s="558">
        <f t="shared" si="48"/>
        <v>363</v>
      </c>
      <c r="V397" s="558">
        <f t="shared" si="50"/>
        <v>0</v>
      </c>
      <c r="W397" s="558">
        <f t="shared" si="49"/>
        <v>0</v>
      </c>
      <c r="X397" s="558">
        <f t="shared" si="45"/>
        <v>0</v>
      </c>
      <c r="Y397" s="558">
        <f t="shared" si="51"/>
        <v>0</v>
      </c>
    </row>
    <row r="398" spans="18:25" x14ac:dyDescent="0.2">
      <c r="R398" s="558">
        <v>397</v>
      </c>
      <c r="S398" s="558">
        <f t="shared" si="46"/>
        <v>-311</v>
      </c>
      <c r="T398" s="558">
        <f t="shared" si="47"/>
        <v>-300</v>
      </c>
      <c r="U398" s="558">
        <f t="shared" si="48"/>
        <v>364</v>
      </c>
      <c r="V398" s="558">
        <f t="shared" si="50"/>
        <v>0</v>
      </c>
      <c r="W398" s="558">
        <f t="shared" si="49"/>
        <v>0</v>
      </c>
      <c r="X398" s="558">
        <f t="shared" si="45"/>
        <v>0</v>
      </c>
      <c r="Y398" s="558">
        <f t="shared" si="51"/>
        <v>0</v>
      </c>
    </row>
    <row r="399" spans="18:25" x14ac:dyDescent="0.2">
      <c r="R399" s="558">
        <v>398</v>
      </c>
      <c r="S399" s="558">
        <f t="shared" si="46"/>
        <v>-312</v>
      </c>
      <c r="T399" s="558">
        <f t="shared" si="47"/>
        <v>-301</v>
      </c>
      <c r="U399" s="558">
        <f t="shared" si="48"/>
        <v>365</v>
      </c>
      <c r="V399" s="558">
        <f t="shared" si="50"/>
        <v>0</v>
      </c>
      <c r="W399" s="558">
        <f t="shared" si="49"/>
        <v>0</v>
      </c>
      <c r="X399" s="558">
        <f t="shared" si="45"/>
        <v>0</v>
      </c>
      <c r="Y399" s="558">
        <f t="shared" si="51"/>
        <v>0</v>
      </c>
    </row>
    <row r="400" spans="18:25" x14ac:dyDescent="0.2">
      <c r="R400" s="558">
        <v>399</v>
      </c>
      <c r="S400" s="558">
        <f t="shared" si="46"/>
        <v>-313</v>
      </c>
      <c r="T400" s="558">
        <f t="shared" si="47"/>
        <v>-302</v>
      </c>
      <c r="U400" s="558">
        <f t="shared" si="48"/>
        <v>366</v>
      </c>
      <c r="V400" s="558">
        <f t="shared" si="50"/>
        <v>0</v>
      </c>
      <c r="W400" s="558">
        <f t="shared" si="49"/>
        <v>0</v>
      </c>
      <c r="X400" s="558">
        <f t="shared" si="45"/>
        <v>0</v>
      </c>
      <c r="Y400" s="558">
        <f t="shared" si="51"/>
        <v>0</v>
      </c>
    </row>
    <row r="401" spans="18:25" x14ac:dyDescent="0.2">
      <c r="R401" s="558">
        <v>400</v>
      </c>
      <c r="S401" s="558">
        <f t="shared" si="46"/>
        <v>-314</v>
      </c>
      <c r="T401" s="558">
        <f t="shared" si="47"/>
        <v>-303</v>
      </c>
      <c r="U401" s="558">
        <f t="shared" si="48"/>
        <v>367</v>
      </c>
      <c r="V401" s="558">
        <f t="shared" si="50"/>
        <v>0</v>
      </c>
      <c r="W401" s="558">
        <f t="shared" si="49"/>
        <v>0</v>
      </c>
      <c r="X401" s="558">
        <f t="shared" si="45"/>
        <v>0</v>
      </c>
      <c r="Y401" s="558">
        <f t="shared" si="51"/>
        <v>0</v>
      </c>
    </row>
    <row r="402" spans="18:25" x14ac:dyDescent="0.2">
      <c r="R402" s="558">
        <v>401</v>
      </c>
      <c r="S402" s="558">
        <f t="shared" si="46"/>
        <v>-315</v>
      </c>
      <c r="T402" s="558">
        <f t="shared" si="47"/>
        <v>-304</v>
      </c>
      <c r="U402" s="558">
        <f t="shared" si="48"/>
        <v>368</v>
      </c>
      <c r="V402" s="558">
        <f t="shared" si="50"/>
        <v>0</v>
      </c>
      <c r="W402" s="558">
        <f t="shared" si="49"/>
        <v>0</v>
      </c>
      <c r="X402" s="558">
        <f t="shared" si="45"/>
        <v>0</v>
      </c>
      <c r="Y402" s="558">
        <f t="shared" si="51"/>
        <v>0</v>
      </c>
    </row>
    <row r="403" spans="18:25" x14ac:dyDescent="0.2">
      <c r="R403" s="558">
        <v>402</v>
      </c>
      <c r="S403" s="558">
        <f t="shared" si="46"/>
        <v>-316</v>
      </c>
      <c r="T403" s="558">
        <f t="shared" si="47"/>
        <v>-305</v>
      </c>
      <c r="U403" s="558">
        <f t="shared" si="48"/>
        <v>369</v>
      </c>
      <c r="V403" s="558">
        <f t="shared" si="50"/>
        <v>0</v>
      </c>
      <c r="W403" s="558">
        <f t="shared" si="49"/>
        <v>0</v>
      </c>
      <c r="X403" s="558">
        <f t="shared" si="45"/>
        <v>0</v>
      </c>
      <c r="Y403" s="558">
        <f t="shared" si="51"/>
        <v>0</v>
      </c>
    </row>
    <row r="404" spans="18:25" x14ac:dyDescent="0.2">
      <c r="R404" s="558">
        <v>403</v>
      </c>
      <c r="S404" s="558">
        <f t="shared" si="46"/>
        <v>-317</v>
      </c>
      <c r="T404" s="558">
        <f t="shared" si="47"/>
        <v>-306</v>
      </c>
      <c r="U404" s="558">
        <f t="shared" si="48"/>
        <v>370</v>
      </c>
      <c r="V404" s="558">
        <f t="shared" si="50"/>
        <v>0</v>
      </c>
      <c r="W404" s="558">
        <f t="shared" si="49"/>
        <v>0</v>
      </c>
      <c r="X404" s="558">
        <f t="shared" si="45"/>
        <v>0</v>
      </c>
      <c r="Y404" s="558">
        <f t="shared" si="51"/>
        <v>0</v>
      </c>
    </row>
    <row r="405" spans="18:25" x14ac:dyDescent="0.2">
      <c r="R405" s="558">
        <v>404</v>
      </c>
      <c r="S405" s="558">
        <f t="shared" si="46"/>
        <v>-318</v>
      </c>
      <c r="T405" s="558">
        <f t="shared" si="47"/>
        <v>-307</v>
      </c>
      <c r="U405" s="558">
        <f t="shared" si="48"/>
        <v>371</v>
      </c>
      <c r="V405" s="558">
        <f t="shared" si="50"/>
        <v>0</v>
      </c>
      <c r="W405" s="558">
        <f t="shared" si="49"/>
        <v>0</v>
      </c>
      <c r="X405" s="558">
        <f t="shared" si="45"/>
        <v>0</v>
      </c>
      <c r="Y405" s="558">
        <f t="shared" si="51"/>
        <v>0</v>
      </c>
    </row>
    <row r="406" spans="18:25" x14ac:dyDescent="0.2">
      <c r="R406" s="558">
        <v>405</v>
      </c>
      <c r="S406" s="558">
        <f t="shared" si="46"/>
        <v>-319</v>
      </c>
      <c r="T406" s="558">
        <f t="shared" si="47"/>
        <v>-308</v>
      </c>
      <c r="U406" s="558">
        <f t="shared" si="48"/>
        <v>372</v>
      </c>
      <c r="V406" s="558">
        <f t="shared" si="50"/>
        <v>0</v>
      </c>
      <c r="W406" s="558">
        <f t="shared" si="49"/>
        <v>0</v>
      </c>
      <c r="X406" s="558">
        <f t="shared" si="45"/>
        <v>0</v>
      </c>
      <c r="Y406" s="558">
        <f t="shared" si="51"/>
        <v>0</v>
      </c>
    </row>
    <row r="407" spans="18:25" x14ac:dyDescent="0.2">
      <c r="R407" s="558">
        <v>406</v>
      </c>
      <c r="S407" s="558">
        <f t="shared" si="46"/>
        <v>-320</v>
      </c>
      <c r="T407" s="558">
        <f t="shared" si="47"/>
        <v>-309</v>
      </c>
      <c r="U407" s="558">
        <f t="shared" si="48"/>
        <v>373</v>
      </c>
      <c r="V407" s="558">
        <f t="shared" si="50"/>
        <v>0</v>
      </c>
      <c r="W407" s="558">
        <f t="shared" si="49"/>
        <v>0</v>
      </c>
      <c r="X407" s="558">
        <f t="shared" si="45"/>
        <v>0</v>
      </c>
      <c r="Y407" s="558">
        <f t="shared" si="51"/>
        <v>0</v>
      </c>
    </row>
    <row r="408" spans="18:25" x14ac:dyDescent="0.2">
      <c r="R408" s="558">
        <v>407</v>
      </c>
      <c r="S408" s="558">
        <f t="shared" si="46"/>
        <v>-321</v>
      </c>
      <c r="T408" s="558">
        <f t="shared" si="47"/>
        <v>-310</v>
      </c>
      <c r="U408" s="558">
        <f t="shared" si="48"/>
        <v>374</v>
      </c>
      <c r="V408" s="558">
        <f t="shared" si="50"/>
        <v>0</v>
      </c>
      <c r="W408" s="558">
        <f t="shared" si="49"/>
        <v>0</v>
      </c>
      <c r="X408" s="558">
        <f t="shared" si="45"/>
        <v>0</v>
      </c>
      <c r="Y408" s="558">
        <f t="shared" si="51"/>
        <v>0</v>
      </c>
    </row>
    <row r="409" spans="18:25" x14ac:dyDescent="0.2">
      <c r="R409" s="558">
        <v>408</v>
      </c>
      <c r="S409" s="558">
        <f t="shared" si="46"/>
        <v>-322</v>
      </c>
      <c r="T409" s="558">
        <f t="shared" si="47"/>
        <v>-311</v>
      </c>
      <c r="U409" s="558">
        <f t="shared" si="48"/>
        <v>375</v>
      </c>
      <c r="V409" s="558">
        <f t="shared" si="50"/>
        <v>0</v>
      </c>
      <c r="W409" s="558">
        <f t="shared" si="49"/>
        <v>0</v>
      </c>
      <c r="X409" s="558">
        <f t="shared" si="45"/>
        <v>0</v>
      </c>
      <c r="Y409" s="558">
        <f t="shared" si="51"/>
        <v>0</v>
      </c>
    </row>
    <row r="410" spans="18:25" x14ac:dyDescent="0.2">
      <c r="R410" s="558">
        <v>409</v>
      </c>
      <c r="S410" s="558">
        <f t="shared" si="46"/>
        <v>-323</v>
      </c>
      <c r="T410" s="558">
        <f t="shared" si="47"/>
        <v>-312</v>
      </c>
      <c r="U410" s="558">
        <f t="shared" si="48"/>
        <v>376</v>
      </c>
      <c r="V410" s="558">
        <f t="shared" si="50"/>
        <v>0</v>
      </c>
      <c r="W410" s="558">
        <f t="shared" si="49"/>
        <v>0</v>
      </c>
      <c r="X410" s="558">
        <f t="shared" si="45"/>
        <v>0</v>
      </c>
      <c r="Y410" s="558">
        <f t="shared" si="51"/>
        <v>0</v>
      </c>
    </row>
    <row r="411" spans="18:25" x14ac:dyDescent="0.2">
      <c r="R411" s="558">
        <v>410</v>
      </c>
      <c r="S411" s="558">
        <f t="shared" si="46"/>
        <v>-324</v>
      </c>
      <c r="T411" s="558">
        <f t="shared" si="47"/>
        <v>-313</v>
      </c>
      <c r="U411" s="558">
        <f t="shared" si="48"/>
        <v>377</v>
      </c>
      <c r="V411" s="558">
        <f t="shared" si="50"/>
        <v>0</v>
      </c>
      <c r="W411" s="558">
        <f t="shared" si="49"/>
        <v>0</v>
      </c>
      <c r="X411" s="558">
        <f t="shared" si="45"/>
        <v>0</v>
      </c>
      <c r="Y411" s="558">
        <f t="shared" si="51"/>
        <v>0</v>
      </c>
    </row>
    <row r="412" spans="18:25" x14ac:dyDescent="0.2">
      <c r="R412" s="558">
        <v>411</v>
      </c>
      <c r="S412" s="558">
        <f t="shared" si="46"/>
        <v>-325</v>
      </c>
      <c r="T412" s="558">
        <f t="shared" si="47"/>
        <v>-314</v>
      </c>
      <c r="U412" s="558">
        <f t="shared" si="48"/>
        <v>378</v>
      </c>
      <c r="V412" s="558">
        <f t="shared" si="50"/>
        <v>0</v>
      </c>
      <c r="W412" s="558">
        <f t="shared" si="49"/>
        <v>0</v>
      </c>
      <c r="X412" s="558">
        <f t="shared" si="45"/>
        <v>0</v>
      </c>
      <c r="Y412" s="558">
        <f t="shared" si="51"/>
        <v>0</v>
      </c>
    </row>
    <row r="413" spans="18:25" x14ac:dyDescent="0.2">
      <c r="R413" s="558">
        <v>412</v>
      </c>
      <c r="S413" s="558">
        <f t="shared" si="46"/>
        <v>-326</v>
      </c>
      <c r="T413" s="558">
        <f t="shared" si="47"/>
        <v>-315</v>
      </c>
      <c r="U413" s="558">
        <f t="shared" si="48"/>
        <v>379</v>
      </c>
      <c r="V413" s="558">
        <f t="shared" si="50"/>
        <v>0</v>
      </c>
      <c r="W413" s="558">
        <f t="shared" si="49"/>
        <v>0</v>
      </c>
      <c r="X413" s="558">
        <f t="shared" si="45"/>
        <v>0</v>
      </c>
      <c r="Y413" s="558">
        <f t="shared" si="51"/>
        <v>0</v>
      </c>
    </row>
    <row r="414" spans="18:25" x14ac:dyDescent="0.2">
      <c r="R414" s="558">
        <v>413</v>
      </c>
      <c r="S414" s="558">
        <f t="shared" si="46"/>
        <v>-327</v>
      </c>
      <c r="T414" s="558">
        <f t="shared" si="47"/>
        <v>-316</v>
      </c>
      <c r="U414" s="558">
        <f t="shared" si="48"/>
        <v>380</v>
      </c>
      <c r="V414" s="558">
        <f t="shared" si="50"/>
        <v>0</v>
      </c>
      <c r="W414" s="558">
        <f t="shared" si="49"/>
        <v>0</v>
      </c>
      <c r="X414" s="558">
        <f t="shared" si="45"/>
        <v>0</v>
      </c>
      <c r="Y414" s="558">
        <f t="shared" si="51"/>
        <v>0</v>
      </c>
    </row>
    <row r="415" spans="18:25" x14ac:dyDescent="0.2">
      <c r="R415" s="558">
        <v>414</v>
      </c>
      <c r="S415" s="558">
        <f t="shared" si="46"/>
        <v>-328</v>
      </c>
      <c r="T415" s="558">
        <f t="shared" si="47"/>
        <v>-317</v>
      </c>
      <c r="U415" s="558">
        <f t="shared" si="48"/>
        <v>381</v>
      </c>
      <c r="V415" s="558">
        <f t="shared" si="50"/>
        <v>0</v>
      </c>
      <c r="W415" s="558">
        <f t="shared" si="49"/>
        <v>0</v>
      </c>
      <c r="X415" s="558">
        <f t="shared" si="45"/>
        <v>0</v>
      </c>
      <c r="Y415" s="558">
        <f t="shared" si="51"/>
        <v>0</v>
      </c>
    </row>
    <row r="416" spans="18:25" x14ac:dyDescent="0.2">
      <c r="R416" s="558">
        <v>415</v>
      </c>
      <c r="S416" s="558">
        <f t="shared" si="46"/>
        <v>-329</v>
      </c>
      <c r="T416" s="558">
        <f t="shared" si="47"/>
        <v>-318</v>
      </c>
      <c r="U416" s="558">
        <f t="shared" si="48"/>
        <v>382</v>
      </c>
      <c r="V416" s="558">
        <f t="shared" si="50"/>
        <v>0</v>
      </c>
      <c r="W416" s="558">
        <f t="shared" si="49"/>
        <v>0</v>
      </c>
      <c r="X416" s="558">
        <f t="shared" si="45"/>
        <v>0</v>
      </c>
      <c r="Y416" s="558">
        <f t="shared" si="51"/>
        <v>0</v>
      </c>
    </row>
    <row r="417" spans="18:25" x14ac:dyDescent="0.2">
      <c r="R417" s="558">
        <v>416</v>
      </c>
      <c r="S417" s="558">
        <f t="shared" si="46"/>
        <v>-330</v>
      </c>
      <c r="T417" s="558">
        <f t="shared" si="47"/>
        <v>-319</v>
      </c>
      <c r="U417" s="558">
        <f t="shared" si="48"/>
        <v>383</v>
      </c>
      <c r="V417" s="558">
        <f t="shared" si="50"/>
        <v>0</v>
      </c>
      <c r="W417" s="558">
        <f t="shared" si="49"/>
        <v>0</v>
      </c>
      <c r="X417" s="558">
        <f t="shared" si="45"/>
        <v>0</v>
      </c>
      <c r="Y417" s="558">
        <f t="shared" si="51"/>
        <v>0</v>
      </c>
    </row>
    <row r="418" spans="18:25" x14ac:dyDescent="0.2">
      <c r="R418" s="558">
        <v>417</v>
      </c>
      <c r="S418" s="558">
        <f t="shared" si="46"/>
        <v>-331</v>
      </c>
      <c r="T418" s="558">
        <f t="shared" si="47"/>
        <v>-320</v>
      </c>
      <c r="U418" s="558">
        <f t="shared" si="48"/>
        <v>384</v>
      </c>
      <c r="V418" s="558">
        <f t="shared" si="50"/>
        <v>0</v>
      </c>
      <c r="W418" s="558">
        <f t="shared" si="49"/>
        <v>0</v>
      </c>
      <c r="X418" s="558">
        <f t="shared" si="45"/>
        <v>0</v>
      </c>
      <c r="Y418" s="558">
        <f t="shared" si="51"/>
        <v>0</v>
      </c>
    </row>
    <row r="419" spans="18:25" x14ac:dyDescent="0.2">
      <c r="R419" s="558">
        <v>418</v>
      </c>
      <c r="S419" s="558">
        <f t="shared" si="46"/>
        <v>-332</v>
      </c>
      <c r="T419" s="558">
        <f t="shared" si="47"/>
        <v>-321</v>
      </c>
      <c r="U419" s="558">
        <f t="shared" si="48"/>
        <v>385</v>
      </c>
      <c r="V419" s="558">
        <f t="shared" si="50"/>
        <v>0</v>
      </c>
      <c r="W419" s="558">
        <f t="shared" si="49"/>
        <v>0</v>
      </c>
      <c r="X419" s="558">
        <f t="shared" ref="X419:X482" si="52">IF(R419=$B$7,W419,0)</f>
        <v>0</v>
      </c>
      <c r="Y419" s="558">
        <f t="shared" si="51"/>
        <v>0</v>
      </c>
    </row>
    <row r="420" spans="18:25" x14ac:dyDescent="0.2">
      <c r="R420" s="558">
        <v>419</v>
      </c>
      <c r="S420" s="558">
        <f t="shared" si="46"/>
        <v>-333</v>
      </c>
      <c r="T420" s="558">
        <f t="shared" si="47"/>
        <v>-322</v>
      </c>
      <c r="U420" s="558">
        <f t="shared" si="48"/>
        <v>386</v>
      </c>
      <c r="V420" s="558">
        <f t="shared" si="50"/>
        <v>0</v>
      </c>
      <c r="W420" s="558">
        <f t="shared" si="49"/>
        <v>0</v>
      </c>
      <c r="X420" s="558">
        <f t="shared" si="52"/>
        <v>0</v>
      </c>
      <c r="Y420" s="558">
        <f t="shared" si="51"/>
        <v>0</v>
      </c>
    </row>
    <row r="421" spans="18:25" x14ac:dyDescent="0.2">
      <c r="R421" s="558">
        <v>420</v>
      </c>
      <c r="S421" s="558">
        <f t="shared" si="46"/>
        <v>-334</v>
      </c>
      <c r="T421" s="558">
        <f t="shared" si="47"/>
        <v>-323</v>
      </c>
      <c r="U421" s="558">
        <f t="shared" si="48"/>
        <v>387</v>
      </c>
      <c r="V421" s="558">
        <f t="shared" si="50"/>
        <v>0</v>
      </c>
      <c r="W421" s="558">
        <f t="shared" si="49"/>
        <v>0</v>
      </c>
      <c r="X421" s="558">
        <f t="shared" si="52"/>
        <v>0</v>
      </c>
      <c r="Y421" s="558">
        <f t="shared" si="51"/>
        <v>0</v>
      </c>
    </row>
    <row r="422" spans="18:25" x14ac:dyDescent="0.2">
      <c r="R422" s="558">
        <v>421</v>
      </c>
      <c r="S422" s="558">
        <f t="shared" si="46"/>
        <v>-335</v>
      </c>
      <c r="T422" s="558">
        <f t="shared" si="47"/>
        <v>-324</v>
      </c>
      <c r="U422" s="558">
        <f t="shared" si="48"/>
        <v>388</v>
      </c>
      <c r="V422" s="558">
        <f t="shared" si="50"/>
        <v>0</v>
      </c>
      <c r="W422" s="558">
        <f t="shared" si="49"/>
        <v>0</v>
      </c>
      <c r="X422" s="558">
        <f t="shared" si="52"/>
        <v>0</v>
      </c>
      <c r="Y422" s="558">
        <f t="shared" si="51"/>
        <v>0</v>
      </c>
    </row>
    <row r="423" spans="18:25" x14ac:dyDescent="0.2">
      <c r="R423" s="558">
        <v>422</v>
      </c>
      <c r="S423" s="558">
        <f t="shared" si="46"/>
        <v>-336</v>
      </c>
      <c r="T423" s="558">
        <f t="shared" si="47"/>
        <v>-325</v>
      </c>
      <c r="U423" s="558">
        <f t="shared" si="48"/>
        <v>389</v>
      </c>
      <c r="V423" s="558">
        <f t="shared" si="50"/>
        <v>0</v>
      </c>
      <c r="W423" s="558">
        <f t="shared" si="49"/>
        <v>0</v>
      </c>
      <c r="X423" s="558">
        <f t="shared" si="52"/>
        <v>0</v>
      </c>
      <c r="Y423" s="558">
        <f t="shared" si="51"/>
        <v>0</v>
      </c>
    </row>
    <row r="424" spans="18:25" x14ac:dyDescent="0.2">
      <c r="R424" s="558">
        <v>423</v>
      </c>
      <c r="S424" s="558">
        <f t="shared" si="46"/>
        <v>-337</v>
      </c>
      <c r="T424" s="558">
        <f t="shared" si="47"/>
        <v>-326</v>
      </c>
      <c r="U424" s="558">
        <f t="shared" si="48"/>
        <v>390</v>
      </c>
      <c r="V424" s="558">
        <f t="shared" si="50"/>
        <v>0</v>
      </c>
      <c r="W424" s="558">
        <f t="shared" si="49"/>
        <v>0</v>
      </c>
      <c r="X424" s="558">
        <f t="shared" si="52"/>
        <v>0</v>
      </c>
      <c r="Y424" s="558">
        <f t="shared" si="51"/>
        <v>0</v>
      </c>
    </row>
    <row r="425" spans="18:25" x14ac:dyDescent="0.2">
      <c r="R425" s="558">
        <v>424</v>
      </c>
      <c r="S425" s="558">
        <f t="shared" si="46"/>
        <v>-338</v>
      </c>
      <c r="T425" s="558">
        <f t="shared" si="47"/>
        <v>-327</v>
      </c>
      <c r="U425" s="558">
        <f t="shared" si="48"/>
        <v>391</v>
      </c>
      <c r="V425" s="558">
        <f t="shared" si="50"/>
        <v>0</v>
      </c>
      <c r="W425" s="558">
        <f t="shared" si="49"/>
        <v>0</v>
      </c>
      <c r="X425" s="558">
        <f t="shared" si="52"/>
        <v>0</v>
      </c>
      <c r="Y425" s="558">
        <f t="shared" si="51"/>
        <v>0</v>
      </c>
    </row>
    <row r="426" spans="18:25" x14ac:dyDescent="0.2">
      <c r="R426" s="558">
        <v>425</v>
      </c>
      <c r="S426" s="558">
        <f t="shared" si="46"/>
        <v>-339</v>
      </c>
      <c r="T426" s="558">
        <f t="shared" si="47"/>
        <v>-328</v>
      </c>
      <c r="U426" s="558">
        <f t="shared" si="48"/>
        <v>392</v>
      </c>
      <c r="V426" s="558">
        <f t="shared" si="50"/>
        <v>0</v>
      </c>
      <c r="W426" s="558">
        <f t="shared" si="49"/>
        <v>0</v>
      </c>
      <c r="X426" s="558">
        <f t="shared" si="52"/>
        <v>0</v>
      </c>
      <c r="Y426" s="558">
        <f t="shared" si="51"/>
        <v>0</v>
      </c>
    </row>
    <row r="427" spans="18:25" x14ac:dyDescent="0.2">
      <c r="R427" s="558">
        <v>426</v>
      </c>
      <c r="S427" s="558">
        <f t="shared" si="46"/>
        <v>-340</v>
      </c>
      <c r="T427" s="558">
        <f t="shared" si="47"/>
        <v>-329</v>
      </c>
      <c r="U427" s="558">
        <f t="shared" si="48"/>
        <v>393</v>
      </c>
      <c r="V427" s="558">
        <f t="shared" si="50"/>
        <v>0</v>
      </c>
      <c r="W427" s="558">
        <f t="shared" si="49"/>
        <v>0</v>
      </c>
      <c r="X427" s="558">
        <f t="shared" si="52"/>
        <v>0</v>
      </c>
      <c r="Y427" s="558">
        <f t="shared" si="51"/>
        <v>0</v>
      </c>
    </row>
    <row r="428" spans="18:25" x14ac:dyDescent="0.2">
      <c r="R428" s="558">
        <v>427</v>
      </c>
      <c r="S428" s="558">
        <f t="shared" si="46"/>
        <v>-341</v>
      </c>
      <c r="T428" s="558">
        <f t="shared" si="47"/>
        <v>-330</v>
      </c>
      <c r="U428" s="558">
        <f t="shared" si="48"/>
        <v>394</v>
      </c>
      <c r="V428" s="558">
        <f t="shared" si="50"/>
        <v>0</v>
      </c>
      <c r="W428" s="558">
        <f t="shared" si="49"/>
        <v>0</v>
      </c>
      <c r="X428" s="558">
        <f t="shared" si="52"/>
        <v>0</v>
      </c>
      <c r="Y428" s="558">
        <f t="shared" si="51"/>
        <v>0</v>
      </c>
    </row>
    <row r="429" spans="18:25" x14ac:dyDescent="0.2">
      <c r="R429" s="558">
        <v>428</v>
      </c>
      <c r="S429" s="558">
        <f t="shared" si="46"/>
        <v>-342</v>
      </c>
      <c r="T429" s="558">
        <f t="shared" si="47"/>
        <v>-331</v>
      </c>
      <c r="U429" s="558">
        <f t="shared" si="48"/>
        <v>395</v>
      </c>
      <c r="V429" s="558">
        <f t="shared" si="50"/>
        <v>0</v>
      </c>
      <c r="W429" s="558">
        <f t="shared" si="49"/>
        <v>0</v>
      </c>
      <c r="X429" s="558">
        <f t="shared" si="52"/>
        <v>0</v>
      </c>
      <c r="Y429" s="558">
        <f t="shared" si="51"/>
        <v>0</v>
      </c>
    </row>
    <row r="430" spans="18:25" x14ac:dyDescent="0.2">
      <c r="R430" s="558">
        <v>429</v>
      </c>
      <c r="S430" s="558">
        <f t="shared" si="46"/>
        <v>-343</v>
      </c>
      <c r="T430" s="558">
        <f t="shared" si="47"/>
        <v>-332</v>
      </c>
      <c r="U430" s="558">
        <f t="shared" si="48"/>
        <v>396</v>
      </c>
      <c r="V430" s="558">
        <f t="shared" si="50"/>
        <v>0</v>
      </c>
      <c r="W430" s="558">
        <f t="shared" si="49"/>
        <v>0</v>
      </c>
      <c r="X430" s="558">
        <f t="shared" si="52"/>
        <v>0</v>
      </c>
      <c r="Y430" s="558">
        <f t="shared" si="51"/>
        <v>0</v>
      </c>
    </row>
    <row r="431" spans="18:25" x14ac:dyDescent="0.2">
      <c r="R431" s="558">
        <v>430</v>
      </c>
      <c r="S431" s="558">
        <f t="shared" si="46"/>
        <v>-344</v>
      </c>
      <c r="T431" s="558">
        <f t="shared" si="47"/>
        <v>-333</v>
      </c>
      <c r="U431" s="558">
        <f t="shared" si="48"/>
        <v>397</v>
      </c>
      <c r="V431" s="558">
        <f t="shared" si="50"/>
        <v>0</v>
      </c>
      <c r="W431" s="558">
        <f t="shared" si="49"/>
        <v>0</v>
      </c>
      <c r="X431" s="558">
        <f t="shared" si="52"/>
        <v>0</v>
      </c>
      <c r="Y431" s="558">
        <f t="shared" si="51"/>
        <v>0</v>
      </c>
    </row>
    <row r="432" spans="18:25" x14ac:dyDescent="0.2">
      <c r="R432" s="558">
        <v>431</v>
      </c>
      <c r="S432" s="558">
        <f t="shared" si="46"/>
        <v>-345</v>
      </c>
      <c r="T432" s="558">
        <f t="shared" si="47"/>
        <v>-334</v>
      </c>
      <c r="U432" s="558">
        <f t="shared" si="48"/>
        <v>398</v>
      </c>
      <c r="V432" s="558">
        <f t="shared" si="50"/>
        <v>0</v>
      </c>
      <c r="W432" s="558">
        <f t="shared" si="49"/>
        <v>0</v>
      </c>
      <c r="X432" s="558">
        <f t="shared" si="52"/>
        <v>0</v>
      </c>
      <c r="Y432" s="558">
        <f t="shared" si="51"/>
        <v>0</v>
      </c>
    </row>
    <row r="433" spans="18:25" x14ac:dyDescent="0.2">
      <c r="R433" s="558">
        <v>432</v>
      </c>
      <c r="S433" s="558">
        <f t="shared" si="46"/>
        <v>-346</v>
      </c>
      <c r="T433" s="558">
        <f t="shared" si="47"/>
        <v>-335</v>
      </c>
      <c r="U433" s="558">
        <f t="shared" si="48"/>
        <v>399</v>
      </c>
      <c r="V433" s="558">
        <f t="shared" si="50"/>
        <v>0</v>
      </c>
      <c r="W433" s="558">
        <f t="shared" si="49"/>
        <v>0</v>
      </c>
      <c r="X433" s="558">
        <f t="shared" si="52"/>
        <v>0</v>
      </c>
      <c r="Y433" s="558">
        <f t="shared" si="51"/>
        <v>0</v>
      </c>
    </row>
    <row r="434" spans="18:25" x14ac:dyDescent="0.2">
      <c r="R434" s="558">
        <v>433</v>
      </c>
      <c r="S434" s="558">
        <f t="shared" si="46"/>
        <v>-347</v>
      </c>
      <c r="T434" s="558">
        <f t="shared" si="47"/>
        <v>-336</v>
      </c>
      <c r="U434" s="558">
        <f t="shared" si="48"/>
        <v>400</v>
      </c>
      <c r="V434" s="558">
        <f t="shared" si="50"/>
        <v>0</v>
      </c>
      <c r="W434" s="558">
        <f t="shared" si="49"/>
        <v>0</v>
      </c>
      <c r="X434" s="558">
        <f t="shared" si="52"/>
        <v>0</v>
      </c>
      <c r="Y434" s="558">
        <f t="shared" si="51"/>
        <v>0</v>
      </c>
    </row>
    <row r="435" spans="18:25" x14ac:dyDescent="0.2">
      <c r="R435" s="558">
        <v>434</v>
      </c>
      <c r="S435" s="558">
        <f t="shared" si="46"/>
        <v>-348</v>
      </c>
      <c r="T435" s="558">
        <f t="shared" si="47"/>
        <v>-337</v>
      </c>
      <c r="U435" s="558">
        <f t="shared" si="48"/>
        <v>401</v>
      </c>
      <c r="V435" s="558">
        <f t="shared" si="50"/>
        <v>0</v>
      </c>
      <c r="W435" s="558">
        <f t="shared" si="49"/>
        <v>0</v>
      </c>
      <c r="X435" s="558">
        <f t="shared" si="52"/>
        <v>0</v>
      </c>
      <c r="Y435" s="558">
        <f t="shared" si="51"/>
        <v>0</v>
      </c>
    </row>
    <row r="436" spans="18:25" x14ac:dyDescent="0.2">
      <c r="R436" s="558">
        <v>435</v>
      </c>
      <c r="S436" s="558">
        <f t="shared" si="46"/>
        <v>-349</v>
      </c>
      <c r="T436" s="558">
        <f t="shared" si="47"/>
        <v>-338</v>
      </c>
      <c r="U436" s="558">
        <f t="shared" si="48"/>
        <v>402</v>
      </c>
      <c r="V436" s="558">
        <f t="shared" si="50"/>
        <v>0</v>
      </c>
      <c r="W436" s="558">
        <f t="shared" si="49"/>
        <v>0</v>
      </c>
      <c r="X436" s="558">
        <f t="shared" si="52"/>
        <v>0</v>
      </c>
      <c r="Y436" s="558">
        <f t="shared" si="51"/>
        <v>0</v>
      </c>
    </row>
    <row r="437" spans="18:25" x14ac:dyDescent="0.2">
      <c r="R437" s="558">
        <v>436</v>
      </c>
      <c r="S437" s="558">
        <f t="shared" si="46"/>
        <v>-350</v>
      </c>
      <c r="T437" s="558">
        <f t="shared" si="47"/>
        <v>-339</v>
      </c>
      <c r="U437" s="558">
        <f t="shared" si="48"/>
        <v>403</v>
      </c>
      <c r="V437" s="558">
        <f t="shared" si="50"/>
        <v>0</v>
      </c>
      <c r="W437" s="558">
        <f t="shared" si="49"/>
        <v>0</v>
      </c>
      <c r="X437" s="558">
        <f t="shared" si="52"/>
        <v>0</v>
      </c>
      <c r="Y437" s="558">
        <f t="shared" si="51"/>
        <v>0</v>
      </c>
    </row>
    <row r="438" spans="18:25" x14ac:dyDescent="0.2">
      <c r="R438" s="558">
        <v>437</v>
      </c>
      <c r="S438" s="558">
        <f t="shared" si="46"/>
        <v>-351</v>
      </c>
      <c r="T438" s="558">
        <f t="shared" si="47"/>
        <v>-340</v>
      </c>
      <c r="U438" s="558">
        <f t="shared" si="48"/>
        <v>404</v>
      </c>
      <c r="V438" s="558">
        <f t="shared" si="50"/>
        <v>0</v>
      </c>
      <c r="W438" s="558">
        <f t="shared" si="49"/>
        <v>0</v>
      </c>
      <c r="X438" s="558">
        <f t="shared" si="52"/>
        <v>0</v>
      </c>
      <c r="Y438" s="558">
        <f t="shared" si="51"/>
        <v>0</v>
      </c>
    </row>
    <row r="439" spans="18:25" x14ac:dyDescent="0.2">
      <c r="R439" s="558">
        <v>438</v>
      </c>
      <c r="S439" s="558">
        <f t="shared" si="46"/>
        <v>-352</v>
      </c>
      <c r="T439" s="558">
        <f t="shared" si="47"/>
        <v>-341</v>
      </c>
      <c r="U439" s="558">
        <f t="shared" si="48"/>
        <v>405</v>
      </c>
      <c r="V439" s="558">
        <f t="shared" si="50"/>
        <v>0</v>
      </c>
      <c r="W439" s="558">
        <f t="shared" si="49"/>
        <v>0</v>
      </c>
      <c r="X439" s="558">
        <f t="shared" si="52"/>
        <v>0</v>
      </c>
      <c r="Y439" s="558">
        <f t="shared" si="51"/>
        <v>0</v>
      </c>
    </row>
    <row r="440" spans="18:25" x14ac:dyDescent="0.2">
      <c r="R440" s="558">
        <v>439</v>
      </c>
      <c r="S440" s="558">
        <f t="shared" si="46"/>
        <v>-353</v>
      </c>
      <c r="T440" s="558">
        <f t="shared" si="47"/>
        <v>-342</v>
      </c>
      <c r="U440" s="558">
        <f t="shared" si="48"/>
        <v>406</v>
      </c>
      <c r="V440" s="558">
        <f t="shared" si="50"/>
        <v>0</v>
      </c>
      <c r="W440" s="558">
        <f t="shared" si="49"/>
        <v>0</v>
      </c>
      <c r="X440" s="558">
        <f t="shared" si="52"/>
        <v>0</v>
      </c>
      <c r="Y440" s="558">
        <f t="shared" si="51"/>
        <v>0</v>
      </c>
    </row>
    <row r="441" spans="18:25" x14ac:dyDescent="0.2">
      <c r="R441" s="558">
        <v>440</v>
      </c>
      <c r="S441" s="558">
        <f t="shared" si="46"/>
        <v>-354</v>
      </c>
      <c r="T441" s="558">
        <f t="shared" si="47"/>
        <v>-343</v>
      </c>
      <c r="U441" s="558">
        <f t="shared" si="48"/>
        <v>407</v>
      </c>
      <c r="V441" s="558">
        <f t="shared" si="50"/>
        <v>0</v>
      </c>
      <c r="W441" s="558">
        <f t="shared" si="49"/>
        <v>0</v>
      </c>
      <c r="X441" s="558">
        <f t="shared" si="52"/>
        <v>0</v>
      </c>
      <c r="Y441" s="558">
        <f t="shared" si="51"/>
        <v>0</v>
      </c>
    </row>
    <row r="442" spans="18:25" x14ac:dyDescent="0.2">
      <c r="R442" s="558">
        <v>441</v>
      </c>
      <c r="S442" s="558">
        <f t="shared" si="46"/>
        <v>-355</v>
      </c>
      <c r="T442" s="558">
        <f t="shared" si="47"/>
        <v>-344</v>
      </c>
      <c r="U442" s="558">
        <f t="shared" si="48"/>
        <v>408</v>
      </c>
      <c r="V442" s="558">
        <f t="shared" si="50"/>
        <v>0</v>
      </c>
      <c r="W442" s="558">
        <f t="shared" si="49"/>
        <v>0</v>
      </c>
      <c r="X442" s="558">
        <f t="shared" si="52"/>
        <v>0</v>
      </c>
      <c r="Y442" s="558">
        <f t="shared" si="51"/>
        <v>0</v>
      </c>
    </row>
    <row r="443" spans="18:25" x14ac:dyDescent="0.2">
      <c r="R443" s="558">
        <v>442</v>
      </c>
      <c r="S443" s="558">
        <f t="shared" si="46"/>
        <v>-356</v>
      </c>
      <c r="T443" s="558">
        <f t="shared" si="47"/>
        <v>-345</v>
      </c>
      <c r="U443" s="558">
        <f t="shared" si="48"/>
        <v>409</v>
      </c>
      <c r="V443" s="558">
        <f t="shared" si="50"/>
        <v>0</v>
      </c>
      <c r="W443" s="558">
        <f t="shared" si="49"/>
        <v>0</v>
      </c>
      <c r="X443" s="558">
        <f t="shared" si="52"/>
        <v>0</v>
      </c>
      <c r="Y443" s="558">
        <f t="shared" si="51"/>
        <v>0</v>
      </c>
    </row>
    <row r="444" spans="18:25" x14ac:dyDescent="0.2">
      <c r="R444" s="558">
        <v>443</v>
      </c>
      <c r="S444" s="558">
        <f t="shared" si="46"/>
        <v>-357</v>
      </c>
      <c r="T444" s="558">
        <f t="shared" si="47"/>
        <v>-346</v>
      </c>
      <c r="U444" s="558">
        <f t="shared" si="48"/>
        <v>410</v>
      </c>
      <c r="V444" s="558">
        <f t="shared" si="50"/>
        <v>0</v>
      </c>
      <c r="W444" s="558">
        <f t="shared" si="49"/>
        <v>0</v>
      </c>
      <c r="X444" s="558">
        <f t="shared" si="52"/>
        <v>0</v>
      </c>
      <c r="Y444" s="558">
        <f t="shared" si="51"/>
        <v>0</v>
      </c>
    </row>
    <row r="445" spans="18:25" x14ac:dyDescent="0.2">
      <c r="R445" s="558">
        <v>444</v>
      </c>
      <c r="S445" s="558">
        <f t="shared" si="46"/>
        <v>-358</v>
      </c>
      <c r="T445" s="558">
        <f t="shared" si="47"/>
        <v>-347</v>
      </c>
      <c r="U445" s="558">
        <f t="shared" si="48"/>
        <v>411</v>
      </c>
      <c r="V445" s="558">
        <f t="shared" si="50"/>
        <v>0</v>
      </c>
      <c r="W445" s="558">
        <f t="shared" si="49"/>
        <v>0</v>
      </c>
      <c r="X445" s="558">
        <f t="shared" si="52"/>
        <v>0</v>
      </c>
      <c r="Y445" s="558">
        <f t="shared" si="51"/>
        <v>0</v>
      </c>
    </row>
    <row r="446" spans="18:25" x14ac:dyDescent="0.2">
      <c r="R446" s="558">
        <v>445</v>
      </c>
      <c r="S446" s="558">
        <f t="shared" si="46"/>
        <v>-359</v>
      </c>
      <c r="T446" s="558">
        <f t="shared" si="47"/>
        <v>-348</v>
      </c>
      <c r="U446" s="558">
        <f t="shared" si="48"/>
        <v>412</v>
      </c>
      <c r="V446" s="558">
        <f t="shared" si="50"/>
        <v>0</v>
      </c>
      <c r="W446" s="558">
        <f t="shared" si="49"/>
        <v>0</v>
      </c>
      <c r="X446" s="558">
        <f t="shared" si="52"/>
        <v>0</v>
      </c>
      <c r="Y446" s="558">
        <f t="shared" si="51"/>
        <v>0</v>
      </c>
    </row>
    <row r="447" spans="18:25" x14ac:dyDescent="0.2">
      <c r="R447" s="558">
        <v>446</v>
      </c>
      <c r="S447" s="558">
        <f t="shared" si="46"/>
        <v>-360</v>
      </c>
      <c r="T447" s="558">
        <f t="shared" si="47"/>
        <v>-349</v>
      </c>
      <c r="U447" s="558">
        <f t="shared" si="48"/>
        <v>413</v>
      </c>
      <c r="V447" s="558">
        <f t="shared" si="50"/>
        <v>0</v>
      </c>
      <c r="W447" s="558">
        <f t="shared" si="49"/>
        <v>0</v>
      </c>
      <c r="X447" s="558">
        <f t="shared" si="52"/>
        <v>0</v>
      </c>
      <c r="Y447" s="558">
        <f t="shared" si="51"/>
        <v>0</v>
      </c>
    </row>
    <row r="448" spans="18:25" x14ac:dyDescent="0.2">
      <c r="R448" s="558">
        <v>447</v>
      </c>
      <c r="S448" s="558">
        <f t="shared" si="46"/>
        <v>-361</v>
      </c>
      <c r="T448" s="558">
        <f t="shared" si="47"/>
        <v>-350</v>
      </c>
      <c r="U448" s="558">
        <f t="shared" si="48"/>
        <v>414</v>
      </c>
      <c r="V448" s="558">
        <f t="shared" si="50"/>
        <v>0</v>
      </c>
      <c r="W448" s="558">
        <f t="shared" si="49"/>
        <v>0</v>
      </c>
      <c r="X448" s="558">
        <f t="shared" si="52"/>
        <v>0</v>
      </c>
      <c r="Y448" s="558">
        <f t="shared" si="51"/>
        <v>0</v>
      </c>
    </row>
    <row r="449" spans="18:25" x14ac:dyDescent="0.2">
      <c r="R449" s="558">
        <v>448</v>
      </c>
      <c r="S449" s="558">
        <f t="shared" ref="S449:S512" si="53">$D$7-R449</f>
        <v>-362</v>
      </c>
      <c r="T449" s="558">
        <f t="shared" ref="T449:T512" si="54">$B$9-R449</f>
        <v>-351</v>
      </c>
      <c r="U449" s="558">
        <f t="shared" ref="U449:U512" si="55">$D$9-SUM(R449:T449)</f>
        <v>415</v>
      </c>
      <c r="V449" s="558">
        <f t="shared" si="50"/>
        <v>0</v>
      </c>
      <c r="W449" s="558">
        <f t="shared" ref="W449:W512" si="56">_xlfn.HYPGEOM.DIST(R449,R449+T449,R449+S449,SUM(R449:U449),0)</f>
        <v>0</v>
      </c>
      <c r="X449" s="558">
        <f t="shared" si="52"/>
        <v>0</v>
      </c>
      <c r="Y449" s="558">
        <f t="shared" si="51"/>
        <v>0</v>
      </c>
    </row>
    <row r="450" spans="18:25" x14ac:dyDescent="0.2">
      <c r="R450" s="558">
        <v>449</v>
      </c>
      <c r="S450" s="558">
        <f t="shared" si="53"/>
        <v>-363</v>
      </c>
      <c r="T450" s="558">
        <f t="shared" si="54"/>
        <v>-352</v>
      </c>
      <c r="U450" s="558">
        <f t="shared" si="55"/>
        <v>416</v>
      </c>
      <c r="V450" s="558">
        <f t="shared" ref="V450:V513" si="57">IF(S450&gt;=0,IF(T450&gt;=0,IF(U450&gt;=0,1,0),0),0)</f>
        <v>0</v>
      </c>
      <c r="W450" s="558">
        <f t="shared" si="56"/>
        <v>0</v>
      </c>
      <c r="X450" s="558">
        <f t="shared" si="52"/>
        <v>0</v>
      </c>
      <c r="Y450" s="558">
        <f t="shared" ref="Y450:Y513" si="58">IF(W450&lt;=SUM($X$1:$X$1101),W450,0)</f>
        <v>0</v>
      </c>
    </row>
    <row r="451" spans="18:25" x14ac:dyDescent="0.2">
      <c r="R451" s="558">
        <v>450</v>
      </c>
      <c r="S451" s="558">
        <f t="shared" si="53"/>
        <v>-364</v>
      </c>
      <c r="T451" s="558">
        <f t="shared" si="54"/>
        <v>-353</v>
      </c>
      <c r="U451" s="558">
        <f t="shared" si="55"/>
        <v>417</v>
      </c>
      <c r="V451" s="558">
        <f t="shared" si="57"/>
        <v>0</v>
      </c>
      <c r="W451" s="558">
        <f t="shared" si="56"/>
        <v>0</v>
      </c>
      <c r="X451" s="558">
        <f t="shared" si="52"/>
        <v>0</v>
      </c>
      <c r="Y451" s="558">
        <f t="shared" si="58"/>
        <v>0</v>
      </c>
    </row>
    <row r="452" spans="18:25" x14ac:dyDescent="0.2">
      <c r="R452" s="558">
        <v>451</v>
      </c>
      <c r="S452" s="558">
        <f t="shared" si="53"/>
        <v>-365</v>
      </c>
      <c r="T452" s="558">
        <f t="shared" si="54"/>
        <v>-354</v>
      </c>
      <c r="U452" s="558">
        <f t="shared" si="55"/>
        <v>418</v>
      </c>
      <c r="V452" s="558">
        <f t="shared" si="57"/>
        <v>0</v>
      </c>
      <c r="W452" s="558">
        <f t="shared" si="56"/>
        <v>0</v>
      </c>
      <c r="X452" s="558">
        <f t="shared" si="52"/>
        <v>0</v>
      </c>
      <c r="Y452" s="558">
        <f t="shared" si="58"/>
        <v>0</v>
      </c>
    </row>
    <row r="453" spans="18:25" x14ac:dyDescent="0.2">
      <c r="R453" s="558">
        <v>452</v>
      </c>
      <c r="S453" s="558">
        <f t="shared" si="53"/>
        <v>-366</v>
      </c>
      <c r="T453" s="558">
        <f t="shared" si="54"/>
        <v>-355</v>
      </c>
      <c r="U453" s="558">
        <f t="shared" si="55"/>
        <v>419</v>
      </c>
      <c r="V453" s="558">
        <f t="shared" si="57"/>
        <v>0</v>
      </c>
      <c r="W453" s="558">
        <f t="shared" si="56"/>
        <v>0</v>
      </c>
      <c r="X453" s="558">
        <f t="shared" si="52"/>
        <v>0</v>
      </c>
      <c r="Y453" s="558">
        <f t="shared" si="58"/>
        <v>0</v>
      </c>
    </row>
    <row r="454" spans="18:25" x14ac:dyDescent="0.2">
      <c r="R454" s="558">
        <v>453</v>
      </c>
      <c r="S454" s="558">
        <f t="shared" si="53"/>
        <v>-367</v>
      </c>
      <c r="T454" s="558">
        <f t="shared" si="54"/>
        <v>-356</v>
      </c>
      <c r="U454" s="558">
        <f t="shared" si="55"/>
        <v>420</v>
      </c>
      <c r="V454" s="558">
        <f t="shared" si="57"/>
        <v>0</v>
      </c>
      <c r="W454" s="558">
        <f t="shared" si="56"/>
        <v>0</v>
      </c>
      <c r="X454" s="558">
        <f t="shared" si="52"/>
        <v>0</v>
      </c>
      <c r="Y454" s="558">
        <f t="shared" si="58"/>
        <v>0</v>
      </c>
    </row>
    <row r="455" spans="18:25" x14ac:dyDescent="0.2">
      <c r="R455" s="558">
        <v>454</v>
      </c>
      <c r="S455" s="558">
        <f t="shared" si="53"/>
        <v>-368</v>
      </c>
      <c r="T455" s="558">
        <f t="shared" si="54"/>
        <v>-357</v>
      </c>
      <c r="U455" s="558">
        <f t="shared" si="55"/>
        <v>421</v>
      </c>
      <c r="V455" s="558">
        <f t="shared" si="57"/>
        <v>0</v>
      </c>
      <c r="W455" s="558">
        <f t="shared" si="56"/>
        <v>0</v>
      </c>
      <c r="X455" s="558">
        <f t="shared" si="52"/>
        <v>0</v>
      </c>
      <c r="Y455" s="558">
        <f t="shared" si="58"/>
        <v>0</v>
      </c>
    </row>
    <row r="456" spans="18:25" x14ac:dyDescent="0.2">
      <c r="R456" s="558">
        <v>455</v>
      </c>
      <c r="S456" s="558">
        <f t="shared" si="53"/>
        <v>-369</v>
      </c>
      <c r="T456" s="558">
        <f t="shared" si="54"/>
        <v>-358</v>
      </c>
      <c r="U456" s="558">
        <f t="shared" si="55"/>
        <v>422</v>
      </c>
      <c r="V456" s="558">
        <f t="shared" si="57"/>
        <v>0</v>
      </c>
      <c r="W456" s="558">
        <f t="shared" si="56"/>
        <v>0</v>
      </c>
      <c r="X456" s="558">
        <f t="shared" si="52"/>
        <v>0</v>
      </c>
      <c r="Y456" s="558">
        <f t="shared" si="58"/>
        <v>0</v>
      </c>
    </row>
    <row r="457" spans="18:25" x14ac:dyDescent="0.2">
      <c r="R457" s="558">
        <v>456</v>
      </c>
      <c r="S457" s="558">
        <f t="shared" si="53"/>
        <v>-370</v>
      </c>
      <c r="T457" s="558">
        <f t="shared" si="54"/>
        <v>-359</v>
      </c>
      <c r="U457" s="558">
        <f t="shared" si="55"/>
        <v>423</v>
      </c>
      <c r="V457" s="558">
        <f t="shared" si="57"/>
        <v>0</v>
      </c>
      <c r="W457" s="558">
        <f t="shared" si="56"/>
        <v>0</v>
      </c>
      <c r="X457" s="558">
        <f t="shared" si="52"/>
        <v>0</v>
      </c>
      <c r="Y457" s="558">
        <f t="shared" si="58"/>
        <v>0</v>
      </c>
    </row>
    <row r="458" spans="18:25" x14ac:dyDescent="0.2">
      <c r="R458" s="558">
        <v>457</v>
      </c>
      <c r="S458" s="558">
        <f t="shared" si="53"/>
        <v>-371</v>
      </c>
      <c r="T458" s="558">
        <f t="shared" si="54"/>
        <v>-360</v>
      </c>
      <c r="U458" s="558">
        <f t="shared" si="55"/>
        <v>424</v>
      </c>
      <c r="V458" s="558">
        <f t="shared" si="57"/>
        <v>0</v>
      </c>
      <c r="W458" s="558">
        <f t="shared" si="56"/>
        <v>0</v>
      </c>
      <c r="X458" s="558">
        <f t="shared" si="52"/>
        <v>0</v>
      </c>
      <c r="Y458" s="558">
        <f t="shared" si="58"/>
        <v>0</v>
      </c>
    </row>
    <row r="459" spans="18:25" x14ac:dyDescent="0.2">
      <c r="R459" s="558">
        <v>458</v>
      </c>
      <c r="S459" s="558">
        <f t="shared" si="53"/>
        <v>-372</v>
      </c>
      <c r="T459" s="558">
        <f t="shared" si="54"/>
        <v>-361</v>
      </c>
      <c r="U459" s="558">
        <f t="shared" si="55"/>
        <v>425</v>
      </c>
      <c r="V459" s="558">
        <f t="shared" si="57"/>
        <v>0</v>
      </c>
      <c r="W459" s="558">
        <f t="shared" si="56"/>
        <v>0</v>
      </c>
      <c r="X459" s="558">
        <f t="shared" si="52"/>
        <v>0</v>
      </c>
      <c r="Y459" s="558">
        <f t="shared" si="58"/>
        <v>0</v>
      </c>
    </row>
    <row r="460" spans="18:25" x14ac:dyDescent="0.2">
      <c r="R460" s="558">
        <v>459</v>
      </c>
      <c r="S460" s="558">
        <f t="shared" si="53"/>
        <v>-373</v>
      </c>
      <c r="T460" s="558">
        <f t="shared" si="54"/>
        <v>-362</v>
      </c>
      <c r="U460" s="558">
        <f t="shared" si="55"/>
        <v>426</v>
      </c>
      <c r="V460" s="558">
        <f t="shared" si="57"/>
        <v>0</v>
      </c>
      <c r="W460" s="558">
        <f t="shared" si="56"/>
        <v>0</v>
      </c>
      <c r="X460" s="558">
        <f t="shared" si="52"/>
        <v>0</v>
      </c>
      <c r="Y460" s="558">
        <f t="shared" si="58"/>
        <v>0</v>
      </c>
    </row>
    <row r="461" spans="18:25" x14ac:dyDescent="0.2">
      <c r="R461" s="558">
        <v>460</v>
      </c>
      <c r="S461" s="558">
        <f t="shared" si="53"/>
        <v>-374</v>
      </c>
      <c r="T461" s="558">
        <f t="shared" si="54"/>
        <v>-363</v>
      </c>
      <c r="U461" s="558">
        <f t="shared" si="55"/>
        <v>427</v>
      </c>
      <c r="V461" s="558">
        <f t="shared" si="57"/>
        <v>0</v>
      </c>
      <c r="W461" s="558">
        <f t="shared" si="56"/>
        <v>0</v>
      </c>
      <c r="X461" s="558">
        <f t="shared" si="52"/>
        <v>0</v>
      </c>
      <c r="Y461" s="558">
        <f t="shared" si="58"/>
        <v>0</v>
      </c>
    </row>
    <row r="462" spans="18:25" x14ac:dyDescent="0.2">
      <c r="R462" s="558">
        <v>461</v>
      </c>
      <c r="S462" s="558">
        <f t="shared" si="53"/>
        <v>-375</v>
      </c>
      <c r="T462" s="558">
        <f t="shared" si="54"/>
        <v>-364</v>
      </c>
      <c r="U462" s="558">
        <f t="shared" si="55"/>
        <v>428</v>
      </c>
      <c r="V462" s="558">
        <f t="shared" si="57"/>
        <v>0</v>
      </c>
      <c r="W462" s="558">
        <f t="shared" si="56"/>
        <v>0</v>
      </c>
      <c r="X462" s="558">
        <f t="shared" si="52"/>
        <v>0</v>
      </c>
      <c r="Y462" s="558">
        <f t="shared" si="58"/>
        <v>0</v>
      </c>
    </row>
    <row r="463" spans="18:25" x14ac:dyDescent="0.2">
      <c r="R463" s="558">
        <v>462</v>
      </c>
      <c r="S463" s="558">
        <f t="shared" si="53"/>
        <v>-376</v>
      </c>
      <c r="T463" s="558">
        <f t="shared" si="54"/>
        <v>-365</v>
      </c>
      <c r="U463" s="558">
        <f t="shared" si="55"/>
        <v>429</v>
      </c>
      <c r="V463" s="558">
        <f t="shared" si="57"/>
        <v>0</v>
      </c>
      <c r="W463" s="558">
        <f t="shared" si="56"/>
        <v>0</v>
      </c>
      <c r="X463" s="558">
        <f t="shared" si="52"/>
        <v>0</v>
      </c>
      <c r="Y463" s="558">
        <f t="shared" si="58"/>
        <v>0</v>
      </c>
    </row>
    <row r="464" spans="18:25" x14ac:dyDescent="0.2">
      <c r="R464" s="558">
        <v>463</v>
      </c>
      <c r="S464" s="558">
        <f t="shared" si="53"/>
        <v>-377</v>
      </c>
      <c r="T464" s="558">
        <f t="shared" si="54"/>
        <v>-366</v>
      </c>
      <c r="U464" s="558">
        <f t="shared" si="55"/>
        <v>430</v>
      </c>
      <c r="V464" s="558">
        <f t="shared" si="57"/>
        <v>0</v>
      </c>
      <c r="W464" s="558">
        <f t="shared" si="56"/>
        <v>0</v>
      </c>
      <c r="X464" s="558">
        <f t="shared" si="52"/>
        <v>0</v>
      </c>
      <c r="Y464" s="558">
        <f t="shared" si="58"/>
        <v>0</v>
      </c>
    </row>
    <row r="465" spans="18:25" x14ac:dyDescent="0.2">
      <c r="R465" s="558">
        <v>464</v>
      </c>
      <c r="S465" s="558">
        <f t="shared" si="53"/>
        <v>-378</v>
      </c>
      <c r="T465" s="558">
        <f t="shared" si="54"/>
        <v>-367</v>
      </c>
      <c r="U465" s="558">
        <f t="shared" si="55"/>
        <v>431</v>
      </c>
      <c r="V465" s="558">
        <f t="shared" si="57"/>
        <v>0</v>
      </c>
      <c r="W465" s="558">
        <f t="shared" si="56"/>
        <v>0</v>
      </c>
      <c r="X465" s="558">
        <f t="shared" si="52"/>
        <v>0</v>
      </c>
      <c r="Y465" s="558">
        <f t="shared" si="58"/>
        <v>0</v>
      </c>
    </row>
    <row r="466" spans="18:25" x14ac:dyDescent="0.2">
      <c r="R466" s="558">
        <v>465</v>
      </c>
      <c r="S466" s="558">
        <f t="shared" si="53"/>
        <v>-379</v>
      </c>
      <c r="T466" s="558">
        <f t="shared" si="54"/>
        <v>-368</v>
      </c>
      <c r="U466" s="558">
        <f t="shared" si="55"/>
        <v>432</v>
      </c>
      <c r="V466" s="558">
        <f t="shared" si="57"/>
        <v>0</v>
      </c>
      <c r="W466" s="558">
        <f t="shared" si="56"/>
        <v>0</v>
      </c>
      <c r="X466" s="558">
        <f t="shared" si="52"/>
        <v>0</v>
      </c>
      <c r="Y466" s="558">
        <f t="shared" si="58"/>
        <v>0</v>
      </c>
    </row>
    <row r="467" spans="18:25" x14ac:dyDescent="0.2">
      <c r="R467" s="558">
        <v>466</v>
      </c>
      <c r="S467" s="558">
        <f t="shared" si="53"/>
        <v>-380</v>
      </c>
      <c r="T467" s="558">
        <f t="shared" si="54"/>
        <v>-369</v>
      </c>
      <c r="U467" s="558">
        <f t="shared" si="55"/>
        <v>433</v>
      </c>
      <c r="V467" s="558">
        <f t="shared" si="57"/>
        <v>0</v>
      </c>
      <c r="W467" s="558">
        <f t="shared" si="56"/>
        <v>0</v>
      </c>
      <c r="X467" s="558">
        <f t="shared" si="52"/>
        <v>0</v>
      </c>
      <c r="Y467" s="558">
        <f t="shared" si="58"/>
        <v>0</v>
      </c>
    </row>
    <row r="468" spans="18:25" x14ac:dyDescent="0.2">
      <c r="R468" s="558">
        <v>467</v>
      </c>
      <c r="S468" s="558">
        <f t="shared" si="53"/>
        <v>-381</v>
      </c>
      <c r="T468" s="558">
        <f t="shared" si="54"/>
        <v>-370</v>
      </c>
      <c r="U468" s="558">
        <f t="shared" si="55"/>
        <v>434</v>
      </c>
      <c r="V468" s="558">
        <f t="shared" si="57"/>
        <v>0</v>
      </c>
      <c r="W468" s="558">
        <f t="shared" si="56"/>
        <v>0</v>
      </c>
      <c r="X468" s="558">
        <f t="shared" si="52"/>
        <v>0</v>
      </c>
      <c r="Y468" s="558">
        <f t="shared" si="58"/>
        <v>0</v>
      </c>
    </row>
    <row r="469" spans="18:25" x14ac:dyDescent="0.2">
      <c r="R469" s="558">
        <v>468</v>
      </c>
      <c r="S469" s="558">
        <f t="shared" si="53"/>
        <v>-382</v>
      </c>
      <c r="T469" s="558">
        <f t="shared" si="54"/>
        <v>-371</v>
      </c>
      <c r="U469" s="558">
        <f t="shared" si="55"/>
        <v>435</v>
      </c>
      <c r="V469" s="558">
        <f t="shared" si="57"/>
        <v>0</v>
      </c>
      <c r="W469" s="558">
        <f t="shared" si="56"/>
        <v>0</v>
      </c>
      <c r="X469" s="558">
        <f t="shared" si="52"/>
        <v>0</v>
      </c>
      <c r="Y469" s="558">
        <f t="shared" si="58"/>
        <v>0</v>
      </c>
    </row>
    <row r="470" spans="18:25" x14ac:dyDescent="0.2">
      <c r="R470" s="558">
        <v>469</v>
      </c>
      <c r="S470" s="558">
        <f t="shared" si="53"/>
        <v>-383</v>
      </c>
      <c r="T470" s="558">
        <f t="shared" si="54"/>
        <v>-372</v>
      </c>
      <c r="U470" s="558">
        <f t="shared" si="55"/>
        <v>436</v>
      </c>
      <c r="V470" s="558">
        <f t="shared" si="57"/>
        <v>0</v>
      </c>
      <c r="W470" s="558">
        <f t="shared" si="56"/>
        <v>0</v>
      </c>
      <c r="X470" s="558">
        <f t="shared" si="52"/>
        <v>0</v>
      </c>
      <c r="Y470" s="558">
        <f t="shared" si="58"/>
        <v>0</v>
      </c>
    </row>
    <row r="471" spans="18:25" x14ac:dyDescent="0.2">
      <c r="R471" s="558">
        <v>470</v>
      </c>
      <c r="S471" s="558">
        <f t="shared" si="53"/>
        <v>-384</v>
      </c>
      <c r="T471" s="558">
        <f t="shared" si="54"/>
        <v>-373</v>
      </c>
      <c r="U471" s="558">
        <f t="shared" si="55"/>
        <v>437</v>
      </c>
      <c r="V471" s="558">
        <f t="shared" si="57"/>
        <v>0</v>
      </c>
      <c r="W471" s="558">
        <f t="shared" si="56"/>
        <v>0</v>
      </c>
      <c r="X471" s="558">
        <f t="shared" si="52"/>
        <v>0</v>
      </c>
      <c r="Y471" s="558">
        <f t="shared" si="58"/>
        <v>0</v>
      </c>
    </row>
    <row r="472" spans="18:25" x14ac:dyDescent="0.2">
      <c r="R472" s="558">
        <v>471</v>
      </c>
      <c r="S472" s="558">
        <f t="shared" si="53"/>
        <v>-385</v>
      </c>
      <c r="T472" s="558">
        <f t="shared" si="54"/>
        <v>-374</v>
      </c>
      <c r="U472" s="558">
        <f t="shared" si="55"/>
        <v>438</v>
      </c>
      <c r="V472" s="558">
        <f t="shared" si="57"/>
        <v>0</v>
      </c>
      <c r="W472" s="558">
        <f t="shared" si="56"/>
        <v>0</v>
      </c>
      <c r="X472" s="558">
        <f t="shared" si="52"/>
        <v>0</v>
      </c>
      <c r="Y472" s="558">
        <f t="shared" si="58"/>
        <v>0</v>
      </c>
    </row>
    <row r="473" spans="18:25" x14ac:dyDescent="0.2">
      <c r="R473" s="558">
        <v>472</v>
      </c>
      <c r="S473" s="558">
        <f t="shared" si="53"/>
        <v>-386</v>
      </c>
      <c r="T473" s="558">
        <f t="shared" si="54"/>
        <v>-375</v>
      </c>
      <c r="U473" s="558">
        <f t="shared" si="55"/>
        <v>439</v>
      </c>
      <c r="V473" s="558">
        <f t="shared" si="57"/>
        <v>0</v>
      </c>
      <c r="W473" s="558">
        <f t="shared" si="56"/>
        <v>0</v>
      </c>
      <c r="X473" s="558">
        <f t="shared" si="52"/>
        <v>0</v>
      </c>
      <c r="Y473" s="558">
        <f t="shared" si="58"/>
        <v>0</v>
      </c>
    </row>
    <row r="474" spans="18:25" x14ac:dyDescent="0.2">
      <c r="R474" s="558">
        <v>473</v>
      </c>
      <c r="S474" s="558">
        <f t="shared" si="53"/>
        <v>-387</v>
      </c>
      <c r="T474" s="558">
        <f t="shared" si="54"/>
        <v>-376</v>
      </c>
      <c r="U474" s="558">
        <f t="shared" si="55"/>
        <v>440</v>
      </c>
      <c r="V474" s="558">
        <f t="shared" si="57"/>
        <v>0</v>
      </c>
      <c r="W474" s="558">
        <f t="shared" si="56"/>
        <v>0</v>
      </c>
      <c r="X474" s="558">
        <f t="shared" si="52"/>
        <v>0</v>
      </c>
      <c r="Y474" s="558">
        <f t="shared" si="58"/>
        <v>0</v>
      </c>
    </row>
    <row r="475" spans="18:25" x14ac:dyDescent="0.2">
      <c r="R475" s="558">
        <v>474</v>
      </c>
      <c r="S475" s="558">
        <f t="shared" si="53"/>
        <v>-388</v>
      </c>
      <c r="T475" s="558">
        <f t="shared" si="54"/>
        <v>-377</v>
      </c>
      <c r="U475" s="558">
        <f t="shared" si="55"/>
        <v>441</v>
      </c>
      <c r="V475" s="558">
        <f t="shared" si="57"/>
        <v>0</v>
      </c>
      <c r="W475" s="558">
        <f t="shared" si="56"/>
        <v>0</v>
      </c>
      <c r="X475" s="558">
        <f t="shared" si="52"/>
        <v>0</v>
      </c>
      <c r="Y475" s="558">
        <f t="shared" si="58"/>
        <v>0</v>
      </c>
    </row>
    <row r="476" spans="18:25" x14ac:dyDescent="0.2">
      <c r="R476" s="558">
        <v>475</v>
      </c>
      <c r="S476" s="558">
        <f t="shared" si="53"/>
        <v>-389</v>
      </c>
      <c r="T476" s="558">
        <f t="shared" si="54"/>
        <v>-378</v>
      </c>
      <c r="U476" s="558">
        <f t="shared" si="55"/>
        <v>442</v>
      </c>
      <c r="V476" s="558">
        <f t="shared" si="57"/>
        <v>0</v>
      </c>
      <c r="W476" s="558">
        <f t="shared" si="56"/>
        <v>0</v>
      </c>
      <c r="X476" s="558">
        <f t="shared" si="52"/>
        <v>0</v>
      </c>
      <c r="Y476" s="558">
        <f t="shared" si="58"/>
        <v>0</v>
      </c>
    </row>
    <row r="477" spans="18:25" x14ac:dyDescent="0.2">
      <c r="R477" s="558">
        <v>476</v>
      </c>
      <c r="S477" s="558">
        <f t="shared" si="53"/>
        <v>-390</v>
      </c>
      <c r="T477" s="558">
        <f t="shared" si="54"/>
        <v>-379</v>
      </c>
      <c r="U477" s="558">
        <f t="shared" si="55"/>
        <v>443</v>
      </c>
      <c r="V477" s="558">
        <f t="shared" si="57"/>
        <v>0</v>
      </c>
      <c r="W477" s="558">
        <f t="shared" si="56"/>
        <v>0</v>
      </c>
      <c r="X477" s="558">
        <f t="shared" si="52"/>
        <v>0</v>
      </c>
      <c r="Y477" s="558">
        <f t="shared" si="58"/>
        <v>0</v>
      </c>
    </row>
    <row r="478" spans="18:25" x14ac:dyDescent="0.2">
      <c r="R478" s="558">
        <v>477</v>
      </c>
      <c r="S478" s="558">
        <f t="shared" si="53"/>
        <v>-391</v>
      </c>
      <c r="T478" s="558">
        <f t="shared" si="54"/>
        <v>-380</v>
      </c>
      <c r="U478" s="558">
        <f t="shared" si="55"/>
        <v>444</v>
      </c>
      <c r="V478" s="558">
        <f t="shared" si="57"/>
        <v>0</v>
      </c>
      <c r="W478" s="558">
        <f t="shared" si="56"/>
        <v>0</v>
      </c>
      <c r="X478" s="558">
        <f t="shared" si="52"/>
        <v>0</v>
      </c>
      <c r="Y478" s="558">
        <f t="shared" si="58"/>
        <v>0</v>
      </c>
    </row>
    <row r="479" spans="18:25" x14ac:dyDescent="0.2">
      <c r="R479" s="558">
        <v>478</v>
      </c>
      <c r="S479" s="558">
        <f t="shared" si="53"/>
        <v>-392</v>
      </c>
      <c r="T479" s="558">
        <f t="shared" si="54"/>
        <v>-381</v>
      </c>
      <c r="U479" s="558">
        <f t="shared" si="55"/>
        <v>445</v>
      </c>
      <c r="V479" s="558">
        <f t="shared" si="57"/>
        <v>0</v>
      </c>
      <c r="W479" s="558">
        <f t="shared" si="56"/>
        <v>0</v>
      </c>
      <c r="X479" s="558">
        <f t="shared" si="52"/>
        <v>0</v>
      </c>
      <c r="Y479" s="558">
        <f t="shared" si="58"/>
        <v>0</v>
      </c>
    </row>
    <row r="480" spans="18:25" x14ac:dyDescent="0.2">
      <c r="R480" s="558">
        <v>479</v>
      </c>
      <c r="S480" s="558">
        <f t="shared" si="53"/>
        <v>-393</v>
      </c>
      <c r="T480" s="558">
        <f t="shared" si="54"/>
        <v>-382</v>
      </c>
      <c r="U480" s="558">
        <f t="shared" si="55"/>
        <v>446</v>
      </c>
      <c r="V480" s="558">
        <f t="shared" si="57"/>
        <v>0</v>
      </c>
      <c r="W480" s="558">
        <f t="shared" si="56"/>
        <v>0</v>
      </c>
      <c r="X480" s="558">
        <f t="shared" si="52"/>
        <v>0</v>
      </c>
      <c r="Y480" s="558">
        <f t="shared" si="58"/>
        <v>0</v>
      </c>
    </row>
    <row r="481" spans="18:25" x14ac:dyDescent="0.2">
      <c r="R481" s="558">
        <v>480</v>
      </c>
      <c r="S481" s="558">
        <f t="shared" si="53"/>
        <v>-394</v>
      </c>
      <c r="T481" s="558">
        <f t="shared" si="54"/>
        <v>-383</v>
      </c>
      <c r="U481" s="558">
        <f t="shared" si="55"/>
        <v>447</v>
      </c>
      <c r="V481" s="558">
        <f t="shared" si="57"/>
        <v>0</v>
      </c>
      <c r="W481" s="558">
        <f t="shared" si="56"/>
        <v>0</v>
      </c>
      <c r="X481" s="558">
        <f t="shared" si="52"/>
        <v>0</v>
      </c>
      <c r="Y481" s="558">
        <f t="shared" si="58"/>
        <v>0</v>
      </c>
    </row>
    <row r="482" spans="18:25" x14ac:dyDescent="0.2">
      <c r="R482" s="558">
        <v>481</v>
      </c>
      <c r="S482" s="558">
        <f t="shared" si="53"/>
        <v>-395</v>
      </c>
      <c r="T482" s="558">
        <f t="shared" si="54"/>
        <v>-384</v>
      </c>
      <c r="U482" s="558">
        <f t="shared" si="55"/>
        <v>448</v>
      </c>
      <c r="V482" s="558">
        <f t="shared" si="57"/>
        <v>0</v>
      </c>
      <c r="W482" s="558">
        <f t="shared" si="56"/>
        <v>0</v>
      </c>
      <c r="X482" s="558">
        <f t="shared" si="52"/>
        <v>0</v>
      </c>
      <c r="Y482" s="558">
        <f t="shared" si="58"/>
        <v>0</v>
      </c>
    </row>
    <row r="483" spans="18:25" x14ac:dyDescent="0.2">
      <c r="R483" s="558">
        <v>482</v>
      </c>
      <c r="S483" s="558">
        <f t="shared" si="53"/>
        <v>-396</v>
      </c>
      <c r="T483" s="558">
        <f t="shared" si="54"/>
        <v>-385</v>
      </c>
      <c r="U483" s="558">
        <f t="shared" si="55"/>
        <v>449</v>
      </c>
      <c r="V483" s="558">
        <f t="shared" si="57"/>
        <v>0</v>
      </c>
      <c r="W483" s="558">
        <f t="shared" si="56"/>
        <v>0</v>
      </c>
      <c r="X483" s="558">
        <f t="shared" ref="X483:X546" si="59">IF(R483=$B$7,W483,0)</f>
        <v>0</v>
      </c>
      <c r="Y483" s="558">
        <f t="shared" si="58"/>
        <v>0</v>
      </c>
    </row>
    <row r="484" spans="18:25" x14ac:dyDescent="0.2">
      <c r="R484" s="558">
        <v>483</v>
      </c>
      <c r="S484" s="558">
        <f t="shared" si="53"/>
        <v>-397</v>
      </c>
      <c r="T484" s="558">
        <f t="shared" si="54"/>
        <v>-386</v>
      </c>
      <c r="U484" s="558">
        <f t="shared" si="55"/>
        <v>450</v>
      </c>
      <c r="V484" s="558">
        <f t="shared" si="57"/>
        <v>0</v>
      </c>
      <c r="W484" s="558">
        <f t="shared" si="56"/>
        <v>0</v>
      </c>
      <c r="X484" s="558">
        <f t="shared" si="59"/>
        <v>0</v>
      </c>
      <c r="Y484" s="558">
        <f t="shared" si="58"/>
        <v>0</v>
      </c>
    </row>
    <row r="485" spans="18:25" x14ac:dyDescent="0.2">
      <c r="R485" s="558">
        <v>484</v>
      </c>
      <c r="S485" s="558">
        <f t="shared" si="53"/>
        <v>-398</v>
      </c>
      <c r="T485" s="558">
        <f t="shared" si="54"/>
        <v>-387</v>
      </c>
      <c r="U485" s="558">
        <f t="shared" si="55"/>
        <v>451</v>
      </c>
      <c r="V485" s="558">
        <f t="shared" si="57"/>
        <v>0</v>
      </c>
      <c r="W485" s="558">
        <f t="shared" si="56"/>
        <v>0</v>
      </c>
      <c r="X485" s="558">
        <f t="shared" si="59"/>
        <v>0</v>
      </c>
      <c r="Y485" s="558">
        <f t="shared" si="58"/>
        <v>0</v>
      </c>
    </row>
    <row r="486" spans="18:25" x14ac:dyDescent="0.2">
      <c r="R486" s="558">
        <v>485</v>
      </c>
      <c r="S486" s="558">
        <f t="shared" si="53"/>
        <v>-399</v>
      </c>
      <c r="T486" s="558">
        <f t="shared" si="54"/>
        <v>-388</v>
      </c>
      <c r="U486" s="558">
        <f t="shared" si="55"/>
        <v>452</v>
      </c>
      <c r="V486" s="558">
        <f t="shared" si="57"/>
        <v>0</v>
      </c>
      <c r="W486" s="558">
        <f t="shared" si="56"/>
        <v>0</v>
      </c>
      <c r="X486" s="558">
        <f t="shared" si="59"/>
        <v>0</v>
      </c>
      <c r="Y486" s="558">
        <f t="shared" si="58"/>
        <v>0</v>
      </c>
    </row>
    <row r="487" spans="18:25" x14ac:dyDescent="0.2">
      <c r="R487" s="558">
        <v>486</v>
      </c>
      <c r="S487" s="558">
        <f t="shared" si="53"/>
        <v>-400</v>
      </c>
      <c r="T487" s="558">
        <f t="shared" si="54"/>
        <v>-389</v>
      </c>
      <c r="U487" s="558">
        <f t="shared" si="55"/>
        <v>453</v>
      </c>
      <c r="V487" s="558">
        <f t="shared" si="57"/>
        <v>0</v>
      </c>
      <c r="W487" s="558">
        <f t="shared" si="56"/>
        <v>0</v>
      </c>
      <c r="X487" s="558">
        <f t="shared" si="59"/>
        <v>0</v>
      </c>
      <c r="Y487" s="558">
        <f t="shared" si="58"/>
        <v>0</v>
      </c>
    </row>
    <row r="488" spans="18:25" x14ac:dyDescent="0.2">
      <c r="R488" s="558">
        <v>487</v>
      </c>
      <c r="S488" s="558">
        <f t="shared" si="53"/>
        <v>-401</v>
      </c>
      <c r="T488" s="558">
        <f t="shared" si="54"/>
        <v>-390</v>
      </c>
      <c r="U488" s="558">
        <f t="shared" si="55"/>
        <v>454</v>
      </c>
      <c r="V488" s="558">
        <f t="shared" si="57"/>
        <v>0</v>
      </c>
      <c r="W488" s="558">
        <f t="shared" si="56"/>
        <v>0</v>
      </c>
      <c r="X488" s="558">
        <f t="shared" si="59"/>
        <v>0</v>
      </c>
      <c r="Y488" s="558">
        <f t="shared" si="58"/>
        <v>0</v>
      </c>
    </row>
    <row r="489" spans="18:25" x14ac:dyDescent="0.2">
      <c r="R489" s="558">
        <v>488</v>
      </c>
      <c r="S489" s="558">
        <f t="shared" si="53"/>
        <v>-402</v>
      </c>
      <c r="T489" s="558">
        <f t="shared" si="54"/>
        <v>-391</v>
      </c>
      <c r="U489" s="558">
        <f t="shared" si="55"/>
        <v>455</v>
      </c>
      <c r="V489" s="558">
        <f t="shared" si="57"/>
        <v>0</v>
      </c>
      <c r="W489" s="558">
        <f t="shared" si="56"/>
        <v>0</v>
      </c>
      <c r="X489" s="558">
        <f t="shared" si="59"/>
        <v>0</v>
      </c>
      <c r="Y489" s="558">
        <f t="shared" si="58"/>
        <v>0</v>
      </c>
    </row>
    <row r="490" spans="18:25" x14ac:dyDescent="0.2">
      <c r="R490" s="558">
        <v>489</v>
      </c>
      <c r="S490" s="558">
        <f t="shared" si="53"/>
        <v>-403</v>
      </c>
      <c r="T490" s="558">
        <f t="shared" si="54"/>
        <v>-392</v>
      </c>
      <c r="U490" s="558">
        <f t="shared" si="55"/>
        <v>456</v>
      </c>
      <c r="V490" s="558">
        <f t="shared" si="57"/>
        <v>0</v>
      </c>
      <c r="W490" s="558">
        <f t="shared" si="56"/>
        <v>0</v>
      </c>
      <c r="X490" s="558">
        <f t="shared" si="59"/>
        <v>0</v>
      </c>
      <c r="Y490" s="558">
        <f t="shared" si="58"/>
        <v>0</v>
      </c>
    </row>
    <row r="491" spans="18:25" x14ac:dyDescent="0.2">
      <c r="R491" s="558">
        <v>490</v>
      </c>
      <c r="S491" s="558">
        <f t="shared" si="53"/>
        <v>-404</v>
      </c>
      <c r="T491" s="558">
        <f t="shared" si="54"/>
        <v>-393</v>
      </c>
      <c r="U491" s="558">
        <f t="shared" si="55"/>
        <v>457</v>
      </c>
      <c r="V491" s="558">
        <f t="shared" si="57"/>
        <v>0</v>
      </c>
      <c r="W491" s="558">
        <f t="shared" si="56"/>
        <v>0</v>
      </c>
      <c r="X491" s="558">
        <f t="shared" si="59"/>
        <v>0</v>
      </c>
      <c r="Y491" s="558">
        <f t="shared" si="58"/>
        <v>0</v>
      </c>
    </row>
    <row r="492" spans="18:25" x14ac:dyDescent="0.2">
      <c r="R492" s="558">
        <v>491</v>
      </c>
      <c r="S492" s="558">
        <f t="shared" si="53"/>
        <v>-405</v>
      </c>
      <c r="T492" s="558">
        <f t="shared" si="54"/>
        <v>-394</v>
      </c>
      <c r="U492" s="558">
        <f t="shared" si="55"/>
        <v>458</v>
      </c>
      <c r="V492" s="558">
        <f t="shared" si="57"/>
        <v>0</v>
      </c>
      <c r="W492" s="558">
        <f t="shared" si="56"/>
        <v>0</v>
      </c>
      <c r="X492" s="558">
        <f t="shared" si="59"/>
        <v>0</v>
      </c>
      <c r="Y492" s="558">
        <f t="shared" si="58"/>
        <v>0</v>
      </c>
    </row>
    <row r="493" spans="18:25" x14ac:dyDescent="0.2">
      <c r="R493" s="558">
        <v>492</v>
      </c>
      <c r="S493" s="558">
        <f t="shared" si="53"/>
        <v>-406</v>
      </c>
      <c r="T493" s="558">
        <f t="shared" si="54"/>
        <v>-395</v>
      </c>
      <c r="U493" s="558">
        <f t="shared" si="55"/>
        <v>459</v>
      </c>
      <c r="V493" s="558">
        <f t="shared" si="57"/>
        <v>0</v>
      </c>
      <c r="W493" s="558">
        <f t="shared" si="56"/>
        <v>0</v>
      </c>
      <c r="X493" s="558">
        <f t="shared" si="59"/>
        <v>0</v>
      </c>
      <c r="Y493" s="558">
        <f t="shared" si="58"/>
        <v>0</v>
      </c>
    </row>
    <row r="494" spans="18:25" x14ac:dyDescent="0.2">
      <c r="R494" s="558">
        <v>493</v>
      </c>
      <c r="S494" s="558">
        <f t="shared" si="53"/>
        <v>-407</v>
      </c>
      <c r="T494" s="558">
        <f t="shared" si="54"/>
        <v>-396</v>
      </c>
      <c r="U494" s="558">
        <f t="shared" si="55"/>
        <v>460</v>
      </c>
      <c r="V494" s="558">
        <f t="shared" si="57"/>
        <v>0</v>
      </c>
      <c r="W494" s="558">
        <f t="shared" si="56"/>
        <v>0</v>
      </c>
      <c r="X494" s="558">
        <f t="shared" si="59"/>
        <v>0</v>
      </c>
      <c r="Y494" s="558">
        <f t="shared" si="58"/>
        <v>0</v>
      </c>
    </row>
    <row r="495" spans="18:25" x14ac:dyDescent="0.2">
      <c r="R495" s="558">
        <v>494</v>
      </c>
      <c r="S495" s="558">
        <f t="shared" si="53"/>
        <v>-408</v>
      </c>
      <c r="T495" s="558">
        <f t="shared" si="54"/>
        <v>-397</v>
      </c>
      <c r="U495" s="558">
        <f t="shared" si="55"/>
        <v>461</v>
      </c>
      <c r="V495" s="558">
        <f t="shared" si="57"/>
        <v>0</v>
      </c>
      <c r="W495" s="558">
        <f t="shared" si="56"/>
        <v>0</v>
      </c>
      <c r="X495" s="558">
        <f t="shared" si="59"/>
        <v>0</v>
      </c>
      <c r="Y495" s="558">
        <f t="shared" si="58"/>
        <v>0</v>
      </c>
    </row>
    <row r="496" spans="18:25" x14ac:dyDescent="0.2">
      <c r="R496" s="558">
        <v>495</v>
      </c>
      <c r="S496" s="558">
        <f t="shared" si="53"/>
        <v>-409</v>
      </c>
      <c r="T496" s="558">
        <f t="shared" si="54"/>
        <v>-398</v>
      </c>
      <c r="U496" s="558">
        <f t="shared" si="55"/>
        <v>462</v>
      </c>
      <c r="V496" s="558">
        <f t="shared" si="57"/>
        <v>0</v>
      </c>
      <c r="W496" s="558">
        <f t="shared" si="56"/>
        <v>0</v>
      </c>
      <c r="X496" s="558">
        <f t="shared" si="59"/>
        <v>0</v>
      </c>
      <c r="Y496" s="558">
        <f t="shared" si="58"/>
        <v>0</v>
      </c>
    </row>
    <row r="497" spans="18:25" x14ac:dyDescent="0.2">
      <c r="R497" s="558">
        <v>496</v>
      </c>
      <c r="S497" s="558">
        <f t="shared" si="53"/>
        <v>-410</v>
      </c>
      <c r="T497" s="558">
        <f t="shared" si="54"/>
        <v>-399</v>
      </c>
      <c r="U497" s="558">
        <f t="shared" si="55"/>
        <v>463</v>
      </c>
      <c r="V497" s="558">
        <f t="shared" si="57"/>
        <v>0</v>
      </c>
      <c r="W497" s="558">
        <f t="shared" si="56"/>
        <v>0</v>
      </c>
      <c r="X497" s="558">
        <f t="shared" si="59"/>
        <v>0</v>
      </c>
      <c r="Y497" s="558">
        <f t="shared" si="58"/>
        <v>0</v>
      </c>
    </row>
    <row r="498" spans="18:25" x14ac:dyDescent="0.2">
      <c r="R498" s="558">
        <v>497</v>
      </c>
      <c r="S498" s="558">
        <f t="shared" si="53"/>
        <v>-411</v>
      </c>
      <c r="T498" s="558">
        <f t="shared" si="54"/>
        <v>-400</v>
      </c>
      <c r="U498" s="558">
        <f t="shared" si="55"/>
        <v>464</v>
      </c>
      <c r="V498" s="558">
        <f t="shared" si="57"/>
        <v>0</v>
      </c>
      <c r="W498" s="558">
        <f t="shared" si="56"/>
        <v>0</v>
      </c>
      <c r="X498" s="558">
        <f t="shared" si="59"/>
        <v>0</v>
      </c>
      <c r="Y498" s="558">
        <f t="shared" si="58"/>
        <v>0</v>
      </c>
    </row>
    <row r="499" spans="18:25" x14ac:dyDescent="0.2">
      <c r="R499" s="558">
        <v>498</v>
      </c>
      <c r="S499" s="558">
        <f t="shared" si="53"/>
        <v>-412</v>
      </c>
      <c r="T499" s="558">
        <f t="shared" si="54"/>
        <v>-401</v>
      </c>
      <c r="U499" s="558">
        <f t="shared" si="55"/>
        <v>465</v>
      </c>
      <c r="V499" s="558">
        <f t="shared" si="57"/>
        <v>0</v>
      </c>
      <c r="W499" s="558">
        <f t="shared" si="56"/>
        <v>0</v>
      </c>
      <c r="X499" s="558">
        <f t="shared" si="59"/>
        <v>0</v>
      </c>
      <c r="Y499" s="558">
        <f t="shared" si="58"/>
        <v>0</v>
      </c>
    </row>
    <row r="500" spans="18:25" x14ac:dyDescent="0.2">
      <c r="R500" s="558">
        <v>499</v>
      </c>
      <c r="S500" s="558">
        <f t="shared" si="53"/>
        <v>-413</v>
      </c>
      <c r="T500" s="558">
        <f t="shared" si="54"/>
        <v>-402</v>
      </c>
      <c r="U500" s="558">
        <f t="shared" si="55"/>
        <v>466</v>
      </c>
      <c r="V500" s="558">
        <f t="shared" si="57"/>
        <v>0</v>
      </c>
      <c r="W500" s="558">
        <f t="shared" si="56"/>
        <v>0</v>
      </c>
      <c r="X500" s="558">
        <f t="shared" si="59"/>
        <v>0</v>
      </c>
      <c r="Y500" s="558">
        <f t="shared" si="58"/>
        <v>0</v>
      </c>
    </row>
    <row r="501" spans="18:25" x14ac:dyDescent="0.2">
      <c r="R501" s="558">
        <v>500</v>
      </c>
      <c r="S501" s="558">
        <f t="shared" si="53"/>
        <v>-414</v>
      </c>
      <c r="T501" s="558">
        <f t="shared" si="54"/>
        <v>-403</v>
      </c>
      <c r="U501" s="558">
        <f t="shared" si="55"/>
        <v>467</v>
      </c>
      <c r="V501" s="558">
        <f t="shared" si="57"/>
        <v>0</v>
      </c>
      <c r="W501" s="558">
        <f t="shared" si="56"/>
        <v>0</v>
      </c>
      <c r="X501" s="558">
        <f t="shared" si="59"/>
        <v>0</v>
      </c>
      <c r="Y501" s="558">
        <f t="shared" si="58"/>
        <v>0</v>
      </c>
    </row>
    <row r="502" spans="18:25" x14ac:dyDescent="0.2">
      <c r="R502" s="558">
        <v>501</v>
      </c>
      <c r="S502" s="558">
        <f t="shared" si="53"/>
        <v>-415</v>
      </c>
      <c r="T502" s="558">
        <f t="shared" si="54"/>
        <v>-404</v>
      </c>
      <c r="U502" s="558">
        <f t="shared" si="55"/>
        <v>468</v>
      </c>
      <c r="V502" s="558">
        <f t="shared" si="57"/>
        <v>0</v>
      </c>
      <c r="W502" s="558">
        <f t="shared" si="56"/>
        <v>0</v>
      </c>
      <c r="X502" s="558">
        <f t="shared" si="59"/>
        <v>0</v>
      </c>
      <c r="Y502" s="558">
        <f t="shared" si="58"/>
        <v>0</v>
      </c>
    </row>
    <row r="503" spans="18:25" x14ac:dyDescent="0.2">
      <c r="R503" s="558">
        <v>502</v>
      </c>
      <c r="S503" s="558">
        <f t="shared" si="53"/>
        <v>-416</v>
      </c>
      <c r="T503" s="558">
        <f t="shared" si="54"/>
        <v>-405</v>
      </c>
      <c r="U503" s="558">
        <f t="shared" si="55"/>
        <v>469</v>
      </c>
      <c r="V503" s="558">
        <f t="shared" si="57"/>
        <v>0</v>
      </c>
      <c r="W503" s="558">
        <f t="shared" si="56"/>
        <v>0</v>
      </c>
      <c r="X503" s="558">
        <f t="shared" si="59"/>
        <v>0</v>
      </c>
      <c r="Y503" s="558">
        <f t="shared" si="58"/>
        <v>0</v>
      </c>
    </row>
    <row r="504" spans="18:25" x14ac:dyDescent="0.2">
      <c r="R504" s="558">
        <v>503</v>
      </c>
      <c r="S504" s="558">
        <f t="shared" si="53"/>
        <v>-417</v>
      </c>
      <c r="T504" s="558">
        <f t="shared" si="54"/>
        <v>-406</v>
      </c>
      <c r="U504" s="558">
        <f t="shared" si="55"/>
        <v>470</v>
      </c>
      <c r="V504" s="558">
        <f t="shared" si="57"/>
        <v>0</v>
      </c>
      <c r="W504" s="558">
        <f t="shared" si="56"/>
        <v>0</v>
      </c>
      <c r="X504" s="558">
        <f t="shared" si="59"/>
        <v>0</v>
      </c>
      <c r="Y504" s="558">
        <f t="shared" si="58"/>
        <v>0</v>
      </c>
    </row>
    <row r="505" spans="18:25" x14ac:dyDescent="0.2">
      <c r="R505" s="558">
        <v>504</v>
      </c>
      <c r="S505" s="558">
        <f t="shared" si="53"/>
        <v>-418</v>
      </c>
      <c r="T505" s="558">
        <f t="shared" si="54"/>
        <v>-407</v>
      </c>
      <c r="U505" s="558">
        <f t="shared" si="55"/>
        <v>471</v>
      </c>
      <c r="V505" s="558">
        <f t="shared" si="57"/>
        <v>0</v>
      </c>
      <c r="W505" s="558">
        <f t="shared" si="56"/>
        <v>0</v>
      </c>
      <c r="X505" s="558">
        <f t="shared" si="59"/>
        <v>0</v>
      </c>
      <c r="Y505" s="558">
        <f t="shared" si="58"/>
        <v>0</v>
      </c>
    </row>
    <row r="506" spans="18:25" x14ac:dyDescent="0.2">
      <c r="R506" s="558">
        <v>505</v>
      </c>
      <c r="S506" s="558">
        <f t="shared" si="53"/>
        <v>-419</v>
      </c>
      <c r="T506" s="558">
        <f t="shared" si="54"/>
        <v>-408</v>
      </c>
      <c r="U506" s="558">
        <f t="shared" si="55"/>
        <v>472</v>
      </c>
      <c r="V506" s="558">
        <f t="shared" si="57"/>
        <v>0</v>
      </c>
      <c r="W506" s="558">
        <f t="shared" si="56"/>
        <v>0</v>
      </c>
      <c r="X506" s="558">
        <f t="shared" si="59"/>
        <v>0</v>
      </c>
      <c r="Y506" s="558">
        <f t="shared" si="58"/>
        <v>0</v>
      </c>
    </row>
    <row r="507" spans="18:25" x14ac:dyDescent="0.2">
      <c r="R507" s="558">
        <v>506</v>
      </c>
      <c r="S507" s="558">
        <f t="shared" si="53"/>
        <v>-420</v>
      </c>
      <c r="T507" s="558">
        <f t="shared" si="54"/>
        <v>-409</v>
      </c>
      <c r="U507" s="558">
        <f t="shared" si="55"/>
        <v>473</v>
      </c>
      <c r="V507" s="558">
        <f t="shared" si="57"/>
        <v>0</v>
      </c>
      <c r="W507" s="558">
        <f t="shared" si="56"/>
        <v>0</v>
      </c>
      <c r="X507" s="558">
        <f t="shared" si="59"/>
        <v>0</v>
      </c>
      <c r="Y507" s="558">
        <f t="shared" si="58"/>
        <v>0</v>
      </c>
    </row>
    <row r="508" spans="18:25" x14ac:dyDescent="0.2">
      <c r="R508" s="558">
        <v>507</v>
      </c>
      <c r="S508" s="558">
        <f t="shared" si="53"/>
        <v>-421</v>
      </c>
      <c r="T508" s="558">
        <f t="shared" si="54"/>
        <v>-410</v>
      </c>
      <c r="U508" s="558">
        <f t="shared" si="55"/>
        <v>474</v>
      </c>
      <c r="V508" s="558">
        <f t="shared" si="57"/>
        <v>0</v>
      </c>
      <c r="W508" s="558">
        <f t="shared" si="56"/>
        <v>0</v>
      </c>
      <c r="X508" s="558">
        <f t="shared" si="59"/>
        <v>0</v>
      </c>
      <c r="Y508" s="558">
        <f t="shared" si="58"/>
        <v>0</v>
      </c>
    </row>
    <row r="509" spans="18:25" x14ac:dyDescent="0.2">
      <c r="R509" s="558">
        <v>508</v>
      </c>
      <c r="S509" s="558">
        <f t="shared" si="53"/>
        <v>-422</v>
      </c>
      <c r="T509" s="558">
        <f t="shared" si="54"/>
        <v>-411</v>
      </c>
      <c r="U509" s="558">
        <f t="shared" si="55"/>
        <v>475</v>
      </c>
      <c r="V509" s="558">
        <f t="shared" si="57"/>
        <v>0</v>
      </c>
      <c r="W509" s="558">
        <f t="shared" si="56"/>
        <v>0</v>
      </c>
      <c r="X509" s="558">
        <f t="shared" si="59"/>
        <v>0</v>
      </c>
      <c r="Y509" s="558">
        <f t="shared" si="58"/>
        <v>0</v>
      </c>
    </row>
    <row r="510" spans="18:25" x14ac:dyDescent="0.2">
      <c r="R510" s="558">
        <v>509</v>
      </c>
      <c r="S510" s="558">
        <f t="shared" si="53"/>
        <v>-423</v>
      </c>
      <c r="T510" s="558">
        <f t="shared" si="54"/>
        <v>-412</v>
      </c>
      <c r="U510" s="558">
        <f t="shared" si="55"/>
        <v>476</v>
      </c>
      <c r="V510" s="558">
        <f t="shared" si="57"/>
        <v>0</v>
      </c>
      <c r="W510" s="558">
        <f t="shared" si="56"/>
        <v>0</v>
      </c>
      <c r="X510" s="558">
        <f t="shared" si="59"/>
        <v>0</v>
      </c>
      <c r="Y510" s="558">
        <f t="shared" si="58"/>
        <v>0</v>
      </c>
    </row>
    <row r="511" spans="18:25" x14ac:dyDescent="0.2">
      <c r="R511" s="558">
        <v>510</v>
      </c>
      <c r="S511" s="558">
        <f t="shared" si="53"/>
        <v>-424</v>
      </c>
      <c r="T511" s="558">
        <f t="shared" si="54"/>
        <v>-413</v>
      </c>
      <c r="U511" s="558">
        <f t="shared" si="55"/>
        <v>477</v>
      </c>
      <c r="V511" s="558">
        <f t="shared" si="57"/>
        <v>0</v>
      </c>
      <c r="W511" s="558">
        <f t="shared" si="56"/>
        <v>0</v>
      </c>
      <c r="X511" s="558">
        <f t="shared" si="59"/>
        <v>0</v>
      </c>
      <c r="Y511" s="558">
        <f t="shared" si="58"/>
        <v>0</v>
      </c>
    </row>
    <row r="512" spans="18:25" x14ac:dyDescent="0.2">
      <c r="R512" s="558">
        <v>511</v>
      </c>
      <c r="S512" s="558">
        <f t="shared" si="53"/>
        <v>-425</v>
      </c>
      <c r="T512" s="558">
        <f t="shared" si="54"/>
        <v>-414</v>
      </c>
      <c r="U512" s="558">
        <f t="shared" si="55"/>
        <v>478</v>
      </c>
      <c r="V512" s="558">
        <f t="shared" si="57"/>
        <v>0</v>
      </c>
      <c r="W512" s="558">
        <f t="shared" si="56"/>
        <v>0</v>
      </c>
      <c r="X512" s="558">
        <f t="shared" si="59"/>
        <v>0</v>
      </c>
      <c r="Y512" s="558">
        <f t="shared" si="58"/>
        <v>0</v>
      </c>
    </row>
    <row r="513" spans="18:25" x14ac:dyDescent="0.2">
      <c r="R513" s="558">
        <v>512</v>
      </c>
      <c r="S513" s="558">
        <f t="shared" ref="S513:S576" si="60">$D$7-R513</f>
        <v>-426</v>
      </c>
      <c r="T513" s="558">
        <f t="shared" ref="T513:T576" si="61">$B$9-R513</f>
        <v>-415</v>
      </c>
      <c r="U513" s="558">
        <f t="shared" ref="U513:U576" si="62">$D$9-SUM(R513:T513)</f>
        <v>479</v>
      </c>
      <c r="V513" s="558">
        <f t="shared" si="57"/>
        <v>0</v>
      </c>
      <c r="W513" s="558">
        <f t="shared" ref="W513:W576" si="63">_xlfn.HYPGEOM.DIST(R513,R513+T513,R513+S513,SUM(R513:U513),0)</f>
        <v>0</v>
      </c>
      <c r="X513" s="558">
        <f t="shared" si="59"/>
        <v>0</v>
      </c>
      <c r="Y513" s="558">
        <f t="shared" si="58"/>
        <v>0</v>
      </c>
    </row>
    <row r="514" spans="18:25" x14ac:dyDescent="0.2">
      <c r="R514" s="558">
        <v>513</v>
      </c>
      <c r="S514" s="558">
        <f t="shared" si="60"/>
        <v>-427</v>
      </c>
      <c r="T514" s="558">
        <f t="shared" si="61"/>
        <v>-416</v>
      </c>
      <c r="U514" s="558">
        <f t="shared" si="62"/>
        <v>480</v>
      </c>
      <c r="V514" s="558">
        <f t="shared" ref="V514:V577" si="64">IF(S514&gt;=0,IF(T514&gt;=0,IF(U514&gt;=0,1,0),0),0)</f>
        <v>0</v>
      </c>
      <c r="W514" s="558">
        <f t="shared" si="63"/>
        <v>0</v>
      </c>
      <c r="X514" s="558">
        <f t="shared" si="59"/>
        <v>0</v>
      </c>
      <c r="Y514" s="558">
        <f t="shared" ref="Y514:Y577" si="65">IF(W514&lt;=SUM($X$1:$X$1101),W514,0)</f>
        <v>0</v>
      </c>
    </row>
    <row r="515" spans="18:25" x14ac:dyDescent="0.2">
      <c r="R515" s="558">
        <v>514</v>
      </c>
      <c r="S515" s="558">
        <f t="shared" si="60"/>
        <v>-428</v>
      </c>
      <c r="T515" s="558">
        <f t="shared" si="61"/>
        <v>-417</v>
      </c>
      <c r="U515" s="558">
        <f t="shared" si="62"/>
        <v>481</v>
      </c>
      <c r="V515" s="558">
        <f t="shared" si="64"/>
        <v>0</v>
      </c>
      <c r="W515" s="558">
        <f t="shared" si="63"/>
        <v>0</v>
      </c>
      <c r="X515" s="558">
        <f t="shared" si="59"/>
        <v>0</v>
      </c>
      <c r="Y515" s="558">
        <f t="shared" si="65"/>
        <v>0</v>
      </c>
    </row>
    <row r="516" spans="18:25" x14ac:dyDescent="0.2">
      <c r="R516" s="558">
        <v>515</v>
      </c>
      <c r="S516" s="558">
        <f t="shared" si="60"/>
        <v>-429</v>
      </c>
      <c r="T516" s="558">
        <f t="shared" si="61"/>
        <v>-418</v>
      </c>
      <c r="U516" s="558">
        <f t="shared" si="62"/>
        <v>482</v>
      </c>
      <c r="V516" s="558">
        <f t="shared" si="64"/>
        <v>0</v>
      </c>
      <c r="W516" s="558">
        <f t="shared" si="63"/>
        <v>0</v>
      </c>
      <c r="X516" s="558">
        <f t="shared" si="59"/>
        <v>0</v>
      </c>
      <c r="Y516" s="558">
        <f t="shared" si="65"/>
        <v>0</v>
      </c>
    </row>
    <row r="517" spans="18:25" x14ac:dyDescent="0.2">
      <c r="R517" s="558">
        <v>516</v>
      </c>
      <c r="S517" s="558">
        <f t="shared" si="60"/>
        <v>-430</v>
      </c>
      <c r="T517" s="558">
        <f t="shared" si="61"/>
        <v>-419</v>
      </c>
      <c r="U517" s="558">
        <f t="shared" si="62"/>
        <v>483</v>
      </c>
      <c r="V517" s="558">
        <f t="shared" si="64"/>
        <v>0</v>
      </c>
      <c r="W517" s="558">
        <f t="shared" si="63"/>
        <v>0</v>
      </c>
      <c r="X517" s="558">
        <f t="shared" si="59"/>
        <v>0</v>
      </c>
      <c r="Y517" s="558">
        <f t="shared" si="65"/>
        <v>0</v>
      </c>
    </row>
    <row r="518" spans="18:25" x14ac:dyDescent="0.2">
      <c r="R518" s="558">
        <v>517</v>
      </c>
      <c r="S518" s="558">
        <f t="shared" si="60"/>
        <v>-431</v>
      </c>
      <c r="T518" s="558">
        <f t="shared" si="61"/>
        <v>-420</v>
      </c>
      <c r="U518" s="558">
        <f t="shared" si="62"/>
        <v>484</v>
      </c>
      <c r="V518" s="558">
        <f t="shared" si="64"/>
        <v>0</v>
      </c>
      <c r="W518" s="558">
        <f t="shared" si="63"/>
        <v>0</v>
      </c>
      <c r="X518" s="558">
        <f t="shared" si="59"/>
        <v>0</v>
      </c>
      <c r="Y518" s="558">
        <f t="shared" si="65"/>
        <v>0</v>
      </c>
    </row>
    <row r="519" spans="18:25" x14ac:dyDescent="0.2">
      <c r="R519" s="558">
        <v>518</v>
      </c>
      <c r="S519" s="558">
        <f t="shared" si="60"/>
        <v>-432</v>
      </c>
      <c r="T519" s="558">
        <f t="shared" si="61"/>
        <v>-421</v>
      </c>
      <c r="U519" s="558">
        <f t="shared" si="62"/>
        <v>485</v>
      </c>
      <c r="V519" s="558">
        <f t="shared" si="64"/>
        <v>0</v>
      </c>
      <c r="W519" s="558">
        <f t="shared" si="63"/>
        <v>0</v>
      </c>
      <c r="X519" s="558">
        <f t="shared" si="59"/>
        <v>0</v>
      </c>
      <c r="Y519" s="558">
        <f t="shared" si="65"/>
        <v>0</v>
      </c>
    </row>
    <row r="520" spans="18:25" x14ac:dyDescent="0.2">
      <c r="R520" s="558">
        <v>519</v>
      </c>
      <c r="S520" s="558">
        <f t="shared" si="60"/>
        <v>-433</v>
      </c>
      <c r="T520" s="558">
        <f t="shared" si="61"/>
        <v>-422</v>
      </c>
      <c r="U520" s="558">
        <f t="shared" si="62"/>
        <v>486</v>
      </c>
      <c r="V520" s="558">
        <f t="shared" si="64"/>
        <v>0</v>
      </c>
      <c r="W520" s="558">
        <f t="shared" si="63"/>
        <v>0</v>
      </c>
      <c r="X520" s="558">
        <f t="shared" si="59"/>
        <v>0</v>
      </c>
      <c r="Y520" s="558">
        <f t="shared" si="65"/>
        <v>0</v>
      </c>
    </row>
    <row r="521" spans="18:25" x14ac:dyDescent="0.2">
      <c r="R521" s="558">
        <v>520</v>
      </c>
      <c r="S521" s="558">
        <f t="shared" si="60"/>
        <v>-434</v>
      </c>
      <c r="T521" s="558">
        <f t="shared" si="61"/>
        <v>-423</v>
      </c>
      <c r="U521" s="558">
        <f t="shared" si="62"/>
        <v>487</v>
      </c>
      <c r="V521" s="558">
        <f t="shared" si="64"/>
        <v>0</v>
      </c>
      <c r="W521" s="558">
        <f t="shared" si="63"/>
        <v>0</v>
      </c>
      <c r="X521" s="558">
        <f t="shared" si="59"/>
        <v>0</v>
      </c>
      <c r="Y521" s="558">
        <f t="shared" si="65"/>
        <v>0</v>
      </c>
    </row>
    <row r="522" spans="18:25" x14ac:dyDescent="0.2">
      <c r="R522" s="558">
        <v>521</v>
      </c>
      <c r="S522" s="558">
        <f t="shared" si="60"/>
        <v>-435</v>
      </c>
      <c r="T522" s="558">
        <f t="shared" si="61"/>
        <v>-424</v>
      </c>
      <c r="U522" s="558">
        <f t="shared" si="62"/>
        <v>488</v>
      </c>
      <c r="V522" s="558">
        <f t="shared" si="64"/>
        <v>0</v>
      </c>
      <c r="W522" s="558">
        <f t="shared" si="63"/>
        <v>0</v>
      </c>
      <c r="X522" s="558">
        <f t="shared" si="59"/>
        <v>0</v>
      </c>
      <c r="Y522" s="558">
        <f t="shared" si="65"/>
        <v>0</v>
      </c>
    </row>
    <row r="523" spans="18:25" x14ac:dyDescent="0.2">
      <c r="R523" s="558">
        <v>522</v>
      </c>
      <c r="S523" s="558">
        <f t="shared" si="60"/>
        <v>-436</v>
      </c>
      <c r="T523" s="558">
        <f t="shared" si="61"/>
        <v>-425</v>
      </c>
      <c r="U523" s="558">
        <f t="shared" si="62"/>
        <v>489</v>
      </c>
      <c r="V523" s="558">
        <f t="shared" si="64"/>
        <v>0</v>
      </c>
      <c r="W523" s="558">
        <f t="shared" si="63"/>
        <v>0</v>
      </c>
      <c r="X523" s="558">
        <f t="shared" si="59"/>
        <v>0</v>
      </c>
      <c r="Y523" s="558">
        <f t="shared" si="65"/>
        <v>0</v>
      </c>
    </row>
    <row r="524" spans="18:25" x14ac:dyDescent="0.2">
      <c r="R524" s="558">
        <v>523</v>
      </c>
      <c r="S524" s="558">
        <f t="shared" si="60"/>
        <v>-437</v>
      </c>
      <c r="T524" s="558">
        <f t="shared" si="61"/>
        <v>-426</v>
      </c>
      <c r="U524" s="558">
        <f t="shared" si="62"/>
        <v>490</v>
      </c>
      <c r="V524" s="558">
        <f t="shared" si="64"/>
        <v>0</v>
      </c>
      <c r="W524" s="558">
        <f t="shared" si="63"/>
        <v>0</v>
      </c>
      <c r="X524" s="558">
        <f t="shared" si="59"/>
        <v>0</v>
      </c>
      <c r="Y524" s="558">
        <f t="shared" si="65"/>
        <v>0</v>
      </c>
    </row>
    <row r="525" spans="18:25" x14ac:dyDescent="0.2">
      <c r="R525" s="558">
        <v>524</v>
      </c>
      <c r="S525" s="558">
        <f t="shared" si="60"/>
        <v>-438</v>
      </c>
      <c r="T525" s="558">
        <f t="shared" si="61"/>
        <v>-427</v>
      </c>
      <c r="U525" s="558">
        <f t="shared" si="62"/>
        <v>491</v>
      </c>
      <c r="V525" s="558">
        <f t="shared" si="64"/>
        <v>0</v>
      </c>
      <c r="W525" s="558">
        <f t="shared" si="63"/>
        <v>0</v>
      </c>
      <c r="X525" s="558">
        <f t="shared" si="59"/>
        <v>0</v>
      </c>
      <c r="Y525" s="558">
        <f t="shared" si="65"/>
        <v>0</v>
      </c>
    </row>
    <row r="526" spans="18:25" x14ac:dyDescent="0.2">
      <c r="R526" s="558">
        <v>525</v>
      </c>
      <c r="S526" s="558">
        <f t="shared" si="60"/>
        <v>-439</v>
      </c>
      <c r="T526" s="558">
        <f t="shared" si="61"/>
        <v>-428</v>
      </c>
      <c r="U526" s="558">
        <f t="shared" si="62"/>
        <v>492</v>
      </c>
      <c r="V526" s="558">
        <f t="shared" si="64"/>
        <v>0</v>
      </c>
      <c r="W526" s="558">
        <f t="shared" si="63"/>
        <v>0</v>
      </c>
      <c r="X526" s="558">
        <f t="shared" si="59"/>
        <v>0</v>
      </c>
      <c r="Y526" s="558">
        <f t="shared" si="65"/>
        <v>0</v>
      </c>
    </row>
    <row r="527" spans="18:25" x14ac:dyDescent="0.2">
      <c r="R527" s="558">
        <v>526</v>
      </c>
      <c r="S527" s="558">
        <f t="shared" si="60"/>
        <v>-440</v>
      </c>
      <c r="T527" s="558">
        <f t="shared" si="61"/>
        <v>-429</v>
      </c>
      <c r="U527" s="558">
        <f t="shared" si="62"/>
        <v>493</v>
      </c>
      <c r="V527" s="558">
        <f t="shared" si="64"/>
        <v>0</v>
      </c>
      <c r="W527" s="558">
        <f t="shared" si="63"/>
        <v>0</v>
      </c>
      <c r="X527" s="558">
        <f t="shared" si="59"/>
        <v>0</v>
      </c>
      <c r="Y527" s="558">
        <f t="shared" si="65"/>
        <v>0</v>
      </c>
    </row>
    <row r="528" spans="18:25" x14ac:dyDescent="0.2">
      <c r="R528" s="558">
        <v>527</v>
      </c>
      <c r="S528" s="558">
        <f t="shared" si="60"/>
        <v>-441</v>
      </c>
      <c r="T528" s="558">
        <f t="shared" si="61"/>
        <v>-430</v>
      </c>
      <c r="U528" s="558">
        <f t="shared" si="62"/>
        <v>494</v>
      </c>
      <c r="V528" s="558">
        <f t="shared" si="64"/>
        <v>0</v>
      </c>
      <c r="W528" s="558">
        <f t="shared" si="63"/>
        <v>0</v>
      </c>
      <c r="X528" s="558">
        <f t="shared" si="59"/>
        <v>0</v>
      </c>
      <c r="Y528" s="558">
        <f t="shared" si="65"/>
        <v>0</v>
      </c>
    </row>
    <row r="529" spans="18:25" x14ac:dyDescent="0.2">
      <c r="R529" s="558">
        <v>528</v>
      </c>
      <c r="S529" s="558">
        <f t="shared" si="60"/>
        <v>-442</v>
      </c>
      <c r="T529" s="558">
        <f t="shared" si="61"/>
        <v>-431</v>
      </c>
      <c r="U529" s="558">
        <f t="shared" si="62"/>
        <v>495</v>
      </c>
      <c r="V529" s="558">
        <f t="shared" si="64"/>
        <v>0</v>
      </c>
      <c r="W529" s="558">
        <f t="shared" si="63"/>
        <v>0</v>
      </c>
      <c r="X529" s="558">
        <f t="shared" si="59"/>
        <v>0</v>
      </c>
      <c r="Y529" s="558">
        <f t="shared" si="65"/>
        <v>0</v>
      </c>
    </row>
    <row r="530" spans="18:25" x14ac:dyDescent="0.2">
      <c r="R530" s="558">
        <v>529</v>
      </c>
      <c r="S530" s="558">
        <f t="shared" si="60"/>
        <v>-443</v>
      </c>
      <c r="T530" s="558">
        <f t="shared" si="61"/>
        <v>-432</v>
      </c>
      <c r="U530" s="558">
        <f t="shared" si="62"/>
        <v>496</v>
      </c>
      <c r="V530" s="558">
        <f t="shared" si="64"/>
        <v>0</v>
      </c>
      <c r="W530" s="558">
        <f t="shared" si="63"/>
        <v>0</v>
      </c>
      <c r="X530" s="558">
        <f t="shared" si="59"/>
        <v>0</v>
      </c>
      <c r="Y530" s="558">
        <f t="shared" si="65"/>
        <v>0</v>
      </c>
    </row>
    <row r="531" spans="18:25" x14ac:dyDescent="0.2">
      <c r="R531" s="558">
        <v>530</v>
      </c>
      <c r="S531" s="558">
        <f t="shared" si="60"/>
        <v>-444</v>
      </c>
      <c r="T531" s="558">
        <f t="shared" si="61"/>
        <v>-433</v>
      </c>
      <c r="U531" s="558">
        <f t="shared" si="62"/>
        <v>497</v>
      </c>
      <c r="V531" s="558">
        <f t="shared" si="64"/>
        <v>0</v>
      </c>
      <c r="W531" s="558">
        <f t="shared" si="63"/>
        <v>0</v>
      </c>
      <c r="X531" s="558">
        <f t="shared" si="59"/>
        <v>0</v>
      </c>
      <c r="Y531" s="558">
        <f t="shared" si="65"/>
        <v>0</v>
      </c>
    </row>
    <row r="532" spans="18:25" x14ac:dyDescent="0.2">
      <c r="R532" s="558">
        <v>531</v>
      </c>
      <c r="S532" s="558">
        <f t="shared" si="60"/>
        <v>-445</v>
      </c>
      <c r="T532" s="558">
        <f t="shared" si="61"/>
        <v>-434</v>
      </c>
      <c r="U532" s="558">
        <f t="shared" si="62"/>
        <v>498</v>
      </c>
      <c r="V532" s="558">
        <f t="shared" si="64"/>
        <v>0</v>
      </c>
      <c r="W532" s="558">
        <f t="shared" si="63"/>
        <v>0</v>
      </c>
      <c r="X532" s="558">
        <f t="shared" si="59"/>
        <v>0</v>
      </c>
      <c r="Y532" s="558">
        <f t="shared" si="65"/>
        <v>0</v>
      </c>
    </row>
    <row r="533" spans="18:25" x14ac:dyDescent="0.2">
      <c r="R533" s="558">
        <v>532</v>
      </c>
      <c r="S533" s="558">
        <f t="shared" si="60"/>
        <v>-446</v>
      </c>
      <c r="T533" s="558">
        <f t="shared" si="61"/>
        <v>-435</v>
      </c>
      <c r="U533" s="558">
        <f t="shared" si="62"/>
        <v>499</v>
      </c>
      <c r="V533" s="558">
        <f t="shared" si="64"/>
        <v>0</v>
      </c>
      <c r="W533" s="558">
        <f t="shared" si="63"/>
        <v>0</v>
      </c>
      <c r="X533" s="558">
        <f t="shared" si="59"/>
        <v>0</v>
      </c>
      <c r="Y533" s="558">
        <f t="shared" si="65"/>
        <v>0</v>
      </c>
    </row>
    <row r="534" spans="18:25" x14ac:dyDescent="0.2">
      <c r="R534" s="558">
        <v>533</v>
      </c>
      <c r="S534" s="558">
        <f t="shared" si="60"/>
        <v>-447</v>
      </c>
      <c r="T534" s="558">
        <f t="shared" si="61"/>
        <v>-436</v>
      </c>
      <c r="U534" s="558">
        <f t="shared" si="62"/>
        <v>500</v>
      </c>
      <c r="V534" s="558">
        <f t="shared" si="64"/>
        <v>0</v>
      </c>
      <c r="W534" s="558">
        <f t="shared" si="63"/>
        <v>0</v>
      </c>
      <c r="X534" s="558">
        <f t="shared" si="59"/>
        <v>0</v>
      </c>
      <c r="Y534" s="558">
        <f t="shared" si="65"/>
        <v>0</v>
      </c>
    </row>
    <row r="535" spans="18:25" x14ac:dyDescent="0.2">
      <c r="R535" s="558">
        <v>534</v>
      </c>
      <c r="S535" s="558">
        <f t="shared" si="60"/>
        <v>-448</v>
      </c>
      <c r="T535" s="558">
        <f t="shared" si="61"/>
        <v>-437</v>
      </c>
      <c r="U535" s="558">
        <f t="shared" si="62"/>
        <v>501</v>
      </c>
      <c r="V535" s="558">
        <f t="shared" si="64"/>
        <v>0</v>
      </c>
      <c r="W535" s="558">
        <f t="shared" si="63"/>
        <v>0</v>
      </c>
      <c r="X535" s="558">
        <f t="shared" si="59"/>
        <v>0</v>
      </c>
      <c r="Y535" s="558">
        <f t="shared" si="65"/>
        <v>0</v>
      </c>
    </row>
    <row r="536" spans="18:25" x14ac:dyDescent="0.2">
      <c r="R536" s="558">
        <v>535</v>
      </c>
      <c r="S536" s="558">
        <f t="shared" si="60"/>
        <v>-449</v>
      </c>
      <c r="T536" s="558">
        <f t="shared" si="61"/>
        <v>-438</v>
      </c>
      <c r="U536" s="558">
        <f t="shared" si="62"/>
        <v>502</v>
      </c>
      <c r="V536" s="558">
        <f t="shared" si="64"/>
        <v>0</v>
      </c>
      <c r="W536" s="558">
        <f t="shared" si="63"/>
        <v>0</v>
      </c>
      <c r="X536" s="558">
        <f t="shared" si="59"/>
        <v>0</v>
      </c>
      <c r="Y536" s="558">
        <f t="shared" si="65"/>
        <v>0</v>
      </c>
    </row>
    <row r="537" spans="18:25" x14ac:dyDescent="0.2">
      <c r="R537" s="558">
        <v>536</v>
      </c>
      <c r="S537" s="558">
        <f t="shared" si="60"/>
        <v>-450</v>
      </c>
      <c r="T537" s="558">
        <f t="shared" si="61"/>
        <v>-439</v>
      </c>
      <c r="U537" s="558">
        <f t="shared" si="62"/>
        <v>503</v>
      </c>
      <c r="V537" s="558">
        <f t="shared" si="64"/>
        <v>0</v>
      </c>
      <c r="W537" s="558">
        <f t="shared" si="63"/>
        <v>0</v>
      </c>
      <c r="X537" s="558">
        <f t="shared" si="59"/>
        <v>0</v>
      </c>
      <c r="Y537" s="558">
        <f t="shared" si="65"/>
        <v>0</v>
      </c>
    </row>
    <row r="538" spans="18:25" x14ac:dyDescent="0.2">
      <c r="R538" s="558">
        <v>537</v>
      </c>
      <c r="S538" s="558">
        <f t="shared" si="60"/>
        <v>-451</v>
      </c>
      <c r="T538" s="558">
        <f t="shared" si="61"/>
        <v>-440</v>
      </c>
      <c r="U538" s="558">
        <f t="shared" si="62"/>
        <v>504</v>
      </c>
      <c r="V538" s="558">
        <f t="shared" si="64"/>
        <v>0</v>
      </c>
      <c r="W538" s="558">
        <f t="shared" si="63"/>
        <v>0</v>
      </c>
      <c r="X538" s="558">
        <f t="shared" si="59"/>
        <v>0</v>
      </c>
      <c r="Y538" s="558">
        <f t="shared" si="65"/>
        <v>0</v>
      </c>
    </row>
    <row r="539" spans="18:25" x14ac:dyDescent="0.2">
      <c r="R539" s="558">
        <v>538</v>
      </c>
      <c r="S539" s="558">
        <f t="shared" si="60"/>
        <v>-452</v>
      </c>
      <c r="T539" s="558">
        <f t="shared" si="61"/>
        <v>-441</v>
      </c>
      <c r="U539" s="558">
        <f t="shared" si="62"/>
        <v>505</v>
      </c>
      <c r="V539" s="558">
        <f t="shared" si="64"/>
        <v>0</v>
      </c>
      <c r="W539" s="558">
        <f t="shared" si="63"/>
        <v>0</v>
      </c>
      <c r="X539" s="558">
        <f t="shared" si="59"/>
        <v>0</v>
      </c>
      <c r="Y539" s="558">
        <f t="shared" si="65"/>
        <v>0</v>
      </c>
    </row>
    <row r="540" spans="18:25" x14ac:dyDescent="0.2">
      <c r="R540" s="558">
        <v>539</v>
      </c>
      <c r="S540" s="558">
        <f t="shared" si="60"/>
        <v>-453</v>
      </c>
      <c r="T540" s="558">
        <f t="shared" si="61"/>
        <v>-442</v>
      </c>
      <c r="U540" s="558">
        <f t="shared" si="62"/>
        <v>506</v>
      </c>
      <c r="V540" s="558">
        <f t="shared" si="64"/>
        <v>0</v>
      </c>
      <c r="W540" s="558">
        <f t="shared" si="63"/>
        <v>0</v>
      </c>
      <c r="X540" s="558">
        <f t="shared" si="59"/>
        <v>0</v>
      </c>
      <c r="Y540" s="558">
        <f t="shared" si="65"/>
        <v>0</v>
      </c>
    </row>
    <row r="541" spans="18:25" x14ac:dyDescent="0.2">
      <c r="R541" s="558">
        <v>540</v>
      </c>
      <c r="S541" s="558">
        <f t="shared" si="60"/>
        <v>-454</v>
      </c>
      <c r="T541" s="558">
        <f t="shared" si="61"/>
        <v>-443</v>
      </c>
      <c r="U541" s="558">
        <f t="shared" si="62"/>
        <v>507</v>
      </c>
      <c r="V541" s="558">
        <f t="shared" si="64"/>
        <v>0</v>
      </c>
      <c r="W541" s="558">
        <f t="shared" si="63"/>
        <v>0</v>
      </c>
      <c r="X541" s="558">
        <f t="shared" si="59"/>
        <v>0</v>
      </c>
      <c r="Y541" s="558">
        <f t="shared" si="65"/>
        <v>0</v>
      </c>
    </row>
    <row r="542" spans="18:25" x14ac:dyDescent="0.2">
      <c r="R542" s="558">
        <v>541</v>
      </c>
      <c r="S542" s="558">
        <f t="shared" si="60"/>
        <v>-455</v>
      </c>
      <c r="T542" s="558">
        <f t="shared" si="61"/>
        <v>-444</v>
      </c>
      <c r="U542" s="558">
        <f t="shared" si="62"/>
        <v>508</v>
      </c>
      <c r="V542" s="558">
        <f t="shared" si="64"/>
        <v>0</v>
      </c>
      <c r="W542" s="558">
        <f t="shared" si="63"/>
        <v>0</v>
      </c>
      <c r="X542" s="558">
        <f t="shared" si="59"/>
        <v>0</v>
      </c>
      <c r="Y542" s="558">
        <f t="shared" si="65"/>
        <v>0</v>
      </c>
    </row>
    <row r="543" spans="18:25" x14ac:dyDescent="0.2">
      <c r="R543" s="558">
        <v>542</v>
      </c>
      <c r="S543" s="558">
        <f t="shared" si="60"/>
        <v>-456</v>
      </c>
      <c r="T543" s="558">
        <f t="shared" si="61"/>
        <v>-445</v>
      </c>
      <c r="U543" s="558">
        <f t="shared" si="62"/>
        <v>509</v>
      </c>
      <c r="V543" s="558">
        <f t="shared" si="64"/>
        <v>0</v>
      </c>
      <c r="W543" s="558">
        <f t="shared" si="63"/>
        <v>0</v>
      </c>
      <c r="X543" s="558">
        <f t="shared" si="59"/>
        <v>0</v>
      </c>
      <c r="Y543" s="558">
        <f t="shared" si="65"/>
        <v>0</v>
      </c>
    </row>
    <row r="544" spans="18:25" x14ac:dyDescent="0.2">
      <c r="R544" s="558">
        <v>543</v>
      </c>
      <c r="S544" s="558">
        <f t="shared" si="60"/>
        <v>-457</v>
      </c>
      <c r="T544" s="558">
        <f t="shared" si="61"/>
        <v>-446</v>
      </c>
      <c r="U544" s="558">
        <f t="shared" si="62"/>
        <v>510</v>
      </c>
      <c r="V544" s="558">
        <f t="shared" si="64"/>
        <v>0</v>
      </c>
      <c r="W544" s="558">
        <f t="shared" si="63"/>
        <v>0</v>
      </c>
      <c r="X544" s="558">
        <f t="shared" si="59"/>
        <v>0</v>
      </c>
      <c r="Y544" s="558">
        <f t="shared" si="65"/>
        <v>0</v>
      </c>
    </row>
    <row r="545" spans="18:25" x14ac:dyDescent="0.2">
      <c r="R545" s="558">
        <v>544</v>
      </c>
      <c r="S545" s="558">
        <f t="shared" si="60"/>
        <v>-458</v>
      </c>
      <c r="T545" s="558">
        <f t="shared" si="61"/>
        <v>-447</v>
      </c>
      <c r="U545" s="558">
        <f t="shared" si="62"/>
        <v>511</v>
      </c>
      <c r="V545" s="558">
        <f t="shared" si="64"/>
        <v>0</v>
      </c>
      <c r="W545" s="558">
        <f t="shared" si="63"/>
        <v>0</v>
      </c>
      <c r="X545" s="558">
        <f t="shared" si="59"/>
        <v>0</v>
      </c>
      <c r="Y545" s="558">
        <f t="shared" si="65"/>
        <v>0</v>
      </c>
    </row>
    <row r="546" spans="18:25" x14ac:dyDescent="0.2">
      <c r="R546" s="558">
        <v>545</v>
      </c>
      <c r="S546" s="558">
        <f t="shared" si="60"/>
        <v>-459</v>
      </c>
      <c r="T546" s="558">
        <f t="shared" si="61"/>
        <v>-448</v>
      </c>
      <c r="U546" s="558">
        <f t="shared" si="62"/>
        <v>512</v>
      </c>
      <c r="V546" s="558">
        <f t="shared" si="64"/>
        <v>0</v>
      </c>
      <c r="W546" s="558">
        <f t="shared" si="63"/>
        <v>0</v>
      </c>
      <c r="X546" s="558">
        <f t="shared" si="59"/>
        <v>0</v>
      </c>
      <c r="Y546" s="558">
        <f t="shared" si="65"/>
        <v>0</v>
      </c>
    </row>
    <row r="547" spans="18:25" x14ac:dyDescent="0.2">
      <c r="R547" s="558">
        <v>546</v>
      </c>
      <c r="S547" s="558">
        <f t="shared" si="60"/>
        <v>-460</v>
      </c>
      <c r="T547" s="558">
        <f t="shared" si="61"/>
        <v>-449</v>
      </c>
      <c r="U547" s="558">
        <f t="shared" si="62"/>
        <v>513</v>
      </c>
      <c r="V547" s="558">
        <f t="shared" si="64"/>
        <v>0</v>
      </c>
      <c r="W547" s="558">
        <f t="shared" si="63"/>
        <v>0</v>
      </c>
      <c r="X547" s="558">
        <f t="shared" ref="X547:X610" si="66">IF(R547=$B$7,W547,0)</f>
        <v>0</v>
      </c>
      <c r="Y547" s="558">
        <f t="shared" si="65"/>
        <v>0</v>
      </c>
    </row>
    <row r="548" spans="18:25" x14ac:dyDescent="0.2">
      <c r="R548" s="558">
        <v>547</v>
      </c>
      <c r="S548" s="558">
        <f t="shared" si="60"/>
        <v>-461</v>
      </c>
      <c r="T548" s="558">
        <f t="shared" si="61"/>
        <v>-450</v>
      </c>
      <c r="U548" s="558">
        <f t="shared" si="62"/>
        <v>514</v>
      </c>
      <c r="V548" s="558">
        <f t="shared" si="64"/>
        <v>0</v>
      </c>
      <c r="W548" s="558">
        <f t="shared" si="63"/>
        <v>0</v>
      </c>
      <c r="X548" s="558">
        <f t="shared" si="66"/>
        <v>0</v>
      </c>
      <c r="Y548" s="558">
        <f t="shared" si="65"/>
        <v>0</v>
      </c>
    </row>
    <row r="549" spans="18:25" x14ac:dyDescent="0.2">
      <c r="R549" s="558">
        <v>548</v>
      </c>
      <c r="S549" s="558">
        <f t="shared" si="60"/>
        <v>-462</v>
      </c>
      <c r="T549" s="558">
        <f t="shared" si="61"/>
        <v>-451</v>
      </c>
      <c r="U549" s="558">
        <f t="shared" si="62"/>
        <v>515</v>
      </c>
      <c r="V549" s="558">
        <f t="shared" si="64"/>
        <v>0</v>
      </c>
      <c r="W549" s="558">
        <f t="shared" si="63"/>
        <v>0</v>
      </c>
      <c r="X549" s="558">
        <f t="shared" si="66"/>
        <v>0</v>
      </c>
      <c r="Y549" s="558">
        <f t="shared" si="65"/>
        <v>0</v>
      </c>
    </row>
    <row r="550" spans="18:25" x14ac:dyDescent="0.2">
      <c r="R550" s="558">
        <v>549</v>
      </c>
      <c r="S550" s="558">
        <f t="shared" si="60"/>
        <v>-463</v>
      </c>
      <c r="T550" s="558">
        <f t="shared" si="61"/>
        <v>-452</v>
      </c>
      <c r="U550" s="558">
        <f t="shared" si="62"/>
        <v>516</v>
      </c>
      <c r="V550" s="558">
        <f t="shared" si="64"/>
        <v>0</v>
      </c>
      <c r="W550" s="558">
        <f t="shared" si="63"/>
        <v>0</v>
      </c>
      <c r="X550" s="558">
        <f t="shared" si="66"/>
        <v>0</v>
      </c>
      <c r="Y550" s="558">
        <f t="shared" si="65"/>
        <v>0</v>
      </c>
    </row>
    <row r="551" spans="18:25" x14ac:dyDescent="0.2">
      <c r="R551" s="558">
        <v>550</v>
      </c>
      <c r="S551" s="558">
        <f t="shared" si="60"/>
        <v>-464</v>
      </c>
      <c r="T551" s="558">
        <f t="shared" si="61"/>
        <v>-453</v>
      </c>
      <c r="U551" s="558">
        <f t="shared" si="62"/>
        <v>517</v>
      </c>
      <c r="V551" s="558">
        <f t="shared" si="64"/>
        <v>0</v>
      </c>
      <c r="W551" s="558">
        <f t="shared" si="63"/>
        <v>0</v>
      </c>
      <c r="X551" s="558">
        <f t="shared" si="66"/>
        <v>0</v>
      </c>
      <c r="Y551" s="558">
        <f t="shared" si="65"/>
        <v>0</v>
      </c>
    </row>
    <row r="552" spans="18:25" x14ac:dyDescent="0.2">
      <c r="R552" s="558">
        <v>551</v>
      </c>
      <c r="S552" s="558">
        <f t="shared" si="60"/>
        <v>-465</v>
      </c>
      <c r="T552" s="558">
        <f t="shared" si="61"/>
        <v>-454</v>
      </c>
      <c r="U552" s="558">
        <f t="shared" si="62"/>
        <v>518</v>
      </c>
      <c r="V552" s="558">
        <f t="shared" si="64"/>
        <v>0</v>
      </c>
      <c r="W552" s="558">
        <f t="shared" si="63"/>
        <v>0</v>
      </c>
      <c r="X552" s="558">
        <f t="shared" si="66"/>
        <v>0</v>
      </c>
      <c r="Y552" s="558">
        <f t="shared" si="65"/>
        <v>0</v>
      </c>
    </row>
    <row r="553" spans="18:25" x14ac:dyDescent="0.2">
      <c r="R553" s="558">
        <v>552</v>
      </c>
      <c r="S553" s="558">
        <f t="shared" si="60"/>
        <v>-466</v>
      </c>
      <c r="T553" s="558">
        <f t="shared" si="61"/>
        <v>-455</v>
      </c>
      <c r="U553" s="558">
        <f t="shared" si="62"/>
        <v>519</v>
      </c>
      <c r="V553" s="558">
        <f t="shared" si="64"/>
        <v>0</v>
      </c>
      <c r="W553" s="558">
        <f t="shared" si="63"/>
        <v>0</v>
      </c>
      <c r="X553" s="558">
        <f t="shared" si="66"/>
        <v>0</v>
      </c>
      <c r="Y553" s="558">
        <f t="shared" si="65"/>
        <v>0</v>
      </c>
    </row>
    <row r="554" spans="18:25" x14ac:dyDescent="0.2">
      <c r="R554" s="558">
        <v>553</v>
      </c>
      <c r="S554" s="558">
        <f t="shared" si="60"/>
        <v>-467</v>
      </c>
      <c r="T554" s="558">
        <f t="shared" si="61"/>
        <v>-456</v>
      </c>
      <c r="U554" s="558">
        <f t="shared" si="62"/>
        <v>520</v>
      </c>
      <c r="V554" s="558">
        <f t="shared" si="64"/>
        <v>0</v>
      </c>
      <c r="W554" s="558">
        <f t="shared" si="63"/>
        <v>0</v>
      </c>
      <c r="X554" s="558">
        <f t="shared" si="66"/>
        <v>0</v>
      </c>
      <c r="Y554" s="558">
        <f t="shared" si="65"/>
        <v>0</v>
      </c>
    </row>
    <row r="555" spans="18:25" x14ac:dyDescent="0.2">
      <c r="R555" s="558">
        <v>554</v>
      </c>
      <c r="S555" s="558">
        <f t="shared" si="60"/>
        <v>-468</v>
      </c>
      <c r="T555" s="558">
        <f t="shared" si="61"/>
        <v>-457</v>
      </c>
      <c r="U555" s="558">
        <f t="shared" si="62"/>
        <v>521</v>
      </c>
      <c r="V555" s="558">
        <f t="shared" si="64"/>
        <v>0</v>
      </c>
      <c r="W555" s="558">
        <f t="shared" si="63"/>
        <v>0</v>
      </c>
      <c r="X555" s="558">
        <f t="shared" si="66"/>
        <v>0</v>
      </c>
      <c r="Y555" s="558">
        <f t="shared" si="65"/>
        <v>0</v>
      </c>
    </row>
    <row r="556" spans="18:25" x14ac:dyDescent="0.2">
      <c r="R556" s="558">
        <v>555</v>
      </c>
      <c r="S556" s="558">
        <f t="shared" si="60"/>
        <v>-469</v>
      </c>
      <c r="T556" s="558">
        <f t="shared" si="61"/>
        <v>-458</v>
      </c>
      <c r="U556" s="558">
        <f t="shared" si="62"/>
        <v>522</v>
      </c>
      <c r="V556" s="558">
        <f t="shared" si="64"/>
        <v>0</v>
      </c>
      <c r="W556" s="558">
        <f t="shared" si="63"/>
        <v>0</v>
      </c>
      <c r="X556" s="558">
        <f t="shared" si="66"/>
        <v>0</v>
      </c>
      <c r="Y556" s="558">
        <f t="shared" si="65"/>
        <v>0</v>
      </c>
    </row>
    <row r="557" spans="18:25" x14ac:dyDescent="0.2">
      <c r="R557" s="558">
        <v>556</v>
      </c>
      <c r="S557" s="558">
        <f t="shared" si="60"/>
        <v>-470</v>
      </c>
      <c r="T557" s="558">
        <f t="shared" si="61"/>
        <v>-459</v>
      </c>
      <c r="U557" s="558">
        <f t="shared" si="62"/>
        <v>523</v>
      </c>
      <c r="V557" s="558">
        <f t="shared" si="64"/>
        <v>0</v>
      </c>
      <c r="W557" s="558">
        <f t="shared" si="63"/>
        <v>0</v>
      </c>
      <c r="X557" s="558">
        <f t="shared" si="66"/>
        <v>0</v>
      </c>
      <c r="Y557" s="558">
        <f t="shared" si="65"/>
        <v>0</v>
      </c>
    </row>
    <row r="558" spans="18:25" x14ac:dyDescent="0.2">
      <c r="R558" s="558">
        <v>557</v>
      </c>
      <c r="S558" s="558">
        <f t="shared" si="60"/>
        <v>-471</v>
      </c>
      <c r="T558" s="558">
        <f t="shared" si="61"/>
        <v>-460</v>
      </c>
      <c r="U558" s="558">
        <f t="shared" si="62"/>
        <v>524</v>
      </c>
      <c r="V558" s="558">
        <f t="shared" si="64"/>
        <v>0</v>
      </c>
      <c r="W558" s="558">
        <f t="shared" si="63"/>
        <v>0</v>
      </c>
      <c r="X558" s="558">
        <f t="shared" si="66"/>
        <v>0</v>
      </c>
      <c r="Y558" s="558">
        <f t="shared" si="65"/>
        <v>0</v>
      </c>
    </row>
    <row r="559" spans="18:25" x14ac:dyDescent="0.2">
      <c r="R559" s="558">
        <v>558</v>
      </c>
      <c r="S559" s="558">
        <f t="shared" si="60"/>
        <v>-472</v>
      </c>
      <c r="T559" s="558">
        <f t="shared" si="61"/>
        <v>-461</v>
      </c>
      <c r="U559" s="558">
        <f t="shared" si="62"/>
        <v>525</v>
      </c>
      <c r="V559" s="558">
        <f t="shared" si="64"/>
        <v>0</v>
      </c>
      <c r="W559" s="558">
        <f t="shared" si="63"/>
        <v>0</v>
      </c>
      <c r="X559" s="558">
        <f t="shared" si="66"/>
        <v>0</v>
      </c>
      <c r="Y559" s="558">
        <f t="shared" si="65"/>
        <v>0</v>
      </c>
    </row>
    <row r="560" spans="18:25" x14ac:dyDescent="0.2">
      <c r="R560" s="558">
        <v>559</v>
      </c>
      <c r="S560" s="558">
        <f t="shared" si="60"/>
        <v>-473</v>
      </c>
      <c r="T560" s="558">
        <f t="shared" si="61"/>
        <v>-462</v>
      </c>
      <c r="U560" s="558">
        <f t="shared" si="62"/>
        <v>526</v>
      </c>
      <c r="V560" s="558">
        <f t="shared" si="64"/>
        <v>0</v>
      </c>
      <c r="W560" s="558">
        <f t="shared" si="63"/>
        <v>0</v>
      </c>
      <c r="X560" s="558">
        <f t="shared" si="66"/>
        <v>0</v>
      </c>
      <c r="Y560" s="558">
        <f t="shared" si="65"/>
        <v>0</v>
      </c>
    </row>
    <row r="561" spans="18:25" x14ac:dyDescent="0.2">
      <c r="R561" s="558">
        <v>560</v>
      </c>
      <c r="S561" s="558">
        <f t="shared" si="60"/>
        <v>-474</v>
      </c>
      <c r="T561" s="558">
        <f t="shared" si="61"/>
        <v>-463</v>
      </c>
      <c r="U561" s="558">
        <f t="shared" si="62"/>
        <v>527</v>
      </c>
      <c r="V561" s="558">
        <f t="shared" si="64"/>
        <v>0</v>
      </c>
      <c r="W561" s="558">
        <f t="shared" si="63"/>
        <v>0</v>
      </c>
      <c r="X561" s="558">
        <f t="shared" si="66"/>
        <v>0</v>
      </c>
      <c r="Y561" s="558">
        <f t="shared" si="65"/>
        <v>0</v>
      </c>
    </row>
    <row r="562" spans="18:25" x14ac:dyDescent="0.2">
      <c r="R562" s="558">
        <v>561</v>
      </c>
      <c r="S562" s="558">
        <f t="shared" si="60"/>
        <v>-475</v>
      </c>
      <c r="T562" s="558">
        <f t="shared" si="61"/>
        <v>-464</v>
      </c>
      <c r="U562" s="558">
        <f t="shared" si="62"/>
        <v>528</v>
      </c>
      <c r="V562" s="558">
        <f t="shared" si="64"/>
        <v>0</v>
      </c>
      <c r="W562" s="558">
        <f t="shared" si="63"/>
        <v>0</v>
      </c>
      <c r="X562" s="558">
        <f t="shared" si="66"/>
        <v>0</v>
      </c>
      <c r="Y562" s="558">
        <f t="shared" si="65"/>
        <v>0</v>
      </c>
    </row>
    <row r="563" spans="18:25" x14ac:dyDescent="0.2">
      <c r="R563" s="558">
        <v>562</v>
      </c>
      <c r="S563" s="558">
        <f t="shared" si="60"/>
        <v>-476</v>
      </c>
      <c r="T563" s="558">
        <f t="shared" si="61"/>
        <v>-465</v>
      </c>
      <c r="U563" s="558">
        <f t="shared" si="62"/>
        <v>529</v>
      </c>
      <c r="V563" s="558">
        <f t="shared" si="64"/>
        <v>0</v>
      </c>
      <c r="W563" s="558">
        <f t="shared" si="63"/>
        <v>0</v>
      </c>
      <c r="X563" s="558">
        <f t="shared" si="66"/>
        <v>0</v>
      </c>
      <c r="Y563" s="558">
        <f t="shared" si="65"/>
        <v>0</v>
      </c>
    </row>
    <row r="564" spans="18:25" x14ac:dyDescent="0.2">
      <c r="R564" s="558">
        <v>563</v>
      </c>
      <c r="S564" s="558">
        <f t="shared" si="60"/>
        <v>-477</v>
      </c>
      <c r="T564" s="558">
        <f t="shared" si="61"/>
        <v>-466</v>
      </c>
      <c r="U564" s="558">
        <f t="shared" si="62"/>
        <v>530</v>
      </c>
      <c r="V564" s="558">
        <f t="shared" si="64"/>
        <v>0</v>
      </c>
      <c r="W564" s="558">
        <f t="shared" si="63"/>
        <v>0</v>
      </c>
      <c r="X564" s="558">
        <f t="shared" si="66"/>
        <v>0</v>
      </c>
      <c r="Y564" s="558">
        <f t="shared" si="65"/>
        <v>0</v>
      </c>
    </row>
    <row r="565" spans="18:25" x14ac:dyDescent="0.2">
      <c r="R565" s="558">
        <v>564</v>
      </c>
      <c r="S565" s="558">
        <f t="shared" si="60"/>
        <v>-478</v>
      </c>
      <c r="T565" s="558">
        <f t="shared" si="61"/>
        <v>-467</v>
      </c>
      <c r="U565" s="558">
        <f t="shared" si="62"/>
        <v>531</v>
      </c>
      <c r="V565" s="558">
        <f t="shared" si="64"/>
        <v>0</v>
      </c>
      <c r="W565" s="558">
        <f t="shared" si="63"/>
        <v>0</v>
      </c>
      <c r="X565" s="558">
        <f t="shared" si="66"/>
        <v>0</v>
      </c>
      <c r="Y565" s="558">
        <f t="shared" si="65"/>
        <v>0</v>
      </c>
    </row>
    <row r="566" spans="18:25" x14ac:dyDescent="0.2">
      <c r="R566" s="558">
        <v>565</v>
      </c>
      <c r="S566" s="558">
        <f t="shared" si="60"/>
        <v>-479</v>
      </c>
      <c r="T566" s="558">
        <f t="shared" si="61"/>
        <v>-468</v>
      </c>
      <c r="U566" s="558">
        <f t="shared" si="62"/>
        <v>532</v>
      </c>
      <c r="V566" s="558">
        <f t="shared" si="64"/>
        <v>0</v>
      </c>
      <c r="W566" s="558">
        <f t="shared" si="63"/>
        <v>0</v>
      </c>
      <c r="X566" s="558">
        <f t="shared" si="66"/>
        <v>0</v>
      </c>
      <c r="Y566" s="558">
        <f t="shared" si="65"/>
        <v>0</v>
      </c>
    </row>
    <row r="567" spans="18:25" x14ac:dyDescent="0.2">
      <c r="R567" s="558">
        <v>566</v>
      </c>
      <c r="S567" s="558">
        <f t="shared" si="60"/>
        <v>-480</v>
      </c>
      <c r="T567" s="558">
        <f t="shared" si="61"/>
        <v>-469</v>
      </c>
      <c r="U567" s="558">
        <f t="shared" si="62"/>
        <v>533</v>
      </c>
      <c r="V567" s="558">
        <f t="shared" si="64"/>
        <v>0</v>
      </c>
      <c r="W567" s="558">
        <f t="shared" si="63"/>
        <v>0</v>
      </c>
      <c r="X567" s="558">
        <f t="shared" si="66"/>
        <v>0</v>
      </c>
      <c r="Y567" s="558">
        <f t="shared" si="65"/>
        <v>0</v>
      </c>
    </row>
    <row r="568" spans="18:25" x14ac:dyDescent="0.2">
      <c r="R568" s="558">
        <v>567</v>
      </c>
      <c r="S568" s="558">
        <f t="shared" si="60"/>
        <v>-481</v>
      </c>
      <c r="T568" s="558">
        <f t="shared" si="61"/>
        <v>-470</v>
      </c>
      <c r="U568" s="558">
        <f t="shared" si="62"/>
        <v>534</v>
      </c>
      <c r="V568" s="558">
        <f t="shared" si="64"/>
        <v>0</v>
      </c>
      <c r="W568" s="558">
        <f t="shared" si="63"/>
        <v>0</v>
      </c>
      <c r="X568" s="558">
        <f t="shared" si="66"/>
        <v>0</v>
      </c>
      <c r="Y568" s="558">
        <f t="shared" si="65"/>
        <v>0</v>
      </c>
    </row>
    <row r="569" spans="18:25" x14ac:dyDescent="0.2">
      <c r="R569" s="558">
        <v>568</v>
      </c>
      <c r="S569" s="558">
        <f t="shared" si="60"/>
        <v>-482</v>
      </c>
      <c r="T569" s="558">
        <f t="shared" si="61"/>
        <v>-471</v>
      </c>
      <c r="U569" s="558">
        <f t="shared" si="62"/>
        <v>535</v>
      </c>
      <c r="V569" s="558">
        <f t="shared" si="64"/>
        <v>0</v>
      </c>
      <c r="W569" s="558">
        <f t="shared" si="63"/>
        <v>0</v>
      </c>
      <c r="X569" s="558">
        <f t="shared" si="66"/>
        <v>0</v>
      </c>
      <c r="Y569" s="558">
        <f t="shared" si="65"/>
        <v>0</v>
      </c>
    </row>
    <row r="570" spans="18:25" x14ac:dyDescent="0.2">
      <c r="R570" s="558">
        <v>569</v>
      </c>
      <c r="S570" s="558">
        <f t="shared" si="60"/>
        <v>-483</v>
      </c>
      <c r="T570" s="558">
        <f t="shared" si="61"/>
        <v>-472</v>
      </c>
      <c r="U570" s="558">
        <f t="shared" si="62"/>
        <v>536</v>
      </c>
      <c r="V570" s="558">
        <f t="shared" si="64"/>
        <v>0</v>
      </c>
      <c r="W570" s="558">
        <f t="shared" si="63"/>
        <v>0</v>
      </c>
      <c r="X570" s="558">
        <f t="shared" si="66"/>
        <v>0</v>
      </c>
      <c r="Y570" s="558">
        <f t="shared" si="65"/>
        <v>0</v>
      </c>
    </row>
    <row r="571" spans="18:25" x14ac:dyDescent="0.2">
      <c r="R571" s="558">
        <v>570</v>
      </c>
      <c r="S571" s="558">
        <f t="shared" si="60"/>
        <v>-484</v>
      </c>
      <c r="T571" s="558">
        <f t="shared" si="61"/>
        <v>-473</v>
      </c>
      <c r="U571" s="558">
        <f t="shared" si="62"/>
        <v>537</v>
      </c>
      <c r="V571" s="558">
        <f t="shared" si="64"/>
        <v>0</v>
      </c>
      <c r="W571" s="558">
        <f t="shared" si="63"/>
        <v>0</v>
      </c>
      <c r="X571" s="558">
        <f t="shared" si="66"/>
        <v>0</v>
      </c>
      <c r="Y571" s="558">
        <f t="shared" si="65"/>
        <v>0</v>
      </c>
    </row>
    <row r="572" spans="18:25" x14ac:dyDescent="0.2">
      <c r="R572" s="558">
        <v>571</v>
      </c>
      <c r="S572" s="558">
        <f t="shared" si="60"/>
        <v>-485</v>
      </c>
      <c r="T572" s="558">
        <f t="shared" si="61"/>
        <v>-474</v>
      </c>
      <c r="U572" s="558">
        <f t="shared" si="62"/>
        <v>538</v>
      </c>
      <c r="V572" s="558">
        <f t="shared" si="64"/>
        <v>0</v>
      </c>
      <c r="W572" s="558">
        <f t="shared" si="63"/>
        <v>0</v>
      </c>
      <c r="X572" s="558">
        <f t="shared" si="66"/>
        <v>0</v>
      </c>
      <c r="Y572" s="558">
        <f t="shared" si="65"/>
        <v>0</v>
      </c>
    </row>
    <row r="573" spans="18:25" x14ac:dyDescent="0.2">
      <c r="R573" s="558">
        <v>572</v>
      </c>
      <c r="S573" s="558">
        <f t="shared" si="60"/>
        <v>-486</v>
      </c>
      <c r="T573" s="558">
        <f t="shared" si="61"/>
        <v>-475</v>
      </c>
      <c r="U573" s="558">
        <f t="shared" si="62"/>
        <v>539</v>
      </c>
      <c r="V573" s="558">
        <f t="shared" si="64"/>
        <v>0</v>
      </c>
      <c r="W573" s="558">
        <f t="shared" si="63"/>
        <v>0</v>
      </c>
      <c r="X573" s="558">
        <f t="shared" si="66"/>
        <v>0</v>
      </c>
      <c r="Y573" s="558">
        <f t="shared" si="65"/>
        <v>0</v>
      </c>
    </row>
    <row r="574" spans="18:25" x14ac:dyDescent="0.2">
      <c r="R574" s="558">
        <v>573</v>
      </c>
      <c r="S574" s="558">
        <f t="shared" si="60"/>
        <v>-487</v>
      </c>
      <c r="T574" s="558">
        <f t="shared" si="61"/>
        <v>-476</v>
      </c>
      <c r="U574" s="558">
        <f t="shared" si="62"/>
        <v>540</v>
      </c>
      <c r="V574" s="558">
        <f t="shared" si="64"/>
        <v>0</v>
      </c>
      <c r="W574" s="558">
        <f t="shared" si="63"/>
        <v>0</v>
      </c>
      <c r="X574" s="558">
        <f t="shared" si="66"/>
        <v>0</v>
      </c>
      <c r="Y574" s="558">
        <f t="shared" si="65"/>
        <v>0</v>
      </c>
    </row>
    <row r="575" spans="18:25" x14ac:dyDescent="0.2">
      <c r="R575" s="558">
        <v>574</v>
      </c>
      <c r="S575" s="558">
        <f t="shared" si="60"/>
        <v>-488</v>
      </c>
      <c r="T575" s="558">
        <f t="shared" si="61"/>
        <v>-477</v>
      </c>
      <c r="U575" s="558">
        <f t="shared" si="62"/>
        <v>541</v>
      </c>
      <c r="V575" s="558">
        <f t="shared" si="64"/>
        <v>0</v>
      </c>
      <c r="W575" s="558">
        <f t="shared" si="63"/>
        <v>0</v>
      </c>
      <c r="X575" s="558">
        <f t="shared" si="66"/>
        <v>0</v>
      </c>
      <c r="Y575" s="558">
        <f t="shared" si="65"/>
        <v>0</v>
      </c>
    </row>
    <row r="576" spans="18:25" x14ac:dyDescent="0.2">
      <c r="R576" s="558">
        <v>575</v>
      </c>
      <c r="S576" s="558">
        <f t="shared" si="60"/>
        <v>-489</v>
      </c>
      <c r="T576" s="558">
        <f t="shared" si="61"/>
        <v>-478</v>
      </c>
      <c r="U576" s="558">
        <f t="shared" si="62"/>
        <v>542</v>
      </c>
      <c r="V576" s="558">
        <f t="shared" si="64"/>
        <v>0</v>
      </c>
      <c r="W576" s="558">
        <f t="shared" si="63"/>
        <v>0</v>
      </c>
      <c r="X576" s="558">
        <f t="shared" si="66"/>
        <v>0</v>
      </c>
      <c r="Y576" s="558">
        <f t="shared" si="65"/>
        <v>0</v>
      </c>
    </row>
    <row r="577" spans="18:25" x14ac:dyDescent="0.2">
      <c r="R577" s="558">
        <v>576</v>
      </c>
      <c r="S577" s="558">
        <f t="shared" ref="S577:S640" si="67">$D$7-R577</f>
        <v>-490</v>
      </c>
      <c r="T577" s="558">
        <f t="shared" ref="T577:T640" si="68">$B$9-R577</f>
        <v>-479</v>
      </c>
      <c r="U577" s="558">
        <f t="shared" ref="U577:U640" si="69">$D$9-SUM(R577:T577)</f>
        <v>543</v>
      </c>
      <c r="V577" s="558">
        <f t="shared" si="64"/>
        <v>0</v>
      </c>
      <c r="W577" s="558">
        <f t="shared" ref="W577:W640" si="70">_xlfn.HYPGEOM.DIST(R577,R577+T577,R577+S577,SUM(R577:U577),0)</f>
        <v>0</v>
      </c>
      <c r="X577" s="558">
        <f t="shared" si="66"/>
        <v>0</v>
      </c>
      <c r="Y577" s="558">
        <f t="shared" si="65"/>
        <v>0</v>
      </c>
    </row>
    <row r="578" spans="18:25" x14ac:dyDescent="0.2">
      <c r="R578" s="558">
        <v>577</v>
      </c>
      <c r="S578" s="558">
        <f t="shared" si="67"/>
        <v>-491</v>
      </c>
      <c r="T578" s="558">
        <f t="shared" si="68"/>
        <v>-480</v>
      </c>
      <c r="U578" s="558">
        <f t="shared" si="69"/>
        <v>544</v>
      </c>
      <c r="V578" s="558">
        <f t="shared" ref="V578:V641" si="71">IF(S578&gt;=0,IF(T578&gt;=0,IF(U578&gt;=0,1,0),0),0)</f>
        <v>0</v>
      </c>
      <c r="W578" s="558">
        <f t="shared" si="70"/>
        <v>0</v>
      </c>
      <c r="X578" s="558">
        <f t="shared" si="66"/>
        <v>0</v>
      </c>
      <c r="Y578" s="558">
        <f t="shared" ref="Y578:Y641" si="72">IF(W578&lt;=SUM($X$1:$X$1101),W578,0)</f>
        <v>0</v>
      </c>
    </row>
    <row r="579" spans="18:25" x14ac:dyDescent="0.2">
      <c r="R579" s="558">
        <v>578</v>
      </c>
      <c r="S579" s="558">
        <f t="shared" si="67"/>
        <v>-492</v>
      </c>
      <c r="T579" s="558">
        <f t="shared" si="68"/>
        <v>-481</v>
      </c>
      <c r="U579" s="558">
        <f t="shared" si="69"/>
        <v>545</v>
      </c>
      <c r="V579" s="558">
        <f t="shared" si="71"/>
        <v>0</v>
      </c>
      <c r="W579" s="558">
        <f t="shared" si="70"/>
        <v>0</v>
      </c>
      <c r="X579" s="558">
        <f t="shared" si="66"/>
        <v>0</v>
      </c>
      <c r="Y579" s="558">
        <f t="shared" si="72"/>
        <v>0</v>
      </c>
    </row>
    <row r="580" spans="18:25" x14ac:dyDescent="0.2">
      <c r="R580" s="558">
        <v>579</v>
      </c>
      <c r="S580" s="558">
        <f t="shared" si="67"/>
        <v>-493</v>
      </c>
      <c r="T580" s="558">
        <f t="shared" si="68"/>
        <v>-482</v>
      </c>
      <c r="U580" s="558">
        <f t="shared" si="69"/>
        <v>546</v>
      </c>
      <c r="V580" s="558">
        <f t="shared" si="71"/>
        <v>0</v>
      </c>
      <c r="W580" s="558">
        <f t="shared" si="70"/>
        <v>0</v>
      </c>
      <c r="X580" s="558">
        <f t="shared" si="66"/>
        <v>0</v>
      </c>
      <c r="Y580" s="558">
        <f t="shared" si="72"/>
        <v>0</v>
      </c>
    </row>
    <row r="581" spans="18:25" x14ac:dyDescent="0.2">
      <c r="R581" s="558">
        <v>580</v>
      </c>
      <c r="S581" s="558">
        <f t="shared" si="67"/>
        <v>-494</v>
      </c>
      <c r="T581" s="558">
        <f t="shared" si="68"/>
        <v>-483</v>
      </c>
      <c r="U581" s="558">
        <f t="shared" si="69"/>
        <v>547</v>
      </c>
      <c r="V581" s="558">
        <f t="shared" si="71"/>
        <v>0</v>
      </c>
      <c r="W581" s="558">
        <f t="shared" si="70"/>
        <v>0</v>
      </c>
      <c r="X581" s="558">
        <f t="shared" si="66"/>
        <v>0</v>
      </c>
      <c r="Y581" s="558">
        <f t="shared" si="72"/>
        <v>0</v>
      </c>
    </row>
    <row r="582" spans="18:25" x14ac:dyDescent="0.2">
      <c r="R582" s="558">
        <v>581</v>
      </c>
      <c r="S582" s="558">
        <f t="shared" si="67"/>
        <v>-495</v>
      </c>
      <c r="T582" s="558">
        <f t="shared" si="68"/>
        <v>-484</v>
      </c>
      <c r="U582" s="558">
        <f t="shared" si="69"/>
        <v>548</v>
      </c>
      <c r="V582" s="558">
        <f t="shared" si="71"/>
        <v>0</v>
      </c>
      <c r="W582" s="558">
        <f t="shared" si="70"/>
        <v>0</v>
      </c>
      <c r="X582" s="558">
        <f t="shared" si="66"/>
        <v>0</v>
      </c>
      <c r="Y582" s="558">
        <f t="shared" si="72"/>
        <v>0</v>
      </c>
    </row>
    <row r="583" spans="18:25" x14ac:dyDescent="0.2">
      <c r="R583" s="558">
        <v>582</v>
      </c>
      <c r="S583" s="558">
        <f t="shared" si="67"/>
        <v>-496</v>
      </c>
      <c r="T583" s="558">
        <f t="shared" si="68"/>
        <v>-485</v>
      </c>
      <c r="U583" s="558">
        <f t="shared" si="69"/>
        <v>549</v>
      </c>
      <c r="V583" s="558">
        <f t="shared" si="71"/>
        <v>0</v>
      </c>
      <c r="W583" s="558">
        <f t="shared" si="70"/>
        <v>0</v>
      </c>
      <c r="X583" s="558">
        <f t="shared" si="66"/>
        <v>0</v>
      </c>
      <c r="Y583" s="558">
        <f t="shared" si="72"/>
        <v>0</v>
      </c>
    </row>
    <row r="584" spans="18:25" x14ac:dyDescent="0.2">
      <c r="R584" s="558">
        <v>583</v>
      </c>
      <c r="S584" s="558">
        <f t="shared" si="67"/>
        <v>-497</v>
      </c>
      <c r="T584" s="558">
        <f t="shared" si="68"/>
        <v>-486</v>
      </c>
      <c r="U584" s="558">
        <f t="shared" si="69"/>
        <v>550</v>
      </c>
      <c r="V584" s="558">
        <f t="shared" si="71"/>
        <v>0</v>
      </c>
      <c r="W584" s="558">
        <f t="shared" si="70"/>
        <v>0</v>
      </c>
      <c r="X584" s="558">
        <f t="shared" si="66"/>
        <v>0</v>
      </c>
      <c r="Y584" s="558">
        <f t="shared" si="72"/>
        <v>0</v>
      </c>
    </row>
    <row r="585" spans="18:25" x14ac:dyDescent="0.2">
      <c r="R585" s="558">
        <v>584</v>
      </c>
      <c r="S585" s="558">
        <f t="shared" si="67"/>
        <v>-498</v>
      </c>
      <c r="T585" s="558">
        <f t="shared" si="68"/>
        <v>-487</v>
      </c>
      <c r="U585" s="558">
        <f t="shared" si="69"/>
        <v>551</v>
      </c>
      <c r="V585" s="558">
        <f t="shared" si="71"/>
        <v>0</v>
      </c>
      <c r="W585" s="558">
        <f t="shared" si="70"/>
        <v>0</v>
      </c>
      <c r="X585" s="558">
        <f t="shared" si="66"/>
        <v>0</v>
      </c>
      <c r="Y585" s="558">
        <f t="shared" si="72"/>
        <v>0</v>
      </c>
    </row>
    <row r="586" spans="18:25" x14ac:dyDescent="0.2">
      <c r="R586" s="558">
        <v>585</v>
      </c>
      <c r="S586" s="558">
        <f t="shared" si="67"/>
        <v>-499</v>
      </c>
      <c r="T586" s="558">
        <f t="shared" si="68"/>
        <v>-488</v>
      </c>
      <c r="U586" s="558">
        <f t="shared" si="69"/>
        <v>552</v>
      </c>
      <c r="V586" s="558">
        <f t="shared" si="71"/>
        <v>0</v>
      </c>
      <c r="W586" s="558">
        <f t="shared" si="70"/>
        <v>0</v>
      </c>
      <c r="X586" s="558">
        <f t="shared" si="66"/>
        <v>0</v>
      </c>
      <c r="Y586" s="558">
        <f t="shared" si="72"/>
        <v>0</v>
      </c>
    </row>
    <row r="587" spans="18:25" x14ac:dyDescent="0.2">
      <c r="R587" s="558">
        <v>586</v>
      </c>
      <c r="S587" s="558">
        <f t="shared" si="67"/>
        <v>-500</v>
      </c>
      <c r="T587" s="558">
        <f t="shared" si="68"/>
        <v>-489</v>
      </c>
      <c r="U587" s="558">
        <f t="shared" si="69"/>
        <v>553</v>
      </c>
      <c r="V587" s="558">
        <f t="shared" si="71"/>
        <v>0</v>
      </c>
      <c r="W587" s="558">
        <f t="shared" si="70"/>
        <v>0</v>
      </c>
      <c r="X587" s="558">
        <f t="shared" si="66"/>
        <v>0</v>
      </c>
      <c r="Y587" s="558">
        <f t="shared" si="72"/>
        <v>0</v>
      </c>
    </row>
    <row r="588" spans="18:25" x14ac:dyDescent="0.2">
      <c r="R588" s="558">
        <v>587</v>
      </c>
      <c r="S588" s="558">
        <f t="shared" si="67"/>
        <v>-501</v>
      </c>
      <c r="T588" s="558">
        <f t="shared" si="68"/>
        <v>-490</v>
      </c>
      <c r="U588" s="558">
        <f t="shared" si="69"/>
        <v>554</v>
      </c>
      <c r="V588" s="558">
        <f t="shared" si="71"/>
        <v>0</v>
      </c>
      <c r="W588" s="558">
        <f t="shared" si="70"/>
        <v>0</v>
      </c>
      <c r="X588" s="558">
        <f t="shared" si="66"/>
        <v>0</v>
      </c>
      <c r="Y588" s="558">
        <f t="shared" si="72"/>
        <v>0</v>
      </c>
    </row>
    <row r="589" spans="18:25" x14ac:dyDescent="0.2">
      <c r="R589" s="558">
        <v>588</v>
      </c>
      <c r="S589" s="558">
        <f t="shared" si="67"/>
        <v>-502</v>
      </c>
      <c r="T589" s="558">
        <f t="shared" si="68"/>
        <v>-491</v>
      </c>
      <c r="U589" s="558">
        <f t="shared" si="69"/>
        <v>555</v>
      </c>
      <c r="V589" s="558">
        <f t="shared" si="71"/>
        <v>0</v>
      </c>
      <c r="W589" s="558">
        <f t="shared" si="70"/>
        <v>0</v>
      </c>
      <c r="X589" s="558">
        <f t="shared" si="66"/>
        <v>0</v>
      </c>
      <c r="Y589" s="558">
        <f t="shared" si="72"/>
        <v>0</v>
      </c>
    </row>
    <row r="590" spans="18:25" x14ac:dyDescent="0.2">
      <c r="R590" s="558">
        <v>589</v>
      </c>
      <c r="S590" s="558">
        <f t="shared" si="67"/>
        <v>-503</v>
      </c>
      <c r="T590" s="558">
        <f t="shared" si="68"/>
        <v>-492</v>
      </c>
      <c r="U590" s="558">
        <f t="shared" si="69"/>
        <v>556</v>
      </c>
      <c r="V590" s="558">
        <f t="shared" si="71"/>
        <v>0</v>
      </c>
      <c r="W590" s="558">
        <f t="shared" si="70"/>
        <v>0</v>
      </c>
      <c r="X590" s="558">
        <f t="shared" si="66"/>
        <v>0</v>
      </c>
      <c r="Y590" s="558">
        <f t="shared" si="72"/>
        <v>0</v>
      </c>
    </row>
    <row r="591" spans="18:25" x14ac:dyDescent="0.2">
      <c r="R591" s="558">
        <v>590</v>
      </c>
      <c r="S591" s="558">
        <f t="shared" si="67"/>
        <v>-504</v>
      </c>
      <c r="T591" s="558">
        <f t="shared" si="68"/>
        <v>-493</v>
      </c>
      <c r="U591" s="558">
        <f t="shared" si="69"/>
        <v>557</v>
      </c>
      <c r="V591" s="558">
        <f t="shared" si="71"/>
        <v>0</v>
      </c>
      <c r="W591" s="558">
        <f t="shared" si="70"/>
        <v>0</v>
      </c>
      <c r="X591" s="558">
        <f t="shared" si="66"/>
        <v>0</v>
      </c>
      <c r="Y591" s="558">
        <f t="shared" si="72"/>
        <v>0</v>
      </c>
    </row>
    <row r="592" spans="18:25" x14ac:dyDescent="0.2">
      <c r="R592" s="558">
        <v>591</v>
      </c>
      <c r="S592" s="558">
        <f t="shared" si="67"/>
        <v>-505</v>
      </c>
      <c r="T592" s="558">
        <f t="shared" si="68"/>
        <v>-494</v>
      </c>
      <c r="U592" s="558">
        <f t="shared" si="69"/>
        <v>558</v>
      </c>
      <c r="V592" s="558">
        <f t="shared" si="71"/>
        <v>0</v>
      </c>
      <c r="W592" s="558">
        <f t="shared" si="70"/>
        <v>0</v>
      </c>
      <c r="X592" s="558">
        <f t="shared" si="66"/>
        <v>0</v>
      </c>
      <c r="Y592" s="558">
        <f t="shared" si="72"/>
        <v>0</v>
      </c>
    </row>
    <row r="593" spans="18:25" x14ac:dyDescent="0.2">
      <c r="R593" s="558">
        <v>592</v>
      </c>
      <c r="S593" s="558">
        <f t="shared" si="67"/>
        <v>-506</v>
      </c>
      <c r="T593" s="558">
        <f t="shared" si="68"/>
        <v>-495</v>
      </c>
      <c r="U593" s="558">
        <f t="shared" si="69"/>
        <v>559</v>
      </c>
      <c r="V593" s="558">
        <f t="shared" si="71"/>
        <v>0</v>
      </c>
      <c r="W593" s="558">
        <f t="shared" si="70"/>
        <v>0</v>
      </c>
      <c r="X593" s="558">
        <f t="shared" si="66"/>
        <v>0</v>
      </c>
      <c r="Y593" s="558">
        <f t="shared" si="72"/>
        <v>0</v>
      </c>
    </row>
    <row r="594" spans="18:25" x14ac:dyDescent="0.2">
      <c r="R594" s="558">
        <v>593</v>
      </c>
      <c r="S594" s="558">
        <f t="shared" si="67"/>
        <v>-507</v>
      </c>
      <c r="T594" s="558">
        <f t="shared" si="68"/>
        <v>-496</v>
      </c>
      <c r="U594" s="558">
        <f t="shared" si="69"/>
        <v>560</v>
      </c>
      <c r="V594" s="558">
        <f t="shared" si="71"/>
        <v>0</v>
      </c>
      <c r="W594" s="558">
        <f t="shared" si="70"/>
        <v>0</v>
      </c>
      <c r="X594" s="558">
        <f t="shared" si="66"/>
        <v>0</v>
      </c>
      <c r="Y594" s="558">
        <f t="shared" si="72"/>
        <v>0</v>
      </c>
    </row>
    <row r="595" spans="18:25" x14ac:dyDescent="0.2">
      <c r="R595" s="558">
        <v>594</v>
      </c>
      <c r="S595" s="558">
        <f t="shared" si="67"/>
        <v>-508</v>
      </c>
      <c r="T595" s="558">
        <f t="shared" si="68"/>
        <v>-497</v>
      </c>
      <c r="U595" s="558">
        <f t="shared" si="69"/>
        <v>561</v>
      </c>
      <c r="V595" s="558">
        <f t="shared" si="71"/>
        <v>0</v>
      </c>
      <c r="W595" s="558">
        <f t="shared" si="70"/>
        <v>0</v>
      </c>
      <c r="X595" s="558">
        <f t="shared" si="66"/>
        <v>0</v>
      </c>
      <c r="Y595" s="558">
        <f t="shared" si="72"/>
        <v>0</v>
      </c>
    </row>
    <row r="596" spans="18:25" x14ac:dyDescent="0.2">
      <c r="R596" s="558">
        <v>595</v>
      </c>
      <c r="S596" s="558">
        <f t="shared" si="67"/>
        <v>-509</v>
      </c>
      <c r="T596" s="558">
        <f t="shared" si="68"/>
        <v>-498</v>
      </c>
      <c r="U596" s="558">
        <f t="shared" si="69"/>
        <v>562</v>
      </c>
      <c r="V596" s="558">
        <f t="shared" si="71"/>
        <v>0</v>
      </c>
      <c r="W596" s="558">
        <f t="shared" si="70"/>
        <v>0</v>
      </c>
      <c r="X596" s="558">
        <f t="shared" si="66"/>
        <v>0</v>
      </c>
      <c r="Y596" s="558">
        <f t="shared" si="72"/>
        <v>0</v>
      </c>
    </row>
    <row r="597" spans="18:25" x14ac:dyDescent="0.2">
      <c r="R597" s="558">
        <v>596</v>
      </c>
      <c r="S597" s="558">
        <f t="shared" si="67"/>
        <v>-510</v>
      </c>
      <c r="T597" s="558">
        <f t="shared" si="68"/>
        <v>-499</v>
      </c>
      <c r="U597" s="558">
        <f t="shared" si="69"/>
        <v>563</v>
      </c>
      <c r="V597" s="558">
        <f t="shared" si="71"/>
        <v>0</v>
      </c>
      <c r="W597" s="558">
        <f t="shared" si="70"/>
        <v>0</v>
      </c>
      <c r="X597" s="558">
        <f t="shared" si="66"/>
        <v>0</v>
      </c>
      <c r="Y597" s="558">
        <f t="shared" si="72"/>
        <v>0</v>
      </c>
    </row>
    <row r="598" spans="18:25" x14ac:dyDescent="0.2">
      <c r="R598" s="558">
        <v>597</v>
      </c>
      <c r="S598" s="558">
        <f t="shared" si="67"/>
        <v>-511</v>
      </c>
      <c r="T598" s="558">
        <f t="shared" si="68"/>
        <v>-500</v>
      </c>
      <c r="U598" s="558">
        <f t="shared" si="69"/>
        <v>564</v>
      </c>
      <c r="V598" s="558">
        <f t="shared" si="71"/>
        <v>0</v>
      </c>
      <c r="W598" s="558">
        <f t="shared" si="70"/>
        <v>0</v>
      </c>
      <c r="X598" s="558">
        <f t="shared" si="66"/>
        <v>0</v>
      </c>
      <c r="Y598" s="558">
        <f t="shared" si="72"/>
        <v>0</v>
      </c>
    </row>
    <row r="599" spans="18:25" x14ac:dyDescent="0.2">
      <c r="R599" s="558">
        <v>598</v>
      </c>
      <c r="S599" s="558">
        <f t="shared" si="67"/>
        <v>-512</v>
      </c>
      <c r="T599" s="558">
        <f t="shared" si="68"/>
        <v>-501</v>
      </c>
      <c r="U599" s="558">
        <f t="shared" si="69"/>
        <v>565</v>
      </c>
      <c r="V599" s="558">
        <f t="shared" si="71"/>
        <v>0</v>
      </c>
      <c r="W599" s="558">
        <f t="shared" si="70"/>
        <v>0</v>
      </c>
      <c r="X599" s="558">
        <f t="shared" si="66"/>
        <v>0</v>
      </c>
      <c r="Y599" s="558">
        <f t="shared" si="72"/>
        <v>0</v>
      </c>
    </row>
    <row r="600" spans="18:25" x14ac:dyDescent="0.2">
      <c r="R600" s="558">
        <v>599</v>
      </c>
      <c r="S600" s="558">
        <f t="shared" si="67"/>
        <v>-513</v>
      </c>
      <c r="T600" s="558">
        <f t="shared" si="68"/>
        <v>-502</v>
      </c>
      <c r="U600" s="558">
        <f t="shared" si="69"/>
        <v>566</v>
      </c>
      <c r="V600" s="558">
        <f t="shared" si="71"/>
        <v>0</v>
      </c>
      <c r="W600" s="558">
        <f t="shared" si="70"/>
        <v>0</v>
      </c>
      <c r="X600" s="558">
        <f t="shared" si="66"/>
        <v>0</v>
      </c>
      <c r="Y600" s="558">
        <f t="shared" si="72"/>
        <v>0</v>
      </c>
    </row>
    <row r="601" spans="18:25" x14ac:dyDescent="0.2">
      <c r="R601" s="558">
        <v>600</v>
      </c>
      <c r="S601" s="558">
        <f t="shared" si="67"/>
        <v>-514</v>
      </c>
      <c r="T601" s="558">
        <f t="shared" si="68"/>
        <v>-503</v>
      </c>
      <c r="U601" s="558">
        <f t="shared" si="69"/>
        <v>567</v>
      </c>
      <c r="V601" s="558">
        <f t="shared" si="71"/>
        <v>0</v>
      </c>
      <c r="W601" s="558">
        <f t="shared" si="70"/>
        <v>0</v>
      </c>
      <c r="X601" s="558">
        <f t="shared" si="66"/>
        <v>0</v>
      </c>
      <c r="Y601" s="558">
        <f t="shared" si="72"/>
        <v>0</v>
      </c>
    </row>
    <row r="602" spans="18:25" x14ac:dyDescent="0.2">
      <c r="R602" s="558">
        <v>601</v>
      </c>
      <c r="S602" s="558">
        <f t="shared" si="67"/>
        <v>-515</v>
      </c>
      <c r="T602" s="558">
        <f t="shared" si="68"/>
        <v>-504</v>
      </c>
      <c r="U602" s="558">
        <f t="shared" si="69"/>
        <v>568</v>
      </c>
      <c r="V602" s="558">
        <f t="shared" si="71"/>
        <v>0</v>
      </c>
      <c r="W602" s="558">
        <f t="shared" si="70"/>
        <v>0</v>
      </c>
      <c r="X602" s="558">
        <f t="shared" si="66"/>
        <v>0</v>
      </c>
      <c r="Y602" s="558">
        <f t="shared" si="72"/>
        <v>0</v>
      </c>
    </row>
    <row r="603" spans="18:25" x14ac:dyDescent="0.2">
      <c r="R603" s="558">
        <v>602</v>
      </c>
      <c r="S603" s="558">
        <f t="shared" si="67"/>
        <v>-516</v>
      </c>
      <c r="T603" s="558">
        <f t="shared" si="68"/>
        <v>-505</v>
      </c>
      <c r="U603" s="558">
        <f t="shared" si="69"/>
        <v>569</v>
      </c>
      <c r="V603" s="558">
        <f t="shared" si="71"/>
        <v>0</v>
      </c>
      <c r="W603" s="558">
        <f t="shared" si="70"/>
        <v>0</v>
      </c>
      <c r="X603" s="558">
        <f t="shared" si="66"/>
        <v>0</v>
      </c>
      <c r="Y603" s="558">
        <f t="shared" si="72"/>
        <v>0</v>
      </c>
    </row>
    <row r="604" spans="18:25" x14ac:dyDescent="0.2">
      <c r="R604" s="558">
        <v>603</v>
      </c>
      <c r="S604" s="558">
        <f t="shared" si="67"/>
        <v>-517</v>
      </c>
      <c r="T604" s="558">
        <f t="shared" si="68"/>
        <v>-506</v>
      </c>
      <c r="U604" s="558">
        <f t="shared" si="69"/>
        <v>570</v>
      </c>
      <c r="V604" s="558">
        <f t="shared" si="71"/>
        <v>0</v>
      </c>
      <c r="W604" s="558">
        <f t="shared" si="70"/>
        <v>0</v>
      </c>
      <c r="X604" s="558">
        <f t="shared" si="66"/>
        <v>0</v>
      </c>
      <c r="Y604" s="558">
        <f t="shared" si="72"/>
        <v>0</v>
      </c>
    </row>
    <row r="605" spans="18:25" x14ac:dyDescent="0.2">
      <c r="R605" s="558">
        <v>604</v>
      </c>
      <c r="S605" s="558">
        <f t="shared" si="67"/>
        <v>-518</v>
      </c>
      <c r="T605" s="558">
        <f t="shared" si="68"/>
        <v>-507</v>
      </c>
      <c r="U605" s="558">
        <f t="shared" si="69"/>
        <v>571</v>
      </c>
      <c r="V605" s="558">
        <f t="shared" si="71"/>
        <v>0</v>
      </c>
      <c r="W605" s="558">
        <f t="shared" si="70"/>
        <v>0</v>
      </c>
      <c r="X605" s="558">
        <f t="shared" si="66"/>
        <v>0</v>
      </c>
      <c r="Y605" s="558">
        <f t="shared" si="72"/>
        <v>0</v>
      </c>
    </row>
    <row r="606" spans="18:25" x14ac:dyDescent="0.2">
      <c r="R606" s="558">
        <v>605</v>
      </c>
      <c r="S606" s="558">
        <f t="shared" si="67"/>
        <v>-519</v>
      </c>
      <c r="T606" s="558">
        <f t="shared" si="68"/>
        <v>-508</v>
      </c>
      <c r="U606" s="558">
        <f t="shared" si="69"/>
        <v>572</v>
      </c>
      <c r="V606" s="558">
        <f t="shared" si="71"/>
        <v>0</v>
      </c>
      <c r="W606" s="558">
        <f t="shared" si="70"/>
        <v>0</v>
      </c>
      <c r="X606" s="558">
        <f t="shared" si="66"/>
        <v>0</v>
      </c>
      <c r="Y606" s="558">
        <f t="shared" si="72"/>
        <v>0</v>
      </c>
    </row>
    <row r="607" spans="18:25" x14ac:dyDescent="0.2">
      <c r="R607" s="558">
        <v>606</v>
      </c>
      <c r="S607" s="558">
        <f t="shared" si="67"/>
        <v>-520</v>
      </c>
      <c r="T607" s="558">
        <f t="shared" si="68"/>
        <v>-509</v>
      </c>
      <c r="U607" s="558">
        <f t="shared" si="69"/>
        <v>573</v>
      </c>
      <c r="V607" s="558">
        <f t="shared" si="71"/>
        <v>0</v>
      </c>
      <c r="W607" s="558">
        <f t="shared" si="70"/>
        <v>0</v>
      </c>
      <c r="X607" s="558">
        <f t="shared" si="66"/>
        <v>0</v>
      </c>
      <c r="Y607" s="558">
        <f t="shared" si="72"/>
        <v>0</v>
      </c>
    </row>
    <row r="608" spans="18:25" x14ac:dyDescent="0.2">
      <c r="R608" s="558">
        <v>607</v>
      </c>
      <c r="S608" s="558">
        <f t="shared" si="67"/>
        <v>-521</v>
      </c>
      <c r="T608" s="558">
        <f t="shared" si="68"/>
        <v>-510</v>
      </c>
      <c r="U608" s="558">
        <f t="shared" si="69"/>
        <v>574</v>
      </c>
      <c r="V608" s="558">
        <f t="shared" si="71"/>
        <v>0</v>
      </c>
      <c r="W608" s="558">
        <f t="shared" si="70"/>
        <v>0</v>
      </c>
      <c r="X608" s="558">
        <f t="shared" si="66"/>
        <v>0</v>
      </c>
      <c r="Y608" s="558">
        <f t="shared" si="72"/>
        <v>0</v>
      </c>
    </row>
    <row r="609" spans="18:25" x14ac:dyDescent="0.2">
      <c r="R609" s="558">
        <v>608</v>
      </c>
      <c r="S609" s="558">
        <f t="shared" si="67"/>
        <v>-522</v>
      </c>
      <c r="T609" s="558">
        <f t="shared" si="68"/>
        <v>-511</v>
      </c>
      <c r="U609" s="558">
        <f t="shared" si="69"/>
        <v>575</v>
      </c>
      <c r="V609" s="558">
        <f t="shared" si="71"/>
        <v>0</v>
      </c>
      <c r="W609" s="558">
        <f t="shared" si="70"/>
        <v>0</v>
      </c>
      <c r="X609" s="558">
        <f t="shared" si="66"/>
        <v>0</v>
      </c>
      <c r="Y609" s="558">
        <f t="shared" si="72"/>
        <v>0</v>
      </c>
    </row>
    <row r="610" spans="18:25" x14ac:dyDescent="0.2">
      <c r="R610" s="558">
        <v>609</v>
      </c>
      <c r="S610" s="558">
        <f t="shared" si="67"/>
        <v>-523</v>
      </c>
      <c r="T610" s="558">
        <f t="shared" si="68"/>
        <v>-512</v>
      </c>
      <c r="U610" s="558">
        <f t="shared" si="69"/>
        <v>576</v>
      </c>
      <c r="V610" s="558">
        <f t="shared" si="71"/>
        <v>0</v>
      </c>
      <c r="W610" s="558">
        <f t="shared" si="70"/>
        <v>0</v>
      </c>
      <c r="X610" s="558">
        <f t="shared" si="66"/>
        <v>0</v>
      </c>
      <c r="Y610" s="558">
        <f t="shared" si="72"/>
        <v>0</v>
      </c>
    </row>
    <row r="611" spans="18:25" x14ac:dyDescent="0.2">
      <c r="R611" s="558">
        <v>610</v>
      </c>
      <c r="S611" s="558">
        <f t="shared" si="67"/>
        <v>-524</v>
      </c>
      <c r="T611" s="558">
        <f t="shared" si="68"/>
        <v>-513</v>
      </c>
      <c r="U611" s="558">
        <f t="shared" si="69"/>
        <v>577</v>
      </c>
      <c r="V611" s="558">
        <f t="shared" si="71"/>
        <v>0</v>
      </c>
      <c r="W611" s="558">
        <f t="shared" si="70"/>
        <v>0</v>
      </c>
      <c r="X611" s="558">
        <f t="shared" ref="X611:X674" si="73">IF(R611=$B$7,W611,0)</f>
        <v>0</v>
      </c>
      <c r="Y611" s="558">
        <f t="shared" si="72"/>
        <v>0</v>
      </c>
    </row>
    <row r="612" spans="18:25" x14ac:dyDescent="0.2">
      <c r="R612" s="558">
        <v>611</v>
      </c>
      <c r="S612" s="558">
        <f t="shared" si="67"/>
        <v>-525</v>
      </c>
      <c r="T612" s="558">
        <f t="shared" si="68"/>
        <v>-514</v>
      </c>
      <c r="U612" s="558">
        <f t="shared" si="69"/>
        <v>578</v>
      </c>
      <c r="V612" s="558">
        <f t="shared" si="71"/>
        <v>0</v>
      </c>
      <c r="W612" s="558">
        <f t="shared" si="70"/>
        <v>0</v>
      </c>
      <c r="X612" s="558">
        <f t="shared" si="73"/>
        <v>0</v>
      </c>
      <c r="Y612" s="558">
        <f t="shared" si="72"/>
        <v>0</v>
      </c>
    </row>
    <row r="613" spans="18:25" x14ac:dyDescent="0.2">
      <c r="R613" s="558">
        <v>612</v>
      </c>
      <c r="S613" s="558">
        <f t="shared" si="67"/>
        <v>-526</v>
      </c>
      <c r="T613" s="558">
        <f t="shared" si="68"/>
        <v>-515</v>
      </c>
      <c r="U613" s="558">
        <f t="shared" si="69"/>
        <v>579</v>
      </c>
      <c r="V613" s="558">
        <f t="shared" si="71"/>
        <v>0</v>
      </c>
      <c r="W613" s="558">
        <f t="shared" si="70"/>
        <v>0</v>
      </c>
      <c r="X613" s="558">
        <f t="shared" si="73"/>
        <v>0</v>
      </c>
      <c r="Y613" s="558">
        <f t="shared" si="72"/>
        <v>0</v>
      </c>
    </row>
    <row r="614" spans="18:25" x14ac:dyDescent="0.2">
      <c r="R614" s="558">
        <v>613</v>
      </c>
      <c r="S614" s="558">
        <f t="shared" si="67"/>
        <v>-527</v>
      </c>
      <c r="T614" s="558">
        <f t="shared" si="68"/>
        <v>-516</v>
      </c>
      <c r="U614" s="558">
        <f t="shared" si="69"/>
        <v>580</v>
      </c>
      <c r="V614" s="558">
        <f t="shared" si="71"/>
        <v>0</v>
      </c>
      <c r="W614" s="558">
        <f t="shared" si="70"/>
        <v>0</v>
      </c>
      <c r="X614" s="558">
        <f t="shared" si="73"/>
        <v>0</v>
      </c>
      <c r="Y614" s="558">
        <f t="shared" si="72"/>
        <v>0</v>
      </c>
    </row>
    <row r="615" spans="18:25" x14ac:dyDescent="0.2">
      <c r="R615" s="558">
        <v>614</v>
      </c>
      <c r="S615" s="558">
        <f t="shared" si="67"/>
        <v>-528</v>
      </c>
      <c r="T615" s="558">
        <f t="shared" si="68"/>
        <v>-517</v>
      </c>
      <c r="U615" s="558">
        <f t="shared" si="69"/>
        <v>581</v>
      </c>
      <c r="V615" s="558">
        <f t="shared" si="71"/>
        <v>0</v>
      </c>
      <c r="W615" s="558">
        <f t="shared" si="70"/>
        <v>0</v>
      </c>
      <c r="X615" s="558">
        <f t="shared" si="73"/>
        <v>0</v>
      </c>
      <c r="Y615" s="558">
        <f t="shared" si="72"/>
        <v>0</v>
      </c>
    </row>
    <row r="616" spans="18:25" x14ac:dyDescent="0.2">
      <c r="R616" s="558">
        <v>615</v>
      </c>
      <c r="S616" s="558">
        <f t="shared" si="67"/>
        <v>-529</v>
      </c>
      <c r="T616" s="558">
        <f t="shared" si="68"/>
        <v>-518</v>
      </c>
      <c r="U616" s="558">
        <f t="shared" si="69"/>
        <v>582</v>
      </c>
      <c r="V616" s="558">
        <f t="shared" si="71"/>
        <v>0</v>
      </c>
      <c r="W616" s="558">
        <f t="shared" si="70"/>
        <v>0</v>
      </c>
      <c r="X616" s="558">
        <f t="shared" si="73"/>
        <v>0</v>
      </c>
      <c r="Y616" s="558">
        <f t="shared" si="72"/>
        <v>0</v>
      </c>
    </row>
    <row r="617" spans="18:25" x14ac:dyDescent="0.2">
      <c r="R617" s="558">
        <v>616</v>
      </c>
      <c r="S617" s="558">
        <f t="shared" si="67"/>
        <v>-530</v>
      </c>
      <c r="T617" s="558">
        <f t="shared" si="68"/>
        <v>-519</v>
      </c>
      <c r="U617" s="558">
        <f t="shared" si="69"/>
        <v>583</v>
      </c>
      <c r="V617" s="558">
        <f t="shared" si="71"/>
        <v>0</v>
      </c>
      <c r="W617" s="558">
        <f t="shared" si="70"/>
        <v>0</v>
      </c>
      <c r="X617" s="558">
        <f t="shared" si="73"/>
        <v>0</v>
      </c>
      <c r="Y617" s="558">
        <f t="shared" si="72"/>
        <v>0</v>
      </c>
    </row>
    <row r="618" spans="18:25" x14ac:dyDescent="0.2">
      <c r="R618" s="558">
        <v>617</v>
      </c>
      <c r="S618" s="558">
        <f t="shared" si="67"/>
        <v>-531</v>
      </c>
      <c r="T618" s="558">
        <f t="shared" si="68"/>
        <v>-520</v>
      </c>
      <c r="U618" s="558">
        <f t="shared" si="69"/>
        <v>584</v>
      </c>
      <c r="V618" s="558">
        <f t="shared" si="71"/>
        <v>0</v>
      </c>
      <c r="W618" s="558">
        <f t="shared" si="70"/>
        <v>0</v>
      </c>
      <c r="X618" s="558">
        <f t="shared" si="73"/>
        <v>0</v>
      </c>
      <c r="Y618" s="558">
        <f t="shared" si="72"/>
        <v>0</v>
      </c>
    </row>
    <row r="619" spans="18:25" x14ac:dyDescent="0.2">
      <c r="R619" s="558">
        <v>618</v>
      </c>
      <c r="S619" s="558">
        <f t="shared" si="67"/>
        <v>-532</v>
      </c>
      <c r="T619" s="558">
        <f t="shared" si="68"/>
        <v>-521</v>
      </c>
      <c r="U619" s="558">
        <f t="shared" si="69"/>
        <v>585</v>
      </c>
      <c r="V619" s="558">
        <f t="shared" si="71"/>
        <v>0</v>
      </c>
      <c r="W619" s="558">
        <f t="shared" si="70"/>
        <v>0</v>
      </c>
      <c r="X619" s="558">
        <f t="shared" si="73"/>
        <v>0</v>
      </c>
      <c r="Y619" s="558">
        <f t="shared" si="72"/>
        <v>0</v>
      </c>
    </row>
    <row r="620" spans="18:25" x14ac:dyDescent="0.2">
      <c r="R620" s="558">
        <v>619</v>
      </c>
      <c r="S620" s="558">
        <f t="shared" si="67"/>
        <v>-533</v>
      </c>
      <c r="T620" s="558">
        <f t="shared" si="68"/>
        <v>-522</v>
      </c>
      <c r="U620" s="558">
        <f t="shared" si="69"/>
        <v>586</v>
      </c>
      <c r="V620" s="558">
        <f t="shared" si="71"/>
        <v>0</v>
      </c>
      <c r="W620" s="558">
        <f t="shared" si="70"/>
        <v>0</v>
      </c>
      <c r="X620" s="558">
        <f t="shared" si="73"/>
        <v>0</v>
      </c>
      <c r="Y620" s="558">
        <f t="shared" si="72"/>
        <v>0</v>
      </c>
    </row>
    <row r="621" spans="18:25" x14ac:dyDescent="0.2">
      <c r="R621" s="558">
        <v>620</v>
      </c>
      <c r="S621" s="558">
        <f t="shared" si="67"/>
        <v>-534</v>
      </c>
      <c r="T621" s="558">
        <f t="shared" si="68"/>
        <v>-523</v>
      </c>
      <c r="U621" s="558">
        <f t="shared" si="69"/>
        <v>587</v>
      </c>
      <c r="V621" s="558">
        <f t="shared" si="71"/>
        <v>0</v>
      </c>
      <c r="W621" s="558">
        <f t="shared" si="70"/>
        <v>0</v>
      </c>
      <c r="X621" s="558">
        <f t="shared" si="73"/>
        <v>0</v>
      </c>
      <c r="Y621" s="558">
        <f t="shared" si="72"/>
        <v>0</v>
      </c>
    </row>
    <row r="622" spans="18:25" x14ac:dyDescent="0.2">
      <c r="R622" s="558">
        <v>621</v>
      </c>
      <c r="S622" s="558">
        <f t="shared" si="67"/>
        <v>-535</v>
      </c>
      <c r="T622" s="558">
        <f t="shared" si="68"/>
        <v>-524</v>
      </c>
      <c r="U622" s="558">
        <f t="shared" si="69"/>
        <v>588</v>
      </c>
      <c r="V622" s="558">
        <f t="shared" si="71"/>
        <v>0</v>
      </c>
      <c r="W622" s="558">
        <f t="shared" si="70"/>
        <v>0</v>
      </c>
      <c r="X622" s="558">
        <f t="shared" si="73"/>
        <v>0</v>
      </c>
      <c r="Y622" s="558">
        <f t="shared" si="72"/>
        <v>0</v>
      </c>
    </row>
    <row r="623" spans="18:25" x14ac:dyDescent="0.2">
      <c r="R623" s="558">
        <v>622</v>
      </c>
      <c r="S623" s="558">
        <f t="shared" si="67"/>
        <v>-536</v>
      </c>
      <c r="T623" s="558">
        <f t="shared" si="68"/>
        <v>-525</v>
      </c>
      <c r="U623" s="558">
        <f t="shared" si="69"/>
        <v>589</v>
      </c>
      <c r="V623" s="558">
        <f t="shared" si="71"/>
        <v>0</v>
      </c>
      <c r="W623" s="558">
        <f t="shared" si="70"/>
        <v>0</v>
      </c>
      <c r="X623" s="558">
        <f t="shared" si="73"/>
        <v>0</v>
      </c>
      <c r="Y623" s="558">
        <f t="shared" si="72"/>
        <v>0</v>
      </c>
    </row>
    <row r="624" spans="18:25" x14ac:dyDescent="0.2">
      <c r="R624" s="558">
        <v>623</v>
      </c>
      <c r="S624" s="558">
        <f t="shared" si="67"/>
        <v>-537</v>
      </c>
      <c r="T624" s="558">
        <f t="shared" si="68"/>
        <v>-526</v>
      </c>
      <c r="U624" s="558">
        <f t="shared" si="69"/>
        <v>590</v>
      </c>
      <c r="V624" s="558">
        <f t="shared" si="71"/>
        <v>0</v>
      </c>
      <c r="W624" s="558">
        <f t="shared" si="70"/>
        <v>0</v>
      </c>
      <c r="X624" s="558">
        <f t="shared" si="73"/>
        <v>0</v>
      </c>
      <c r="Y624" s="558">
        <f t="shared" si="72"/>
        <v>0</v>
      </c>
    </row>
    <row r="625" spans="18:25" x14ac:dyDescent="0.2">
      <c r="R625" s="558">
        <v>624</v>
      </c>
      <c r="S625" s="558">
        <f t="shared" si="67"/>
        <v>-538</v>
      </c>
      <c r="T625" s="558">
        <f t="shared" si="68"/>
        <v>-527</v>
      </c>
      <c r="U625" s="558">
        <f t="shared" si="69"/>
        <v>591</v>
      </c>
      <c r="V625" s="558">
        <f t="shared" si="71"/>
        <v>0</v>
      </c>
      <c r="W625" s="558">
        <f t="shared" si="70"/>
        <v>0</v>
      </c>
      <c r="X625" s="558">
        <f t="shared" si="73"/>
        <v>0</v>
      </c>
      <c r="Y625" s="558">
        <f t="shared" si="72"/>
        <v>0</v>
      </c>
    </row>
    <row r="626" spans="18:25" x14ac:dyDescent="0.2">
      <c r="R626" s="558">
        <v>625</v>
      </c>
      <c r="S626" s="558">
        <f t="shared" si="67"/>
        <v>-539</v>
      </c>
      <c r="T626" s="558">
        <f t="shared" si="68"/>
        <v>-528</v>
      </c>
      <c r="U626" s="558">
        <f t="shared" si="69"/>
        <v>592</v>
      </c>
      <c r="V626" s="558">
        <f t="shared" si="71"/>
        <v>0</v>
      </c>
      <c r="W626" s="558">
        <f t="shared" si="70"/>
        <v>0</v>
      </c>
      <c r="X626" s="558">
        <f t="shared" si="73"/>
        <v>0</v>
      </c>
      <c r="Y626" s="558">
        <f t="shared" si="72"/>
        <v>0</v>
      </c>
    </row>
    <row r="627" spans="18:25" x14ac:dyDescent="0.2">
      <c r="R627" s="558">
        <v>626</v>
      </c>
      <c r="S627" s="558">
        <f t="shared" si="67"/>
        <v>-540</v>
      </c>
      <c r="T627" s="558">
        <f t="shared" si="68"/>
        <v>-529</v>
      </c>
      <c r="U627" s="558">
        <f t="shared" si="69"/>
        <v>593</v>
      </c>
      <c r="V627" s="558">
        <f t="shared" si="71"/>
        <v>0</v>
      </c>
      <c r="W627" s="558">
        <f t="shared" si="70"/>
        <v>0</v>
      </c>
      <c r="X627" s="558">
        <f t="shared" si="73"/>
        <v>0</v>
      </c>
      <c r="Y627" s="558">
        <f t="shared" si="72"/>
        <v>0</v>
      </c>
    </row>
    <row r="628" spans="18:25" x14ac:dyDescent="0.2">
      <c r="R628" s="558">
        <v>627</v>
      </c>
      <c r="S628" s="558">
        <f t="shared" si="67"/>
        <v>-541</v>
      </c>
      <c r="T628" s="558">
        <f t="shared" si="68"/>
        <v>-530</v>
      </c>
      <c r="U628" s="558">
        <f t="shared" si="69"/>
        <v>594</v>
      </c>
      <c r="V628" s="558">
        <f t="shared" si="71"/>
        <v>0</v>
      </c>
      <c r="W628" s="558">
        <f t="shared" si="70"/>
        <v>0</v>
      </c>
      <c r="X628" s="558">
        <f t="shared" si="73"/>
        <v>0</v>
      </c>
      <c r="Y628" s="558">
        <f t="shared" si="72"/>
        <v>0</v>
      </c>
    </row>
    <row r="629" spans="18:25" x14ac:dyDescent="0.2">
      <c r="R629" s="558">
        <v>628</v>
      </c>
      <c r="S629" s="558">
        <f t="shared" si="67"/>
        <v>-542</v>
      </c>
      <c r="T629" s="558">
        <f t="shared" si="68"/>
        <v>-531</v>
      </c>
      <c r="U629" s="558">
        <f t="shared" si="69"/>
        <v>595</v>
      </c>
      <c r="V629" s="558">
        <f t="shared" si="71"/>
        <v>0</v>
      </c>
      <c r="W629" s="558">
        <f t="shared" si="70"/>
        <v>0</v>
      </c>
      <c r="X629" s="558">
        <f t="shared" si="73"/>
        <v>0</v>
      </c>
      <c r="Y629" s="558">
        <f t="shared" si="72"/>
        <v>0</v>
      </c>
    </row>
    <row r="630" spans="18:25" x14ac:dyDescent="0.2">
      <c r="R630" s="558">
        <v>629</v>
      </c>
      <c r="S630" s="558">
        <f t="shared" si="67"/>
        <v>-543</v>
      </c>
      <c r="T630" s="558">
        <f t="shared" si="68"/>
        <v>-532</v>
      </c>
      <c r="U630" s="558">
        <f t="shared" si="69"/>
        <v>596</v>
      </c>
      <c r="V630" s="558">
        <f t="shared" si="71"/>
        <v>0</v>
      </c>
      <c r="W630" s="558">
        <f t="shared" si="70"/>
        <v>0</v>
      </c>
      <c r="X630" s="558">
        <f t="shared" si="73"/>
        <v>0</v>
      </c>
      <c r="Y630" s="558">
        <f t="shared" si="72"/>
        <v>0</v>
      </c>
    </row>
    <row r="631" spans="18:25" x14ac:dyDescent="0.2">
      <c r="R631" s="558">
        <v>630</v>
      </c>
      <c r="S631" s="558">
        <f t="shared" si="67"/>
        <v>-544</v>
      </c>
      <c r="T631" s="558">
        <f t="shared" si="68"/>
        <v>-533</v>
      </c>
      <c r="U631" s="558">
        <f t="shared" si="69"/>
        <v>597</v>
      </c>
      <c r="V631" s="558">
        <f t="shared" si="71"/>
        <v>0</v>
      </c>
      <c r="W631" s="558">
        <f t="shared" si="70"/>
        <v>0</v>
      </c>
      <c r="X631" s="558">
        <f t="shared" si="73"/>
        <v>0</v>
      </c>
      <c r="Y631" s="558">
        <f t="shared" si="72"/>
        <v>0</v>
      </c>
    </row>
    <row r="632" spans="18:25" x14ac:dyDescent="0.2">
      <c r="R632" s="558">
        <v>631</v>
      </c>
      <c r="S632" s="558">
        <f t="shared" si="67"/>
        <v>-545</v>
      </c>
      <c r="T632" s="558">
        <f t="shared" si="68"/>
        <v>-534</v>
      </c>
      <c r="U632" s="558">
        <f t="shared" si="69"/>
        <v>598</v>
      </c>
      <c r="V632" s="558">
        <f t="shared" si="71"/>
        <v>0</v>
      </c>
      <c r="W632" s="558">
        <f t="shared" si="70"/>
        <v>0</v>
      </c>
      <c r="X632" s="558">
        <f t="shared" si="73"/>
        <v>0</v>
      </c>
      <c r="Y632" s="558">
        <f t="shared" si="72"/>
        <v>0</v>
      </c>
    </row>
    <row r="633" spans="18:25" x14ac:dyDescent="0.2">
      <c r="R633" s="558">
        <v>632</v>
      </c>
      <c r="S633" s="558">
        <f t="shared" si="67"/>
        <v>-546</v>
      </c>
      <c r="T633" s="558">
        <f t="shared" si="68"/>
        <v>-535</v>
      </c>
      <c r="U633" s="558">
        <f t="shared" si="69"/>
        <v>599</v>
      </c>
      <c r="V633" s="558">
        <f t="shared" si="71"/>
        <v>0</v>
      </c>
      <c r="W633" s="558">
        <f t="shared" si="70"/>
        <v>0</v>
      </c>
      <c r="X633" s="558">
        <f t="shared" si="73"/>
        <v>0</v>
      </c>
      <c r="Y633" s="558">
        <f t="shared" si="72"/>
        <v>0</v>
      </c>
    </row>
    <row r="634" spans="18:25" x14ac:dyDescent="0.2">
      <c r="R634" s="558">
        <v>633</v>
      </c>
      <c r="S634" s="558">
        <f t="shared" si="67"/>
        <v>-547</v>
      </c>
      <c r="T634" s="558">
        <f t="shared" si="68"/>
        <v>-536</v>
      </c>
      <c r="U634" s="558">
        <f t="shared" si="69"/>
        <v>600</v>
      </c>
      <c r="V634" s="558">
        <f t="shared" si="71"/>
        <v>0</v>
      </c>
      <c r="W634" s="558">
        <f t="shared" si="70"/>
        <v>0</v>
      </c>
      <c r="X634" s="558">
        <f t="shared" si="73"/>
        <v>0</v>
      </c>
      <c r="Y634" s="558">
        <f t="shared" si="72"/>
        <v>0</v>
      </c>
    </row>
    <row r="635" spans="18:25" x14ac:dyDescent="0.2">
      <c r="R635" s="558">
        <v>634</v>
      </c>
      <c r="S635" s="558">
        <f t="shared" si="67"/>
        <v>-548</v>
      </c>
      <c r="T635" s="558">
        <f t="shared" si="68"/>
        <v>-537</v>
      </c>
      <c r="U635" s="558">
        <f t="shared" si="69"/>
        <v>601</v>
      </c>
      <c r="V635" s="558">
        <f t="shared" si="71"/>
        <v>0</v>
      </c>
      <c r="W635" s="558">
        <f t="shared" si="70"/>
        <v>0</v>
      </c>
      <c r="X635" s="558">
        <f t="shared" si="73"/>
        <v>0</v>
      </c>
      <c r="Y635" s="558">
        <f t="shared" si="72"/>
        <v>0</v>
      </c>
    </row>
    <row r="636" spans="18:25" x14ac:dyDescent="0.2">
      <c r="R636" s="558">
        <v>635</v>
      </c>
      <c r="S636" s="558">
        <f t="shared" si="67"/>
        <v>-549</v>
      </c>
      <c r="T636" s="558">
        <f t="shared" si="68"/>
        <v>-538</v>
      </c>
      <c r="U636" s="558">
        <f t="shared" si="69"/>
        <v>602</v>
      </c>
      <c r="V636" s="558">
        <f t="shared" si="71"/>
        <v>0</v>
      </c>
      <c r="W636" s="558">
        <f t="shared" si="70"/>
        <v>0</v>
      </c>
      <c r="X636" s="558">
        <f t="shared" si="73"/>
        <v>0</v>
      </c>
      <c r="Y636" s="558">
        <f t="shared" si="72"/>
        <v>0</v>
      </c>
    </row>
    <row r="637" spans="18:25" x14ac:dyDescent="0.2">
      <c r="R637" s="558">
        <v>636</v>
      </c>
      <c r="S637" s="558">
        <f t="shared" si="67"/>
        <v>-550</v>
      </c>
      <c r="T637" s="558">
        <f t="shared" si="68"/>
        <v>-539</v>
      </c>
      <c r="U637" s="558">
        <f t="shared" si="69"/>
        <v>603</v>
      </c>
      <c r="V637" s="558">
        <f t="shared" si="71"/>
        <v>0</v>
      </c>
      <c r="W637" s="558">
        <f t="shared" si="70"/>
        <v>0</v>
      </c>
      <c r="X637" s="558">
        <f t="shared" si="73"/>
        <v>0</v>
      </c>
      <c r="Y637" s="558">
        <f t="shared" si="72"/>
        <v>0</v>
      </c>
    </row>
    <row r="638" spans="18:25" x14ac:dyDescent="0.2">
      <c r="R638" s="558">
        <v>637</v>
      </c>
      <c r="S638" s="558">
        <f t="shared" si="67"/>
        <v>-551</v>
      </c>
      <c r="T638" s="558">
        <f t="shared" si="68"/>
        <v>-540</v>
      </c>
      <c r="U638" s="558">
        <f t="shared" si="69"/>
        <v>604</v>
      </c>
      <c r="V638" s="558">
        <f t="shared" si="71"/>
        <v>0</v>
      </c>
      <c r="W638" s="558">
        <f t="shared" si="70"/>
        <v>0</v>
      </c>
      <c r="X638" s="558">
        <f t="shared" si="73"/>
        <v>0</v>
      </c>
      <c r="Y638" s="558">
        <f t="shared" si="72"/>
        <v>0</v>
      </c>
    </row>
    <row r="639" spans="18:25" x14ac:dyDescent="0.2">
      <c r="R639" s="558">
        <v>638</v>
      </c>
      <c r="S639" s="558">
        <f t="shared" si="67"/>
        <v>-552</v>
      </c>
      <c r="T639" s="558">
        <f t="shared" si="68"/>
        <v>-541</v>
      </c>
      <c r="U639" s="558">
        <f t="shared" si="69"/>
        <v>605</v>
      </c>
      <c r="V639" s="558">
        <f t="shared" si="71"/>
        <v>0</v>
      </c>
      <c r="W639" s="558">
        <f t="shared" si="70"/>
        <v>0</v>
      </c>
      <c r="X639" s="558">
        <f t="shared" si="73"/>
        <v>0</v>
      </c>
      <c r="Y639" s="558">
        <f t="shared" si="72"/>
        <v>0</v>
      </c>
    </row>
    <row r="640" spans="18:25" x14ac:dyDescent="0.2">
      <c r="R640" s="558">
        <v>639</v>
      </c>
      <c r="S640" s="558">
        <f t="shared" si="67"/>
        <v>-553</v>
      </c>
      <c r="T640" s="558">
        <f t="shared" si="68"/>
        <v>-542</v>
      </c>
      <c r="U640" s="558">
        <f t="shared" si="69"/>
        <v>606</v>
      </c>
      <c r="V640" s="558">
        <f t="shared" si="71"/>
        <v>0</v>
      </c>
      <c r="W640" s="558">
        <f t="shared" si="70"/>
        <v>0</v>
      </c>
      <c r="X640" s="558">
        <f t="shared" si="73"/>
        <v>0</v>
      </c>
      <c r="Y640" s="558">
        <f t="shared" si="72"/>
        <v>0</v>
      </c>
    </row>
    <row r="641" spans="18:25" x14ac:dyDescent="0.2">
      <c r="R641" s="558">
        <v>640</v>
      </c>
      <c r="S641" s="558">
        <f t="shared" ref="S641:S704" si="74">$D$7-R641</f>
        <v>-554</v>
      </c>
      <c r="T641" s="558">
        <f t="shared" ref="T641:T704" si="75">$B$9-R641</f>
        <v>-543</v>
      </c>
      <c r="U641" s="558">
        <f t="shared" ref="U641:U704" si="76">$D$9-SUM(R641:T641)</f>
        <v>607</v>
      </c>
      <c r="V641" s="558">
        <f t="shared" si="71"/>
        <v>0</v>
      </c>
      <c r="W641" s="558">
        <f t="shared" ref="W641:W704" si="77">_xlfn.HYPGEOM.DIST(R641,R641+T641,R641+S641,SUM(R641:U641),0)</f>
        <v>0</v>
      </c>
      <c r="X641" s="558">
        <f t="shared" si="73"/>
        <v>0</v>
      </c>
      <c r="Y641" s="558">
        <f t="shared" si="72"/>
        <v>0</v>
      </c>
    </row>
    <row r="642" spans="18:25" x14ac:dyDescent="0.2">
      <c r="R642" s="558">
        <v>641</v>
      </c>
      <c r="S642" s="558">
        <f t="shared" si="74"/>
        <v>-555</v>
      </c>
      <c r="T642" s="558">
        <f t="shared" si="75"/>
        <v>-544</v>
      </c>
      <c r="U642" s="558">
        <f t="shared" si="76"/>
        <v>608</v>
      </c>
      <c r="V642" s="558">
        <f t="shared" ref="V642:V705" si="78">IF(S642&gt;=0,IF(T642&gt;=0,IF(U642&gt;=0,1,0),0),0)</f>
        <v>0</v>
      </c>
      <c r="W642" s="558">
        <f t="shared" si="77"/>
        <v>0</v>
      </c>
      <c r="X642" s="558">
        <f t="shared" si="73"/>
        <v>0</v>
      </c>
      <c r="Y642" s="558">
        <f t="shared" ref="Y642:Y705" si="79">IF(W642&lt;=SUM($X$1:$X$1101),W642,0)</f>
        <v>0</v>
      </c>
    </row>
    <row r="643" spans="18:25" x14ac:dyDescent="0.2">
      <c r="R643" s="558">
        <v>642</v>
      </c>
      <c r="S643" s="558">
        <f t="shared" si="74"/>
        <v>-556</v>
      </c>
      <c r="T643" s="558">
        <f t="shared" si="75"/>
        <v>-545</v>
      </c>
      <c r="U643" s="558">
        <f t="shared" si="76"/>
        <v>609</v>
      </c>
      <c r="V643" s="558">
        <f t="shared" si="78"/>
        <v>0</v>
      </c>
      <c r="W643" s="558">
        <f t="shared" si="77"/>
        <v>0</v>
      </c>
      <c r="X643" s="558">
        <f t="shared" si="73"/>
        <v>0</v>
      </c>
      <c r="Y643" s="558">
        <f t="shared" si="79"/>
        <v>0</v>
      </c>
    </row>
    <row r="644" spans="18:25" x14ac:dyDescent="0.2">
      <c r="R644" s="558">
        <v>643</v>
      </c>
      <c r="S644" s="558">
        <f t="shared" si="74"/>
        <v>-557</v>
      </c>
      <c r="T644" s="558">
        <f t="shared" si="75"/>
        <v>-546</v>
      </c>
      <c r="U644" s="558">
        <f t="shared" si="76"/>
        <v>610</v>
      </c>
      <c r="V644" s="558">
        <f t="shared" si="78"/>
        <v>0</v>
      </c>
      <c r="W644" s="558">
        <f t="shared" si="77"/>
        <v>0</v>
      </c>
      <c r="X644" s="558">
        <f t="shared" si="73"/>
        <v>0</v>
      </c>
      <c r="Y644" s="558">
        <f t="shared" si="79"/>
        <v>0</v>
      </c>
    </row>
    <row r="645" spans="18:25" x14ac:dyDescent="0.2">
      <c r="R645" s="558">
        <v>644</v>
      </c>
      <c r="S645" s="558">
        <f t="shared" si="74"/>
        <v>-558</v>
      </c>
      <c r="T645" s="558">
        <f t="shared" si="75"/>
        <v>-547</v>
      </c>
      <c r="U645" s="558">
        <f t="shared" si="76"/>
        <v>611</v>
      </c>
      <c r="V645" s="558">
        <f t="shared" si="78"/>
        <v>0</v>
      </c>
      <c r="W645" s="558">
        <f t="shared" si="77"/>
        <v>0</v>
      </c>
      <c r="X645" s="558">
        <f t="shared" si="73"/>
        <v>0</v>
      </c>
      <c r="Y645" s="558">
        <f t="shared" si="79"/>
        <v>0</v>
      </c>
    </row>
    <row r="646" spans="18:25" x14ac:dyDescent="0.2">
      <c r="R646" s="558">
        <v>645</v>
      </c>
      <c r="S646" s="558">
        <f t="shared" si="74"/>
        <v>-559</v>
      </c>
      <c r="T646" s="558">
        <f t="shared" si="75"/>
        <v>-548</v>
      </c>
      <c r="U646" s="558">
        <f t="shared" si="76"/>
        <v>612</v>
      </c>
      <c r="V646" s="558">
        <f t="shared" si="78"/>
        <v>0</v>
      </c>
      <c r="W646" s="558">
        <f t="shared" si="77"/>
        <v>0</v>
      </c>
      <c r="X646" s="558">
        <f t="shared" si="73"/>
        <v>0</v>
      </c>
      <c r="Y646" s="558">
        <f t="shared" si="79"/>
        <v>0</v>
      </c>
    </row>
    <row r="647" spans="18:25" x14ac:dyDescent="0.2">
      <c r="R647" s="558">
        <v>646</v>
      </c>
      <c r="S647" s="558">
        <f t="shared" si="74"/>
        <v>-560</v>
      </c>
      <c r="T647" s="558">
        <f t="shared" si="75"/>
        <v>-549</v>
      </c>
      <c r="U647" s="558">
        <f t="shared" si="76"/>
        <v>613</v>
      </c>
      <c r="V647" s="558">
        <f t="shared" si="78"/>
        <v>0</v>
      </c>
      <c r="W647" s="558">
        <f t="shared" si="77"/>
        <v>0</v>
      </c>
      <c r="X647" s="558">
        <f t="shared" si="73"/>
        <v>0</v>
      </c>
      <c r="Y647" s="558">
        <f t="shared" si="79"/>
        <v>0</v>
      </c>
    </row>
    <row r="648" spans="18:25" x14ac:dyDescent="0.2">
      <c r="R648" s="558">
        <v>647</v>
      </c>
      <c r="S648" s="558">
        <f t="shared" si="74"/>
        <v>-561</v>
      </c>
      <c r="T648" s="558">
        <f t="shared" si="75"/>
        <v>-550</v>
      </c>
      <c r="U648" s="558">
        <f t="shared" si="76"/>
        <v>614</v>
      </c>
      <c r="V648" s="558">
        <f t="shared" si="78"/>
        <v>0</v>
      </c>
      <c r="W648" s="558">
        <f t="shared" si="77"/>
        <v>0</v>
      </c>
      <c r="X648" s="558">
        <f t="shared" si="73"/>
        <v>0</v>
      </c>
      <c r="Y648" s="558">
        <f t="shared" si="79"/>
        <v>0</v>
      </c>
    </row>
    <row r="649" spans="18:25" x14ac:dyDescent="0.2">
      <c r="R649" s="558">
        <v>648</v>
      </c>
      <c r="S649" s="558">
        <f t="shared" si="74"/>
        <v>-562</v>
      </c>
      <c r="T649" s="558">
        <f t="shared" si="75"/>
        <v>-551</v>
      </c>
      <c r="U649" s="558">
        <f t="shared" si="76"/>
        <v>615</v>
      </c>
      <c r="V649" s="558">
        <f t="shared" si="78"/>
        <v>0</v>
      </c>
      <c r="W649" s="558">
        <f t="shared" si="77"/>
        <v>0</v>
      </c>
      <c r="X649" s="558">
        <f t="shared" si="73"/>
        <v>0</v>
      </c>
      <c r="Y649" s="558">
        <f t="shared" si="79"/>
        <v>0</v>
      </c>
    </row>
    <row r="650" spans="18:25" x14ac:dyDescent="0.2">
      <c r="R650" s="558">
        <v>649</v>
      </c>
      <c r="S650" s="558">
        <f t="shared" si="74"/>
        <v>-563</v>
      </c>
      <c r="T650" s="558">
        <f t="shared" si="75"/>
        <v>-552</v>
      </c>
      <c r="U650" s="558">
        <f t="shared" si="76"/>
        <v>616</v>
      </c>
      <c r="V650" s="558">
        <f t="shared" si="78"/>
        <v>0</v>
      </c>
      <c r="W650" s="558">
        <f t="shared" si="77"/>
        <v>0</v>
      </c>
      <c r="X650" s="558">
        <f t="shared" si="73"/>
        <v>0</v>
      </c>
      <c r="Y650" s="558">
        <f t="shared" si="79"/>
        <v>0</v>
      </c>
    </row>
    <row r="651" spans="18:25" x14ac:dyDescent="0.2">
      <c r="R651" s="558">
        <v>650</v>
      </c>
      <c r="S651" s="558">
        <f t="shared" si="74"/>
        <v>-564</v>
      </c>
      <c r="T651" s="558">
        <f t="shared" si="75"/>
        <v>-553</v>
      </c>
      <c r="U651" s="558">
        <f t="shared" si="76"/>
        <v>617</v>
      </c>
      <c r="V651" s="558">
        <f t="shared" si="78"/>
        <v>0</v>
      </c>
      <c r="W651" s="558">
        <f t="shared" si="77"/>
        <v>0</v>
      </c>
      <c r="X651" s="558">
        <f t="shared" si="73"/>
        <v>0</v>
      </c>
      <c r="Y651" s="558">
        <f t="shared" si="79"/>
        <v>0</v>
      </c>
    </row>
    <row r="652" spans="18:25" x14ac:dyDescent="0.2">
      <c r="R652" s="558">
        <v>651</v>
      </c>
      <c r="S652" s="558">
        <f t="shared" si="74"/>
        <v>-565</v>
      </c>
      <c r="T652" s="558">
        <f t="shared" si="75"/>
        <v>-554</v>
      </c>
      <c r="U652" s="558">
        <f t="shared" si="76"/>
        <v>618</v>
      </c>
      <c r="V652" s="558">
        <f t="shared" si="78"/>
        <v>0</v>
      </c>
      <c r="W652" s="558">
        <f t="shared" si="77"/>
        <v>0</v>
      </c>
      <c r="X652" s="558">
        <f t="shared" si="73"/>
        <v>0</v>
      </c>
      <c r="Y652" s="558">
        <f t="shared" si="79"/>
        <v>0</v>
      </c>
    </row>
    <row r="653" spans="18:25" x14ac:dyDescent="0.2">
      <c r="R653" s="558">
        <v>652</v>
      </c>
      <c r="S653" s="558">
        <f t="shared" si="74"/>
        <v>-566</v>
      </c>
      <c r="T653" s="558">
        <f t="shared" si="75"/>
        <v>-555</v>
      </c>
      <c r="U653" s="558">
        <f t="shared" si="76"/>
        <v>619</v>
      </c>
      <c r="V653" s="558">
        <f t="shared" si="78"/>
        <v>0</v>
      </c>
      <c r="W653" s="558">
        <f t="shared" si="77"/>
        <v>0</v>
      </c>
      <c r="X653" s="558">
        <f t="shared" si="73"/>
        <v>0</v>
      </c>
      <c r="Y653" s="558">
        <f t="shared" si="79"/>
        <v>0</v>
      </c>
    </row>
    <row r="654" spans="18:25" x14ac:dyDescent="0.2">
      <c r="R654" s="558">
        <v>653</v>
      </c>
      <c r="S654" s="558">
        <f t="shared" si="74"/>
        <v>-567</v>
      </c>
      <c r="T654" s="558">
        <f t="shared" si="75"/>
        <v>-556</v>
      </c>
      <c r="U654" s="558">
        <f t="shared" si="76"/>
        <v>620</v>
      </c>
      <c r="V654" s="558">
        <f t="shared" si="78"/>
        <v>0</v>
      </c>
      <c r="W654" s="558">
        <f t="shared" si="77"/>
        <v>0</v>
      </c>
      <c r="X654" s="558">
        <f t="shared" si="73"/>
        <v>0</v>
      </c>
      <c r="Y654" s="558">
        <f t="shared" si="79"/>
        <v>0</v>
      </c>
    </row>
    <row r="655" spans="18:25" x14ac:dyDescent="0.2">
      <c r="R655" s="558">
        <v>654</v>
      </c>
      <c r="S655" s="558">
        <f t="shared" si="74"/>
        <v>-568</v>
      </c>
      <c r="T655" s="558">
        <f t="shared" si="75"/>
        <v>-557</v>
      </c>
      <c r="U655" s="558">
        <f t="shared" si="76"/>
        <v>621</v>
      </c>
      <c r="V655" s="558">
        <f t="shared" si="78"/>
        <v>0</v>
      </c>
      <c r="W655" s="558">
        <f t="shared" si="77"/>
        <v>0</v>
      </c>
      <c r="X655" s="558">
        <f t="shared" si="73"/>
        <v>0</v>
      </c>
      <c r="Y655" s="558">
        <f t="shared" si="79"/>
        <v>0</v>
      </c>
    </row>
    <row r="656" spans="18:25" x14ac:dyDescent="0.2">
      <c r="R656" s="558">
        <v>655</v>
      </c>
      <c r="S656" s="558">
        <f t="shared" si="74"/>
        <v>-569</v>
      </c>
      <c r="T656" s="558">
        <f t="shared" si="75"/>
        <v>-558</v>
      </c>
      <c r="U656" s="558">
        <f t="shared" si="76"/>
        <v>622</v>
      </c>
      <c r="V656" s="558">
        <f t="shared" si="78"/>
        <v>0</v>
      </c>
      <c r="W656" s="558">
        <f t="shared" si="77"/>
        <v>0</v>
      </c>
      <c r="X656" s="558">
        <f t="shared" si="73"/>
        <v>0</v>
      </c>
      <c r="Y656" s="558">
        <f t="shared" si="79"/>
        <v>0</v>
      </c>
    </row>
    <row r="657" spans="18:25" x14ac:dyDescent="0.2">
      <c r="R657" s="558">
        <v>656</v>
      </c>
      <c r="S657" s="558">
        <f t="shared" si="74"/>
        <v>-570</v>
      </c>
      <c r="T657" s="558">
        <f t="shared" si="75"/>
        <v>-559</v>
      </c>
      <c r="U657" s="558">
        <f t="shared" si="76"/>
        <v>623</v>
      </c>
      <c r="V657" s="558">
        <f t="shared" si="78"/>
        <v>0</v>
      </c>
      <c r="W657" s="558">
        <f t="shared" si="77"/>
        <v>0</v>
      </c>
      <c r="X657" s="558">
        <f t="shared" si="73"/>
        <v>0</v>
      </c>
      <c r="Y657" s="558">
        <f t="shared" si="79"/>
        <v>0</v>
      </c>
    </row>
    <row r="658" spans="18:25" x14ac:dyDescent="0.2">
      <c r="R658" s="558">
        <v>657</v>
      </c>
      <c r="S658" s="558">
        <f t="shared" si="74"/>
        <v>-571</v>
      </c>
      <c r="T658" s="558">
        <f t="shared" si="75"/>
        <v>-560</v>
      </c>
      <c r="U658" s="558">
        <f t="shared" si="76"/>
        <v>624</v>
      </c>
      <c r="V658" s="558">
        <f t="shared" si="78"/>
        <v>0</v>
      </c>
      <c r="W658" s="558">
        <f t="shared" si="77"/>
        <v>0</v>
      </c>
      <c r="X658" s="558">
        <f t="shared" si="73"/>
        <v>0</v>
      </c>
      <c r="Y658" s="558">
        <f t="shared" si="79"/>
        <v>0</v>
      </c>
    </row>
    <row r="659" spans="18:25" x14ac:dyDescent="0.2">
      <c r="R659" s="558">
        <v>658</v>
      </c>
      <c r="S659" s="558">
        <f t="shared" si="74"/>
        <v>-572</v>
      </c>
      <c r="T659" s="558">
        <f t="shared" si="75"/>
        <v>-561</v>
      </c>
      <c r="U659" s="558">
        <f t="shared" si="76"/>
        <v>625</v>
      </c>
      <c r="V659" s="558">
        <f t="shared" si="78"/>
        <v>0</v>
      </c>
      <c r="W659" s="558">
        <f t="shared" si="77"/>
        <v>0</v>
      </c>
      <c r="X659" s="558">
        <f t="shared" si="73"/>
        <v>0</v>
      </c>
      <c r="Y659" s="558">
        <f t="shared" si="79"/>
        <v>0</v>
      </c>
    </row>
    <row r="660" spans="18:25" x14ac:dyDescent="0.2">
      <c r="R660" s="558">
        <v>659</v>
      </c>
      <c r="S660" s="558">
        <f t="shared" si="74"/>
        <v>-573</v>
      </c>
      <c r="T660" s="558">
        <f t="shared" si="75"/>
        <v>-562</v>
      </c>
      <c r="U660" s="558">
        <f t="shared" si="76"/>
        <v>626</v>
      </c>
      <c r="V660" s="558">
        <f t="shared" si="78"/>
        <v>0</v>
      </c>
      <c r="W660" s="558">
        <f t="shared" si="77"/>
        <v>0</v>
      </c>
      <c r="X660" s="558">
        <f t="shared" si="73"/>
        <v>0</v>
      </c>
      <c r="Y660" s="558">
        <f t="shared" si="79"/>
        <v>0</v>
      </c>
    </row>
    <row r="661" spans="18:25" x14ac:dyDescent="0.2">
      <c r="R661" s="558">
        <v>660</v>
      </c>
      <c r="S661" s="558">
        <f t="shared" si="74"/>
        <v>-574</v>
      </c>
      <c r="T661" s="558">
        <f t="shared" si="75"/>
        <v>-563</v>
      </c>
      <c r="U661" s="558">
        <f t="shared" si="76"/>
        <v>627</v>
      </c>
      <c r="V661" s="558">
        <f t="shared" si="78"/>
        <v>0</v>
      </c>
      <c r="W661" s="558">
        <f t="shared" si="77"/>
        <v>0</v>
      </c>
      <c r="X661" s="558">
        <f t="shared" si="73"/>
        <v>0</v>
      </c>
      <c r="Y661" s="558">
        <f t="shared" si="79"/>
        <v>0</v>
      </c>
    </row>
    <row r="662" spans="18:25" x14ac:dyDescent="0.2">
      <c r="R662" s="558">
        <v>661</v>
      </c>
      <c r="S662" s="558">
        <f t="shared" si="74"/>
        <v>-575</v>
      </c>
      <c r="T662" s="558">
        <f t="shared" si="75"/>
        <v>-564</v>
      </c>
      <c r="U662" s="558">
        <f t="shared" si="76"/>
        <v>628</v>
      </c>
      <c r="V662" s="558">
        <f t="shared" si="78"/>
        <v>0</v>
      </c>
      <c r="W662" s="558">
        <f t="shared" si="77"/>
        <v>0</v>
      </c>
      <c r="X662" s="558">
        <f t="shared" si="73"/>
        <v>0</v>
      </c>
      <c r="Y662" s="558">
        <f t="shared" si="79"/>
        <v>0</v>
      </c>
    </row>
    <row r="663" spans="18:25" x14ac:dyDescent="0.2">
      <c r="R663" s="558">
        <v>662</v>
      </c>
      <c r="S663" s="558">
        <f t="shared" si="74"/>
        <v>-576</v>
      </c>
      <c r="T663" s="558">
        <f t="shared" si="75"/>
        <v>-565</v>
      </c>
      <c r="U663" s="558">
        <f t="shared" si="76"/>
        <v>629</v>
      </c>
      <c r="V663" s="558">
        <f t="shared" si="78"/>
        <v>0</v>
      </c>
      <c r="W663" s="558">
        <f t="shared" si="77"/>
        <v>0</v>
      </c>
      <c r="X663" s="558">
        <f t="shared" si="73"/>
        <v>0</v>
      </c>
      <c r="Y663" s="558">
        <f t="shared" si="79"/>
        <v>0</v>
      </c>
    </row>
    <row r="664" spans="18:25" x14ac:dyDescent="0.2">
      <c r="R664" s="558">
        <v>663</v>
      </c>
      <c r="S664" s="558">
        <f t="shared" si="74"/>
        <v>-577</v>
      </c>
      <c r="T664" s="558">
        <f t="shared" si="75"/>
        <v>-566</v>
      </c>
      <c r="U664" s="558">
        <f t="shared" si="76"/>
        <v>630</v>
      </c>
      <c r="V664" s="558">
        <f t="shared" si="78"/>
        <v>0</v>
      </c>
      <c r="W664" s="558">
        <f t="shared" si="77"/>
        <v>0</v>
      </c>
      <c r="X664" s="558">
        <f t="shared" si="73"/>
        <v>0</v>
      </c>
      <c r="Y664" s="558">
        <f t="shared" si="79"/>
        <v>0</v>
      </c>
    </row>
    <row r="665" spans="18:25" x14ac:dyDescent="0.2">
      <c r="R665" s="558">
        <v>664</v>
      </c>
      <c r="S665" s="558">
        <f t="shared" si="74"/>
        <v>-578</v>
      </c>
      <c r="T665" s="558">
        <f t="shared" si="75"/>
        <v>-567</v>
      </c>
      <c r="U665" s="558">
        <f t="shared" si="76"/>
        <v>631</v>
      </c>
      <c r="V665" s="558">
        <f t="shared" si="78"/>
        <v>0</v>
      </c>
      <c r="W665" s="558">
        <f t="shared" si="77"/>
        <v>0</v>
      </c>
      <c r="X665" s="558">
        <f t="shared" si="73"/>
        <v>0</v>
      </c>
      <c r="Y665" s="558">
        <f t="shared" si="79"/>
        <v>0</v>
      </c>
    </row>
    <row r="666" spans="18:25" x14ac:dyDescent="0.2">
      <c r="R666" s="558">
        <v>665</v>
      </c>
      <c r="S666" s="558">
        <f t="shared" si="74"/>
        <v>-579</v>
      </c>
      <c r="T666" s="558">
        <f t="shared" si="75"/>
        <v>-568</v>
      </c>
      <c r="U666" s="558">
        <f t="shared" si="76"/>
        <v>632</v>
      </c>
      <c r="V666" s="558">
        <f t="shared" si="78"/>
        <v>0</v>
      </c>
      <c r="W666" s="558">
        <f t="shared" si="77"/>
        <v>0</v>
      </c>
      <c r="X666" s="558">
        <f t="shared" si="73"/>
        <v>0</v>
      </c>
      <c r="Y666" s="558">
        <f t="shared" si="79"/>
        <v>0</v>
      </c>
    </row>
    <row r="667" spans="18:25" x14ac:dyDescent="0.2">
      <c r="R667" s="558">
        <v>666</v>
      </c>
      <c r="S667" s="558">
        <f t="shared" si="74"/>
        <v>-580</v>
      </c>
      <c r="T667" s="558">
        <f t="shared" si="75"/>
        <v>-569</v>
      </c>
      <c r="U667" s="558">
        <f t="shared" si="76"/>
        <v>633</v>
      </c>
      <c r="V667" s="558">
        <f t="shared" si="78"/>
        <v>0</v>
      </c>
      <c r="W667" s="558">
        <f t="shared" si="77"/>
        <v>0</v>
      </c>
      <c r="X667" s="558">
        <f t="shared" si="73"/>
        <v>0</v>
      </c>
      <c r="Y667" s="558">
        <f t="shared" si="79"/>
        <v>0</v>
      </c>
    </row>
    <row r="668" spans="18:25" x14ac:dyDescent="0.2">
      <c r="R668" s="558">
        <v>667</v>
      </c>
      <c r="S668" s="558">
        <f t="shared" si="74"/>
        <v>-581</v>
      </c>
      <c r="T668" s="558">
        <f t="shared" si="75"/>
        <v>-570</v>
      </c>
      <c r="U668" s="558">
        <f t="shared" si="76"/>
        <v>634</v>
      </c>
      <c r="V668" s="558">
        <f t="shared" si="78"/>
        <v>0</v>
      </c>
      <c r="W668" s="558">
        <f t="shared" si="77"/>
        <v>0</v>
      </c>
      <c r="X668" s="558">
        <f t="shared" si="73"/>
        <v>0</v>
      </c>
      <c r="Y668" s="558">
        <f t="shared" si="79"/>
        <v>0</v>
      </c>
    </row>
    <row r="669" spans="18:25" x14ac:dyDescent="0.2">
      <c r="R669" s="558">
        <v>668</v>
      </c>
      <c r="S669" s="558">
        <f t="shared" si="74"/>
        <v>-582</v>
      </c>
      <c r="T669" s="558">
        <f t="shared" si="75"/>
        <v>-571</v>
      </c>
      <c r="U669" s="558">
        <f t="shared" si="76"/>
        <v>635</v>
      </c>
      <c r="V669" s="558">
        <f t="shared" si="78"/>
        <v>0</v>
      </c>
      <c r="W669" s="558">
        <f t="shared" si="77"/>
        <v>0</v>
      </c>
      <c r="X669" s="558">
        <f t="shared" si="73"/>
        <v>0</v>
      </c>
      <c r="Y669" s="558">
        <f t="shared" si="79"/>
        <v>0</v>
      </c>
    </row>
    <row r="670" spans="18:25" x14ac:dyDescent="0.2">
      <c r="R670" s="558">
        <v>669</v>
      </c>
      <c r="S670" s="558">
        <f t="shared" si="74"/>
        <v>-583</v>
      </c>
      <c r="T670" s="558">
        <f t="shared" si="75"/>
        <v>-572</v>
      </c>
      <c r="U670" s="558">
        <f t="shared" si="76"/>
        <v>636</v>
      </c>
      <c r="V670" s="558">
        <f t="shared" si="78"/>
        <v>0</v>
      </c>
      <c r="W670" s="558">
        <f t="shared" si="77"/>
        <v>0</v>
      </c>
      <c r="X670" s="558">
        <f t="shared" si="73"/>
        <v>0</v>
      </c>
      <c r="Y670" s="558">
        <f t="shared" si="79"/>
        <v>0</v>
      </c>
    </row>
    <row r="671" spans="18:25" x14ac:dyDescent="0.2">
      <c r="R671" s="558">
        <v>670</v>
      </c>
      <c r="S671" s="558">
        <f t="shared" si="74"/>
        <v>-584</v>
      </c>
      <c r="T671" s="558">
        <f t="shared" si="75"/>
        <v>-573</v>
      </c>
      <c r="U671" s="558">
        <f t="shared" si="76"/>
        <v>637</v>
      </c>
      <c r="V671" s="558">
        <f t="shared" si="78"/>
        <v>0</v>
      </c>
      <c r="W671" s="558">
        <f t="shared" si="77"/>
        <v>0</v>
      </c>
      <c r="X671" s="558">
        <f t="shared" si="73"/>
        <v>0</v>
      </c>
      <c r="Y671" s="558">
        <f t="shared" si="79"/>
        <v>0</v>
      </c>
    </row>
    <row r="672" spans="18:25" x14ac:dyDescent="0.2">
      <c r="R672" s="558">
        <v>671</v>
      </c>
      <c r="S672" s="558">
        <f t="shared" si="74"/>
        <v>-585</v>
      </c>
      <c r="T672" s="558">
        <f t="shared" si="75"/>
        <v>-574</v>
      </c>
      <c r="U672" s="558">
        <f t="shared" si="76"/>
        <v>638</v>
      </c>
      <c r="V672" s="558">
        <f t="shared" si="78"/>
        <v>0</v>
      </c>
      <c r="W672" s="558">
        <f t="shared" si="77"/>
        <v>0</v>
      </c>
      <c r="X672" s="558">
        <f t="shared" si="73"/>
        <v>0</v>
      </c>
      <c r="Y672" s="558">
        <f t="shared" si="79"/>
        <v>0</v>
      </c>
    </row>
    <row r="673" spans="18:25" x14ac:dyDescent="0.2">
      <c r="R673" s="558">
        <v>672</v>
      </c>
      <c r="S673" s="558">
        <f t="shared" si="74"/>
        <v>-586</v>
      </c>
      <c r="T673" s="558">
        <f t="shared" si="75"/>
        <v>-575</v>
      </c>
      <c r="U673" s="558">
        <f t="shared" si="76"/>
        <v>639</v>
      </c>
      <c r="V673" s="558">
        <f t="shared" si="78"/>
        <v>0</v>
      </c>
      <c r="W673" s="558">
        <f t="shared" si="77"/>
        <v>0</v>
      </c>
      <c r="X673" s="558">
        <f t="shared" si="73"/>
        <v>0</v>
      </c>
      <c r="Y673" s="558">
        <f t="shared" si="79"/>
        <v>0</v>
      </c>
    </row>
    <row r="674" spans="18:25" x14ac:dyDescent="0.2">
      <c r="R674" s="558">
        <v>673</v>
      </c>
      <c r="S674" s="558">
        <f t="shared" si="74"/>
        <v>-587</v>
      </c>
      <c r="T674" s="558">
        <f t="shared" si="75"/>
        <v>-576</v>
      </c>
      <c r="U674" s="558">
        <f t="shared" si="76"/>
        <v>640</v>
      </c>
      <c r="V674" s="558">
        <f t="shared" si="78"/>
        <v>0</v>
      </c>
      <c r="W674" s="558">
        <f t="shared" si="77"/>
        <v>0</v>
      </c>
      <c r="X674" s="558">
        <f t="shared" si="73"/>
        <v>0</v>
      </c>
      <c r="Y674" s="558">
        <f t="shared" si="79"/>
        <v>0</v>
      </c>
    </row>
    <row r="675" spans="18:25" x14ac:dyDescent="0.2">
      <c r="R675" s="558">
        <v>674</v>
      </c>
      <c r="S675" s="558">
        <f t="shared" si="74"/>
        <v>-588</v>
      </c>
      <c r="T675" s="558">
        <f t="shared" si="75"/>
        <v>-577</v>
      </c>
      <c r="U675" s="558">
        <f t="shared" si="76"/>
        <v>641</v>
      </c>
      <c r="V675" s="558">
        <f t="shared" si="78"/>
        <v>0</v>
      </c>
      <c r="W675" s="558">
        <f t="shared" si="77"/>
        <v>0</v>
      </c>
      <c r="X675" s="558">
        <f t="shared" ref="X675:X738" si="80">IF(R675=$B$7,W675,0)</f>
        <v>0</v>
      </c>
      <c r="Y675" s="558">
        <f t="shared" si="79"/>
        <v>0</v>
      </c>
    </row>
    <row r="676" spans="18:25" x14ac:dyDescent="0.2">
      <c r="R676" s="558">
        <v>675</v>
      </c>
      <c r="S676" s="558">
        <f t="shared" si="74"/>
        <v>-589</v>
      </c>
      <c r="T676" s="558">
        <f t="shared" si="75"/>
        <v>-578</v>
      </c>
      <c r="U676" s="558">
        <f t="shared" si="76"/>
        <v>642</v>
      </c>
      <c r="V676" s="558">
        <f t="shared" si="78"/>
        <v>0</v>
      </c>
      <c r="W676" s="558">
        <f t="shared" si="77"/>
        <v>0</v>
      </c>
      <c r="X676" s="558">
        <f t="shared" si="80"/>
        <v>0</v>
      </c>
      <c r="Y676" s="558">
        <f t="shared" si="79"/>
        <v>0</v>
      </c>
    </row>
    <row r="677" spans="18:25" x14ac:dyDescent="0.2">
      <c r="R677" s="558">
        <v>676</v>
      </c>
      <c r="S677" s="558">
        <f t="shared" si="74"/>
        <v>-590</v>
      </c>
      <c r="T677" s="558">
        <f t="shared" si="75"/>
        <v>-579</v>
      </c>
      <c r="U677" s="558">
        <f t="shared" si="76"/>
        <v>643</v>
      </c>
      <c r="V677" s="558">
        <f t="shared" si="78"/>
        <v>0</v>
      </c>
      <c r="W677" s="558">
        <f t="shared" si="77"/>
        <v>0</v>
      </c>
      <c r="X677" s="558">
        <f t="shared" si="80"/>
        <v>0</v>
      </c>
      <c r="Y677" s="558">
        <f t="shared" si="79"/>
        <v>0</v>
      </c>
    </row>
    <row r="678" spans="18:25" x14ac:dyDescent="0.2">
      <c r="R678" s="558">
        <v>677</v>
      </c>
      <c r="S678" s="558">
        <f t="shared" si="74"/>
        <v>-591</v>
      </c>
      <c r="T678" s="558">
        <f t="shared" si="75"/>
        <v>-580</v>
      </c>
      <c r="U678" s="558">
        <f t="shared" si="76"/>
        <v>644</v>
      </c>
      <c r="V678" s="558">
        <f t="shared" si="78"/>
        <v>0</v>
      </c>
      <c r="W678" s="558">
        <f t="shared" si="77"/>
        <v>0</v>
      </c>
      <c r="X678" s="558">
        <f t="shared" si="80"/>
        <v>0</v>
      </c>
      <c r="Y678" s="558">
        <f t="shared" si="79"/>
        <v>0</v>
      </c>
    </row>
    <row r="679" spans="18:25" x14ac:dyDescent="0.2">
      <c r="R679" s="558">
        <v>678</v>
      </c>
      <c r="S679" s="558">
        <f t="shared" si="74"/>
        <v>-592</v>
      </c>
      <c r="T679" s="558">
        <f t="shared" si="75"/>
        <v>-581</v>
      </c>
      <c r="U679" s="558">
        <f t="shared" si="76"/>
        <v>645</v>
      </c>
      <c r="V679" s="558">
        <f t="shared" si="78"/>
        <v>0</v>
      </c>
      <c r="W679" s="558">
        <f t="shared" si="77"/>
        <v>0</v>
      </c>
      <c r="X679" s="558">
        <f t="shared" si="80"/>
        <v>0</v>
      </c>
      <c r="Y679" s="558">
        <f t="shared" si="79"/>
        <v>0</v>
      </c>
    </row>
    <row r="680" spans="18:25" x14ac:dyDescent="0.2">
      <c r="R680" s="558">
        <v>679</v>
      </c>
      <c r="S680" s="558">
        <f t="shared" si="74"/>
        <v>-593</v>
      </c>
      <c r="T680" s="558">
        <f t="shared" si="75"/>
        <v>-582</v>
      </c>
      <c r="U680" s="558">
        <f t="shared" si="76"/>
        <v>646</v>
      </c>
      <c r="V680" s="558">
        <f t="shared" si="78"/>
        <v>0</v>
      </c>
      <c r="W680" s="558">
        <f t="shared" si="77"/>
        <v>0</v>
      </c>
      <c r="X680" s="558">
        <f t="shared" si="80"/>
        <v>0</v>
      </c>
      <c r="Y680" s="558">
        <f t="shared" si="79"/>
        <v>0</v>
      </c>
    </row>
    <row r="681" spans="18:25" x14ac:dyDescent="0.2">
      <c r="R681" s="558">
        <v>680</v>
      </c>
      <c r="S681" s="558">
        <f t="shared" si="74"/>
        <v>-594</v>
      </c>
      <c r="T681" s="558">
        <f t="shared" si="75"/>
        <v>-583</v>
      </c>
      <c r="U681" s="558">
        <f t="shared" si="76"/>
        <v>647</v>
      </c>
      <c r="V681" s="558">
        <f t="shared" si="78"/>
        <v>0</v>
      </c>
      <c r="W681" s="558">
        <f t="shared" si="77"/>
        <v>0</v>
      </c>
      <c r="X681" s="558">
        <f t="shared" si="80"/>
        <v>0</v>
      </c>
      <c r="Y681" s="558">
        <f t="shared" si="79"/>
        <v>0</v>
      </c>
    </row>
    <row r="682" spans="18:25" x14ac:dyDescent="0.2">
      <c r="R682" s="558">
        <v>681</v>
      </c>
      <c r="S682" s="558">
        <f t="shared" si="74"/>
        <v>-595</v>
      </c>
      <c r="T682" s="558">
        <f t="shared" si="75"/>
        <v>-584</v>
      </c>
      <c r="U682" s="558">
        <f t="shared" si="76"/>
        <v>648</v>
      </c>
      <c r="V682" s="558">
        <f t="shared" si="78"/>
        <v>0</v>
      </c>
      <c r="W682" s="558">
        <f t="shared" si="77"/>
        <v>0</v>
      </c>
      <c r="X682" s="558">
        <f t="shared" si="80"/>
        <v>0</v>
      </c>
      <c r="Y682" s="558">
        <f t="shared" si="79"/>
        <v>0</v>
      </c>
    </row>
    <row r="683" spans="18:25" x14ac:dyDescent="0.2">
      <c r="R683" s="558">
        <v>682</v>
      </c>
      <c r="S683" s="558">
        <f t="shared" si="74"/>
        <v>-596</v>
      </c>
      <c r="T683" s="558">
        <f t="shared" si="75"/>
        <v>-585</v>
      </c>
      <c r="U683" s="558">
        <f t="shared" si="76"/>
        <v>649</v>
      </c>
      <c r="V683" s="558">
        <f t="shared" si="78"/>
        <v>0</v>
      </c>
      <c r="W683" s="558">
        <f t="shared" si="77"/>
        <v>0</v>
      </c>
      <c r="X683" s="558">
        <f t="shared" si="80"/>
        <v>0</v>
      </c>
      <c r="Y683" s="558">
        <f t="shared" si="79"/>
        <v>0</v>
      </c>
    </row>
    <row r="684" spans="18:25" x14ac:dyDescent="0.2">
      <c r="R684" s="558">
        <v>683</v>
      </c>
      <c r="S684" s="558">
        <f t="shared" si="74"/>
        <v>-597</v>
      </c>
      <c r="T684" s="558">
        <f t="shared" si="75"/>
        <v>-586</v>
      </c>
      <c r="U684" s="558">
        <f t="shared" si="76"/>
        <v>650</v>
      </c>
      <c r="V684" s="558">
        <f t="shared" si="78"/>
        <v>0</v>
      </c>
      <c r="W684" s="558">
        <f t="shared" si="77"/>
        <v>0</v>
      </c>
      <c r="X684" s="558">
        <f t="shared" si="80"/>
        <v>0</v>
      </c>
      <c r="Y684" s="558">
        <f t="shared" si="79"/>
        <v>0</v>
      </c>
    </row>
    <row r="685" spans="18:25" x14ac:dyDescent="0.2">
      <c r="R685" s="558">
        <v>684</v>
      </c>
      <c r="S685" s="558">
        <f t="shared" si="74"/>
        <v>-598</v>
      </c>
      <c r="T685" s="558">
        <f t="shared" si="75"/>
        <v>-587</v>
      </c>
      <c r="U685" s="558">
        <f t="shared" si="76"/>
        <v>651</v>
      </c>
      <c r="V685" s="558">
        <f t="shared" si="78"/>
        <v>0</v>
      </c>
      <c r="W685" s="558">
        <f t="shared" si="77"/>
        <v>0</v>
      </c>
      <c r="X685" s="558">
        <f t="shared" si="80"/>
        <v>0</v>
      </c>
      <c r="Y685" s="558">
        <f t="shared" si="79"/>
        <v>0</v>
      </c>
    </row>
    <row r="686" spans="18:25" x14ac:dyDescent="0.2">
      <c r="R686" s="558">
        <v>685</v>
      </c>
      <c r="S686" s="558">
        <f t="shared" si="74"/>
        <v>-599</v>
      </c>
      <c r="T686" s="558">
        <f t="shared" si="75"/>
        <v>-588</v>
      </c>
      <c r="U686" s="558">
        <f t="shared" si="76"/>
        <v>652</v>
      </c>
      <c r="V686" s="558">
        <f t="shared" si="78"/>
        <v>0</v>
      </c>
      <c r="W686" s="558">
        <f t="shared" si="77"/>
        <v>0</v>
      </c>
      <c r="X686" s="558">
        <f t="shared" si="80"/>
        <v>0</v>
      </c>
      <c r="Y686" s="558">
        <f t="shared" si="79"/>
        <v>0</v>
      </c>
    </row>
    <row r="687" spans="18:25" x14ac:dyDescent="0.2">
      <c r="R687" s="558">
        <v>686</v>
      </c>
      <c r="S687" s="558">
        <f t="shared" si="74"/>
        <v>-600</v>
      </c>
      <c r="T687" s="558">
        <f t="shared" si="75"/>
        <v>-589</v>
      </c>
      <c r="U687" s="558">
        <f t="shared" si="76"/>
        <v>653</v>
      </c>
      <c r="V687" s="558">
        <f t="shared" si="78"/>
        <v>0</v>
      </c>
      <c r="W687" s="558">
        <f t="shared" si="77"/>
        <v>0</v>
      </c>
      <c r="X687" s="558">
        <f t="shared" si="80"/>
        <v>0</v>
      </c>
      <c r="Y687" s="558">
        <f t="shared" si="79"/>
        <v>0</v>
      </c>
    </row>
    <row r="688" spans="18:25" x14ac:dyDescent="0.2">
      <c r="R688" s="558">
        <v>687</v>
      </c>
      <c r="S688" s="558">
        <f t="shared" si="74"/>
        <v>-601</v>
      </c>
      <c r="T688" s="558">
        <f t="shared" si="75"/>
        <v>-590</v>
      </c>
      <c r="U688" s="558">
        <f t="shared" si="76"/>
        <v>654</v>
      </c>
      <c r="V688" s="558">
        <f t="shared" si="78"/>
        <v>0</v>
      </c>
      <c r="W688" s="558">
        <f t="shared" si="77"/>
        <v>0</v>
      </c>
      <c r="X688" s="558">
        <f t="shared" si="80"/>
        <v>0</v>
      </c>
      <c r="Y688" s="558">
        <f t="shared" si="79"/>
        <v>0</v>
      </c>
    </row>
    <row r="689" spans="18:25" x14ac:dyDescent="0.2">
      <c r="R689" s="558">
        <v>688</v>
      </c>
      <c r="S689" s="558">
        <f t="shared" si="74"/>
        <v>-602</v>
      </c>
      <c r="T689" s="558">
        <f t="shared" si="75"/>
        <v>-591</v>
      </c>
      <c r="U689" s="558">
        <f t="shared" si="76"/>
        <v>655</v>
      </c>
      <c r="V689" s="558">
        <f t="shared" si="78"/>
        <v>0</v>
      </c>
      <c r="W689" s="558">
        <f t="shared" si="77"/>
        <v>0</v>
      </c>
      <c r="X689" s="558">
        <f t="shared" si="80"/>
        <v>0</v>
      </c>
      <c r="Y689" s="558">
        <f t="shared" si="79"/>
        <v>0</v>
      </c>
    </row>
    <row r="690" spans="18:25" x14ac:dyDescent="0.2">
      <c r="R690" s="558">
        <v>689</v>
      </c>
      <c r="S690" s="558">
        <f t="shared" si="74"/>
        <v>-603</v>
      </c>
      <c r="T690" s="558">
        <f t="shared" si="75"/>
        <v>-592</v>
      </c>
      <c r="U690" s="558">
        <f t="shared" si="76"/>
        <v>656</v>
      </c>
      <c r="V690" s="558">
        <f t="shared" si="78"/>
        <v>0</v>
      </c>
      <c r="W690" s="558">
        <f t="shared" si="77"/>
        <v>0</v>
      </c>
      <c r="X690" s="558">
        <f t="shared" si="80"/>
        <v>0</v>
      </c>
      <c r="Y690" s="558">
        <f t="shared" si="79"/>
        <v>0</v>
      </c>
    </row>
    <row r="691" spans="18:25" x14ac:dyDescent="0.2">
      <c r="R691" s="558">
        <v>690</v>
      </c>
      <c r="S691" s="558">
        <f t="shared" si="74"/>
        <v>-604</v>
      </c>
      <c r="T691" s="558">
        <f t="shared" si="75"/>
        <v>-593</v>
      </c>
      <c r="U691" s="558">
        <f t="shared" si="76"/>
        <v>657</v>
      </c>
      <c r="V691" s="558">
        <f t="shared" si="78"/>
        <v>0</v>
      </c>
      <c r="W691" s="558">
        <f t="shared" si="77"/>
        <v>0</v>
      </c>
      <c r="X691" s="558">
        <f t="shared" si="80"/>
        <v>0</v>
      </c>
      <c r="Y691" s="558">
        <f t="shared" si="79"/>
        <v>0</v>
      </c>
    </row>
    <row r="692" spans="18:25" x14ac:dyDescent="0.2">
      <c r="R692" s="558">
        <v>691</v>
      </c>
      <c r="S692" s="558">
        <f t="shared" si="74"/>
        <v>-605</v>
      </c>
      <c r="T692" s="558">
        <f t="shared" si="75"/>
        <v>-594</v>
      </c>
      <c r="U692" s="558">
        <f t="shared" si="76"/>
        <v>658</v>
      </c>
      <c r="V692" s="558">
        <f t="shared" si="78"/>
        <v>0</v>
      </c>
      <c r="W692" s="558">
        <f t="shared" si="77"/>
        <v>0</v>
      </c>
      <c r="X692" s="558">
        <f t="shared" si="80"/>
        <v>0</v>
      </c>
      <c r="Y692" s="558">
        <f t="shared" si="79"/>
        <v>0</v>
      </c>
    </row>
    <row r="693" spans="18:25" x14ac:dyDescent="0.2">
      <c r="R693" s="558">
        <v>692</v>
      </c>
      <c r="S693" s="558">
        <f t="shared" si="74"/>
        <v>-606</v>
      </c>
      <c r="T693" s="558">
        <f t="shared" si="75"/>
        <v>-595</v>
      </c>
      <c r="U693" s="558">
        <f t="shared" si="76"/>
        <v>659</v>
      </c>
      <c r="V693" s="558">
        <f t="shared" si="78"/>
        <v>0</v>
      </c>
      <c r="W693" s="558">
        <f t="shared" si="77"/>
        <v>0</v>
      </c>
      <c r="X693" s="558">
        <f t="shared" si="80"/>
        <v>0</v>
      </c>
      <c r="Y693" s="558">
        <f t="shared" si="79"/>
        <v>0</v>
      </c>
    </row>
    <row r="694" spans="18:25" x14ac:dyDescent="0.2">
      <c r="R694" s="558">
        <v>693</v>
      </c>
      <c r="S694" s="558">
        <f t="shared" si="74"/>
        <v>-607</v>
      </c>
      <c r="T694" s="558">
        <f t="shared" si="75"/>
        <v>-596</v>
      </c>
      <c r="U694" s="558">
        <f t="shared" si="76"/>
        <v>660</v>
      </c>
      <c r="V694" s="558">
        <f t="shared" si="78"/>
        <v>0</v>
      </c>
      <c r="W694" s="558">
        <f t="shared" si="77"/>
        <v>0</v>
      </c>
      <c r="X694" s="558">
        <f t="shared" si="80"/>
        <v>0</v>
      </c>
      <c r="Y694" s="558">
        <f t="shared" si="79"/>
        <v>0</v>
      </c>
    </row>
    <row r="695" spans="18:25" x14ac:dyDescent="0.2">
      <c r="R695" s="558">
        <v>694</v>
      </c>
      <c r="S695" s="558">
        <f t="shared" si="74"/>
        <v>-608</v>
      </c>
      <c r="T695" s="558">
        <f t="shared" si="75"/>
        <v>-597</v>
      </c>
      <c r="U695" s="558">
        <f t="shared" si="76"/>
        <v>661</v>
      </c>
      <c r="V695" s="558">
        <f t="shared" si="78"/>
        <v>0</v>
      </c>
      <c r="W695" s="558">
        <f t="shared" si="77"/>
        <v>0</v>
      </c>
      <c r="X695" s="558">
        <f t="shared" si="80"/>
        <v>0</v>
      </c>
      <c r="Y695" s="558">
        <f t="shared" si="79"/>
        <v>0</v>
      </c>
    </row>
    <row r="696" spans="18:25" x14ac:dyDescent="0.2">
      <c r="R696" s="558">
        <v>695</v>
      </c>
      <c r="S696" s="558">
        <f t="shared" si="74"/>
        <v>-609</v>
      </c>
      <c r="T696" s="558">
        <f t="shared" si="75"/>
        <v>-598</v>
      </c>
      <c r="U696" s="558">
        <f t="shared" si="76"/>
        <v>662</v>
      </c>
      <c r="V696" s="558">
        <f t="shared" si="78"/>
        <v>0</v>
      </c>
      <c r="W696" s="558">
        <f t="shared" si="77"/>
        <v>0</v>
      </c>
      <c r="X696" s="558">
        <f t="shared" si="80"/>
        <v>0</v>
      </c>
      <c r="Y696" s="558">
        <f t="shared" si="79"/>
        <v>0</v>
      </c>
    </row>
    <row r="697" spans="18:25" x14ac:dyDescent="0.2">
      <c r="R697" s="558">
        <v>696</v>
      </c>
      <c r="S697" s="558">
        <f t="shared" si="74"/>
        <v>-610</v>
      </c>
      <c r="T697" s="558">
        <f t="shared" si="75"/>
        <v>-599</v>
      </c>
      <c r="U697" s="558">
        <f t="shared" si="76"/>
        <v>663</v>
      </c>
      <c r="V697" s="558">
        <f t="shared" si="78"/>
        <v>0</v>
      </c>
      <c r="W697" s="558">
        <f t="shared" si="77"/>
        <v>0</v>
      </c>
      <c r="X697" s="558">
        <f t="shared" si="80"/>
        <v>0</v>
      </c>
      <c r="Y697" s="558">
        <f t="shared" si="79"/>
        <v>0</v>
      </c>
    </row>
    <row r="698" spans="18:25" x14ac:dyDescent="0.2">
      <c r="R698" s="558">
        <v>697</v>
      </c>
      <c r="S698" s="558">
        <f t="shared" si="74"/>
        <v>-611</v>
      </c>
      <c r="T698" s="558">
        <f t="shared" si="75"/>
        <v>-600</v>
      </c>
      <c r="U698" s="558">
        <f t="shared" si="76"/>
        <v>664</v>
      </c>
      <c r="V698" s="558">
        <f t="shared" si="78"/>
        <v>0</v>
      </c>
      <c r="W698" s="558">
        <f t="shared" si="77"/>
        <v>0</v>
      </c>
      <c r="X698" s="558">
        <f t="shared" si="80"/>
        <v>0</v>
      </c>
      <c r="Y698" s="558">
        <f t="shared" si="79"/>
        <v>0</v>
      </c>
    </row>
    <row r="699" spans="18:25" x14ac:dyDescent="0.2">
      <c r="R699" s="558">
        <v>698</v>
      </c>
      <c r="S699" s="558">
        <f t="shared" si="74"/>
        <v>-612</v>
      </c>
      <c r="T699" s="558">
        <f t="shared" si="75"/>
        <v>-601</v>
      </c>
      <c r="U699" s="558">
        <f t="shared" si="76"/>
        <v>665</v>
      </c>
      <c r="V699" s="558">
        <f t="shared" si="78"/>
        <v>0</v>
      </c>
      <c r="W699" s="558">
        <f t="shared" si="77"/>
        <v>0</v>
      </c>
      <c r="X699" s="558">
        <f t="shared" si="80"/>
        <v>0</v>
      </c>
      <c r="Y699" s="558">
        <f t="shared" si="79"/>
        <v>0</v>
      </c>
    </row>
    <row r="700" spans="18:25" x14ac:dyDescent="0.2">
      <c r="R700" s="558">
        <v>699</v>
      </c>
      <c r="S700" s="558">
        <f t="shared" si="74"/>
        <v>-613</v>
      </c>
      <c r="T700" s="558">
        <f t="shared" si="75"/>
        <v>-602</v>
      </c>
      <c r="U700" s="558">
        <f t="shared" si="76"/>
        <v>666</v>
      </c>
      <c r="V700" s="558">
        <f t="shared" si="78"/>
        <v>0</v>
      </c>
      <c r="W700" s="558">
        <f t="shared" si="77"/>
        <v>0</v>
      </c>
      <c r="X700" s="558">
        <f t="shared" si="80"/>
        <v>0</v>
      </c>
      <c r="Y700" s="558">
        <f t="shared" si="79"/>
        <v>0</v>
      </c>
    </row>
    <row r="701" spans="18:25" x14ac:dyDescent="0.2">
      <c r="R701" s="558">
        <v>700</v>
      </c>
      <c r="S701" s="558">
        <f t="shared" si="74"/>
        <v>-614</v>
      </c>
      <c r="T701" s="558">
        <f t="shared" si="75"/>
        <v>-603</v>
      </c>
      <c r="U701" s="558">
        <f t="shared" si="76"/>
        <v>667</v>
      </c>
      <c r="V701" s="558">
        <f t="shared" si="78"/>
        <v>0</v>
      </c>
      <c r="W701" s="558">
        <f t="shared" si="77"/>
        <v>0</v>
      </c>
      <c r="X701" s="558">
        <f t="shared" si="80"/>
        <v>0</v>
      </c>
      <c r="Y701" s="558">
        <f t="shared" si="79"/>
        <v>0</v>
      </c>
    </row>
    <row r="702" spans="18:25" x14ac:dyDescent="0.2">
      <c r="R702" s="558">
        <v>701</v>
      </c>
      <c r="S702" s="558">
        <f t="shared" si="74"/>
        <v>-615</v>
      </c>
      <c r="T702" s="558">
        <f t="shared" si="75"/>
        <v>-604</v>
      </c>
      <c r="U702" s="558">
        <f t="shared" si="76"/>
        <v>668</v>
      </c>
      <c r="V702" s="558">
        <f t="shared" si="78"/>
        <v>0</v>
      </c>
      <c r="W702" s="558">
        <f t="shared" si="77"/>
        <v>0</v>
      </c>
      <c r="X702" s="558">
        <f t="shared" si="80"/>
        <v>0</v>
      </c>
      <c r="Y702" s="558">
        <f t="shared" si="79"/>
        <v>0</v>
      </c>
    </row>
    <row r="703" spans="18:25" x14ac:dyDescent="0.2">
      <c r="R703" s="558">
        <v>702</v>
      </c>
      <c r="S703" s="558">
        <f t="shared" si="74"/>
        <v>-616</v>
      </c>
      <c r="T703" s="558">
        <f t="shared" si="75"/>
        <v>-605</v>
      </c>
      <c r="U703" s="558">
        <f t="shared" si="76"/>
        <v>669</v>
      </c>
      <c r="V703" s="558">
        <f t="shared" si="78"/>
        <v>0</v>
      </c>
      <c r="W703" s="558">
        <f t="shared" si="77"/>
        <v>0</v>
      </c>
      <c r="X703" s="558">
        <f t="shared" si="80"/>
        <v>0</v>
      </c>
      <c r="Y703" s="558">
        <f t="shared" si="79"/>
        <v>0</v>
      </c>
    </row>
    <row r="704" spans="18:25" x14ac:dyDescent="0.2">
      <c r="R704" s="558">
        <v>703</v>
      </c>
      <c r="S704" s="558">
        <f t="shared" si="74"/>
        <v>-617</v>
      </c>
      <c r="T704" s="558">
        <f t="shared" si="75"/>
        <v>-606</v>
      </c>
      <c r="U704" s="558">
        <f t="shared" si="76"/>
        <v>670</v>
      </c>
      <c r="V704" s="558">
        <f t="shared" si="78"/>
        <v>0</v>
      </c>
      <c r="W704" s="558">
        <f t="shared" si="77"/>
        <v>0</v>
      </c>
      <c r="X704" s="558">
        <f t="shared" si="80"/>
        <v>0</v>
      </c>
      <c r="Y704" s="558">
        <f t="shared" si="79"/>
        <v>0</v>
      </c>
    </row>
    <row r="705" spans="18:25" x14ac:dyDescent="0.2">
      <c r="R705" s="558">
        <v>704</v>
      </c>
      <c r="S705" s="558">
        <f t="shared" ref="S705:S768" si="81">$D$7-R705</f>
        <v>-618</v>
      </c>
      <c r="T705" s="558">
        <f t="shared" ref="T705:T768" si="82">$B$9-R705</f>
        <v>-607</v>
      </c>
      <c r="U705" s="558">
        <f t="shared" ref="U705:U768" si="83">$D$9-SUM(R705:T705)</f>
        <v>671</v>
      </c>
      <c r="V705" s="558">
        <f t="shared" si="78"/>
        <v>0</v>
      </c>
      <c r="W705" s="558">
        <f t="shared" ref="W705:W768" si="84">_xlfn.HYPGEOM.DIST(R705,R705+T705,R705+S705,SUM(R705:U705),0)</f>
        <v>0</v>
      </c>
      <c r="X705" s="558">
        <f t="shared" si="80"/>
        <v>0</v>
      </c>
      <c r="Y705" s="558">
        <f t="shared" si="79"/>
        <v>0</v>
      </c>
    </row>
    <row r="706" spans="18:25" x14ac:dyDescent="0.2">
      <c r="R706" s="558">
        <v>705</v>
      </c>
      <c r="S706" s="558">
        <f t="shared" si="81"/>
        <v>-619</v>
      </c>
      <c r="T706" s="558">
        <f t="shared" si="82"/>
        <v>-608</v>
      </c>
      <c r="U706" s="558">
        <f t="shared" si="83"/>
        <v>672</v>
      </c>
      <c r="V706" s="558">
        <f t="shared" ref="V706:V769" si="85">IF(S706&gt;=0,IF(T706&gt;=0,IF(U706&gt;=0,1,0),0),0)</f>
        <v>0</v>
      </c>
      <c r="W706" s="558">
        <f t="shared" si="84"/>
        <v>0</v>
      </c>
      <c r="X706" s="558">
        <f t="shared" si="80"/>
        <v>0</v>
      </c>
      <c r="Y706" s="558">
        <f t="shared" ref="Y706:Y769" si="86">IF(W706&lt;=SUM($X$1:$X$1101),W706,0)</f>
        <v>0</v>
      </c>
    </row>
    <row r="707" spans="18:25" x14ac:dyDescent="0.2">
      <c r="R707" s="558">
        <v>706</v>
      </c>
      <c r="S707" s="558">
        <f t="shared" si="81"/>
        <v>-620</v>
      </c>
      <c r="T707" s="558">
        <f t="shared" si="82"/>
        <v>-609</v>
      </c>
      <c r="U707" s="558">
        <f t="shared" si="83"/>
        <v>673</v>
      </c>
      <c r="V707" s="558">
        <f t="shared" si="85"/>
        <v>0</v>
      </c>
      <c r="W707" s="558">
        <f t="shared" si="84"/>
        <v>0</v>
      </c>
      <c r="X707" s="558">
        <f t="shared" si="80"/>
        <v>0</v>
      </c>
      <c r="Y707" s="558">
        <f t="shared" si="86"/>
        <v>0</v>
      </c>
    </row>
    <row r="708" spans="18:25" x14ac:dyDescent="0.2">
      <c r="R708" s="558">
        <v>707</v>
      </c>
      <c r="S708" s="558">
        <f t="shared" si="81"/>
        <v>-621</v>
      </c>
      <c r="T708" s="558">
        <f t="shared" si="82"/>
        <v>-610</v>
      </c>
      <c r="U708" s="558">
        <f t="shared" si="83"/>
        <v>674</v>
      </c>
      <c r="V708" s="558">
        <f t="shared" si="85"/>
        <v>0</v>
      </c>
      <c r="W708" s="558">
        <f t="shared" si="84"/>
        <v>0</v>
      </c>
      <c r="X708" s="558">
        <f t="shared" si="80"/>
        <v>0</v>
      </c>
      <c r="Y708" s="558">
        <f t="shared" si="86"/>
        <v>0</v>
      </c>
    </row>
    <row r="709" spans="18:25" x14ac:dyDescent="0.2">
      <c r="R709" s="558">
        <v>708</v>
      </c>
      <c r="S709" s="558">
        <f t="shared" si="81"/>
        <v>-622</v>
      </c>
      <c r="T709" s="558">
        <f t="shared" si="82"/>
        <v>-611</v>
      </c>
      <c r="U709" s="558">
        <f t="shared" si="83"/>
        <v>675</v>
      </c>
      <c r="V709" s="558">
        <f t="shared" si="85"/>
        <v>0</v>
      </c>
      <c r="W709" s="558">
        <f t="shared" si="84"/>
        <v>0</v>
      </c>
      <c r="X709" s="558">
        <f t="shared" si="80"/>
        <v>0</v>
      </c>
      <c r="Y709" s="558">
        <f t="shared" si="86"/>
        <v>0</v>
      </c>
    </row>
    <row r="710" spans="18:25" x14ac:dyDescent="0.2">
      <c r="R710" s="558">
        <v>709</v>
      </c>
      <c r="S710" s="558">
        <f t="shared" si="81"/>
        <v>-623</v>
      </c>
      <c r="T710" s="558">
        <f t="shared" si="82"/>
        <v>-612</v>
      </c>
      <c r="U710" s="558">
        <f t="shared" si="83"/>
        <v>676</v>
      </c>
      <c r="V710" s="558">
        <f t="shared" si="85"/>
        <v>0</v>
      </c>
      <c r="W710" s="558">
        <f t="shared" si="84"/>
        <v>0</v>
      </c>
      <c r="X710" s="558">
        <f t="shared" si="80"/>
        <v>0</v>
      </c>
      <c r="Y710" s="558">
        <f t="shared" si="86"/>
        <v>0</v>
      </c>
    </row>
    <row r="711" spans="18:25" x14ac:dyDescent="0.2">
      <c r="R711" s="558">
        <v>710</v>
      </c>
      <c r="S711" s="558">
        <f t="shared" si="81"/>
        <v>-624</v>
      </c>
      <c r="T711" s="558">
        <f t="shared" si="82"/>
        <v>-613</v>
      </c>
      <c r="U711" s="558">
        <f t="shared" si="83"/>
        <v>677</v>
      </c>
      <c r="V711" s="558">
        <f t="shared" si="85"/>
        <v>0</v>
      </c>
      <c r="W711" s="558">
        <f t="shared" si="84"/>
        <v>0</v>
      </c>
      <c r="X711" s="558">
        <f t="shared" si="80"/>
        <v>0</v>
      </c>
      <c r="Y711" s="558">
        <f t="shared" si="86"/>
        <v>0</v>
      </c>
    </row>
    <row r="712" spans="18:25" x14ac:dyDescent="0.2">
      <c r="R712" s="558">
        <v>711</v>
      </c>
      <c r="S712" s="558">
        <f t="shared" si="81"/>
        <v>-625</v>
      </c>
      <c r="T712" s="558">
        <f t="shared" si="82"/>
        <v>-614</v>
      </c>
      <c r="U712" s="558">
        <f t="shared" si="83"/>
        <v>678</v>
      </c>
      <c r="V712" s="558">
        <f t="shared" si="85"/>
        <v>0</v>
      </c>
      <c r="W712" s="558">
        <f t="shared" si="84"/>
        <v>0</v>
      </c>
      <c r="X712" s="558">
        <f t="shared" si="80"/>
        <v>0</v>
      </c>
      <c r="Y712" s="558">
        <f t="shared" si="86"/>
        <v>0</v>
      </c>
    </row>
    <row r="713" spans="18:25" x14ac:dyDescent="0.2">
      <c r="R713" s="558">
        <v>712</v>
      </c>
      <c r="S713" s="558">
        <f t="shared" si="81"/>
        <v>-626</v>
      </c>
      <c r="T713" s="558">
        <f t="shared" si="82"/>
        <v>-615</v>
      </c>
      <c r="U713" s="558">
        <f t="shared" si="83"/>
        <v>679</v>
      </c>
      <c r="V713" s="558">
        <f t="shared" si="85"/>
        <v>0</v>
      </c>
      <c r="W713" s="558">
        <f t="shared" si="84"/>
        <v>0</v>
      </c>
      <c r="X713" s="558">
        <f t="shared" si="80"/>
        <v>0</v>
      </c>
      <c r="Y713" s="558">
        <f t="shared" si="86"/>
        <v>0</v>
      </c>
    </row>
    <row r="714" spans="18:25" x14ac:dyDescent="0.2">
      <c r="R714" s="558">
        <v>713</v>
      </c>
      <c r="S714" s="558">
        <f t="shared" si="81"/>
        <v>-627</v>
      </c>
      <c r="T714" s="558">
        <f t="shared" si="82"/>
        <v>-616</v>
      </c>
      <c r="U714" s="558">
        <f t="shared" si="83"/>
        <v>680</v>
      </c>
      <c r="V714" s="558">
        <f t="shared" si="85"/>
        <v>0</v>
      </c>
      <c r="W714" s="558">
        <f t="shared" si="84"/>
        <v>0</v>
      </c>
      <c r="X714" s="558">
        <f t="shared" si="80"/>
        <v>0</v>
      </c>
      <c r="Y714" s="558">
        <f t="shared" si="86"/>
        <v>0</v>
      </c>
    </row>
    <row r="715" spans="18:25" x14ac:dyDescent="0.2">
      <c r="R715" s="558">
        <v>714</v>
      </c>
      <c r="S715" s="558">
        <f t="shared" si="81"/>
        <v>-628</v>
      </c>
      <c r="T715" s="558">
        <f t="shared" si="82"/>
        <v>-617</v>
      </c>
      <c r="U715" s="558">
        <f t="shared" si="83"/>
        <v>681</v>
      </c>
      <c r="V715" s="558">
        <f t="shared" si="85"/>
        <v>0</v>
      </c>
      <c r="W715" s="558">
        <f t="shared" si="84"/>
        <v>0</v>
      </c>
      <c r="X715" s="558">
        <f t="shared" si="80"/>
        <v>0</v>
      </c>
      <c r="Y715" s="558">
        <f t="shared" si="86"/>
        <v>0</v>
      </c>
    </row>
    <row r="716" spans="18:25" x14ac:dyDescent="0.2">
      <c r="R716" s="558">
        <v>715</v>
      </c>
      <c r="S716" s="558">
        <f t="shared" si="81"/>
        <v>-629</v>
      </c>
      <c r="T716" s="558">
        <f t="shared" si="82"/>
        <v>-618</v>
      </c>
      <c r="U716" s="558">
        <f t="shared" si="83"/>
        <v>682</v>
      </c>
      <c r="V716" s="558">
        <f t="shared" si="85"/>
        <v>0</v>
      </c>
      <c r="W716" s="558">
        <f t="shared" si="84"/>
        <v>0</v>
      </c>
      <c r="X716" s="558">
        <f t="shared" si="80"/>
        <v>0</v>
      </c>
      <c r="Y716" s="558">
        <f t="shared" si="86"/>
        <v>0</v>
      </c>
    </row>
    <row r="717" spans="18:25" x14ac:dyDescent="0.2">
      <c r="R717" s="558">
        <v>716</v>
      </c>
      <c r="S717" s="558">
        <f t="shared" si="81"/>
        <v>-630</v>
      </c>
      <c r="T717" s="558">
        <f t="shared" si="82"/>
        <v>-619</v>
      </c>
      <c r="U717" s="558">
        <f t="shared" si="83"/>
        <v>683</v>
      </c>
      <c r="V717" s="558">
        <f t="shared" si="85"/>
        <v>0</v>
      </c>
      <c r="W717" s="558">
        <f t="shared" si="84"/>
        <v>0</v>
      </c>
      <c r="X717" s="558">
        <f t="shared" si="80"/>
        <v>0</v>
      </c>
      <c r="Y717" s="558">
        <f t="shared" si="86"/>
        <v>0</v>
      </c>
    </row>
    <row r="718" spans="18:25" x14ac:dyDescent="0.2">
      <c r="R718" s="558">
        <v>717</v>
      </c>
      <c r="S718" s="558">
        <f t="shared" si="81"/>
        <v>-631</v>
      </c>
      <c r="T718" s="558">
        <f t="shared" si="82"/>
        <v>-620</v>
      </c>
      <c r="U718" s="558">
        <f t="shared" si="83"/>
        <v>684</v>
      </c>
      <c r="V718" s="558">
        <f t="shared" si="85"/>
        <v>0</v>
      </c>
      <c r="W718" s="558">
        <f t="shared" si="84"/>
        <v>0</v>
      </c>
      <c r="X718" s="558">
        <f t="shared" si="80"/>
        <v>0</v>
      </c>
      <c r="Y718" s="558">
        <f t="shared" si="86"/>
        <v>0</v>
      </c>
    </row>
    <row r="719" spans="18:25" x14ac:dyDescent="0.2">
      <c r="R719" s="558">
        <v>718</v>
      </c>
      <c r="S719" s="558">
        <f t="shared" si="81"/>
        <v>-632</v>
      </c>
      <c r="T719" s="558">
        <f t="shared" si="82"/>
        <v>-621</v>
      </c>
      <c r="U719" s="558">
        <f t="shared" si="83"/>
        <v>685</v>
      </c>
      <c r="V719" s="558">
        <f t="shared" si="85"/>
        <v>0</v>
      </c>
      <c r="W719" s="558">
        <f t="shared" si="84"/>
        <v>0</v>
      </c>
      <c r="X719" s="558">
        <f t="shared" si="80"/>
        <v>0</v>
      </c>
      <c r="Y719" s="558">
        <f t="shared" si="86"/>
        <v>0</v>
      </c>
    </row>
    <row r="720" spans="18:25" x14ac:dyDescent="0.2">
      <c r="R720" s="558">
        <v>719</v>
      </c>
      <c r="S720" s="558">
        <f t="shared" si="81"/>
        <v>-633</v>
      </c>
      <c r="T720" s="558">
        <f t="shared" si="82"/>
        <v>-622</v>
      </c>
      <c r="U720" s="558">
        <f t="shared" si="83"/>
        <v>686</v>
      </c>
      <c r="V720" s="558">
        <f t="shared" si="85"/>
        <v>0</v>
      </c>
      <c r="W720" s="558">
        <f t="shared" si="84"/>
        <v>0</v>
      </c>
      <c r="X720" s="558">
        <f t="shared" si="80"/>
        <v>0</v>
      </c>
      <c r="Y720" s="558">
        <f t="shared" si="86"/>
        <v>0</v>
      </c>
    </row>
    <row r="721" spans="18:25" x14ac:dyDescent="0.2">
      <c r="R721" s="558">
        <v>720</v>
      </c>
      <c r="S721" s="558">
        <f t="shared" si="81"/>
        <v>-634</v>
      </c>
      <c r="T721" s="558">
        <f t="shared" si="82"/>
        <v>-623</v>
      </c>
      <c r="U721" s="558">
        <f t="shared" si="83"/>
        <v>687</v>
      </c>
      <c r="V721" s="558">
        <f t="shared" si="85"/>
        <v>0</v>
      </c>
      <c r="W721" s="558">
        <f t="shared" si="84"/>
        <v>0</v>
      </c>
      <c r="X721" s="558">
        <f t="shared" si="80"/>
        <v>0</v>
      </c>
      <c r="Y721" s="558">
        <f t="shared" si="86"/>
        <v>0</v>
      </c>
    </row>
    <row r="722" spans="18:25" x14ac:dyDescent="0.2">
      <c r="R722" s="558">
        <v>721</v>
      </c>
      <c r="S722" s="558">
        <f t="shared" si="81"/>
        <v>-635</v>
      </c>
      <c r="T722" s="558">
        <f t="shared" si="82"/>
        <v>-624</v>
      </c>
      <c r="U722" s="558">
        <f t="shared" si="83"/>
        <v>688</v>
      </c>
      <c r="V722" s="558">
        <f t="shared" si="85"/>
        <v>0</v>
      </c>
      <c r="W722" s="558">
        <f t="shared" si="84"/>
        <v>0</v>
      </c>
      <c r="X722" s="558">
        <f t="shared" si="80"/>
        <v>0</v>
      </c>
      <c r="Y722" s="558">
        <f t="shared" si="86"/>
        <v>0</v>
      </c>
    </row>
    <row r="723" spans="18:25" x14ac:dyDescent="0.2">
      <c r="R723" s="558">
        <v>722</v>
      </c>
      <c r="S723" s="558">
        <f t="shared" si="81"/>
        <v>-636</v>
      </c>
      <c r="T723" s="558">
        <f t="shared" si="82"/>
        <v>-625</v>
      </c>
      <c r="U723" s="558">
        <f t="shared" si="83"/>
        <v>689</v>
      </c>
      <c r="V723" s="558">
        <f t="shared" si="85"/>
        <v>0</v>
      </c>
      <c r="W723" s="558">
        <f t="shared" si="84"/>
        <v>0</v>
      </c>
      <c r="X723" s="558">
        <f t="shared" si="80"/>
        <v>0</v>
      </c>
      <c r="Y723" s="558">
        <f t="shared" si="86"/>
        <v>0</v>
      </c>
    </row>
    <row r="724" spans="18:25" x14ac:dyDescent="0.2">
      <c r="R724" s="558">
        <v>723</v>
      </c>
      <c r="S724" s="558">
        <f t="shared" si="81"/>
        <v>-637</v>
      </c>
      <c r="T724" s="558">
        <f t="shared" si="82"/>
        <v>-626</v>
      </c>
      <c r="U724" s="558">
        <f t="shared" si="83"/>
        <v>690</v>
      </c>
      <c r="V724" s="558">
        <f t="shared" si="85"/>
        <v>0</v>
      </c>
      <c r="W724" s="558">
        <f t="shared" si="84"/>
        <v>0</v>
      </c>
      <c r="X724" s="558">
        <f t="shared" si="80"/>
        <v>0</v>
      </c>
      <c r="Y724" s="558">
        <f t="shared" si="86"/>
        <v>0</v>
      </c>
    </row>
    <row r="725" spans="18:25" x14ac:dyDescent="0.2">
      <c r="R725" s="558">
        <v>724</v>
      </c>
      <c r="S725" s="558">
        <f t="shared" si="81"/>
        <v>-638</v>
      </c>
      <c r="T725" s="558">
        <f t="shared" si="82"/>
        <v>-627</v>
      </c>
      <c r="U725" s="558">
        <f t="shared" si="83"/>
        <v>691</v>
      </c>
      <c r="V725" s="558">
        <f t="shared" si="85"/>
        <v>0</v>
      </c>
      <c r="W725" s="558">
        <f t="shared" si="84"/>
        <v>0</v>
      </c>
      <c r="X725" s="558">
        <f t="shared" si="80"/>
        <v>0</v>
      </c>
      <c r="Y725" s="558">
        <f t="shared" si="86"/>
        <v>0</v>
      </c>
    </row>
    <row r="726" spans="18:25" x14ac:dyDescent="0.2">
      <c r="R726" s="558">
        <v>725</v>
      </c>
      <c r="S726" s="558">
        <f t="shared" si="81"/>
        <v>-639</v>
      </c>
      <c r="T726" s="558">
        <f t="shared" si="82"/>
        <v>-628</v>
      </c>
      <c r="U726" s="558">
        <f t="shared" si="83"/>
        <v>692</v>
      </c>
      <c r="V726" s="558">
        <f t="shared" si="85"/>
        <v>0</v>
      </c>
      <c r="W726" s="558">
        <f t="shared" si="84"/>
        <v>0</v>
      </c>
      <c r="X726" s="558">
        <f t="shared" si="80"/>
        <v>0</v>
      </c>
      <c r="Y726" s="558">
        <f t="shared" si="86"/>
        <v>0</v>
      </c>
    </row>
    <row r="727" spans="18:25" x14ac:dyDescent="0.2">
      <c r="R727" s="558">
        <v>726</v>
      </c>
      <c r="S727" s="558">
        <f t="shared" si="81"/>
        <v>-640</v>
      </c>
      <c r="T727" s="558">
        <f t="shared" si="82"/>
        <v>-629</v>
      </c>
      <c r="U727" s="558">
        <f t="shared" si="83"/>
        <v>693</v>
      </c>
      <c r="V727" s="558">
        <f t="shared" si="85"/>
        <v>0</v>
      </c>
      <c r="W727" s="558">
        <f t="shared" si="84"/>
        <v>0</v>
      </c>
      <c r="X727" s="558">
        <f t="shared" si="80"/>
        <v>0</v>
      </c>
      <c r="Y727" s="558">
        <f t="shared" si="86"/>
        <v>0</v>
      </c>
    </row>
    <row r="728" spans="18:25" x14ac:dyDescent="0.2">
      <c r="R728" s="558">
        <v>727</v>
      </c>
      <c r="S728" s="558">
        <f t="shared" si="81"/>
        <v>-641</v>
      </c>
      <c r="T728" s="558">
        <f t="shared" si="82"/>
        <v>-630</v>
      </c>
      <c r="U728" s="558">
        <f t="shared" si="83"/>
        <v>694</v>
      </c>
      <c r="V728" s="558">
        <f t="shared" si="85"/>
        <v>0</v>
      </c>
      <c r="W728" s="558">
        <f t="shared" si="84"/>
        <v>0</v>
      </c>
      <c r="X728" s="558">
        <f t="shared" si="80"/>
        <v>0</v>
      </c>
      <c r="Y728" s="558">
        <f t="shared" si="86"/>
        <v>0</v>
      </c>
    </row>
    <row r="729" spans="18:25" x14ac:dyDescent="0.2">
      <c r="R729" s="558">
        <v>728</v>
      </c>
      <c r="S729" s="558">
        <f t="shared" si="81"/>
        <v>-642</v>
      </c>
      <c r="T729" s="558">
        <f t="shared" si="82"/>
        <v>-631</v>
      </c>
      <c r="U729" s="558">
        <f t="shared" si="83"/>
        <v>695</v>
      </c>
      <c r="V729" s="558">
        <f t="shared" si="85"/>
        <v>0</v>
      </c>
      <c r="W729" s="558">
        <f t="shared" si="84"/>
        <v>0</v>
      </c>
      <c r="X729" s="558">
        <f t="shared" si="80"/>
        <v>0</v>
      </c>
      <c r="Y729" s="558">
        <f t="shared" si="86"/>
        <v>0</v>
      </c>
    </row>
    <row r="730" spans="18:25" x14ac:dyDescent="0.2">
      <c r="R730" s="558">
        <v>729</v>
      </c>
      <c r="S730" s="558">
        <f t="shared" si="81"/>
        <v>-643</v>
      </c>
      <c r="T730" s="558">
        <f t="shared" si="82"/>
        <v>-632</v>
      </c>
      <c r="U730" s="558">
        <f t="shared" si="83"/>
        <v>696</v>
      </c>
      <c r="V730" s="558">
        <f t="shared" si="85"/>
        <v>0</v>
      </c>
      <c r="W730" s="558">
        <f t="shared" si="84"/>
        <v>0</v>
      </c>
      <c r="X730" s="558">
        <f t="shared" si="80"/>
        <v>0</v>
      </c>
      <c r="Y730" s="558">
        <f t="shared" si="86"/>
        <v>0</v>
      </c>
    </row>
    <row r="731" spans="18:25" x14ac:dyDescent="0.2">
      <c r="R731" s="558">
        <v>730</v>
      </c>
      <c r="S731" s="558">
        <f t="shared" si="81"/>
        <v>-644</v>
      </c>
      <c r="T731" s="558">
        <f t="shared" si="82"/>
        <v>-633</v>
      </c>
      <c r="U731" s="558">
        <f t="shared" si="83"/>
        <v>697</v>
      </c>
      <c r="V731" s="558">
        <f t="shared" si="85"/>
        <v>0</v>
      </c>
      <c r="W731" s="558">
        <f t="shared" si="84"/>
        <v>0</v>
      </c>
      <c r="X731" s="558">
        <f t="shared" si="80"/>
        <v>0</v>
      </c>
      <c r="Y731" s="558">
        <f t="shared" si="86"/>
        <v>0</v>
      </c>
    </row>
    <row r="732" spans="18:25" x14ac:dyDescent="0.2">
      <c r="R732" s="558">
        <v>731</v>
      </c>
      <c r="S732" s="558">
        <f t="shared" si="81"/>
        <v>-645</v>
      </c>
      <c r="T732" s="558">
        <f t="shared" si="82"/>
        <v>-634</v>
      </c>
      <c r="U732" s="558">
        <f t="shared" si="83"/>
        <v>698</v>
      </c>
      <c r="V732" s="558">
        <f t="shared" si="85"/>
        <v>0</v>
      </c>
      <c r="W732" s="558">
        <f t="shared" si="84"/>
        <v>0</v>
      </c>
      <c r="X732" s="558">
        <f t="shared" si="80"/>
        <v>0</v>
      </c>
      <c r="Y732" s="558">
        <f t="shared" si="86"/>
        <v>0</v>
      </c>
    </row>
    <row r="733" spans="18:25" x14ac:dyDescent="0.2">
      <c r="R733" s="558">
        <v>732</v>
      </c>
      <c r="S733" s="558">
        <f t="shared" si="81"/>
        <v>-646</v>
      </c>
      <c r="T733" s="558">
        <f t="shared" si="82"/>
        <v>-635</v>
      </c>
      <c r="U733" s="558">
        <f t="shared" si="83"/>
        <v>699</v>
      </c>
      <c r="V733" s="558">
        <f t="shared" si="85"/>
        <v>0</v>
      </c>
      <c r="W733" s="558">
        <f t="shared" si="84"/>
        <v>0</v>
      </c>
      <c r="X733" s="558">
        <f t="shared" si="80"/>
        <v>0</v>
      </c>
      <c r="Y733" s="558">
        <f t="shared" si="86"/>
        <v>0</v>
      </c>
    </row>
    <row r="734" spans="18:25" x14ac:dyDescent="0.2">
      <c r="R734" s="558">
        <v>733</v>
      </c>
      <c r="S734" s="558">
        <f t="shared" si="81"/>
        <v>-647</v>
      </c>
      <c r="T734" s="558">
        <f t="shared" si="82"/>
        <v>-636</v>
      </c>
      <c r="U734" s="558">
        <f t="shared" si="83"/>
        <v>700</v>
      </c>
      <c r="V734" s="558">
        <f t="shared" si="85"/>
        <v>0</v>
      </c>
      <c r="W734" s="558">
        <f t="shared" si="84"/>
        <v>0</v>
      </c>
      <c r="X734" s="558">
        <f t="shared" si="80"/>
        <v>0</v>
      </c>
      <c r="Y734" s="558">
        <f t="shared" si="86"/>
        <v>0</v>
      </c>
    </row>
    <row r="735" spans="18:25" x14ac:dyDescent="0.2">
      <c r="R735" s="558">
        <v>734</v>
      </c>
      <c r="S735" s="558">
        <f t="shared" si="81"/>
        <v>-648</v>
      </c>
      <c r="T735" s="558">
        <f t="shared" si="82"/>
        <v>-637</v>
      </c>
      <c r="U735" s="558">
        <f t="shared" si="83"/>
        <v>701</v>
      </c>
      <c r="V735" s="558">
        <f t="shared" si="85"/>
        <v>0</v>
      </c>
      <c r="W735" s="558">
        <f t="shared" si="84"/>
        <v>0</v>
      </c>
      <c r="X735" s="558">
        <f t="shared" si="80"/>
        <v>0</v>
      </c>
      <c r="Y735" s="558">
        <f t="shared" si="86"/>
        <v>0</v>
      </c>
    </row>
    <row r="736" spans="18:25" x14ac:dyDescent="0.2">
      <c r="R736" s="558">
        <v>735</v>
      </c>
      <c r="S736" s="558">
        <f t="shared" si="81"/>
        <v>-649</v>
      </c>
      <c r="T736" s="558">
        <f t="shared" si="82"/>
        <v>-638</v>
      </c>
      <c r="U736" s="558">
        <f t="shared" si="83"/>
        <v>702</v>
      </c>
      <c r="V736" s="558">
        <f t="shared" si="85"/>
        <v>0</v>
      </c>
      <c r="W736" s="558">
        <f t="shared" si="84"/>
        <v>0</v>
      </c>
      <c r="X736" s="558">
        <f t="shared" si="80"/>
        <v>0</v>
      </c>
      <c r="Y736" s="558">
        <f t="shared" si="86"/>
        <v>0</v>
      </c>
    </row>
    <row r="737" spans="18:25" x14ac:dyDescent="0.2">
      <c r="R737" s="558">
        <v>736</v>
      </c>
      <c r="S737" s="558">
        <f t="shared" si="81"/>
        <v>-650</v>
      </c>
      <c r="T737" s="558">
        <f t="shared" si="82"/>
        <v>-639</v>
      </c>
      <c r="U737" s="558">
        <f t="shared" si="83"/>
        <v>703</v>
      </c>
      <c r="V737" s="558">
        <f t="shared" si="85"/>
        <v>0</v>
      </c>
      <c r="W737" s="558">
        <f t="shared" si="84"/>
        <v>0</v>
      </c>
      <c r="X737" s="558">
        <f t="shared" si="80"/>
        <v>0</v>
      </c>
      <c r="Y737" s="558">
        <f t="shared" si="86"/>
        <v>0</v>
      </c>
    </row>
    <row r="738" spans="18:25" x14ac:dyDescent="0.2">
      <c r="R738" s="558">
        <v>737</v>
      </c>
      <c r="S738" s="558">
        <f t="shared" si="81"/>
        <v>-651</v>
      </c>
      <c r="T738" s="558">
        <f t="shared" si="82"/>
        <v>-640</v>
      </c>
      <c r="U738" s="558">
        <f t="shared" si="83"/>
        <v>704</v>
      </c>
      <c r="V738" s="558">
        <f t="shared" si="85"/>
        <v>0</v>
      </c>
      <c r="W738" s="558">
        <f t="shared" si="84"/>
        <v>0</v>
      </c>
      <c r="X738" s="558">
        <f t="shared" si="80"/>
        <v>0</v>
      </c>
      <c r="Y738" s="558">
        <f t="shared" si="86"/>
        <v>0</v>
      </c>
    </row>
    <row r="739" spans="18:25" x14ac:dyDescent="0.2">
      <c r="R739" s="558">
        <v>738</v>
      </c>
      <c r="S739" s="558">
        <f t="shared" si="81"/>
        <v>-652</v>
      </c>
      <c r="T739" s="558">
        <f t="shared" si="82"/>
        <v>-641</v>
      </c>
      <c r="U739" s="558">
        <f t="shared" si="83"/>
        <v>705</v>
      </c>
      <c r="V739" s="558">
        <f t="shared" si="85"/>
        <v>0</v>
      </c>
      <c r="W739" s="558">
        <f t="shared" si="84"/>
        <v>0</v>
      </c>
      <c r="X739" s="558">
        <f t="shared" ref="X739:X802" si="87">IF(R739=$B$7,W739,0)</f>
        <v>0</v>
      </c>
      <c r="Y739" s="558">
        <f t="shared" si="86"/>
        <v>0</v>
      </c>
    </row>
    <row r="740" spans="18:25" x14ac:dyDescent="0.2">
      <c r="R740" s="558">
        <v>739</v>
      </c>
      <c r="S740" s="558">
        <f t="shared" si="81"/>
        <v>-653</v>
      </c>
      <c r="T740" s="558">
        <f t="shared" si="82"/>
        <v>-642</v>
      </c>
      <c r="U740" s="558">
        <f t="shared" si="83"/>
        <v>706</v>
      </c>
      <c r="V740" s="558">
        <f t="shared" si="85"/>
        <v>0</v>
      </c>
      <c r="W740" s="558">
        <f t="shared" si="84"/>
        <v>0</v>
      </c>
      <c r="X740" s="558">
        <f t="shared" si="87"/>
        <v>0</v>
      </c>
      <c r="Y740" s="558">
        <f t="shared" si="86"/>
        <v>0</v>
      </c>
    </row>
    <row r="741" spans="18:25" x14ac:dyDescent="0.2">
      <c r="R741" s="558">
        <v>740</v>
      </c>
      <c r="S741" s="558">
        <f t="shared" si="81"/>
        <v>-654</v>
      </c>
      <c r="T741" s="558">
        <f t="shared" si="82"/>
        <v>-643</v>
      </c>
      <c r="U741" s="558">
        <f t="shared" si="83"/>
        <v>707</v>
      </c>
      <c r="V741" s="558">
        <f t="shared" si="85"/>
        <v>0</v>
      </c>
      <c r="W741" s="558">
        <f t="shared" si="84"/>
        <v>0</v>
      </c>
      <c r="X741" s="558">
        <f t="shared" si="87"/>
        <v>0</v>
      </c>
      <c r="Y741" s="558">
        <f t="shared" si="86"/>
        <v>0</v>
      </c>
    </row>
    <row r="742" spans="18:25" x14ac:dyDescent="0.2">
      <c r="R742" s="558">
        <v>741</v>
      </c>
      <c r="S742" s="558">
        <f t="shared" si="81"/>
        <v>-655</v>
      </c>
      <c r="T742" s="558">
        <f t="shared" si="82"/>
        <v>-644</v>
      </c>
      <c r="U742" s="558">
        <f t="shared" si="83"/>
        <v>708</v>
      </c>
      <c r="V742" s="558">
        <f t="shared" si="85"/>
        <v>0</v>
      </c>
      <c r="W742" s="558">
        <f t="shared" si="84"/>
        <v>0</v>
      </c>
      <c r="X742" s="558">
        <f t="shared" si="87"/>
        <v>0</v>
      </c>
      <c r="Y742" s="558">
        <f t="shared" si="86"/>
        <v>0</v>
      </c>
    </row>
    <row r="743" spans="18:25" x14ac:dyDescent="0.2">
      <c r="R743" s="558">
        <v>742</v>
      </c>
      <c r="S743" s="558">
        <f t="shared" si="81"/>
        <v>-656</v>
      </c>
      <c r="T743" s="558">
        <f t="shared" si="82"/>
        <v>-645</v>
      </c>
      <c r="U743" s="558">
        <f t="shared" si="83"/>
        <v>709</v>
      </c>
      <c r="V743" s="558">
        <f t="shared" si="85"/>
        <v>0</v>
      </c>
      <c r="W743" s="558">
        <f t="shared" si="84"/>
        <v>0</v>
      </c>
      <c r="X743" s="558">
        <f t="shared" si="87"/>
        <v>0</v>
      </c>
      <c r="Y743" s="558">
        <f t="shared" si="86"/>
        <v>0</v>
      </c>
    </row>
    <row r="744" spans="18:25" x14ac:dyDescent="0.2">
      <c r="R744" s="558">
        <v>743</v>
      </c>
      <c r="S744" s="558">
        <f t="shared" si="81"/>
        <v>-657</v>
      </c>
      <c r="T744" s="558">
        <f t="shared" si="82"/>
        <v>-646</v>
      </c>
      <c r="U744" s="558">
        <f t="shared" si="83"/>
        <v>710</v>
      </c>
      <c r="V744" s="558">
        <f t="shared" si="85"/>
        <v>0</v>
      </c>
      <c r="W744" s="558">
        <f t="shared" si="84"/>
        <v>0</v>
      </c>
      <c r="X744" s="558">
        <f t="shared" si="87"/>
        <v>0</v>
      </c>
      <c r="Y744" s="558">
        <f t="shared" si="86"/>
        <v>0</v>
      </c>
    </row>
    <row r="745" spans="18:25" x14ac:dyDescent="0.2">
      <c r="R745" s="558">
        <v>744</v>
      </c>
      <c r="S745" s="558">
        <f t="shared" si="81"/>
        <v>-658</v>
      </c>
      <c r="T745" s="558">
        <f t="shared" si="82"/>
        <v>-647</v>
      </c>
      <c r="U745" s="558">
        <f t="shared" si="83"/>
        <v>711</v>
      </c>
      <c r="V745" s="558">
        <f t="shared" si="85"/>
        <v>0</v>
      </c>
      <c r="W745" s="558">
        <f t="shared" si="84"/>
        <v>0</v>
      </c>
      <c r="X745" s="558">
        <f t="shared" si="87"/>
        <v>0</v>
      </c>
      <c r="Y745" s="558">
        <f t="shared" si="86"/>
        <v>0</v>
      </c>
    </row>
    <row r="746" spans="18:25" x14ac:dyDescent="0.2">
      <c r="R746" s="558">
        <v>745</v>
      </c>
      <c r="S746" s="558">
        <f t="shared" si="81"/>
        <v>-659</v>
      </c>
      <c r="T746" s="558">
        <f t="shared" si="82"/>
        <v>-648</v>
      </c>
      <c r="U746" s="558">
        <f t="shared" si="83"/>
        <v>712</v>
      </c>
      <c r="V746" s="558">
        <f t="shared" si="85"/>
        <v>0</v>
      </c>
      <c r="W746" s="558">
        <f t="shared" si="84"/>
        <v>0</v>
      </c>
      <c r="X746" s="558">
        <f t="shared" si="87"/>
        <v>0</v>
      </c>
      <c r="Y746" s="558">
        <f t="shared" si="86"/>
        <v>0</v>
      </c>
    </row>
    <row r="747" spans="18:25" x14ac:dyDescent="0.2">
      <c r="R747" s="558">
        <v>746</v>
      </c>
      <c r="S747" s="558">
        <f t="shared" si="81"/>
        <v>-660</v>
      </c>
      <c r="T747" s="558">
        <f t="shared" si="82"/>
        <v>-649</v>
      </c>
      <c r="U747" s="558">
        <f t="shared" si="83"/>
        <v>713</v>
      </c>
      <c r="V747" s="558">
        <f t="shared" si="85"/>
        <v>0</v>
      </c>
      <c r="W747" s="558">
        <f t="shared" si="84"/>
        <v>0</v>
      </c>
      <c r="X747" s="558">
        <f t="shared" si="87"/>
        <v>0</v>
      </c>
      <c r="Y747" s="558">
        <f t="shared" si="86"/>
        <v>0</v>
      </c>
    </row>
    <row r="748" spans="18:25" x14ac:dyDescent="0.2">
      <c r="R748" s="558">
        <v>747</v>
      </c>
      <c r="S748" s="558">
        <f t="shared" si="81"/>
        <v>-661</v>
      </c>
      <c r="T748" s="558">
        <f t="shared" si="82"/>
        <v>-650</v>
      </c>
      <c r="U748" s="558">
        <f t="shared" si="83"/>
        <v>714</v>
      </c>
      <c r="V748" s="558">
        <f t="shared" si="85"/>
        <v>0</v>
      </c>
      <c r="W748" s="558">
        <f t="shared" si="84"/>
        <v>0</v>
      </c>
      <c r="X748" s="558">
        <f t="shared" si="87"/>
        <v>0</v>
      </c>
      <c r="Y748" s="558">
        <f t="shared" si="86"/>
        <v>0</v>
      </c>
    </row>
    <row r="749" spans="18:25" x14ac:dyDescent="0.2">
      <c r="R749" s="558">
        <v>748</v>
      </c>
      <c r="S749" s="558">
        <f t="shared" si="81"/>
        <v>-662</v>
      </c>
      <c r="T749" s="558">
        <f t="shared" si="82"/>
        <v>-651</v>
      </c>
      <c r="U749" s="558">
        <f t="shared" si="83"/>
        <v>715</v>
      </c>
      <c r="V749" s="558">
        <f t="shared" si="85"/>
        <v>0</v>
      </c>
      <c r="W749" s="558">
        <f t="shared" si="84"/>
        <v>0</v>
      </c>
      <c r="X749" s="558">
        <f t="shared" si="87"/>
        <v>0</v>
      </c>
      <c r="Y749" s="558">
        <f t="shared" si="86"/>
        <v>0</v>
      </c>
    </row>
    <row r="750" spans="18:25" x14ac:dyDescent="0.2">
      <c r="R750" s="558">
        <v>749</v>
      </c>
      <c r="S750" s="558">
        <f t="shared" si="81"/>
        <v>-663</v>
      </c>
      <c r="T750" s="558">
        <f t="shared" si="82"/>
        <v>-652</v>
      </c>
      <c r="U750" s="558">
        <f t="shared" si="83"/>
        <v>716</v>
      </c>
      <c r="V750" s="558">
        <f t="shared" si="85"/>
        <v>0</v>
      </c>
      <c r="W750" s="558">
        <f t="shared" si="84"/>
        <v>0</v>
      </c>
      <c r="X750" s="558">
        <f t="shared" si="87"/>
        <v>0</v>
      </c>
      <c r="Y750" s="558">
        <f t="shared" si="86"/>
        <v>0</v>
      </c>
    </row>
    <row r="751" spans="18:25" x14ac:dyDescent="0.2">
      <c r="R751" s="558">
        <v>750</v>
      </c>
      <c r="S751" s="558">
        <f t="shared" si="81"/>
        <v>-664</v>
      </c>
      <c r="T751" s="558">
        <f t="shared" si="82"/>
        <v>-653</v>
      </c>
      <c r="U751" s="558">
        <f t="shared" si="83"/>
        <v>717</v>
      </c>
      <c r="V751" s="558">
        <f t="shared" si="85"/>
        <v>0</v>
      </c>
      <c r="W751" s="558">
        <f t="shared" si="84"/>
        <v>0</v>
      </c>
      <c r="X751" s="558">
        <f t="shared" si="87"/>
        <v>0</v>
      </c>
      <c r="Y751" s="558">
        <f t="shared" si="86"/>
        <v>0</v>
      </c>
    </row>
    <row r="752" spans="18:25" x14ac:dyDescent="0.2">
      <c r="R752" s="558">
        <v>751</v>
      </c>
      <c r="S752" s="558">
        <f t="shared" si="81"/>
        <v>-665</v>
      </c>
      <c r="T752" s="558">
        <f t="shared" si="82"/>
        <v>-654</v>
      </c>
      <c r="U752" s="558">
        <f t="shared" si="83"/>
        <v>718</v>
      </c>
      <c r="V752" s="558">
        <f t="shared" si="85"/>
        <v>0</v>
      </c>
      <c r="W752" s="558">
        <f t="shared" si="84"/>
        <v>0</v>
      </c>
      <c r="X752" s="558">
        <f t="shared" si="87"/>
        <v>0</v>
      </c>
      <c r="Y752" s="558">
        <f t="shared" si="86"/>
        <v>0</v>
      </c>
    </row>
    <row r="753" spans="18:25" x14ac:dyDescent="0.2">
      <c r="R753" s="558">
        <v>752</v>
      </c>
      <c r="S753" s="558">
        <f t="shared" si="81"/>
        <v>-666</v>
      </c>
      <c r="T753" s="558">
        <f t="shared" si="82"/>
        <v>-655</v>
      </c>
      <c r="U753" s="558">
        <f t="shared" si="83"/>
        <v>719</v>
      </c>
      <c r="V753" s="558">
        <f t="shared" si="85"/>
        <v>0</v>
      </c>
      <c r="W753" s="558">
        <f t="shared" si="84"/>
        <v>0</v>
      </c>
      <c r="X753" s="558">
        <f t="shared" si="87"/>
        <v>0</v>
      </c>
      <c r="Y753" s="558">
        <f t="shared" si="86"/>
        <v>0</v>
      </c>
    </row>
    <row r="754" spans="18:25" x14ac:dyDescent="0.2">
      <c r="R754" s="558">
        <v>753</v>
      </c>
      <c r="S754" s="558">
        <f t="shared" si="81"/>
        <v>-667</v>
      </c>
      <c r="T754" s="558">
        <f t="shared" si="82"/>
        <v>-656</v>
      </c>
      <c r="U754" s="558">
        <f t="shared" si="83"/>
        <v>720</v>
      </c>
      <c r="V754" s="558">
        <f t="shared" si="85"/>
        <v>0</v>
      </c>
      <c r="W754" s="558">
        <f t="shared" si="84"/>
        <v>0</v>
      </c>
      <c r="X754" s="558">
        <f t="shared" si="87"/>
        <v>0</v>
      </c>
      <c r="Y754" s="558">
        <f t="shared" si="86"/>
        <v>0</v>
      </c>
    </row>
    <row r="755" spans="18:25" x14ac:dyDescent="0.2">
      <c r="R755" s="558">
        <v>754</v>
      </c>
      <c r="S755" s="558">
        <f t="shared" si="81"/>
        <v>-668</v>
      </c>
      <c r="T755" s="558">
        <f t="shared" si="82"/>
        <v>-657</v>
      </c>
      <c r="U755" s="558">
        <f t="shared" si="83"/>
        <v>721</v>
      </c>
      <c r="V755" s="558">
        <f t="shared" si="85"/>
        <v>0</v>
      </c>
      <c r="W755" s="558">
        <f t="shared" si="84"/>
        <v>0</v>
      </c>
      <c r="X755" s="558">
        <f t="shared" si="87"/>
        <v>0</v>
      </c>
      <c r="Y755" s="558">
        <f t="shared" si="86"/>
        <v>0</v>
      </c>
    </row>
    <row r="756" spans="18:25" x14ac:dyDescent="0.2">
      <c r="R756" s="558">
        <v>755</v>
      </c>
      <c r="S756" s="558">
        <f t="shared" si="81"/>
        <v>-669</v>
      </c>
      <c r="T756" s="558">
        <f t="shared" si="82"/>
        <v>-658</v>
      </c>
      <c r="U756" s="558">
        <f t="shared" si="83"/>
        <v>722</v>
      </c>
      <c r="V756" s="558">
        <f t="shared" si="85"/>
        <v>0</v>
      </c>
      <c r="W756" s="558">
        <f t="shared" si="84"/>
        <v>0</v>
      </c>
      <c r="X756" s="558">
        <f t="shared" si="87"/>
        <v>0</v>
      </c>
      <c r="Y756" s="558">
        <f t="shared" si="86"/>
        <v>0</v>
      </c>
    </row>
    <row r="757" spans="18:25" x14ac:dyDescent="0.2">
      <c r="R757" s="558">
        <v>756</v>
      </c>
      <c r="S757" s="558">
        <f t="shared" si="81"/>
        <v>-670</v>
      </c>
      <c r="T757" s="558">
        <f t="shared" si="82"/>
        <v>-659</v>
      </c>
      <c r="U757" s="558">
        <f t="shared" si="83"/>
        <v>723</v>
      </c>
      <c r="V757" s="558">
        <f t="shared" si="85"/>
        <v>0</v>
      </c>
      <c r="W757" s="558">
        <f t="shared" si="84"/>
        <v>0</v>
      </c>
      <c r="X757" s="558">
        <f t="shared" si="87"/>
        <v>0</v>
      </c>
      <c r="Y757" s="558">
        <f t="shared" si="86"/>
        <v>0</v>
      </c>
    </row>
    <row r="758" spans="18:25" x14ac:dyDescent="0.2">
      <c r="R758" s="558">
        <v>757</v>
      </c>
      <c r="S758" s="558">
        <f t="shared" si="81"/>
        <v>-671</v>
      </c>
      <c r="T758" s="558">
        <f t="shared" si="82"/>
        <v>-660</v>
      </c>
      <c r="U758" s="558">
        <f t="shared" si="83"/>
        <v>724</v>
      </c>
      <c r="V758" s="558">
        <f t="shared" si="85"/>
        <v>0</v>
      </c>
      <c r="W758" s="558">
        <f t="shared" si="84"/>
        <v>0</v>
      </c>
      <c r="X758" s="558">
        <f t="shared" si="87"/>
        <v>0</v>
      </c>
      <c r="Y758" s="558">
        <f t="shared" si="86"/>
        <v>0</v>
      </c>
    </row>
    <row r="759" spans="18:25" x14ac:dyDescent="0.2">
      <c r="R759" s="558">
        <v>758</v>
      </c>
      <c r="S759" s="558">
        <f t="shared" si="81"/>
        <v>-672</v>
      </c>
      <c r="T759" s="558">
        <f t="shared" si="82"/>
        <v>-661</v>
      </c>
      <c r="U759" s="558">
        <f t="shared" si="83"/>
        <v>725</v>
      </c>
      <c r="V759" s="558">
        <f t="shared" si="85"/>
        <v>0</v>
      </c>
      <c r="W759" s="558">
        <f t="shared" si="84"/>
        <v>0</v>
      </c>
      <c r="X759" s="558">
        <f t="shared" si="87"/>
        <v>0</v>
      </c>
      <c r="Y759" s="558">
        <f t="shared" si="86"/>
        <v>0</v>
      </c>
    </row>
    <row r="760" spans="18:25" x14ac:dyDescent="0.2">
      <c r="R760" s="558">
        <v>759</v>
      </c>
      <c r="S760" s="558">
        <f t="shared" si="81"/>
        <v>-673</v>
      </c>
      <c r="T760" s="558">
        <f t="shared" si="82"/>
        <v>-662</v>
      </c>
      <c r="U760" s="558">
        <f t="shared" si="83"/>
        <v>726</v>
      </c>
      <c r="V760" s="558">
        <f t="shared" si="85"/>
        <v>0</v>
      </c>
      <c r="W760" s="558">
        <f t="shared" si="84"/>
        <v>0</v>
      </c>
      <c r="X760" s="558">
        <f t="shared" si="87"/>
        <v>0</v>
      </c>
      <c r="Y760" s="558">
        <f t="shared" si="86"/>
        <v>0</v>
      </c>
    </row>
    <row r="761" spans="18:25" x14ac:dyDescent="0.2">
      <c r="R761" s="558">
        <v>760</v>
      </c>
      <c r="S761" s="558">
        <f t="shared" si="81"/>
        <v>-674</v>
      </c>
      <c r="T761" s="558">
        <f t="shared" si="82"/>
        <v>-663</v>
      </c>
      <c r="U761" s="558">
        <f t="shared" si="83"/>
        <v>727</v>
      </c>
      <c r="V761" s="558">
        <f t="shared" si="85"/>
        <v>0</v>
      </c>
      <c r="W761" s="558">
        <f t="shared" si="84"/>
        <v>0</v>
      </c>
      <c r="X761" s="558">
        <f t="shared" si="87"/>
        <v>0</v>
      </c>
      <c r="Y761" s="558">
        <f t="shared" si="86"/>
        <v>0</v>
      </c>
    </row>
    <row r="762" spans="18:25" x14ac:dyDescent="0.2">
      <c r="R762" s="558">
        <v>761</v>
      </c>
      <c r="S762" s="558">
        <f t="shared" si="81"/>
        <v>-675</v>
      </c>
      <c r="T762" s="558">
        <f t="shared" si="82"/>
        <v>-664</v>
      </c>
      <c r="U762" s="558">
        <f t="shared" si="83"/>
        <v>728</v>
      </c>
      <c r="V762" s="558">
        <f t="shared" si="85"/>
        <v>0</v>
      </c>
      <c r="W762" s="558">
        <f t="shared" si="84"/>
        <v>0</v>
      </c>
      <c r="X762" s="558">
        <f t="shared" si="87"/>
        <v>0</v>
      </c>
      <c r="Y762" s="558">
        <f t="shared" si="86"/>
        <v>0</v>
      </c>
    </row>
    <row r="763" spans="18:25" x14ac:dyDescent="0.2">
      <c r="R763" s="558">
        <v>762</v>
      </c>
      <c r="S763" s="558">
        <f t="shared" si="81"/>
        <v>-676</v>
      </c>
      <c r="T763" s="558">
        <f t="shared" si="82"/>
        <v>-665</v>
      </c>
      <c r="U763" s="558">
        <f t="shared" si="83"/>
        <v>729</v>
      </c>
      <c r="V763" s="558">
        <f t="shared" si="85"/>
        <v>0</v>
      </c>
      <c r="W763" s="558">
        <f t="shared" si="84"/>
        <v>0</v>
      </c>
      <c r="X763" s="558">
        <f t="shared" si="87"/>
        <v>0</v>
      </c>
      <c r="Y763" s="558">
        <f t="shared" si="86"/>
        <v>0</v>
      </c>
    </row>
    <row r="764" spans="18:25" x14ac:dyDescent="0.2">
      <c r="R764" s="558">
        <v>763</v>
      </c>
      <c r="S764" s="558">
        <f t="shared" si="81"/>
        <v>-677</v>
      </c>
      <c r="T764" s="558">
        <f t="shared" si="82"/>
        <v>-666</v>
      </c>
      <c r="U764" s="558">
        <f t="shared" si="83"/>
        <v>730</v>
      </c>
      <c r="V764" s="558">
        <f t="shared" si="85"/>
        <v>0</v>
      </c>
      <c r="W764" s="558">
        <f t="shared" si="84"/>
        <v>0</v>
      </c>
      <c r="X764" s="558">
        <f t="shared" si="87"/>
        <v>0</v>
      </c>
      <c r="Y764" s="558">
        <f t="shared" si="86"/>
        <v>0</v>
      </c>
    </row>
    <row r="765" spans="18:25" x14ac:dyDescent="0.2">
      <c r="R765" s="558">
        <v>764</v>
      </c>
      <c r="S765" s="558">
        <f t="shared" si="81"/>
        <v>-678</v>
      </c>
      <c r="T765" s="558">
        <f t="shared" si="82"/>
        <v>-667</v>
      </c>
      <c r="U765" s="558">
        <f t="shared" si="83"/>
        <v>731</v>
      </c>
      <c r="V765" s="558">
        <f t="shared" si="85"/>
        <v>0</v>
      </c>
      <c r="W765" s="558">
        <f t="shared" si="84"/>
        <v>0</v>
      </c>
      <c r="X765" s="558">
        <f t="shared" si="87"/>
        <v>0</v>
      </c>
      <c r="Y765" s="558">
        <f t="shared" si="86"/>
        <v>0</v>
      </c>
    </row>
    <row r="766" spans="18:25" x14ac:dyDescent="0.2">
      <c r="R766" s="558">
        <v>765</v>
      </c>
      <c r="S766" s="558">
        <f t="shared" si="81"/>
        <v>-679</v>
      </c>
      <c r="T766" s="558">
        <f t="shared" si="82"/>
        <v>-668</v>
      </c>
      <c r="U766" s="558">
        <f t="shared" si="83"/>
        <v>732</v>
      </c>
      <c r="V766" s="558">
        <f t="shared" si="85"/>
        <v>0</v>
      </c>
      <c r="W766" s="558">
        <f t="shared" si="84"/>
        <v>0</v>
      </c>
      <c r="X766" s="558">
        <f t="shared" si="87"/>
        <v>0</v>
      </c>
      <c r="Y766" s="558">
        <f t="shared" si="86"/>
        <v>0</v>
      </c>
    </row>
    <row r="767" spans="18:25" x14ac:dyDescent="0.2">
      <c r="R767" s="558">
        <v>766</v>
      </c>
      <c r="S767" s="558">
        <f t="shared" si="81"/>
        <v>-680</v>
      </c>
      <c r="T767" s="558">
        <f t="shared" si="82"/>
        <v>-669</v>
      </c>
      <c r="U767" s="558">
        <f t="shared" si="83"/>
        <v>733</v>
      </c>
      <c r="V767" s="558">
        <f t="shared" si="85"/>
        <v>0</v>
      </c>
      <c r="W767" s="558">
        <f t="shared" si="84"/>
        <v>0</v>
      </c>
      <c r="X767" s="558">
        <f t="shared" si="87"/>
        <v>0</v>
      </c>
      <c r="Y767" s="558">
        <f t="shared" si="86"/>
        <v>0</v>
      </c>
    </row>
    <row r="768" spans="18:25" x14ac:dyDescent="0.2">
      <c r="R768" s="558">
        <v>767</v>
      </c>
      <c r="S768" s="558">
        <f t="shared" si="81"/>
        <v>-681</v>
      </c>
      <c r="T768" s="558">
        <f t="shared" si="82"/>
        <v>-670</v>
      </c>
      <c r="U768" s="558">
        <f t="shared" si="83"/>
        <v>734</v>
      </c>
      <c r="V768" s="558">
        <f t="shared" si="85"/>
        <v>0</v>
      </c>
      <c r="W768" s="558">
        <f t="shared" si="84"/>
        <v>0</v>
      </c>
      <c r="X768" s="558">
        <f t="shared" si="87"/>
        <v>0</v>
      </c>
      <c r="Y768" s="558">
        <f t="shared" si="86"/>
        <v>0</v>
      </c>
    </row>
    <row r="769" spans="18:25" x14ac:dyDescent="0.2">
      <c r="R769" s="558">
        <v>768</v>
      </c>
      <c r="S769" s="558">
        <f t="shared" ref="S769:S832" si="88">$D$7-R769</f>
        <v>-682</v>
      </c>
      <c r="T769" s="558">
        <f t="shared" ref="T769:T832" si="89">$B$9-R769</f>
        <v>-671</v>
      </c>
      <c r="U769" s="558">
        <f t="shared" ref="U769:U832" si="90">$D$9-SUM(R769:T769)</f>
        <v>735</v>
      </c>
      <c r="V769" s="558">
        <f t="shared" si="85"/>
        <v>0</v>
      </c>
      <c r="W769" s="558">
        <f t="shared" ref="W769:W832" si="91">_xlfn.HYPGEOM.DIST(R769,R769+T769,R769+S769,SUM(R769:U769),0)</f>
        <v>0</v>
      </c>
      <c r="X769" s="558">
        <f t="shared" si="87"/>
        <v>0</v>
      </c>
      <c r="Y769" s="558">
        <f t="shared" si="86"/>
        <v>0</v>
      </c>
    </row>
    <row r="770" spans="18:25" x14ac:dyDescent="0.2">
      <c r="R770" s="558">
        <v>769</v>
      </c>
      <c r="S770" s="558">
        <f t="shared" si="88"/>
        <v>-683</v>
      </c>
      <c r="T770" s="558">
        <f t="shared" si="89"/>
        <v>-672</v>
      </c>
      <c r="U770" s="558">
        <f t="shared" si="90"/>
        <v>736</v>
      </c>
      <c r="V770" s="558">
        <f t="shared" ref="V770:V833" si="92">IF(S770&gt;=0,IF(T770&gt;=0,IF(U770&gt;=0,1,0),0),0)</f>
        <v>0</v>
      </c>
      <c r="W770" s="558">
        <f t="shared" si="91"/>
        <v>0</v>
      </c>
      <c r="X770" s="558">
        <f t="shared" si="87"/>
        <v>0</v>
      </c>
      <c r="Y770" s="558">
        <f t="shared" ref="Y770:Y833" si="93">IF(W770&lt;=SUM($X$1:$X$1101),W770,0)</f>
        <v>0</v>
      </c>
    </row>
    <row r="771" spans="18:25" x14ac:dyDescent="0.2">
      <c r="R771" s="558">
        <v>770</v>
      </c>
      <c r="S771" s="558">
        <f t="shared" si="88"/>
        <v>-684</v>
      </c>
      <c r="T771" s="558">
        <f t="shared" si="89"/>
        <v>-673</v>
      </c>
      <c r="U771" s="558">
        <f t="shared" si="90"/>
        <v>737</v>
      </c>
      <c r="V771" s="558">
        <f t="shared" si="92"/>
        <v>0</v>
      </c>
      <c r="W771" s="558">
        <f t="shared" si="91"/>
        <v>0</v>
      </c>
      <c r="X771" s="558">
        <f t="shared" si="87"/>
        <v>0</v>
      </c>
      <c r="Y771" s="558">
        <f t="shared" si="93"/>
        <v>0</v>
      </c>
    </row>
    <row r="772" spans="18:25" x14ac:dyDescent="0.2">
      <c r="R772" s="558">
        <v>771</v>
      </c>
      <c r="S772" s="558">
        <f t="shared" si="88"/>
        <v>-685</v>
      </c>
      <c r="T772" s="558">
        <f t="shared" si="89"/>
        <v>-674</v>
      </c>
      <c r="U772" s="558">
        <f t="shared" si="90"/>
        <v>738</v>
      </c>
      <c r="V772" s="558">
        <f t="shared" si="92"/>
        <v>0</v>
      </c>
      <c r="W772" s="558">
        <f t="shared" si="91"/>
        <v>0</v>
      </c>
      <c r="X772" s="558">
        <f t="shared" si="87"/>
        <v>0</v>
      </c>
      <c r="Y772" s="558">
        <f t="shared" si="93"/>
        <v>0</v>
      </c>
    </row>
    <row r="773" spans="18:25" x14ac:dyDescent="0.2">
      <c r="R773" s="558">
        <v>772</v>
      </c>
      <c r="S773" s="558">
        <f t="shared" si="88"/>
        <v>-686</v>
      </c>
      <c r="T773" s="558">
        <f t="shared" si="89"/>
        <v>-675</v>
      </c>
      <c r="U773" s="558">
        <f t="shared" si="90"/>
        <v>739</v>
      </c>
      <c r="V773" s="558">
        <f t="shared" si="92"/>
        <v>0</v>
      </c>
      <c r="W773" s="558">
        <f t="shared" si="91"/>
        <v>0</v>
      </c>
      <c r="X773" s="558">
        <f t="shared" si="87"/>
        <v>0</v>
      </c>
      <c r="Y773" s="558">
        <f t="shared" si="93"/>
        <v>0</v>
      </c>
    </row>
    <row r="774" spans="18:25" x14ac:dyDescent="0.2">
      <c r="R774" s="558">
        <v>773</v>
      </c>
      <c r="S774" s="558">
        <f t="shared" si="88"/>
        <v>-687</v>
      </c>
      <c r="T774" s="558">
        <f t="shared" si="89"/>
        <v>-676</v>
      </c>
      <c r="U774" s="558">
        <f t="shared" si="90"/>
        <v>740</v>
      </c>
      <c r="V774" s="558">
        <f t="shared" si="92"/>
        <v>0</v>
      </c>
      <c r="W774" s="558">
        <f t="shared" si="91"/>
        <v>0</v>
      </c>
      <c r="X774" s="558">
        <f t="shared" si="87"/>
        <v>0</v>
      </c>
      <c r="Y774" s="558">
        <f t="shared" si="93"/>
        <v>0</v>
      </c>
    </row>
    <row r="775" spans="18:25" x14ac:dyDescent="0.2">
      <c r="R775" s="558">
        <v>774</v>
      </c>
      <c r="S775" s="558">
        <f t="shared" si="88"/>
        <v>-688</v>
      </c>
      <c r="T775" s="558">
        <f t="shared" si="89"/>
        <v>-677</v>
      </c>
      <c r="U775" s="558">
        <f t="shared" si="90"/>
        <v>741</v>
      </c>
      <c r="V775" s="558">
        <f t="shared" si="92"/>
        <v>0</v>
      </c>
      <c r="W775" s="558">
        <f t="shared" si="91"/>
        <v>0</v>
      </c>
      <c r="X775" s="558">
        <f t="shared" si="87"/>
        <v>0</v>
      </c>
      <c r="Y775" s="558">
        <f t="shared" si="93"/>
        <v>0</v>
      </c>
    </row>
    <row r="776" spans="18:25" x14ac:dyDescent="0.2">
      <c r="R776" s="558">
        <v>775</v>
      </c>
      <c r="S776" s="558">
        <f t="shared" si="88"/>
        <v>-689</v>
      </c>
      <c r="T776" s="558">
        <f t="shared" si="89"/>
        <v>-678</v>
      </c>
      <c r="U776" s="558">
        <f t="shared" si="90"/>
        <v>742</v>
      </c>
      <c r="V776" s="558">
        <f t="shared" si="92"/>
        <v>0</v>
      </c>
      <c r="W776" s="558">
        <f t="shared" si="91"/>
        <v>0</v>
      </c>
      <c r="X776" s="558">
        <f t="shared" si="87"/>
        <v>0</v>
      </c>
      <c r="Y776" s="558">
        <f t="shared" si="93"/>
        <v>0</v>
      </c>
    </row>
    <row r="777" spans="18:25" x14ac:dyDescent="0.2">
      <c r="R777" s="558">
        <v>776</v>
      </c>
      <c r="S777" s="558">
        <f t="shared" si="88"/>
        <v>-690</v>
      </c>
      <c r="T777" s="558">
        <f t="shared" si="89"/>
        <v>-679</v>
      </c>
      <c r="U777" s="558">
        <f t="shared" si="90"/>
        <v>743</v>
      </c>
      <c r="V777" s="558">
        <f t="shared" si="92"/>
        <v>0</v>
      </c>
      <c r="W777" s="558">
        <f t="shared" si="91"/>
        <v>0</v>
      </c>
      <c r="X777" s="558">
        <f t="shared" si="87"/>
        <v>0</v>
      </c>
      <c r="Y777" s="558">
        <f t="shared" si="93"/>
        <v>0</v>
      </c>
    </row>
    <row r="778" spans="18:25" x14ac:dyDescent="0.2">
      <c r="R778" s="558">
        <v>777</v>
      </c>
      <c r="S778" s="558">
        <f t="shared" si="88"/>
        <v>-691</v>
      </c>
      <c r="T778" s="558">
        <f t="shared" si="89"/>
        <v>-680</v>
      </c>
      <c r="U778" s="558">
        <f t="shared" si="90"/>
        <v>744</v>
      </c>
      <c r="V778" s="558">
        <f t="shared" si="92"/>
        <v>0</v>
      </c>
      <c r="W778" s="558">
        <f t="shared" si="91"/>
        <v>0</v>
      </c>
      <c r="X778" s="558">
        <f t="shared" si="87"/>
        <v>0</v>
      </c>
      <c r="Y778" s="558">
        <f t="shared" si="93"/>
        <v>0</v>
      </c>
    </row>
    <row r="779" spans="18:25" x14ac:dyDescent="0.2">
      <c r="R779" s="558">
        <v>778</v>
      </c>
      <c r="S779" s="558">
        <f t="shared" si="88"/>
        <v>-692</v>
      </c>
      <c r="T779" s="558">
        <f t="shared" si="89"/>
        <v>-681</v>
      </c>
      <c r="U779" s="558">
        <f t="shared" si="90"/>
        <v>745</v>
      </c>
      <c r="V779" s="558">
        <f t="shared" si="92"/>
        <v>0</v>
      </c>
      <c r="W779" s="558">
        <f t="shared" si="91"/>
        <v>0</v>
      </c>
      <c r="X779" s="558">
        <f t="shared" si="87"/>
        <v>0</v>
      </c>
      <c r="Y779" s="558">
        <f t="shared" si="93"/>
        <v>0</v>
      </c>
    </row>
    <row r="780" spans="18:25" x14ac:dyDescent="0.2">
      <c r="R780" s="558">
        <v>779</v>
      </c>
      <c r="S780" s="558">
        <f t="shared" si="88"/>
        <v>-693</v>
      </c>
      <c r="T780" s="558">
        <f t="shared" si="89"/>
        <v>-682</v>
      </c>
      <c r="U780" s="558">
        <f t="shared" si="90"/>
        <v>746</v>
      </c>
      <c r="V780" s="558">
        <f t="shared" si="92"/>
        <v>0</v>
      </c>
      <c r="W780" s="558">
        <f t="shared" si="91"/>
        <v>0</v>
      </c>
      <c r="X780" s="558">
        <f t="shared" si="87"/>
        <v>0</v>
      </c>
      <c r="Y780" s="558">
        <f t="shared" si="93"/>
        <v>0</v>
      </c>
    </row>
    <row r="781" spans="18:25" x14ac:dyDescent="0.2">
      <c r="R781" s="558">
        <v>780</v>
      </c>
      <c r="S781" s="558">
        <f t="shared" si="88"/>
        <v>-694</v>
      </c>
      <c r="T781" s="558">
        <f t="shared" si="89"/>
        <v>-683</v>
      </c>
      <c r="U781" s="558">
        <f t="shared" si="90"/>
        <v>747</v>
      </c>
      <c r="V781" s="558">
        <f t="shared" si="92"/>
        <v>0</v>
      </c>
      <c r="W781" s="558">
        <f t="shared" si="91"/>
        <v>0</v>
      </c>
      <c r="X781" s="558">
        <f t="shared" si="87"/>
        <v>0</v>
      </c>
      <c r="Y781" s="558">
        <f t="shared" si="93"/>
        <v>0</v>
      </c>
    </row>
    <row r="782" spans="18:25" x14ac:dyDescent="0.2">
      <c r="R782" s="558">
        <v>781</v>
      </c>
      <c r="S782" s="558">
        <f t="shared" si="88"/>
        <v>-695</v>
      </c>
      <c r="T782" s="558">
        <f t="shared" si="89"/>
        <v>-684</v>
      </c>
      <c r="U782" s="558">
        <f t="shared" si="90"/>
        <v>748</v>
      </c>
      <c r="V782" s="558">
        <f t="shared" si="92"/>
        <v>0</v>
      </c>
      <c r="W782" s="558">
        <f t="shared" si="91"/>
        <v>0</v>
      </c>
      <c r="X782" s="558">
        <f t="shared" si="87"/>
        <v>0</v>
      </c>
      <c r="Y782" s="558">
        <f t="shared" si="93"/>
        <v>0</v>
      </c>
    </row>
    <row r="783" spans="18:25" x14ac:dyDescent="0.2">
      <c r="R783" s="558">
        <v>782</v>
      </c>
      <c r="S783" s="558">
        <f t="shared" si="88"/>
        <v>-696</v>
      </c>
      <c r="T783" s="558">
        <f t="shared" si="89"/>
        <v>-685</v>
      </c>
      <c r="U783" s="558">
        <f t="shared" si="90"/>
        <v>749</v>
      </c>
      <c r="V783" s="558">
        <f t="shared" si="92"/>
        <v>0</v>
      </c>
      <c r="W783" s="558">
        <f t="shared" si="91"/>
        <v>0</v>
      </c>
      <c r="X783" s="558">
        <f t="shared" si="87"/>
        <v>0</v>
      </c>
      <c r="Y783" s="558">
        <f t="shared" si="93"/>
        <v>0</v>
      </c>
    </row>
    <row r="784" spans="18:25" x14ac:dyDescent="0.2">
      <c r="R784" s="558">
        <v>783</v>
      </c>
      <c r="S784" s="558">
        <f t="shared" si="88"/>
        <v>-697</v>
      </c>
      <c r="T784" s="558">
        <f t="shared" si="89"/>
        <v>-686</v>
      </c>
      <c r="U784" s="558">
        <f t="shared" si="90"/>
        <v>750</v>
      </c>
      <c r="V784" s="558">
        <f t="shared" si="92"/>
        <v>0</v>
      </c>
      <c r="W784" s="558">
        <f t="shared" si="91"/>
        <v>0</v>
      </c>
      <c r="X784" s="558">
        <f t="shared" si="87"/>
        <v>0</v>
      </c>
      <c r="Y784" s="558">
        <f t="shared" si="93"/>
        <v>0</v>
      </c>
    </row>
    <row r="785" spans="18:25" x14ac:dyDescent="0.2">
      <c r="R785" s="558">
        <v>784</v>
      </c>
      <c r="S785" s="558">
        <f t="shared" si="88"/>
        <v>-698</v>
      </c>
      <c r="T785" s="558">
        <f t="shared" si="89"/>
        <v>-687</v>
      </c>
      <c r="U785" s="558">
        <f t="shared" si="90"/>
        <v>751</v>
      </c>
      <c r="V785" s="558">
        <f t="shared" si="92"/>
        <v>0</v>
      </c>
      <c r="W785" s="558">
        <f t="shared" si="91"/>
        <v>0</v>
      </c>
      <c r="X785" s="558">
        <f t="shared" si="87"/>
        <v>0</v>
      </c>
      <c r="Y785" s="558">
        <f t="shared" si="93"/>
        <v>0</v>
      </c>
    </row>
    <row r="786" spans="18:25" x14ac:dyDescent="0.2">
      <c r="R786" s="558">
        <v>785</v>
      </c>
      <c r="S786" s="558">
        <f t="shared" si="88"/>
        <v>-699</v>
      </c>
      <c r="T786" s="558">
        <f t="shared" si="89"/>
        <v>-688</v>
      </c>
      <c r="U786" s="558">
        <f t="shared" si="90"/>
        <v>752</v>
      </c>
      <c r="V786" s="558">
        <f t="shared" si="92"/>
        <v>0</v>
      </c>
      <c r="W786" s="558">
        <f t="shared" si="91"/>
        <v>0</v>
      </c>
      <c r="X786" s="558">
        <f t="shared" si="87"/>
        <v>0</v>
      </c>
      <c r="Y786" s="558">
        <f t="shared" si="93"/>
        <v>0</v>
      </c>
    </row>
    <row r="787" spans="18:25" x14ac:dyDescent="0.2">
      <c r="R787" s="558">
        <v>786</v>
      </c>
      <c r="S787" s="558">
        <f t="shared" si="88"/>
        <v>-700</v>
      </c>
      <c r="T787" s="558">
        <f t="shared" si="89"/>
        <v>-689</v>
      </c>
      <c r="U787" s="558">
        <f t="shared" si="90"/>
        <v>753</v>
      </c>
      <c r="V787" s="558">
        <f t="shared" si="92"/>
        <v>0</v>
      </c>
      <c r="W787" s="558">
        <f t="shared" si="91"/>
        <v>0</v>
      </c>
      <c r="X787" s="558">
        <f t="shared" si="87"/>
        <v>0</v>
      </c>
      <c r="Y787" s="558">
        <f t="shared" si="93"/>
        <v>0</v>
      </c>
    </row>
    <row r="788" spans="18:25" x14ac:dyDescent="0.2">
      <c r="R788" s="558">
        <v>787</v>
      </c>
      <c r="S788" s="558">
        <f t="shared" si="88"/>
        <v>-701</v>
      </c>
      <c r="T788" s="558">
        <f t="shared" si="89"/>
        <v>-690</v>
      </c>
      <c r="U788" s="558">
        <f t="shared" si="90"/>
        <v>754</v>
      </c>
      <c r="V788" s="558">
        <f t="shared" si="92"/>
        <v>0</v>
      </c>
      <c r="W788" s="558">
        <f t="shared" si="91"/>
        <v>0</v>
      </c>
      <c r="X788" s="558">
        <f t="shared" si="87"/>
        <v>0</v>
      </c>
      <c r="Y788" s="558">
        <f t="shared" si="93"/>
        <v>0</v>
      </c>
    </row>
    <row r="789" spans="18:25" x14ac:dyDescent="0.2">
      <c r="R789" s="558">
        <v>788</v>
      </c>
      <c r="S789" s="558">
        <f t="shared" si="88"/>
        <v>-702</v>
      </c>
      <c r="T789" s="558">
        <f t="shared" si="89"/>
        <v>-691</v>
      </c>
      <c r="U789" s="558">
        <f t="shared" si="90"/>
        <v>755</v>
      </c>
      <c r="V789" s="558">
        <f t="shared" si="92"/>
        <v>0</v>
      </c>
      <c r="W789" s="558">
        <f t="shared" si="91"/>
        <v>0</v>
      </c>
      <c r="X789" s="558">
        <f t="shared" si="87"/>
        <v>0</v>
      </c>
      <c r="Y789" s="558">
        <f t="shared" si="93"/>
        <v>0</v>
      </c>
    </row>
    <row r="790" spans="18:25" x14ac:dyDescent="0.2">
      <c r="R790" s="558">
        <v>789</v>
      </c>
      <c r="S790" s="558">
        <f t="shared" si="88"/>
        <v>-703</v>
      </c>
      <c r="T790" s="558">
        <f t="shared" si="89"/>
        <v>-692</v>
      </c>
      <c r="U790" s="558">
        <f t="shared" si="90"/>
        <v>756</v>
      </c>
      <c r="V790" s="558">
        <f t="shared" si="92"/>
        <v>0</v>
      </c>
      <c r="W790" s="558">
        <f t="shared" si="91"/>
        <v>0</v>
      </c>
      <c r="X790" s="558">
        <f t="shared" si="87"/>
        <v>0</v>
      </c>
      <c r="Y790" s="558">
        <f t="shared" si="93"/>
        <v>0</v>
      </c>
    </row>
    <row r="791" spans="18:25" x14ac:dyDescent="0.2">
      <c r="R791" s="558">
        <v>790</v>
      </c>
      <c r="S791" s="558">
        <f t="shared" si="88"/>
        <v>-704</v>
      </c>
      <c r="T791" s="558">
        <f t="shared" si="89"/>
        <v>-693</v>
      </c>
      <c r="U791" s="558">
        <f t="shared" si="90"/>
        <v>757</v>
      </c>
      <c r="V791" s="558">
        <f t="shared" si="92"/>
        <v>0</v>
      </c>
      <c r="W791" s="558">
        <f t="shared" si="91"/>
        <v>0</v>
      </c>
      <c r="X791" s="558">
        <f t="shared" si="87"/>
        <v>0</v>
      </c>
      <c r="Y791" s="558">
        <f t="shared" si="93"/>
        <v>0</v>
      </c>
    </row>
    <row r="792" spans="18:25" x14ac:dyDescent="0.2">
      <c r="R792" s="558">
        <v>791</v>
      </c>
      <c r="S792" s="558">
        <f t="shared" si="88"/>
        <v>-705</v>
      </c>
      <c r="T792" s="558">
        <f t="shared" si="89"/>
        <v>-694</v>
      </c>
      <c r="U792" s="558">
        <f t="shared" si="90"/>
        <v>758</v>
      </c>
      <c r="V792" s="558">
        <f t="shared" si="92"/>
        <v>0</v>
      </c>
      <c r="W792" s="558">
        <f t="shared" si="91"/>
        <v>0</v>
      </c>
      <c r="X792" s="558">
        <f t="shared" si="87"/>
        <v>0</v>
      </c>
      <c r="Y792" s="558">
        <f t="shared" si="93"/>
        <v>0</v>
      </c>
    </row>
    <row r="793" spans="18:25" x14ac:dyDescent="0.2">
      <c r="R793" s="558">
        <v>792</v>
      </c>
      <c r="S793" s="558">
        <f t="shared" si="88"/>
        <v>-706</v>
      </c>
      <c r="T793" s="558">
        <f t="shared" si="89"/>
        <v>-695</v>
      </c>
      <c r="U793" s="558">
        <f t="shared" si="90"/>
        <v>759</v>
      </c>
      <c r="V793" s="558">
        <f t="shared" si="92"/>
        <v>0</v>
      </c>
      <c r="W793" s="558">
        <f t="shared" si="91"/>
        <v>0</v>
      </c>
      <c r="X793" s="558">
        <f t="shared" si="87"/>
        <v>0</v>
      </c>
      <c r="Y793" s="558">
        <f t="shared" si="93"/>
        <v>0</v>
      </c>
    </row>
    <row r="794" spans="18:25" x14ac:dyDescent="0.2">
      <c r="R794" s="558">
        <v>793</v>
      </c>
      <c r="S794" s="558">
        <f t="shared" si="88"/>
        <v>-707</v>
      </c>
      <c r="T794" s="558">
        <f t="shared" si="89"/>
        <v>-696</v>
      </c>
      <c r="U794" s="558">
        <f t="shared" si="90"/>
        <v>760</v>
      </c>
      <c r="V794" s="558">
        <f t="shared" si="92"/>
        <v>0</v>
      </c>
      <c r="W794" s="558">
        <f t="shared" si="91"/>
        <v>0</v>
      </c>
      <c r="X794" s="558">
        <f t="shared" si="87"/>
        <v>0</v>
      </c>
      <c r="Y794" s="558">
        <f t="shared" si="93"/>
        <v>0</v>
      </c>
    </row>
    <row r="795" spans="18:25" x14ac:dyDescent="0.2">
      <c r="R795" s="558">
        <v>794</v>
      </c>
      <c r="S795" s="558">
        <f t="shared" si="88"/>
        <v>-708</v>
      </c>
      <c r="T795" s="558">
        <f t="shared" si="89"/>
        <v>-697</v>
      </c>
      <c r="U795" s="558">
        <f t="shared" si="90"/>
        <v>761</v>
      </c>
      <c r="V795" s="558">
        <f t="shared" si="92"/>
        <v>0</v>
      </c>
      <c r="W795" s="558">
        <f t="shared" si="91"/>
        <v>0</v>
      </c>
      <c r="X795" s="558">
        <f t="shared" si="87"/>
        <v>0</v>
      </c>
      <c r="Y795" s="558">
        <f t="shared" si="93"/>
        <v>0</v>
      </c>
    </row>
    <row r="796" spans="18:25" x14ac:dyDescent="0.2">
      <c r="R796" s="558">
        <v>795</v>
      </c>
      <c r="S796" s="558">
        <f t="shared" si="88"/>
        <v>-709</v>
      </c>
      <c r="T796" s="558">
        <f t="shared" si="89"/>
        <v>-698</v>
      </c>
      <c r="U796" s="558">
        <f t="shared" si="90"/>
        <v>762</v>
      </c>
      <c r="V796" s="558">
        <f t="shared" si="92"/>
        <v>0</v>
      </c>
      <c r="W796" s="558">
        <f t="shared" si="91"/>
        <v>0</v>
      </c>
      <c r="X796" s="558">
        <f t="shared" si="87"/>
        <v>0</v>
      </c>
      <c r="Y796" s="558">
        <f t="shared" si="93"/>
        <v>0</v>
      </c>
    </row>
    <row r="797" spans="18:25" x14ac:dyDescent="0.2">
      <c r="R797" s="558">
        <v>796</v>
      </c>
      <c r="S797" s="558">
        <f t="shared" si="88"/>
        <v>-710</v>
      </c>
      <c r="T797" s="558">
        <f t="shared" si="89"/>
        <v>-699</v>
      </c>
      <c r="U797" s="558">
        <f t="shared" si="90"/>
        <v>763</v>
      </c>
      <c r="V797" s="558">
        <f t="shared" si="92"/>
        <v>0</v>
      </c>
      <c r="W797" s="558">
        <f t="shared" si="91"/>
        <v>0</v>
      </c>
      <c r="X797" s="558">
        <f t="shared" si="87"/>
        <v>0</v>
      </c>
      <c r="Y797" s="558">
        <f t="shared" si="93"/>
        <v>0</v>
      </c>
    </row>
    <row r="798" spans="18:25" x14ac:dyDescent="0.2">
      <c r="R798" s="558">
        <v>797</v>
      </c>
      <c r="S798" s="558">
        <f t="shared" si="88"/>
        <v>-711</v>
      </c>
      <c r="T798" s="558">
        <f t="shared" si="89"/>
        <v>-700</v>
      </c>
      <c r="U798" s="558">
        <f t="shared" si="90"/>
        <v>764</v>
      </c>
      <c r="V798" s="558">
        <f t="shared" si="92"/>
        <v>0</v>
      </c>
      <c r="W798" s="558">
        <f t="shared" si="91"/>
        <v>0</v>
      </c>
      <c r="X798" s="558">
        <f t="shared" si="87"/>
        <v>0</v>
      </c>
      <c r="Y798" s="558">
        <f t="shared" si="93"/>
        <v>0</v>
      </c>
    </row>
    <row r="799" spans="18:25" x14ac:dyDescent="0.2">
      <c r="R799" s="558">
        <v>798</v>
      </c>
      <c r="S799" s="558">
        <f t="shared" si="88"/>
        <v>-712</v>
      </c>
      <c r="T799" s="558">
        <f t="shared" si="89"/>
        <v>-701</v>
      </c>
      <c r="U799" s="558">
        <f t="shared" si="90"/>
        <v>765</v>
      </c>
      <c r="V799" s="558">
        <f t="shared" si="92"/>
        <v>0</v>
      </c>
      <c r="W799" s="558">
        <f t="shared" si="91"/>
        <v>0</v>
      </c>
      <c r="X799" s="558">
        <f t="shared" si="87"/>
        <v>0</v>
      </c>
      <c r="Y799" s="558">
        <f t="shared" si="93"/>
        <v>0</v>
      </c>
    </row>
    <row r="800" spans="18:25" x14ac:dyDescent="0.2">
      <c r="R800" s="558">
        <v>799</v>
      </c>
      <c r="S800" s="558">
        <f t="shared" si="88"/>
        <v>-713</v>
      </c>
      <c r="T800" s="558">
        <f t="shared" si="89"/>
        <v>-702</v>
      </c>
      <c r="U800" s="558">
        <f t="shared" si="90"/>
        <v>766</v>
      </c>
      <c r="V800" s="558">
        <f t="shared" si="92"/>
        <v>0</v>
      </c>
      <c r="W800" s="558">
        <f t="shared" si="91"/>
        <v>0</v>
      </c>
      <c r="X800" s="558">
        <f t="shared" si="87"/>
        <v>0</v>
      </c>
      <c r="Y800" s="558">
        <f t="shared" si="93"/>
        <v>0</v>
      </c>
    </row>
    <row r="801" spans="18:25" x14ac:dyDescent="0.2">
      <c r="R801" s="558">
        <v>800</v>
      </c>
      <c r="S801" s="558">
        <f t="shared" si="88"/>
        <v>-714</v>
      </c>
      <c r="T801" s="558">
        <f t="shared" si="89"/>
        <v>-703</v>
      </c>
      <c r="U801" s="558">
        <f t="shared" si="90"/>
        <v>767</v>
      </c>
      <c r="V801" s="558">
        <f t="shared" si="92"/>
        <v>0</v>
      </c>
      <c r="W801" s="558">
        <f t="shared" si="91"/>
        <v>0</v>
      </c>
      <c r="X801" s="558">
        <f t="shared" si="87"/>
        <v>0</v>
      </c>
      <c r="Y801" s="558">
        <f t="shared" si="93"/>
        <v>0</v>
      </c>
    </row>
    <row r="802" spans="18:25" x14ac:dyDescent="0.2">
      <c r="R802" s="558">
        <v>801</v>
      </c>
      <c r="S802" s="558">
        <f t="shared" si="88"/>
        <v>-715</v>
      </c>
      <c r="T802" s="558">
        <f t="shared" si="89"/>
        <v>-704</v>
      </c>
      <c r="U802" s="558">
        <f t="shared" si="90"/>
        <v>768</v>
      </c>
      <c r="V802" s="558">
        <f t="shared" si="92"/>
        <v>0</v>
      </c>
      <c r="W802" s="558">
        <f t="shared" si="91"/>
        <v>0</v>
      </c>
      <c r="X802" s="558">
        <f t="shared" si="87"/>
        <v>0</v>
      </c>
      <c r="Y802" s="558">
        <f t="shared" si="93"/>
        <v>0</v>
      </c>
    </row>
    <row r="803" spans="18:25" x14ac:dyDescent="0.2">
      <c r="R803" s="558">
        <v>802</v>
      </c>
      <c r="S803" s="558">
        <f t="shared" si="88"/>
        <v>-716</v>
      </c>
      <c r="T803" s="558">
        <f t="shared" si="89"/>
        <v>-705</v>
      </c>
      <c r="U803" s="558">
        <f t="shared" si="90"/>
        <v>769</v>
      </c>
      <c r="V803" s="558">
        <f t="shared" si="92"/>
        <v>0</v>
      </c>
      <c r="W803" s="558">
        <f t="shared" si="91"/>
        <v>0</v>
      </c>
      <c r="X803" s="558">
        <f t="shared" ref="X803:X866" si="94">IF(R803=$B$7,W803,0)</f>
        <v>0</v>
      </c>
      <c r="Y803" s="558">
        <f t="shared" si="93"/>
        <v>0</v>
      </c>
    </row>
    <row r="804" spans="18:25" x14ac:dyDescent="0.2">
      <c r="R804" s="558">
        <v>803</v>
      </c>
      <c r="S804" s="558">
        <f t="shared" si="88"/>
        <v>-717</v>
      </c>
      <c r="T804" s="558">
        <f t="shared" si="89"/>
        <v>-706</v>
      </c>
      <c r="U804" s="558">
        <f t="shared" si="90"/>
        <v>770</v>
      </c>
      <c r="V804" s="558">
        <f t="shared" si="92"/>
        <v>0</v>
      </c>
      <c r="W804" s="558">
        <f t="shared" si="91"/>
        <v>0</v>
      </c>
      <c r="X804" s="558">
        <f t="shared" si="94"/>
        <v>0</v>
      </c>
      <c r="Y804" s="558">
        <f t="shared" si="93"/>
        <v>0</v>
      </c>
    </row>
    <row r="805" spans="18:25" x14ac:dyDescent="0.2">
      <c r="R805" s="558">
        <v>804</v>
      </c>
      <c r="S805" s="558">
        <f t="shared" si="88"/>
        <v>-718</v>
      </c>
      <c r="T805" s="558">
        <f t="shared" si="89"/>
        <v>-707</v>
      </c>
      <c r="U805" s="558">
        <f t="shared" si="90"/>
        <v>771</v>
      </c>
      <c r="V805" s="558">
        <f t="shared" si="92"/>
        <v>0</v>
      </c>
      <c r="W805" s="558">
        <f t="shared" si="91"/>
        <v>0</v>
      </c>
      <c r="X805" s="558">
        <f t="shared" si="94"/>
        <v>0</v>
      </c>
      <c r="Y805" s="558">
        <f t="shared" si="93"/>
        <v>0</v>
      </c>
    </row>
    <row r="806" spans="18:25" x14ac:dyDescent="0.2">
      <c r="R806" s="558">
        <v>805</v>
      </c>
      <c r="S806" s="558">
        <f t="shared" si="88"/>
        <v>-719</v>
      </c>
      <c r="T806" s="558">
        <f t="shared" si="89"/>
        <v>-708</v>
      </c>
      <c r="U806" s="558">
        <f t="shared" si="90"/>
        <v>772</v>
      </c>
      <c r="V806" s="558">
        <f t="shared" si="92"/>
        <v>0</v>
      </c>
      <c r="W806" s="558">
        <f t="shared" si="91"/>
        <v>0</v>
      </c>
      <c r="X806" s="558">
        <f t="shared" si="94"/>
        <v>0</v>
      </c>
      <c r="Y806" s="558">
        <f t="shared" si="93"/>
        <v>0</v>
      </c>
    </row>
    <row r="807" spans="18:25" x14ac:dyDescent="0.2">
      <c r="R807" s="558">
        <v>806</v>
      </c>
      <c r="S807" s="558">
        <f t="shared" si="88"/>
        <v>-720</v>
      </c>
      <c r="T807" s="558">
        <f t="shared" si="89"/>
        <v>-709</v>
      </c>
      <c r="U807" s="558">
        <f t="shared" si="90"/>
        <v>773</v>
      </c>
      <c r="V807" s="558">
        <f t="shared" si="92"/>
        <v>0</v>
      </c>
      <c r="W807" s="558">
        <f t="shared" si="91"/>
        <v>0</v>
      </c>
      <c r="X807" s="558">
        <f t="shared" si="94"/>
        <v>0</v>
      </c>
      <c r="Y807" s="558">
        <f t="shared" si="93"/>
        <v>0</v>
      </c>
    </row>
    <row r="808" spans="18:25" x14ac:dyDescent="0.2">
      <c r="R808" s="558">
        <v>807</v>
      </c>
      <c r="S808" s="558">
        <f t="shared" si="88"/>
        <v>-721</v>
      </c>
      <c r="T808" s="558">
        <f t="shared" si="89"/>
        <v>-710</v>
      </c>
      <c r="U808" s="558">
        <f t="shared" si="90"/>
        <v>774</v>
      </c>
      <c r="V808" s="558">
        <f t="shared" si="92"/>
        <v>0</v>
      </c>
      <c r="W808" s="558">
        <f t="shared" si="91"/>
        <v>0</v>
      </c>
      <c r="X808" s="558">
        <f t="shared" si="94"/>
        <v>0</v>
      </c>
      <c r="Y808" s="558">
        <f t="shared" si="93"/>
        <v>0</v>
      </c>
    </row>
    <row r="809" spans="18:25" x14ac:dyDescent="0.2">
      <c r="R809" s="558">
        <v>808</v>
      </c>
      <c r="S809" s="558">
        <f t="shared" si="88"/>
        <v>-722</v>
      </c>
      <c r="T809" s="558">
        <f t="shared" si="89"/>
        <v>-711</v>
      </c>
      <c r="U809" s="558">
        <f t="shared" si="90"/>
        <v>775</v>
      </c>
      <c r="V809" s="558">
        <f t="shared" si="92"/>
        <v>0</v>
      </c>
      <c r="W809" s="558">
        <f t="shared" si="91"/>
        <v>0</v>
      </c>
      <c r="X809" s="558">
        <f t="shared" si="94"/>
        <v>0</v>
      </c>
      <c r="Y809" s="558">
        <f t="shared" si="93"/>
        <v>0</v>
      </c>
    </row>
    <row r="810" spans="18:25" x14ac:dyDescent="0.2">
      <c r="R810" s="558">
        <v>809</v>
      </c>
      <c r="S810" s="558">
        <f t="shared" si="88"/>
        <v>-723</v>
      </c>
      <c r="T810" s="558">
        <f t="shared" si="89"/>
        <v>-712</v>
      </c>
      <c r="U810" s="558">
        <f t="shared" si="90"/>
        <v>776</v>
      </c>
      <c r="V810" s="558">
        <f t="shared" si="92"/>
        <v>0</v>
      </c>
      <c r="W810" s="558">
        <f t="shared" si="91"/>
        <v>0</v>
      </c>
      <c r="X810" s="558">
        <f t="shared" si="94"/>
        <v>0</v>
      </c>
      <c r="Y810" s="558">
        <f t="shared" si="93"/>
        <v>0</v>
      </c>
    </row>
    <row r="811" spans="18:25" x14ac:dyDescent="0.2">
      <c r="R811" s="558">
        <v>810</v>
      </c>
      <c r="S811" s="558">
        <f t="shared" si="88"/>
        <v>-724</v>
      </c>
      <c r="T811" s="558">
        <f t="shared" si="89"/>
        <v>-713</v>
      </c>
      <c r="U811" s="558">
        <f t="shared" si="90"/>
        <v>777</v>
      </c>
      <c r="V811" s="558">
        <f t="shared" si="92"/>
        <v>0</v>
      </c>
      <c r="W811" s="558">
        <f t="shared" si="91"/>
        <v>0</v>
      </c>
      <c r="X811" s="558">
        <f t="shared" si="94"/>
        <v>0</v>
      </c>
      <c r="Y811" s="558">
        <f t="shared" si="93"/>
        <v>0</v>
      </c>
    </row>
    <row r="812" spans="18:25" x14ac:dyDescent="0.2">
      <c r="R812" s="558">
        <v>811</v>
      </c>
      <c r="S812" s="558">
        <f t="shared" si="88"/>
        <v>-725</v>
      </c>
      <c r="T812" s="558">
        <f t="shared" si="89"/>
        <v>-714</v>
      </c>
      <c r="U812" s="558">
        <f t="shared" si="90"/>
        <v>778</v>
      </c>
      <c r="V812" s="558">
        <f t="shared" si="92"/>
        <v>0</v>
      </c>
      <c r="W812" s="558">
        <f t="shared" si="91"/>
        <v>0</v>
      </c>
      <c r="X812" s="558">
        <f t="shared" si="94"/>
        <v>0</v>
      </c>
      <c r="Y812" s="558">
        <f t="shared" si="93"/>
        <v>0</v>
      </c>
    </row>
    <row r="813" spans="18:25" x14ac:dyDescent="0.2">
      <c r="R813" s="558">
        <v>812</v>
      </c>
      <c r="S813" s="558">
        <f t="shared" si="88"/>
        <v>-726</v>
      </c>
      <c r="T813" s="558">
        <f t="shared" si="89"/>
        <v>-715</v>
      </c>
      <c r="U813" s="558">
        <f t="shared" si="90"/>
        <v>779</v>
      </c>
      <c r="V813" s="558">
        <f t="shared" si="92"/>
        <v>0</v>
      </c>
      <c r="W813" s="558">
        <f t="shared" si="91"/>
        <v>0</v>
      </c>
      <c r="X813" s="558">
        <f t="shared" si="94"/>
        <v>0</v>
      </c>
      <c r="Y813" s="558">
        <f t="shared" si="93"/>
        <v>0</v>
      </c>
    </row>
    <row r="814" spans="18:25" x14ac:dyDescent="0.2">
      <c r="R814" s="558">
        <v>813</v>
      </c>
      <c r="S814" s="558">
        <f t="shared" si="88"/>
        <v>-727</v>
      </c>
      <c r="T814" s="558">
        <f t="shared" si="89"/>
        <v>-716</v>
      </c>
      <c r="U814" s="558">
        <f t="shared" si="90"/>
        <v>780</v>
      </c>
      <c r="V814" s="558">
        <f t="shared" si="92"/>
        <v>0</v>
      </c>
      <c r="W814" s="558">
        <f t="shared" si="91"/>
        <v>0</v>
      </c>
      <c r="X814" s="558">
        <f t="shared" si="94"/>
        <v>0</v>
      </c>
      <c r="Y814" s="558">
        <f t="shared" si="93"/>
        <v>0</v>
      </c>
    </row>
    <row r="815" spans="18:25" x14ac:dyDescent="0.2">
      <c r="R815" s="558">
        <v>814</v>
      </c>
      <c r="S815" s="558">
        <f t="shared" si="88"/>
        <v>-728</v>
      </c>
      <c r="T815" s="558">
        <f t="shared" si="89"/>
        <v>-717</v>
      </c>
      <c r="U815" s="558">
        <f t="shared" si="90"/>
        <v>781</v>
      </c>
      <c r="V815" s="558">
        <f t="shared" si="92"/>
        <v>0</v>
      </c>
      <c r="W815" s="558">
        <f t="shared" si="91"/>
        <v>0</v>
      </c>
      <c r="X815" s="558">
        <f t="shared" si="94"/>
        <v>0</v>
      </c>
      <c r="Y815" s="558">
        <f t="shared" si="93"/>
        <v>0</v>
      </c>
    </row>
    <row r="816" spans="18:25" x14ac:dyDescent="0.2">
      <c r="R816" s="558">
        <v>815</v>
      </c>
      <c r="S816" s="558">
        <f t="shared" si="88"/>
        <v>-729</v>
      </c>
      <c r="T816" s="558">
        <f t="shared" si="89"/>
        <v>-718</v>
      </c>
      <c r="U816" s="558">
        <f t="shared" si="90"/>
        <v>782</v>
      </c>
      <c r="V816" s="558">
        <f t="shared" si="92"/>
        <v>0</v>
      </c>
      <c r="W816" s="558">
        <f t="shared" si="91"/>
        <v>0</v>
      </c>
      <c r="X816" s="558">
        <f t="shared" si="94"/>
        <v>0</v>
      </c>
      <c r="Y816" s="558">
        <f t="shared" si="93"/>
        <v>0</v>
      </c>
    </row>
    <row r="817" spans="18:25" x14ac:dyDescent="0.2">
      <c r="R817" s="558">
        <v>816</v>
      </c>
      <c r="S817" s="558">
        <f t="shared" si="88"/>
        <v>-730</v>
      </c>
      <c r="T817" s="558">
        <f t="shared" si="89"/>
        <v>-719</v>
      </c>
      <c r="U817" s="558">
        <f t="shared" si="90"/>
        <v>783</v>
      </c>
      <c r="V817" s="558">
        <f t="shared" si="92"/>
        <v>0</v>
      </c>
      <c r="W817" s="558">
        <f t="shared" si="91"/>
        <v>0</v>
      </c>
      <c r="X817" s="558">
        <f t="shared" si="94"/>
        <v>0</v>
      </c>
      <c r="Y817" s="558">
        <f t="shared" si="93"/>
        <v>0</v>
      </c>
    </row>
    <row r="818" spans="18:25" x14ac:dyDescent="0.2">
      <c r="R818" s="558">
        <v>817</v>
      </c>
      <c r="S818" s="558">
        <f t="shared" si="88"/>
        <v>-731</v>
      </c>
      <c r="T818" s="558">
        <f t="shared" si="89"/>
        <v>-720</v>
      </c>
      <c r="U818" s="558">
        <f t="shared" si="90"/>
        <v>784</v>
      </c>
      <c r="V818" s="558">
        <f t="shared" si="92"/>
        <v>0</v>
      </c>
      <c r="W818" s="558">
        <f t="shared" si="91"/>
        <v>0</v>
      </c>
      <c r="X818" s="558">
        <f t="shared" si="94"/>
        <v>0</v>
      </c>
      <c r="Y818" s="558">
        <f t="shared" si="93"/>
        <v>0</v>
      </c>
    </row>
    <row r="819" spans="18:25" x14ac:dyDescent="0.2">
      <c r="R819" s="558">
        <v>818</v>
      </c>
      <c r="S819" s="558">
        <f t="shared" si="88"/>
        <v>-732</v>
      </c>
      <c r="T819" s="558">
        <f t="shared" si="89"/>
        <v>-721</v>
      </c>
      <c r="U819" s="558">
        <f t="shared" si="90"/>
        <v>785</v>
      </c>
      <c r="V819" s="558">
        <f t="shared" si="92"/>
        <v>0</v>
      </c>
      <c r="W819" s="558">
        <f t="shared" si="91"/>
        <v>0</v>
      </c>
      <c r="X819" s="558">
        <f t="shared" si="94"/>
        <v>0</v>
      </c>
      <c r="Y819" s="558">
        <f t="shared" si="93"/>
        <v>0</v>
      </c>
    </row>
    <row r="820" spans="18:25" x14ac:dyDescent="0.2">
      <c r="R820" s="558">
        <v>819</v>
      </c>
      <c r="S820" s="558">
        <f t="shared" si="88"/>
        <v>-733</v>
      </c>
      <c r="T820" s="558">
        <f t="shared" si="89"/>
        <v>-722</v>
      </c>
      <c r="U820" s="558">
        <f t="shared" si="90"/>
        <v>786</v>
      </c>
      <c r="V820" s="558">
        <f t="shared" si="92"/>
        <v>0</v>
      </c>
      <c r="W820" s="558">
        <f t="shared" si="91"/>
        <v>0</v>
      </c>
      <c r="X820" s="558">
        <f t="shared" si="94"/>
        <v>0</v>
      </c>
      <c r="Y820" s="558">
        <f t="shared" si="93"/>
        <v>0</v>
      </c>
    </row>
    <row r="821" spans="18:25" x14ac:dyDescent="0.2">
      <c r="R821" s="558">
        <v>820</v>
      </c>
      <c r="S821" s="558">
        <f t="shared" si="88"/>
        <v>-734</v>
      </c>
      <c r="T821" s="558">
        <f t="shared" si="89"/>
        <v>-723</v>
      </c>
      <c r="U821" s="558">
        <f t="shared" si="90"/>
        <v>787</v>
      </c>
      <c r="V821" s="558">
        <f t="shared" si="92"/>
        <v>0</v>
      </c>
      <c r="W821" s="558">
        <f t="shared" si="91"/>
        <v>0</v>
      </c>
      <c r="X821" s="558">
        <f t="shared" si="94"/>
        <v>0</v>
      </c>
      <c r="Y821" s="558">
        <f t="shared" si="93"/>
        <v>0</v>
      </c>
    </row>
    <row r="822" spans="18:25" x14ac:dyDescent="0.2">
      <c r="R822" s="558">
        <v>821</v>
      </c>
      <c r="S822" s="558">
        <f t="shared" si="88"/>
        <v>-735</v>
      </c>
      <c r="T822" s="558">
        <f t="shared" si="89"/>
        <v>-724</v>
      </c>
      <c r="U822" s="558">
        <f t="shared" si="90"/>
        <v>788</v>
      </c>
      <c r="V822" s="558">
        <f t="shared" si="92"/>
        <v>0</v>
      </c>
      <c r="W822" s="558">
        <f t="shared" si="91"/>
        <v>0</v>
      </c>
      <c r="X822" s="558">
        <f t="shared" si="94"/>
        <v>0</v>
      </c>
      <c r="Y822" s="558">
        <f t="shared" si="93"/>
        <v>0</v>
      </c>
    </row>
    <row r="823" spans="18:25" x14ac:dyDescent="0.2">
      <c r="R823" s="558">
        <v>822</v>
      </c>
      <c r="S823" s="558">
        <f t="shared" si="88"/>
        <v>-736</v>
      </c>
      <c r="T823" s="558">
        <f t="shared" si="89"/>
        <v>-725</v>
      </c>
      <c r="U823" s="558">
        <f t="shared" si="90"/>
        <v>789</v>
      </c>
      <c r="V823" s="558">
        <f t="shared" si="92"/>
        <v>0</v>
      </c>
      <c r="W823" s="558">
        <f t="shared" si="91"/>
        <v>0</v>
      </c>
      <c r="X823" s="558">
        <f t="shared" si="94"/>
        <v>0</v>
      </c>
      <c r="Y823" s="558">
        <f t="shared" si="93"/>
        <v>0</v>
      </c>
    </row>
    <row r="824" spans="18:25" x14ac:dyDescent="0.2">
      <c r="R824" s="558">
        <v>823</v>
      </c>
      <c r="S824" s="558">
        <f t="shared" si="88"/>
        <v>-737</v>
      </c>
      <c r="T824" s="558">
        <f t="shared" si="89"/>
        <v>-726</v>
      </c>
      <c r="U824" s="558">
        <f t="shared" si="90"/>
        <v>790</v>
      </c>
      <c r="V824" s="558">
        <f t="shared" si="92"/>
        <v>0</v>
      </c>
      <c r="W824" s="558">
        <f t="shared" si="91"/>
        <v>0</v>
      </c>
      <c r="X824" s="558">
        <f t="shared" si="94"/>
        <v>0</v>
      </c>
      <c r="Y824" s="558">
        <f t="shared" si="93"/>
        <v>0</v>
      </c>
    </row>
    <row r="825" spans="18:25" x14ac:dyDescent="0.2">
      <c r="R825" s="558">
        <v>824</v>
      </c>
      <c r="S825" s="558">
        <f t="shared" si="88"/>
        <v>-738</v>
      </c>
      <c r="T825" s="558">
        <f t="shared" si="89"/>
        <v>-727</v>
      </c>
      <c r="U825" s="558">
        <f t="shared" si="90"/>
        <v>791</v>
      </c>
      <c r="V825" s="558">
        <f t="shared" si="92"/>
        <v>0</v>
      </c>
      <c r="W825" s="558">
        <f t="shared" si="91"/>
        <v>0</v>
      </c>
      <c r="X825" s="558">
        <f t="shared" si="94"/>
        <v>0</v>
      </c>
      <c r="Y825" s="558">
        <f t="shared" si="93"/>
        <v>0</v>
      </c>
    </row>
    <row r="826" spans="18:25" x14ac:dyDescent="0.2">
      <c r="R826" s="558">
        <v>825</v>
      </c>
      <c r="S826" s="558">
        <f t="shared" si="88"/>
        <v>-739</v>
      </c>
      <c r="T826" s="558">
        <f t="shared" si="89"/>
        <v>-728</v>
      </c>
      <c r="U826" s="558">
        <f t="shared" si="90"/>
        <v>792</v>
      </c>
      <c r="V826" s="558">
        <f t="shared" si="92"/>
        <v>0</v>
      </c>
      <c r="W826" s="558">
        <f t="shared" si="91"/>
        <v>0</v>
      </c>
      <c r="X826" s="558">
        <f t="shared" si="94"/>
        <v>0</v>
      </c>
      <c r="Y826" s="558">
        <f t="shared" si="93"/>
        <v>0</v>
      </c>
    </row>
    <row r="827" spans="18:25" x14ac:dyDescent="0.2">
      <c r="R827" s="558">
        <v>826</v>
      </c>
      <c r="S827" s="558">
        <f t="shared" si="88"/>
        <v>-740</v>
      </c>
      <c r="T827" s="558">
        <f t="shared" si="89"/>
        <v>-729</v>
      </c>
      <c r="U827" s="558">
        <f t="shared" si="90"/>
        <v>793</v>
      </c>
      <c r="V827" s="558">
        <f t="shared" si="92"/>
        <v>0</v>
      </c>
      <c r="W827" s="558">
        <f t="shared" si="91"/>
        <v>0</v>
      </c>
      <c r="X827" s="558">
        <f t="shared" si="94"/>
        <v>0</v>
      </c>
      <c r="Y827" s="558">
        <f t="shared" si="93"/>
        <v>0</v>
      </c>
    </row>
    <row r="828" spans="18:25" x14ac:dyDescent="0.2">
      <c r="R828" s="558">
        <v>827</v>
      </c>
      <c r="S828" s="558">
        <f t="shared" si="88"/>
        <v>-741</v>
      </c>
      <c r="T828" s="558">
        <f t="shared" si="89"/>
        <v>-730</v>
      </c>
      <c r="U828" s="558">
        <f t="shared" si="90"/>
        <v>794</v>
      </c>
      <c r="V828" s="558">
        <f t="shared" si="92"/>
        <v>0</v>
      </c>
      <c r="W828" s="558">
        <f t="shared" si="91"/>
        <v>0</v>
      </c>
      <c r="X828" s="558">
        <f t="shared" si="94"/>
        <v>0</v>
      </c>
      <c r="Y828" s="558">
        <f t="shared" si="93"/>
        <v>0</v>
      </c>
    </row>
    <row r="829" spans="18:25" x14ac:dyDescent="0.2">
      <c r="R829" s="558">
        <v>828</v>
      </c>
      <c r="S829" s="558">
        <f t="shared" si="88"/>
        <v>-742</v>
      </c>
      <c r="T829" s="558">
        <f t="shared" si="89"/>
        <v>-731</v>
      </c>
      <c r="U829" s="558">
        <f t="shared" si="90"/>
        <v>795</v>
      </c>
      <c r="V829" s="558">
        <f t="shared" si="92"/>
        <v>0</v>
      </c>
      <c r="W829" s="558">
        <f t="shared" si="91"/>
        <v>0</v>
      </c>
      <c r="X829" s="558">
        <f t="shared" si="94"/>
        <v>0</v>
      </c>
      <c r="Y829" s="558">
        <f t="shared" si="93"/>
        <v>0</v>
      </c>
    </row>
    <row r="830" spans="18:25" x14ac:dyDescent="0.2">
      <c r="R830" s="558">
        <v>829</v>
      </c>
      <c r="S830" s="558">
        <f t="shared" si="88"/>
        <v>-743</v>
      </c>
      <c r="T830" s="558">
        <f t="shared" si="89"/>
        <v>-732</v>
      </c>
      <c r="U830" s="558">
        <f t="shared" si="90"/>
        <v>796</v>
      </c>
      <c r="V830" s="558">
        <f t="shared" si="92"/>
        <v>0</v>
      </c>
      <c r="W830" s="558">
        <f t="shared" si="91"/>
        <v>0</v>
      </c>
      <c r="X830" s="558">
        <f t="shared" si="94"/>
        <v>0</v>
      </c>
      <c r="Y830" s="558">
        <f t="shared" si="93"/>
        <v>0</v>
      </c>
    </row>
    <row r="831" spans="18:25" x14ac:dyDescent="0.2">
      <c r="R831" s="558">
        <v>830</v>
      </c>
      <c r="S831" s="558">
        <f t="shared" si="88"/>
        <v>-744</v>
      </c>
      <c r="T831" s="558">
        <f t="shared" si="89"/>
        <v>-733</v>
      </c>
      <c r="U831" s="558">
        <f t="shared" si="90"/>
        <v>797</v>
      </c>
      <c r="V831" s="558">
        <f t="shared" si="92"/>
        <v>0</v>
      </c>
      <c r="W831" s="558">
        <f t="shared" si="91"/>
        <v>0</v>
      </c>
      <c r="X831" s="558">
        <f t="shared" si="94"/>
        <v>0</v>
      </c>
      <c r="Y831" s="558">
        <f t="shared" si="93"/>
        <v>0</v>
      </c>
    </row>
    <row r="832" spans="18:25" x14ac:dyDescent="0.2">
      <c r="R832" s="558">
        <v>831</v>
      </c>
      <c r="S832" s="558">
        <f t="shared" si="88"/>
        <v>-745</v>
      </c>
      <c r="T832" s="558">
        <f t="shared" si="89"/>
        <v>-734</v>
      </c>
      <c r="U832" s="558">
        <f t="shared" si="90"/>
        <v>798</v>
      </c>
      <c r="V832" s="558">
        <f t="shared" si="92"/>
        <v>0</v>
      </c>
      <c r="W832" s="558">
        <f t="shared" si="91"/>
        <v>0</v>
      </c>
      <c r="X832" s="558">
        <f t="shared" si="94"/>
        <v>0</v>
      </c>
      <c r="Y832" s="558">
        <f t="shared" si="93"/>
        <v>0</v>
      </c>
    </row>
    <row r="833" spans="18:25" x14ac:dyDescent="0.2">
      <c r="R833" s="558">
        <v>832</v>
      </c>
      <c r="S833" s="558">
        <f t="shared" ref="S833:S896" si="95">$D$7-R833</f>
        <v>-746</v>
      </c>
      <c r="T833" s="558">
        <f t="shared" ref="T833:T896" si="96">$B$9-R833</f>
        <v>-735</v>
      </c>
      <c r="U833" s="558">
        <f t="shared" ref="U833:U896" si="97">$D$9-SUM(R833:T833)</f>
        <v>799</v>
      </c>
      <c r="V833" s="558">
        <f t="shared" si="92"/>
        <v>0</v>
      </c>
      <c r="W833" s="558">
        <f t="shared" ref="W833:W896" si="98">_xlfn.HYPGEOM.DIST(R833,R833+T833,R833+S833,SUM(R833:U833),0)</f>
        <v>0</v>
      </c>
      <c r="X833" s="558">
        <f t="shared" si="94"/>
        <v>0</v>
      </c>
      <c r="Y833" s="558">
        <f t="shared" si="93"/>
        <v>0</v>
      </c>
    </row>
    <row r="834" spans="18:25" x14ac:dyDescent="0.2">
      <c r="R834" s="558">
        <v>833</v>
      </c>
      <c r="S834" s="558">
        <f t="shared" si="95"/>
        <v>-747</v>
      </c>
      <c r="T834" s="558">
        <f t="shared" si="96"/>
        <v>-736</v>
      </c>
      <c r="U834" s="558">
        <f t="shared" si="97"/>
        <v>800</v>
      </c>
      <c r="V834" s="558">
        <f t="shared" ref="V834:V897" si="99">IF(S834&gt;=0,IF(T834&gt;=0,IF(U834&gt;=0,1,0),0),0)</f>
        <v>0</v>
      </c>
      <c r="W834" s="558">
        <f t="shared" si="98"/>
        <v>0</v>
      </c>
      <c r="X834" s="558">
        <f t="shared" si="94"/>
        <v>0</v>
      </c>
      <c r="Y834" s="558">
        <f t="shared" ref="Y834:Y897" si="100">IF(W834&lt;=SUM($X$1:$X$1101),W834,0)</f>
        <v>0</v>
      </c>
    </row>
    <row r="835" spans="18:25" x14ac:dyDescent="0.2">
      <c r="R835" s="558">
        <v>834</v>
      </c>
      <c r="S835" s="558">
        <f t="shared" si="95"/>
        <v>-748</v>
      </c>
      <c r="T835" s="558">
        <f t="shared" si="96"/>
        <v>-737</v>
      </c>
      <c r="U835" s="558">
        <f t="shared" si="97"/>
        <v>801</v>
      </c>
      <c r="V835" s="558">
        <f t="shared" si="99"/>
        <v>0</v>
      </c>
      <c r="W835" s="558">
        <f t="shared" si="98"/>
        <v>0</v>
      </c>
      <c r="X835" s="558">
        <f t="shared" si="94"/>
        <v>0</v>
      </c>
      <c r="Y835" s="558">
        <f t="shared" si="100"/>
        <v>0</v>
      </c>
    </row>
    <row r="836" spans="18:25" x14ac:dyDescent="0.2">
      <c r="R836" s="558">
        <v>835</v>
      </c>
      <c r="S836" s="558">
        <f t="shared" si="95"/>
        <v>-749</v>
      </c>
      <c r="T836" s="558">
        <f t="shared" si="96"/>
        <v>-738</v>
      </c>
      <c r="U836" s="558">
        <f t="shared" si="97"/>
        <v>802</v>
      </c>
      <c r="V836" s="558">
        <f t="shared" si="99"/>
        <v>0</v>
      </c>
      <c r="W836" s="558">
        <f t="shared" si="98"/>
        <v>0</v>
      </c>
      <c r="X836" s="558">
        <f t="shared" si="94"/>
        <v>0</v>
      </c>
      <c r="Y836" s="558">
        <f t="shared" si="100"/>
        <v>0</v>
      </c>
    </row>
    <row r="837" spans="18:25" x14ac:dyDescent="0.2">
      <c r="R837" s="558">
        <v>836</v>
      </c>
      <c r="S837" s="558">
        <f t="shared" si="95"/>
        <v>-750</v>
      </c>
      <c r="T837" s="558">
        <f t="shared" si="96"/>
        <v>-739</v>
      </c>
      <c r="U837" s="558">
        <f t="shared" si="97"/>
        <v>803</v>
      </c>
      <c r="V837" s="558">
        <f t="shared" si="99"/>
        <v>0</v>
      </c>
      <c r="W837" s="558">
        <f t="shared" si="98"/>
        <v>0</v>
      </c>
      <c r="X837" s="558">
        <f t="shared" si="94"/>
        <v>0</v>
      </c>
      <c r="Y837" s="558">
        <f t="shared" si="100"/>
        <v>0</v>
      </c>
    </row>
    <row r="838" spans="18:25" x14ac:dyDescent="0.2">
      <c r="R838" s="558">
        <v>837</v>
      </c>
      <c r="S838" s="558">
        <f t="shared" si="95"/>
        <v>-751</v>
      </c>
      <c r="T838" s="558">
        <f t="shared" si="96"/>
        <v>-740</v>
      </c>
      <c r="U838" s="558">
        <f t="shared" si="97"/>
        <v>804</v>
      </c>
      <c r="V838" s="558">
        <f t="shared" si="99"/>
        <v>0</v>
      </c>
      <c r="W838" s="558">
        <f t="shared" si="98"/>
        <v>0</v>
      </c>
      <c r="X838" s="558">
        <f t="shared" si="94"/>
        <v>0</v>
      </c>
      <c r="Y838" s="558">
        <f t="shared" si="100"/>
        <v>0</v>
      </c>
    </row>
    <row r="839" spans="18:25" x14ac:dyDescent="0.2">
      <c r="R839" s="558">
        <v>838</v>
      </c>
      <c r="S839" s="558">
        <f t="shared" si="95"/>
        <v>-752</v>
      </c>
      <c r="T839" s="558">
        <f t="shared" si="96"/>
        <v>-741</v>
      </c>
      <c r="U839" s="558">
        <f t="shared" si="97"/>
        <v>805</v>
      </c>
      <c r="V839" s="558">
        <f t="shared" si="99"/>
        <v>0</v>
      </c>
      <c r="W839" s="558">
        <f t="shared" si="98"/>
        <v>0</v>
      </c>
      <c r="X839" s="558">
        <f t="shared" si="94"/>
        <v>0</v>
      </c>
      <c r="Y839" s="558">
        <f t="shared" si="100"/>
        <v>0</v>
      </c>
    </row>
    <row r="840" spans="18:25" x14ac:dyDescent="0.2">
      <c r="R840" s="558">
        <v>839</v>
      </c>
      <c r="S840" s="558">
        <f t="shared" si="95"/>
        <v>-753</v>
      </c>
      <c r="T840" s="558">
        <f t="shared" si="96"/>
        <v>-742</v>
      </c>
      <c r="U840" s="558">
        <f t="shared" si="97"/>
        <v>806</v>
      </c>
      <c r="V840" s="558">
        <f t="shared" si="99"/>
        <v>0</v>
      </c>
      <c r="W840" s="558">
        <f t="shared" si="98"/>
        <v>0</v>
      </c>
      <c r="X840" s="558">
        <f t="shared" si="94"/>
        <v>0</v>
      </c>
      <c r="Y840" s="558">
        <f t="shared" si="100"/>
        <v>0</v>
      </c>
    </row>
    <row r="841" spans="18:25" x14ac:dyDescent="0.2">
      <c r="R841" s="558">
        <v>840</v>
      </c>
      <c r="S841" s="558">
        <f t="shared" si="95"/>
        <v>-754</v>
      </c>
      <c r="T841" s="558">
        <f t="shared" si="96"/>
        <v>-743</v>
      </c>
      <c r="U841" s="558">
        <f t="shared" si="97"/>
        <v>807</v>
      </c>
      <c r="V841" s="558">
        <f t="shared" si="99"/>
        <v>0</v>
      </c>
      <c r="W841" s="558">
        <f t="shared" si="98"/>
        <v>0</v>
      </c>
      <c r="X841" s="558">
        <f t="shared" si="94"/>
        <v>0</v>
      </c>
      <c r="Y841" s="558">
        <f t="shared" si="100"/>
        <v>0</v>
      </c>
    </row>
    <row r="842" spans="18:25" x14ac:dyDescent="0.2">
      <c r="R842" s="558">
        <v>841</v>
      </c>
      <c r="S842" s="558">
        <f t="shared" si="95"/>
        <v>-755</v>
      </c>
      <c r="T842" s="558">
        <f t="shared" si="96"/>
        <v>-744</v>
      </c>
      <c r="U842" s="558">
        <f t="shared" si="97"/>
        <v>808</v>
      </c>
      <c r="V842" s="558">
        <f t="shared" si="99"/>
        <v>0</v>
      </c>
      <c r="W842" s="558">
        <f t="shared" si="98"/>
        <v>0</v>
      </c>
      <c r="X842" s="558">
        <f t="shared" si="94"/>
        <v>0</v>
      </c>
      <c r="Y842" s="558">
        <f t="shared" si="100"/>
        <v>0</v>
      </c>
    </row>
    <row r="843" spans="18:25" x14ac:dyDescent="0.2">
      <c r="R843" s="558">
        <v>842</v>
      </c>
      <c r="S843" s="558">
        <f t="shared" si="95"/>
        <v>-756</v>
      </c>
      <c r="T843" s="558">
        <f t="shared" si="96"/>
        <v>-745</v>
      </c>
      <c r="U843" s="558">
        <f t="shared" si="97"/>
        <v>809</v>
      </c>
      <c r="V843" s="558">
        <f t="shared" si="99"/>
        <v>0</v>
      </c>
      <c r="W843" s="558">
        <f t="shared" si="98"/>
        <v>0</v>
      </c>
      <c r="X843" s="558">
        <f t="shared" si="94"/>
        <v>0</v>
      </c>
      <c r="Y843" s="558">
        <f t="shared" si="100"/>
        <v>0</v>
      </c>
    </row>
    <row r="844" spans="18:25" x14ac:dyDescent="0.2">
      <c r="R844" s="558">
        <v>843</v>
      </c>
      <c r="S844" s="558">
        <f t="shared" si="95"/>
        <v>-757</v>
      </c>
      <c r="T844" s="558">
        <f t="shared" si="96"/>
        <v>-746</v>
      </c>
      <c r="U844" s="558">
        <f t="shared" si="97"/>
        <v>810</v>
      </c>
      <c r="V844" s="558">
        <f t="shared" si="99"/>
        <v>0</v>
      </c>
      <c r="W844" s="558">
        <f t="shared" si="98"/>
        <v>0</v>
      </c>
      <c r="X844" s="558">
        <f t="shared" si="94"/>
        <v>0</v>
      </c>
      <c r="Y844" s="558">
        <f t="shared" si="100"/>
        <v>0</v>
      </c>
    </row>
    <row r="845" spans="18:25" x14ac:dyDescent="0.2">
      <c r="R845" s="558">
        <v>844</v>
      </c>
      <c r="S845" s="558">
        <f t="shared" si="95"/>
        <v>-758</v>
      </c>
      <c r="T845" s="558">
        <f t="shared" si="96"/>
        <v>-747</v>
      </c>
      <c r="U845" s="558">
        <f t="shared" si="97"/>
        <v>811</v>
      </c>
      <c r="V845" s="558">
        <f t="shared" si="99"/>
        <v>0</v>
      </c>
      <c r="W845" s="558">
        <f t="shared" si="98"/>
        <v>0</v>
      </c>
      <c r="X845" s="558">
        <f t="shared" si="94"/>
        <v>0</v>
      </c>
      <c r="Y845" s="558">
        <f t="shared" si="100"/>
        <v>0</v>
      </c>
    </row>
    <row r="846" spans="18:25" x14ac:dyDescent="0.2">
      <c r="R846" s="558">
        <v>845</v>
      </c>
      <c r="S846" s="558">
        <f t="shared" si="95"/>
        <v>-759</v>
      </c>
      <c r="T846" s="558">
        <f t="shared" si="96"/>
        <v>-748</v>
      </c>
      <c r="U846" s="558">
        <f t="shared" si="97"/>
        <v>812</v>
      </c>
      <c r="V846" s="558">
        <f t="shared" si="99"/>
        <v>0</v>
      </c>
      <c r="W846" s="558">
        <f t="shared" si="98"/>
        <v>0</v>
      </c>
      <c r="X846" s="558">
        <f t="shared" si="94"/>
        <v>0</v>
      </c>
      <c r="Y846" s="558">
        <f t="shared" si="100"/>
        <v>0</v>
      </c>
    </row>
    <row r="847" spans="18:25" x14ac:dyDescent="0.2">
      <c r="R847" s="558">
        <v>846</v>
      </c>
      <c r="S847" s="558">
        <f t="shared" si="95"/>
        <v>-760</v>
      </c>
      <c r="T847" s="558">
        <f t="shared" si="96"/>
        <v>-749</v>
      </c>
      <c r="U847" s="558">
        <f t="shared" si="97"/>
        <v>813</v>
      </c>
      <c r="V847" s="558">
        <f t="shared" si="99"/>
        <v>0</v>
      </c>
      <c r="W847" s="558">
        <f t="shared" si="98"/>
        <v>0</v>
      </c>
      <c r="X847" s="558">
        <f t="shared" si="94"/>
        <v>0</v>
      </c>
      <c r="Y847" s="558">
        <f t="shared" si="100"/>
        <v>0</v>
      </c>
    </row>
    <row r="848" spans="18:25" x14ac:dyDescent="0.2">
      <c r="R848" s="558">
        <v>847</v>
      </c>
      <c r="S848" s="558">
        <f t="shared" si="95"/>
        <v>-761</v>
      </c>
      <c r="T848" s="558">
        <f t="shared" si="96"/>
        <v>-750</v>
      </c>
      <c r="U848" s="558">
        <f t="shared" si="97"/>
        <v>814</v>
      </c>
      <c r="V848" s="558">
        <f t="shared" si="99"/>
        <v>0</v>
      </c>
      <c r="W848" s="558">
        <f t="shared" si="98"/>
        <v>0</v>
      </c>
      <c r="X848" s="558">
        <f t="shared" si="94"/>
        <v>0</v>
      </c>
      <c r="Y848" s="558">
        <f t="shared" si="100"/>
        <v>0</v>
      </c>
    </row>
    <row r="849" spans="18:25" x14ac:dyDescent="0.2">
      <c r="R849" s="558">
        <v>848</v>
      </c>
      <c r="S849" s="558">
        <f t="shared" si="95"/>
        <v>-762</v>
      </c>
      <c r="T849" s="558">
        <f t="shared" si="96"/>
        <v>-751</v>
      </c>
      <c r="U849" s="558">
        <f t="shared" si="97"/>
        <v>815</v>
      </c>
      <c r="V849" s="558">
        <f t="shared" si="99"/>
        <v>0</v>
      </c>
      <c r="W849" s="558">
        <f t="shared" si="98"/>
        <v>0</v>
      </c>
      <c r="X849" s="558">
        <f t="shared" si="94"/>
        <v>0</v>
      </c>
      <c r="Y849" s="558">
        <f t="shared" si="100"/>
        <v>0</v>
      </c>
    </row>
    <row r="850" spans="18:25" x14ac:dyDescent="0.2">
      <c r="R850" s="558">
        <v>849</v>
      </c>
      <c r="S850" s="558">
        <f t="shared" si="95"/>
        <v>-763</v>
      </c>
      <c r="T850" s="558">
        <f t="shared" si="96"/>
        <v>-752</v>
      </c>
      <c r="U850" s="558">
        <f t="shared" si="97"/>
        <v>816</v>
      </c>
      <c r="V850" s="558">
        <f t="shared" si="99"/>
        <v>0</v>
      </c>
      <c r="W850" s="558">
        <f t="shared" si="98"/>
        <v>0</v>
      </c>
      <c r="X850" s="558">
        <f t="shared" si="94"/>
        <v>0</v>
      </c>
      <c r="Y850" s="558">
        <f t="shared" si="100"/>
        <v>0</v>
      </c>
    </row>
    <row r="851" spans="18:25" x14ac:dyDescent="0.2">
      <c r="R851" s="558">
        <v>850</v>
      </c>
      <c r="S851" s="558">
        <f t="shared" si="95"/>
        <v>-764</v>
      </c>
      <c r="T851" s="558">
        <f t="shared" si="96"/>
        <v>-753</v>
      </c>
      <c r="U851" s="558">
        <f t="shared" si="97"/>
        <v>817</v>
      </c>
      <c r="V851" s="558">
        <f t="shared" si="99"/>
        <v>0</v>
      </c>
      <c r="W851" s="558">
        <f t="shared" si="98"/>
        <v>0</v>
      </c>
      <c r="X851" s="558">
        <f t="shared" si="94"/>
        <v>0</v>
      </c>
      <c r="Y851" s="558">
        <f t="shared" si="100"/>
        <v>0</v>
      </c>
    </row>
    <row r="852" spans="18:25" x14ac:dyDescent="0.2">
      <c r="R852" s="558">
        <v>851</v>
      </c>
      <c r="S852" s="558">
        <f t="shared" si="95"/>
        <v>-765</v>
      </c>
      <c r="T852" s="558">
        <f t="shared" si="96"/>
        <v>-754</v>
      </c>
      <c r="U852" s="558">
        <f t="shared" si="97"/>
        <v>818</v>
      </c>
      <c r="V852" s="558">
        <f t="shared" si="99"/>
        <v>0</v>
      </c>
      <c r="W852" s="558">
        <f t="shared" si="98"/>
        <v>0</v>
      </c>
      <c r="X852" s="558">
        <f t="shared" si="94"/>
        <v>0</v>
      </c>
      <c r="Y852" s="558">
        <f t="shared" si="100"/>
        <v>0</v>
      </c>
    </row>
    <row r="853" spans="18:25" x14ac:dyDescent="0.2">
      <c r="R853" s="558">
        <v>852</v>
      </c>
      <c r="S853" s="558">
        <f t="shared" si="95"/>
        <v>-766</v>
      </c>
      <c r="T853" s="558">
        <f t="shared" si="96"/>
        <v>-755</v>
      </c>
      <c r="U853" s="558">
        <f t="shared" si="97"/>
        <v>819</v>
      </c>
      <c r="V853" s="558">
        <f t="shared" si="99"/>
        <v>0</v>
      </c>
      <c r="W853" s="558">
        <f t="shared" si="98"/>
        <v>0</v>
      </c>
      <c r="X853" s="558">
        <f t="shared" si="94"/>
        <v>0</v>
      </c>
      <c r="Y853" s="558">
        <f t="shared" si="100"/>
        <v>0</v>
      </c>
    </row>
    <row r="854" spans="18:25" x14ac:dyDescent="0.2">
      <c r="R854" s="558">
        <v>853</v>
      </c>
      <c r="S854" s="558">
        <f t="shared" si="95"/>
        <v>-767</v>
      </c>
      <c r="T854" s="558">
        <f t="shared" si="96"/>
        <v>-756</v>
      </c>
      <c r="U854" s="558">
        <f t="shared" si="97"/>
        <v>820</v>
      </c>
      <c r="V854" s="558">
        <f t="shared" si="99"/>
        <v>0</v>
      </c>
      <c r="W854" s="558">
        <f t="shared" si="98"/>
        <v>0</v>
      </c>
      <c r="X854" s="558">
        <f t="shared" si="94"/>
        <v>0</v>
      </c>
      <c r="Y854" s="558">
        <f t="shared" si="100"/>
        <v>0</v>
      </c>
    </row>
    <row r="855" spans="18:25" x14ac:dyDescent="0.2">
      <c r="R855" s="558">
        <v>854</v>
      </c>
      <c r="S855" s="558">
        <f t="shared" si="95"/>
        <v>-768</v>
      </c>
      <c r="T855" s="558">
        <f t="shared" si="96"/>
        <v>-757</v>
      </c>
      <c r="U855" s="558">
        <f t="shared" si="97"/>
        <v>821</v>
      </c>
      <c r="V855" s="558">
        <f t="shared" si="99"/>
        <v>0</v>
      </c>
      <c r="W855" s="558">
        <f t="shared" si="98"/>
        <v>0</v>
      </c>
      <c r="X855" s="558">
        <f t="shared" si="94"/>
        <v>0</v>
      </c>
      <c r="Y855" s="558">
        <f t="shared" si="100"/>
        <v>0</v>
      </c>
    </row>
    <row r="856" spans="18:25" x14ac:dyDescent="0.2">
      <c r="R856" s="558">
        <v>855</v>
      </c>
      <c r="S856" s="558">
        <f t="shared" si="95"/>
        <v>-769</v>
      </c>
      <c r="T856" s="558">
        <f t="shared" si="96"/>
        <v>-758</v>
      </c>
      <c r="U856" s="558">
        <f t="shared" si="97"/>
        <v>822</v>
      </c>
      <c r="V856" s="558">
        <f t="shared" si="99"/>
        <v>0</v>
      </c>
      <c r="W856" s="558">
        <f t="shared" si="98"/>
        <v>0</v>
      </c>
      <c r="X856" s="558">
        <f t="shared" si="94"/>
        <v>0</v>
      </c>
      <c r="Y856" s="558">
        <f t="shared" si="100"/>
        <v>0</v>
      </c>
    </row>
    <row r="857" spans="18:25" x14ac:dyDescent="0.2">
      <c r="R857" s="558">
        <v>856</v>
      </c>
      <c r="S857" s="558">
        <f t="shared" si="95"/>
        <v>-770</v>
      </c>
      <c r="T857" s="558">
        <f t="shared" si="96"/>
        <v>-759</v>
      </c>
      <c r="U857" s="558">
        <f t="shared" si="97"/>
        <v>823</v>
      </c>
      <c r="V857" s="558">
        <f t="shared" si="99"/>
        <v>0</v>
      </c>
      <c r="W857" s="558">
        <f t="shared" si="98"/>
        <v>0</v>
      </c>
      <c r="X857" s="558">
        <f t="shared" si="94"/>
        <v>0</v>
      </c>
      <c r="Y857" s="558">
        <f t="shared" si="100"/>
        <v>0</v>
      </c>
    </row>
    <row r="858" spans="18:25" x14ac:dyDescent="0.2">
      <c r="R858" s="558">
        <v>857</v>
      </c>
      <c r="S858" s="558">
        <f t="shared" si="95"/>
        <v>-771</v>
      </c>
      <c r="T858" s="558">
        <f t="shared" si="96"/>
        <v>-760</v>
      </c>
      <c r="U858" s="558">
        <f t="shared" si="97"/>
        <v>824</v>
      </c>
      <c r="V858" s="558">
        <f t="shared" si="99"/>
        <v>0</v>
      </c>
      <c r="W858" s="558">
        <f t="shared" si="98"/>
        <v>0</v>
      </c>
      <c r="X858" s="558">
        <f t="shared" si="94"/>
        <v>0</v>
      </c>
      <c r="Y858" s="558">
        <f t="shared" si="100"/>
        <v>0</v>
      </c>
    </row>
    <row r="859" spans="18:25" x14ac:dyDescent="0.2">
      <c r="R859" s="558">
        <v>858</v>
      </c>
      <c r="S859" s="558">
        <f t="shared" si="95"/>
        <v>-772</v>
      </c>
      <c r="T859" s="558">
        <f t="shared" si="96"/>
        <v>-761</v>
      </c>
      <c r="U859" s="558">
        <f t="shared" si="97"/>
        <v>825</v>
      </c>
      <c r="V859" s="558">
        <f t="shared" si="99"/>
        <v>0</v>
      </c>
      <c r="W859" s="558">
        <f t="shared" si="98"/>
        <v>0</v>
      </c>
      <c r="X859" s="558">
        <f t="shared" si="94"/>
        <v>0</v>
      </c>
      <c r="Y859" s="558">
        <f t="shared" si="100"/>
        <v>0</v>
      </c>
    </row>
    <row r="860" spans="18:25" x14ac:dyDescent="0.2">
      <c r="R860" s="558">
        <v>859</v>
      </c>
      <c r="S860" s="558">
        <f t="shared" si="95"/>
        <v>-773</v>
      </c>
      <c r="T860" s="558">
        <f t="shared" si="96"/>
        <v>-762</v>
      </c>
      <c r="U860" s="558">
        <f t="shared" si="97"/>
        <v>826</v>
      </c>
      <c r="V860" s="558">
        <f t="shared" si="99"/>
        <v>0</v>
      </c>
      <c r="W860" s="558">
        <f t="shared" si="98"/>
        <v>0</v>
      </c>
      <c r="X860" s="558">
        <f t="shared" si="94"/>
        <v>0</v>
      </c>
      <c r="Y860" s="558">
        <f t="shared" si="100"/>
        <v>0</v>
      </c>
    </row>
    <row r="861" spans="18:25" x14ac:dyDescent="0.2">
      <c r="R861" s="558">
        <v>860</v>
      </c>
      <c r="S861" s="558">
        <f t="shared" si="95"/>
        <v>-774</v>
      </c>
      <c r="T861" s="558">
        <f t="shared" si="96"/>
        <v>-763</v>
      </c>
      <c r="U861" s="558">
        <f t="shared" si="97"/>
        <v>827</v>
      </c>
      <c r="V861" s="558">
        <f t="shared" si="99"/>
        <v>0</v>
      </c>
      <c r="W861" s="558">
        <f t="shared" si="98"/>
        <v>0</v>
      </c>
      <c r="X861" s="558">
        <f t="shared" si="94"/>
        <v>0</v>
      </c>
      <c r="Y861" s="558">
        <f t="shared" si="100"/>
        <v>0</v>
      </c>
    </row>
    <row r="862" spans="18:25" x14ac:dyDescent="0.2">
      <c r="R862" s="558">
        <v>861</v>
      </c>
      <c r="S862" s="558">
        <f t="shared" si="95"/>
        <v>-775</v>
      </c>
      <c r="T862" s="558">
        <f t="shared" si="96"/>
        <v>-764</v>
      </c>
      <c r="U862" s="558">
        <f t="shared" si="97"/>
        <v>828</v>
      </c>
      <c r="V862" s="558">
        <f t="shared" si="99"/>
        <v>0</v>
      </c>
      <c r="W862" s="558">
        <f t="shared" si="98"/>
        <v>0</v>
      </c>
      <c r="X862" s="558">
        <f t="shared" si="94"/>
        <v>0</v>
      </c>
      <c r="Y862" s="558">
        <f t="shared" si="100"/>
        <v>0</v>
      </c>
    </row>
    <row r="863" spans="18:25" x14ac:dyDescent="0.2">
      <c r="R863" s="558">
        <v>862</v>
      </c>
      <c r="S863" s="558">
        <f t="shared" si="95"/>
        <v>-776</v>
      </c>
      <c r="T863" s="558">
        <f t="shared" si="96"/>
        <v>-765</v>
      </c>
      <c r="U863" s="558">
        <f t="shared" si="97"/>
        <v>829</v>
      </c>
      <c r="V863" s="558">
        <f t="shared" si="99"/>
        <v>0</v>
      </c>
      <c r="W863" s="558">
        <f t="shared" si="98"/>
        <v>0</v>
      </c>
      <c r="X863" s="558">
        <f t="shared" si="94"/>
        <v>0</v>
      </c>
      <c r="Y863" s="558">
        <f t="shared" si="100"/>
        <v>0</v>
      </c>
    </row>
    <row r="864" spans="18:25" x14ac:dyDescent="0.2">
      <c r="R864" s="558">
        <v>863</v>
      </c>
      <c r="S864" s="558">
        <f t="shared" si="95"/>
        <v>-777</v>
      </c>
      <c r="T864" s="558">
        <f t="shared" si="96"/>
        <v>-766</v>
      </c>
      <c r="U864" s="558">
        <f t="shared" si="97"/>
        <v>830</v>
      </c>
      <c r="V864" s="558">
        <f t="shared" si="99"/>
        <v>0</v>
      </c>
      <c r="W864" s="558">
        <f t="shared" si="98"/>
        <v>0</v>
      </c>
      <c r="X864" s="558">
        <f t="shared" si="94"/>
        <v>0</v>
      </c>
      <c r="Y864" s="558">
        <f t="shared" si="100"/>
        <v>0</v>
      </c>
    </row>
    <row r="865" spans="18:25" x14ac:dyDescent="0.2">
      <c r="R865" s="558">
        <v>864</v>
      </c>
      <c r="S865" s="558">
        <f t="shared" si="95"/>
        <v>-778</v>
      </c>
      <c r="T865" s="558">
        <f t="shared" si="96"/>
        <v>-767</v>
      </c>
      <c r="U865" s="558">
        <f t="shared" si="97"/>
        <v>831</v>
      </c>
      <c r="V865" s="558">
        <f t="shared" si="99"/>
        <v>0</v>
      </c>
      <c r="W865" s="558">
        <f t="shared" si="98"/>
        <v>0</v>
      </c>
      <c r="X865" s="558">
        <f t="shared" si="94"/>
        <v>0</v>
      </c>
      <c r="Y865" s="558">
        <f t="shared" si="100"/>
        <v>0</v>
      </c>
    </row>
    <row r="866" spans="18:25" x14ac:dyDescent="0.2">
      <c r="R866" s="558">
        <v>865</v>
      </c>
      <c r="S866" s="558">
        <f t="shared" si="95"/>
        <v>-779</v>
      </c>
      <c r="T866" s="558">
        <f t="shared" si="96"/>
        <v>-768</v>
      </c>
      <c r="U866" s="558">
        <f t="shared" si="97"/>
        <v>832</v>
      </c>
      <c r="V866" s="558">
        <f t="shared" si="99"/>
        <v>0</v>
      </c>
      <c r="W866" s="558">
        <f t="shared" si="98"/>
        <v>0</v>
      </c>
      <c r="X866" s="558">
        <f t="shared" si="94"/>
        <v>0</v>
      </c>
      <c r="Y866" s="558">
        <f t="shared" si="100"/>
        <v>0</v>
      </c>
    </row>
    <row r="867" spans="18:25" x14ac:dyDescent="0.2">
      <c r="R867" s="558">
        <v>866</v>
      </c>
      <c r="S867" s="558">
        <f t="shared" si="95"/>
        <v>-780</v>
      </c>
      <c r="T867" s="558">
        <f t="shared" si="96"/>
        <v>-769</v>
      </c>
      <c r="U867" s="558">
        <f t="shared" si="97"/>
        <v>833</v>
      </c>
      <c r="V867" s="558">
        <f t="shared" si="99"/>
        <v>0</v>
      </c>
      <c r="W867" s="558">
        <f t="shared" si="98"/>
        <v>0</v>
      </c>
      <c r="X867" s="558">
        <f t="shared" ref="X867:X930" si="101">IF(R867=$B$7,W867,0)</f>
        <v>0</v>
      </c>
      <c r="Y867" s="558">
        <f t="shared" si="100"/>
        <v>0</v>
      </c>
    </row>
    <row r="868" spans="18:25" x14ac:dyDescent="0.2">
      <c r="R868" s="558">
        <v>867</v>
      </c>
      <c r="S868" s="558">
        <f t="shared" si="95"/>
        <v>-781</v>
      </c>
      <c r="T868" s="558">
        <f t="shared" si="96"/>
        <v>-770</v>
      </c>
      <c r="U868" s="558">
        <f t="shared" si="97"/>
        <v>834</v>
      </c>
      <c r="V868" s="558">
        <f t="shared" si="99"/>
        <v>0</v>
      </c>
      <c r="W868" s="558">
        <f t="shared" si="98"/>
        <v>0</v>
      </c>
      <c r="X868" s="558">
        <f t="shared" si="101"/>
        <v>0</v>
      </c>
      <c r="Y868" s="558">
        <f t="shared" si="100"/>
        <v>0</v>
      </c>
    </row>
    <row r="869" spans="18:25" x14ac:dyDescent="0.2">
      <c r="R869" s="558">
        <v>868</v>
      </c>
      <c r="S869" s="558">
        <f t="shared" si="95"/>
        <v>-782</v>
      </c>
      <c r="T869" s="558">
        <f t="shared" si="96"/>
        <v>-771</v>
      </c>
      <c r="U869" s="558">
        <f t="shared" si="97"/>
        <v>835</v>
      </c>
      <c r="V869" s="558">
        <f t="shared" si="99"/>
        <v>0</v>
      </c>
      <c r="W869" s="558">
        <f t="shared" si="98"/>
        <v>0</v>
      </c>
      <c r="X869" s="558">
        <f t="shared" si="101"/>
        <v>0</v>
      </c>
      <c r="Y869" s="558">
        <f t="shared" si="100"/>
        <v>0</v>
      </c>
    </row>
    <row r="870" spans="18:25" x14ac:dyDescent="0.2">
      <c r="R870" s="558">
        <v>869</v>
      </c>
      <c r="S870" s="558">
        <f t="shared" si="95"/>
        <v>-783</v>
      </c>
      <c r="T870" s="558">
        <f t="shared" si="96"/>
        <v>-772</v>
      </c>
      <c r="U870" s="558">
        <f t="shared" si="97"/>
        <v>836</v>
      </c>
      <c r="V870" s="558">
        <f t="shared" si="99"/>
        <v>0</v>
      </c>
      <c r="W870" s="558">
        <f t="shared" si="98"/>
        <v>0</v>
      </c>
      <c r="X870" s="558">
        <f t="shared" si="101"/>
        <v>0</v>
      </c>
      <c r="Y870" s="558">
        <f t="shared" si="100"/>
        <v>0</v>
      </c>
    </row>
    <row r="871" spans="18:25" x14ac:dyDescent="0.2">
      <c r="R871" s="558">
        <v>870</v>
      </c>
      <c r="S871" s="558">
        <f t="shared" si="95"/>
        <v>-784</v>
      </c>
      <c r="T871" s="558">
        <f t="shared" si="96"/>
        <v>-773</v>
      </c>
      <c r="U871" s="558">
        <f t="shared" si="97"/>
        <v>837</v>
      </c>
      <c r="V871" s="558">
        <f t="shared" si="99"/>
        <v>0</v>
      </c>
      <c r="W871" s="558">
        <f t="shared" si="98"/>
        <v>0</v>
      </c>
      <c r="X871" s="558">
        <f t="shared" si="101"/>
        <v>0</v>
      </c>
      <c r="Y871" s="558">
        <f t="shared" si="100"/>
        <v>0</v>
      </c>
    </row>
    <row r="872" spans="18:25" x14ac:dyDescent="0.2">
      <c r="R872" s="558">
        <v>871</v>
      </c>
      <c r="S872" s="558">
        <f t="shared" si="95"/>
        <v>-785</v>
      </c>
      <c r="T872" s="558">
        <f t="shared" si="96"/>
        <v>-774</v>
      </c>
      <c r="U872" s="558">
        <f t="shared" si="97"/>
        <v>838</v>
      </c>
      <c r="V872" s="558">
        <f t="shared" si="99"/>
        <v>0</v>
      </c>
      <c r="W872" s="558">
        <f t="shared" si="98"/>
        <v>0</v>
      </c>
      <c r="X872" s="558">
        <f t="shared" si="101"/>
        <v>0</v>
      </c>
      <c r="Y872" s="558">
        <f t="shared" si="100"/>
        <v>0</v>
      </c>
    </row>
    <row r="873" spans="18:25" x14ac:dyDescent="0.2">
      <c r="R873" s="558">
        <v>872</v>
      </c>
      <c r="S873" s="558">
        <f t="shared" si="95"/>
        <v>-786</v>
      </c>
      <c r="T873" s="558">
        <f t="shared" si="96"/>
        <v>-775</v>
      </c>
      <c r="U873" s="558">
        <f t="shared" si="97"/>
        <v>839</v>
      </c>
      <c r="V873" s="558">
        <f t="shared" si="99"/>
        <v>0</v>
      </c>
      <c r="W873" s="558">
        <f t="shared" si="98"/>
        <v>0</v>
      </c>
      <c r="X873" s="558">
        <f t="shared" si="101"/>
        <v>0</v>
      </c>
      <c r="Y873" s="558">
        <f t="shared" si="100"/>
        <v>0</v>
      </c>
    </row>
    <row r="874" spans="18:25" x14ac:dyDescent="0.2">
      <c r="R874" s="558">
        <v>873</v>
      </c>
      <c r="S874" s="558">
        <f t="shared" si="95"/>
        <v>-787</v>
      </c>
      <c r="T874" s="558">
        <f t="shared" si="96"/>
        <v>-776</v>
      </c>
      <c r="U874" s="558">
        <f t="shared" si="97"/>
        <v>840</v>
      </c>
      <c r="V874" s="558">
        <f t="shared" si="99"/>
        <v>0</v>
      </c>
      <c r="W874" s="558">
        <f t="shared" si="98"/>
        <v>0</v>
      </c>
      <c r="X874" s="558">
        <f t="shared" si="101"/>
        <v>0</v>
      </c>
      <c r="Y874" s="558">
        <f t="shared" si="100"/>
        <v>0</v>
      </c>
    </row>
    <row r="875" spans="18:25" x14ac:dyDescent="0.2">
      <c r="R875" s="558">
        <v>874</v>
      </c>
      <c r="S875" s="558">
        <f t="shared" si="95"/>
        <v>-788</v>
      </c>
      <c r="T875" s="558">
        <f t="shared" si="96"/>
        <v>-777</v>
      </c>
      <c r="U875" s="558">
        <f t="shared" si="97"/>
        <v>841</v>
      </c>
      <c r="V875" s="558">
        <f t="shared" si="99"/>
        <v>0</v>
      </c>
      <c r="W875" s="558">
        <f t="shared" si="98"/>
        <v>0</v>
      </c>
      <c r="X875" s="558">
        <f t="shared" si="101"/>
        <v>0</v>
      </c>
      <c r="Y875" s="558">
        <f t="shared" si="100"/>
        <v>0</v>
      </c>
    </row>
    <row r="876" spans="18:25" x14ac:dyDescent="0.2">
      <c r="R876" s="558">
        <v>875</v>
      </c>
      <c r="S876" s="558">
        <f t="shared" si="95"/>
        <v>-789</v>
      </c>
      <c r="T876" s="558">
        <f t="shared" si="96"/>
        <v>-778</v>
      </c>
      <c r="U876" s="558">
        <f t="shared" si="97"/>
        <v>842</v>
      </c>
      <c r="V876" s="558">
        <f t="shared" si="99"/>
        <v>0</v>
      </c>
      <c r="W876" s="558">
        <f t="shared" si="98"/>
        <v>0</v>
      </c>
      <c r="X876" s="558">
        <f t="shared" si="101"/>
        <v>0</v>
      </c>
      <c r="Y876" s="558">
        <f t="shared" si="100"/>
        <v>0</v>
      </c>
    </row>
    <row r="877" spans="18:25" x14ac:dyDescent="0.2">
      <c r="R877" s="558">
        <v>876</v>
      </c>
      <c r="S877" s="558">
        <f t="shared" si="95"/>
        <v>-790</v>
      </c>
      <c r="T877" s="558">
        <f t="shared" si="96"/>
        <v>-779</v>
      </c>
      <c r="U877" s="558">
        <f t="shared" si="97"/>
        <v>843</v>
      </c>
      <c r="V877" s="558">
        <f t="shared" si="99"/>
        <v>0</v>
      </c>
      <c r="W877" s="558">
        <f t="shared" si="98"/>
        <v>0</v>
      </c>
      <c r="X877" s="558">
        <f t="shared" si="101"/>
        <v>0</v>
      </c>
      <c r="Y877" s="558">
        <f t="shared" si="100"/>
        <v>0</v>
      </c>
    </row>
    <row r="878" spans="18:25" x14ac:dyDescent="0.2">
      <c r="R878" s="558">
        <v>877</v>
      </c>
      <c r="S878" s="558">
        <f t="shared" si="95"/>
        <v>-791</v>
      </c>
      <c r="T878" s="558">
        <f t="shared" si="96"/>
        <v>-780</v>
      </c>
      <c r="U878" s="558">
        <f t="shared" si="97"/>
        <v>844</v>
      </c>
      <c r="V878" s="558">
        <f t="shared" si="99"/>
        <v>0</v>
      </c>
      <c r="W878" s="558">
        <f t="shared" si="98"/>
        <v>0</v>
      </c>
      <c r="X878" s="558">
        <f t="shared" si="101"/>
        <v>0</v>
      </c>
      <c r="Y878" s="558">
        <f t="shared" si="100"/>
        <v>0</v>
      </c>
    </row>
    <row r="879" spans="18:25" x14ac:dyDescent="0.2">
      <c r="R879" s="558">
        <v>878</v>
      </c>
      <c r="S879" s="558">
        <f t="shared" si="95"/>
        <v>-792</v>
      </c>
      <c r="T879" s="558">
        <f t="shared" si="96"/>
        <v>-781</v>
      </c>
      <c r="U879" s="558">
        <f t="shared" si="97"/>
        <v>845</v>
      </c>
      <c r="V879" s="558">
        <f t="shared" si="99"/>
        <v>0</v>
      </c>
      <c r="W879" s="558">
        <f t="shared" si="98"/>
        <v>0</v>
      </c>
      <c r="X879" s="558">
        <f t="shared" si="101"/>
        <v>0</v>
      </c>
      <c r="Y879" s="558">
        <f t="shared" si="100"/>
        <v>0</v>
      </c>
    </row>
    <row r="880" spans="18:25" x14ac:dyDescent="0.2">
      <c r="R880" s="558">
        <v>879</v>
      </c>
      <c r="S880" s="558">
        <f t="shared" si="95"/>
        <v>-793</v>
      </c>
      <c r="T880" s="558">
        <f t="shared" si="96"/>
        <v>-782</v>
      </c>
      <c r="U880" s="558">
        <f t="shared" si="97"/>
        <v>846</v>
      </c>
      <c r="V880" s="558">
        <f t="shared" si="99"/>
        <v>0</v>
      </c>
      <c r="W880" s="558">
        <f t="shared" si="98"/>
        <v>0</v>
      </c>
      <c r="X880" s="558">
        <f t="shared" si="101"/>
        <v>0</v>
      </c>
      <c r="Y880" s="558">
        <f t="shared" si="100"/>
        <v>0</v>
      </c>
    </row>
    <row r="881" spans="18:25" x14ac:dyDescent="0.2">
      <c r="R881" s="558">
        <v>880</v>
      </c>
      <c r="S881" s="558">
        <f t="shared" si="95"/>
        <v>-794</v>
      </c>
      <c r="T881" s="558">
        <f t="shared" si="96"/>
        <v>-783</v>
      </c>
      <c r="U881" s="558">
        <f t="shared" si="97"/>
        <v>847</v>
      </c>
      <c r="V881" s="558">
        <f t="shared" si="99"/>
        <v>0</v>
      </c>
      <c r="W881" s="558">
        <f t="shared" si="98"/>
        <v>0</v>
      </c>
      <c r="X881" s="558">
        <f t="shared" si="101"/>
        <v>0</v>
      </c>
      <c r="Y881" s="558">
        <f t="shared" si="100"/>
        <v>0</v>
      </c>
    </row>
    <row r="882" spans="18:25" x14ac:dyDescent="0.2">
      <c r="R882" s="558">
        <v>881</v>
      </c>
      <c r="S882" s="558">
        <f t="shared" si="95"/>
        <v>-795</v>
      </c>
      <c r="T882" s="558">
        <f t="shared" si="96"/>
        <v>-784</v>
      </c>
      <c r="U882" s="558">
        <f t="shared" si="97"/>
        <v>848</v>
      </c>
      <c r="V882" s="558">
        <f t="shared" si="99"/>
        <v>0</v>
      </c>
      <c r="W882" s="558">
        <f t="shared" si="98"/>
        <v>0</v>
      </c>
      <c r="X882" s="558">
        <f t="shared" si="101"/>
        <v>0</v>
      </c>
      <c r="Y882" s="558">
        <f t="shared" si="100"/>
        <v>0</v>
      </c>
    </row>
    <row r="883" spans="18:25" x14ac:dyDescent="0.2">
      <c r="R883" s="558">
        <v>882</v>
      </c>
      <c r="S883" s="558">
        <f t="shared" si="95"/>
        <v>-796</v>
      </c>
      <c r="T883" s="558">
        <f t="shared" si="96"/>
        <v>-785</v>
      </c>
      <c r="U883" s="558">
        <f t="shared" si="97"/>
        <v>849</v>
      </c>
      <c r="V883" s="558">
        <f t="shared" si="99"/>
        <v>0</v>
      </c>
      <c r="W883" s="558">
        <f t="shared" si="98"/>
        <v>0</v>
      </c>
      <c r="X883" s="558">
        <f t="shared" si="101"/>
        <v>0</v>
      </c>
      <c r="Y883" s="558">
        <f t="shared" si="100"/>
        <v>0</v>
      </c>
    </row>
    <row r="884" spans="18:25" x14ac:dyDescent="0.2">
      <c r="R884" s="558">
        <v>883</v>
      </c>
      <c r="S884" s="558">
        <f t="shared" si="95"/>
        <v>-797</v>
      </c>
      <c r="T884" s="558">
        <f t="shared" si="96"/>
        <v>-786</v>
      </c>
      <c r="U884" s="558">
        <f t="shared" si="97"/>
        <v>850</v>
      </c>
      <c r="V884" s="558">
        <f t="shared" si="99"/>
        <v>0</v>
      </c>
      <c r="W884" s="558">
        <f t="shared" si="98"/>
        <v>0</v>
      </c>
      <c r="X884" s="558">
        <f t="shared" si="101"/>
        <v>0</v>
      </c>
      <c r="Y884" s="558">
        <f t="shared" si="100"/>
        <v>0</v>
      </c>
    </row>
    <row r="885" spans="18:25" x14ac:dyDescent="0.2">
      <c r="R885" s="558">
        <v>884</v>
      </c>
      <c r="S885" s="558">
        <f t="shared" si="95"/>
        <v>-798</v>
      </c>
      <c r="T885" s="558">
        <f t="shared" si="96"/>
        <v>-787</v>
      </c>
      <c r="U885" s="558">
        <f t="shared" si="97"/>
        <v>851</v>
      </c>
      <c r="V885" s="558">
        <f t="shared" si="99"/>
        <v>0</v>
      </c>
      <c r="W885" s="558">
        <f t="shared" si="98"/>
        <v>0</v>
      </c>
      <c r="X885" s="558">
        <f t="shared" si="101"/>
        <v>0</v>
      </c>
      <c r="Y885" s="558">
        <f t="shared" si="100"/>
        <v>0</v>
      </c>
    </row>
    <row r="886" spans="18:25" x14ac:dyDescent="0.2">
      <c r="R886" s="558">
        <v>885</v>
      </c>
      <c r="S886" s="558">
        <f t="shared" si="95"/>
        <v>-799</v>
      </c>
      <c r="T886" s="558">
        <f t="shared" si="96"/>
        <v>-788</v>
      </c>
      <c r="U886" s="558">
        <f t="shared" si="97"/>
        <v>852</v>
      </c>
      <c r="V886" s="558">
        <f t="shared" si="99"/>
        <v>0</v>
      </c>
      <c r="W886" s="558">
        <f t="shared" si="98"/>
        <v>0</v>
      </c>
      <c r="X886" s="558">
        <f t="shared" si="101"/>
        <v>0</v>
      </c>
      <c r="Y886" s="558">
        <f t="shared" si="100"/>
        <v>0</v>
      </c>
    </row>
    <row r="887" spans="18:25" x14ac:dyDescent="0.2">
      <c r="R887" s="558">
        <v>886</v>
      </c>
      <c r="S887" s="558">
        <f t="shared" si="95"/>
        <v>-800</v>
      </c>
      <c r="T887" s="558">
        <f t="shared" si="96"/>
        <v>-789</v>
      </c>
      <c r="U887" s="558">
        <f t="shared" si="97"/>
        <v>853</v>
      </c>
      <c r="V887" s="558">
        <f t="shared" si="99"/>
        <v>0</v>
      </c>
      <c r="W887" s="558">
        <f t="shared" si="98"/>
        <v>0</v>
      </c>
      <c r="X887" s="558">
        <f t="shared" si="101"/>
        <v>0</v>
      </c>
      <c r="Y887" s="558">
        <f t="shared" si="100"/>
        <v>0</v>
      </c>
    </row>
    <row r="888" spans="18:25" x14ac:dyDescent="0.2">
      <c r="R888" s="558">
        <v>887</v>
      </c>
      <c r="S888" s="558">
        <f t="shared" si="95"/>
        <v>-801</v>
      </c>
      <c r="T888" s="558">
        <f t="shared" si="96"/>
        <v>-790</v>
      </c>
      <c r="U888" s="558">
        <f t="shared" si="97"/>
        <v>854</v>
      </c>
      <c r="V888" s="558">
        <f t="shared" si="99"/>
        <v>0</v>
      </c>
      <c r="W888" s="558">
        <f t="shared" si="98"/>
        <v>0</v>
      </c>
      <c r="X888" s="558">
        <f t="shared" si="101"/>
        <v>0</v>
      </c>
      <c r="Y888" s="558">
        <f t="shared" si="100"/>
        <v>0</v>
      </c>
    </row>
    <row r="889" spans="18:25" x14ac:dyDescent="0.2">
      <c r="R889" s="558">
        <v>888</v>
      </c>
      <c r="S889" s="558">
        <f t="shared" si="95"/>
        <v>-802</v>
      </c>
      <c r="T889" s="558">
        <f t="shared" si="96"/>
        <v>-791</v>
      </c>
      <c r="U889" s="558">
        <f t="shared" si="97"/>
        <v>855</v>
      </c>
      <c r="V889" s="558">
        <f t="shared" si="99"/>
        <v>0</v>
      </c>
      <c r="W889" s="558">
        <f t="shared" si="98"/>
        <v>0</v>
      </c>
      <c r="X889" s="558">
        <f t="shared" si="101"/>
        <v>0</v>
      </c>
      <c r="Y889" s="558">
        <f t="shared" si="100"/>
        <v>0</v>
      </c>
    </row>
    <row r="890" spans="18:25" x14ac:dyDescent="0.2">
      <c r="R890" s="558">
        <v>889</v>
      </c>
      <c r="S890" s="558">
        <f t="shared" si="95"/>
        <v>-803</v>
      </c>
      <c r="T890" s="558">
        <f t="shared" si="96"/>
        <v>-792</v>
      </c>
      <c r="U890" s="558">
        <f t="shared" si="97"/>
        <v>856</v>
      </c>
      <c r="V890" s="558">
        <f t="shared" si="99"/>
        <v>0</v>
      </c>
      <c r="W890" s="558">
        <f t="shared" si="98"/>
        <v>0</v>
      </c>
      <c r="X890" s="558">
        <f t="shared" si="101"/>
        <v>0</v>
      </c>
      <c r="Y890" s="558">
        <f t="shared" si="100"/>
        <v>0</v>
      </c>
    </row>
    <row r="891" spans="18:25" x14ac:dyDescent="0.2">
      <c r="R891" s="558">
        <v>890</v>
      </c>
      <c r="S891" s="558">
        <f t="shared" si="95"/>
        <v>-804</v>
      </c>
      <c r="T891" s="558">
        <f t="shared" si="96"/>
        <v>-793</v>
      </c>
      <c r="U891" s="558">
        <f t="shared" si="97"/>
        <v>857</v>
      </c>
      <c r="V891" s="558">
        <f t="shared" si="99"/>
        <v>0</v>
      </c>
      <c r="W891" s="558">
        <f t="shared" si="98"/>
        <v>0</v>
      </c>
      <c r="X891" s="558">
        <f t="shared" si="101"/>
        <v>0</v>
      </c>
      <c r="Y891" s="558">
        <f t="shared" si="100"/>
        <v>0</v>
      </c>
    </row>
    <row r="892" spans="18:25" x14ac:dyDescent="0.2">
      <c r="R892" s="558">
        <v>891</v>
      </c>
      <c r="S892" s="558">
        <f t="shared" si="95"/>
        <v>-805</v>
      </c>
      <c r="T892" s="558">
        <f t="shared" si="96"/>
        <v>-794</v>
      </c>
      <c r="U892" s="558">
        <f t="shared" si="97"/>
        <v>858</v>
      </c>
      <c r="V892" s="558">
        <f t="shared" si="99"/>
        <v>0</v>
      </c>
      <c r="W892" s="558">
        <f t="shared" si="98"/>
        <v>0</v>
      </c>
      <c r="X892" s="558">
        <f t="shared" si="101"/>
        <v>0</v>
      </c>
      <c r="Y892" s="558">
        <f t="shared" si="100"/>
        <v>0</v>
      </c>
    </row>
    <row r="893" spans="18:25" x14ac:dyDescent="0.2">
      <c r="R893" s="558">
        <v>892</v>
      </c>
      <c r="S893" s="558">
        <f t="shared" si="95"/>
        <v>-806</v>
      </c>
      <c r="T893" s="558">
        <f t="shared" si="96"/>
        <v>-795</v>
      </c>
      <c r="U893" s="558">
        <f t="shared" si="97"/>
        <v>859</v>
      </c>
      <c r="V893" s="558">
        <f t="shared" si="99"/>
        <v>0</v>
      </c>
      <c r="W893" s="558">
        <f t="shared" si="98"/>
        <v>0</v>
      </c>
      <c r="X893" s="558">
        <f t="shared" si="101"/>
        <v>0</v>
      </c>
      <c r="Y893" s="558">
        <f t="shared" si="100"/>
        <v>0</v>
      </c>
    </row>
    <row r="894" spans="18:25" x14ac:dyDescent="0.2">
      <c r="R894" s="558">
        <v>893</v>
      </c>
      <c r="S894" s="558">
        <f t="shared" si="95"/>
        <v>-807</v>
      </c>
      <c r="T894" s="558">
        <f t="shared" si="96"/>
        <v>-796</v>
      </c>
      <c r="U894" s="558">
        <f t="shared" si="97"/>
        <v>860</v>
      </c>
      <c r="V894" s="558">
        <f t="shared" si="99"/>
        <v>0</v>
      </c>
      <c r="W894" s="558">
        <f t="shared" si="98"/>
        <v>0</v>
      </c>
      <c r="X894" s="558">
        <f t="shared" si="101"/>
        <v>0</v>
      </c>
      <c r="Y894" s="558">
        <f t="shared" si="100"/>
        <v>0</v>
      </c>
    </row>
    <row r="895" spans="18:25" x14ac:dyDescent="0.2">
      <c r="R895" s="558">
        <v>894</v>
      </c>
      <c r="S895" s="558">
        <f t="shared" si="95"/>
        <v>-808</v>
      </c>
      <c r="T895" s="558">
        <f t="shared" si="96"/>
        <v>-797</v>
      </c>
      <c r="U895" s="558">
        <f t="shared" si="97"/>
        <v>861</v>
      </c>
      <c r="V895" s="558">
        <f t="shared" si="99"/>
        <v>0</v>
      </c>
      <c r="W895" s="558">
        <f t="shared" si="98"/>
        <v>0</v>
      </c>
      <c r="X895" s="558">
        <f t="shared" si="101"/>
        <v>0</v>
      </c>
      <c r="Y895" s="558">
        <f t="shared" si="100"/>
        <v>0</v>
      </c>
    </row>
    <row r="896" spans="18:25" x14ac:dyDescent="0.2">
      <c r="R896" s="558">
        <v>895</v>
      </c>
      <c r="S896" s="558">
        <f t="shared" si="95"/>
        <v>-809</v>
      </c>
      <c r="T896" s="558">
        <f t="shared" si="96"/>
        <v>-798</v>
      </c>
      <c r="U896" s="558">
        <f t="shared" si="97"/>
        <v>862</v>
      </c>
      <c r="V896" s="558">
        <f t="shared" si="99"/>
        <v>0</v>
      </c>
      <c r="W896" s="558">
        <f t="shared" si="98"/>
        <v>0</v>
      </c>
      <c r="X896" s="558">
        <f t="shared" si="101"/>
        <v>0</v>
      </c>
      <c r="Y896" s="558">
        <f t="shared" si="100"/>
        <v>0</v>
      </c>
    </row>
    <row r="897" spans="18:25" x14ac:dyDescent="0.2">
      <c r="R897" s="558">
        <v>896</v>
      </c>
      <c r="S897" s="558">
        <f t="shared" ref="S897:S960" si="102">$D$7-R897</f>
        <v>-810</v>
      </c>
      <c r="T897" s="558">
        <f t="shared" ref="T897:T960" si="103">$B$9-R897</f>
        <v>-799</v>
      </c>
      <c r="U897" s="558">
        <f t="shared" ref="U897:U960" si="104">$D$9-SUM(R897:T897)</f>
        <v>863</v>
      </c>
      <c r="V897" s="558">
        <f t="shared" si="99"/>
        <v>0</v>
      </c>
      <c r="W897" s="558">
        <f t="shared" ref="W897:W960" si="105">_xlfn.HYPGEOM.DIST(R897,R897+T897,R897+S897,SUM(R897:U897),0)</f>
        <v>0</v>
      </c>
      <c r="X897" s="558">
        <f t="shared" si="101"/>
        <v>0</v>
      </c>
      <c r="Y897" s="558">
        <f t="shared" si="100"/>
        <v>0</v>
      </c>
    </row>
    <row r="898" spans="18:25" x14ac:dyDescent="0.2">
      <c r="R898" s="558">
        <v>897</v>
      </c>
      <c r="S898" s="558">
        <f t="shared" si="102"/>
        <v>-811</v>
      </c>
      <c r="T898" s="558">
        <f t="shared" si="103"/>
        <v>-800</v>
      </c>
      <c r="U898" s="558">
        <f t="shared" si="104"/>
        <v>864</v>
      </c>
      <c r="V898" s="558">
        <f t="shared" ref="V898:V961" si="106">IF(S898&gt;=0,IF(T898&gt;=0,IF(U898&gt;=0,1,0),0),0)</f>
        <v>0</v>
      </c>
      <c r="W898" s="558">
        <f t="shared" si="105"/>
        <v>0</v>
      </c>
      <c r="X898" s="558">
        <f t="shared" si="101"/>
        <v>0</v>
      </c>
      <c r="Y898" s="558">
        <f t="shared" ref="Y898:Y961" si="107">IF(W898&lt;=SUM($X$1:$X$1101),W898,0)</f>
        <v>0</v>
      </c>
    </row>
    <row r="899" spans="18:25" x14ac:dyDescent="0.2">
      <c r="R899" s="558">
        <v>898</v>
      </c>
      <c r="S899" s="558">
        <f t="shared" si="102"/>
        <v>-812</v>
      </c>
      <c r="T899" s="558">
        <f t="shared" si="103"/>
        <v>-801</v>
      </c>
      <c r="U899" s="558">
        <f t="shared" si="104"/>
        <v>865</v>
      </c>
      <c r="V899" s="558">
        <f t="shared" si="106"/>
        <v>0</v>
      </c>
      <c r="W899" s="558">
        <f t="shared" si="105"/>
        <v>0</v>
      </c>
      <c r="X899" s="558">
        <f t="shared" si="101"/>
        <v>0</v>
      </c>
      <c r="Y899" s="558">
        <f t="shared" si="107"/>
        <v>0</v>
      </c>
    </row>
    <row r="900" spans="18:25" x14ac:dyDescent="0.2">
      <c r="R900" s="558">
        <v>899</v>
      </c>
      <c r="S900" s="558">
        <f t="shared" si="102"/>
        <v>-813</v>
      </c>
      <c r="T900" s="558">
        <f t="shared" si="103"/>
        <v>-802</v>
      </c>
      <c r="U900" s="558">
        <f t="shared" si="104"/>
        <v>866</v>
      </c>
      <c r="V900" s="558">
        <f t="shared" si="106"/>
        <v>0</v>
      </c>
      <c r="W900" s="558">
        <f t="shared" si="105"/>
        <v>0</v>
      </c>
      <c r="X900" s="558">
        <f t="shared" si="101"/>
        <v>0</v>
      </c>
      <c r="Y900" s="558">
        <f t="shared" si="107"/>
        <v>0</v>
      </c>
    </row>
    <row r="901" spans="18:25" x14ac:dyDescent="0.2">
      <c r="R901" s="558">
        <v>900</v>
      </c>
      <c r="S901" s="558">
        <f t="shared" si="102"/>
        <v>-814</v>
      </c>
      <c r="T901" s="558">
        <f t="shared" si="103"/>
        <v>-803</v>
      </c>
      <c r="U901" s="558">
        <f t="shared" si="104"/>
        <v>867</v>
      </c>
      <c r="V901" s="558">
        <f t="shared" si="106"/>
        <v>0</v>
      </c>
      <c r="W901" s="558">
        <f t="shared" si="105"/>
        <v>0</v>
      </c>
      <c r="X901" s="558">
        <f t="shared" si="101"/>
        <v>0</v>
      </c>
      <c r="Y901" s="558">
        <f t="shared" si="107"/>
        <v>0</v>
      </c>
    </row>
    <row r="902" spans="18:25" x14ac:dyDescent="0.2">
      <c r="R902" s="558">
        <v>901</v>
      </c>
      <c r="S902" s="558">
        <f t="shared" si="102"/>
        <v>-815</v>
      </c>
      <c r="T902" s="558">
        <f t="shared" si="103"/>
        <v>-804</v>
      </c>
      <c r="U902" s="558">
        <f t="shared" si="104"/>
        <v>868</v>
      </c>
      <c r="V902" s="558">
        <f t="shared" si="106"/>
        <v>0</v>
      </c>
      <c r="W902" s="558">
        <f t="shared" si="105"/>
        <v>0</v>
      </c>
      <c r="X902" s="558">
        <f t="shared" si="101"/>
        <v>0</v>
      </c>
      <c r="Y902" s="558">
        <f t="shared" si="107"/>
        <v>0</v>
      </c>
    </row>
    <row r="903" spans="18:25" x14ac:dyDescent="0.2">
      <c r="R903" s="558">
        <v>902</v>
      </c>
      <c r="S903" s="558">
        <f t="shared" si="102"/>
        <v>-816</v>
      </c>
      <c r="T903" s="558">
        <f t="shared" si="103"/>
        <v>-805</v>
      </c>
      <c r="U903" s="558">
        <f t="shared" si="104"/>
        <v>869</v>
      </c>
      <c r="V903" s="558">
        <f t="shared" si="106"/>
        <v>0</v>
      </c>
      <c r="W903" s="558">
        <f t="shared" si="105"/>
        <v>0</v>
      </c>
      <c r="X903" s="558">
        <f t="shared" si="101"/>
        <v>0</v>
      </c>
      <c r="Y903" s="558">
        <f t="shared" si="107"/>
        <v>0</v>
      </c>
    </row>
    <row r="904" spans="18:25" x14ac:dyDescent="0.2">
      <c r="R904" s="558">
        <v>903</v>
      </c>
      <c r="S904" s="558">
        <f t="shared" si="102"/>
        <v>-817</v>
      </c>
      <c r="T904" s="558">
        <f t="shared" si="103"/>
        <v>-806</v>
      </c>
      <c r="U904" s="558">
        <f t="shared" si="104"/>
        <v>870</v>
      </c>
      <c r="V904" s="558">
        <f t="shared" si="106"/>
        <v>0</v>
      </c>
      <c r="W904" s="558">
        <f t="shared" si="105"/>
        <v>0</v>
      </c>
      <c r="X904" s="558">
        <f t="shared" si="101"/>
        <v>0</v>
      </c>
      <c r="Y904" s="558">
        <f t="shared" si="107"/>
        <v>0</v>
      </c>
    </row>
    <row r="905" spans="18:25" x14ac:dyDescent="0.2">
      <c r="R905" s="558">
        <v>904</v>
      </c>
      <c r="S905" s="558">
        <f t="shared" si="102"/>
        <v>-818</v>
      </c>
      <c r="T905" s="558">
        <f t="shared" si="103"/>
        <v>-807</v>
      </c>
      <c r="U905" s="558">
        <f t="shared" si="104"/>
        <v>871</v>
      </c>
      <c r="V905" s="558">
        <f t="shared" si="106"/>
        <v>0</v>
      </c>
      <c r="W905" s="558">
        <f t="shared" si="105"/>
        <v>0</v>
      </c>
      <c r="X905" s="558">
        <f t="shared" si="101"/>
        <v>0</v>
      </c>
      <c r="Y905" s="558">
        <f t="shared" si="107"/>
        <v>0</v>
      </c>
    </row>
    <row r="906" spans="18:25" x14ac:dyDescent="0.2">
      <c r="R906" s="558">
        <v>905</v>
      </c>
      <c r="S906" s="558">
        <f t="shared" si="102"/>
        <v>-819</v>
      </c>
      <c r="T906" s="558">
        <f t="shared" si="103"/>
        <v>-808</v>
      </c>
      <c r="U906" s="558">
        <f t="shared" si="104"/>
        <v>872</v>
      </c>
      <c r="V906" s="558">
        <f t="shared" si="106"/>
        <v>0</v>
      </c>
      <c r="W906" s="558">
        <f t="shared" si="105"/>
        <v>0</v>
      </c>
      <c r="X906" s="558">
        <f t="shared" si="101"/>
        <v>0</v>
      </c>
      <c r="Y906" s="558">
        <f t="shared" si="107"/>
        <v>0</v>
      </c>
    </row>
    <row r="907" spans="18:25" x14ac:dyDescent="0.2">
      <c r="R907" s="558">
        <v>906</v>
      </c>
      <c r="S907" s="558">
        <f t="shared" si="102"/>
        <v>-820</v>
      </c>
      <c r="T907" s="558">
        <f t="shared" si="103"/>
        <v>-809</v>
      </c>
      <c r="U907" s="558">
        <f t="shared" si="104"/>
        <v>873</v>
      </c>
      <c r="V907" s="558">
        <f t="shared" si="106"/>
        <v>0</v>
      </c>
      <c r="W907" s="558">
        <f t="shared" si="105"/>
        <v>0</v>
      </c>
      <c r="X907" s="558">
        <f t="shared" si="101"/>
        <v>0</v>
      </c>
      <c r="Y907" s="558">
        <f t="shared" si="107"/>
        <v>0</v>
      </c>
    </row>
    <row r="908" spans="18:25" x14ac:dyDescent="0.2">
      <c r="R908" s="558">
        <v>907</v>
      </c>
      <c r="S908" s="558">
        <f t="shared" si="102"/>
        <v>-821</v>
      </c>
      <c r="T908" s="558">
        <f t="shared" si="103"/>
        <v>-810</v>
      </c>
      <c r="U908" s="558">
        <f t="shared" si="104"/>
        <v>874</v>
      </c>
      <c r="V908" s="558">
        <f t="shared" si="106"/>
        <v>0</v>
      </c>
      <c r="W908" s="558">
        <f t="shared" si="105"/>
        <v>0</v>
      </c>
      <c r="X908" s="558">
        <f t="shared" si="101"/>
        <v>0</v>
      </c>
      <c r="Y908" s="558">
        <f t="shared" si="107"/>
        <v>0</v>
      </c>
    </row>
    <row r="909" spans="18:25" x14ac:dyDescent="0.2">
      <c r="R909" s="558">
        <v>908</v>
      </c>
      <c r="S909" s="558">
        <f t="shared" si="102"/>
        <v>-822</v>
      </c>
      <c r="T909" s="558">
        <f t="shared" si="103"/>
        <v>-811</v>
      </c>
      <c r="U909" s="558">
        <f t="shared" si="104"/>
        <v>875</v>
      </c>
      <c r="V909" s="558">
        <f t="shared" si="106"/>
        <v>0</v>
      </c>
      <c r="W909" s="558">
        <f t="shared" si="105"/>
        <v>0</v>
      </c>
      <c r="X909" s="558">
        <f t="shared" si="101"/>
        <v>0</v>
      </c>
      <c r="Y909" s="558">
        <f t="shared" si="107"/>
        <v>0</v>
      </c>
    </row>
    <row r="910" spans="18:25" x14ac:dyDescent="0.2">
      <c r="R910" s="558">
        <v>909</v>
      </c>
      <c r="S910" s="558">
        <f t="shared" si="102"/>
        <v>-823</v>
      </c>
      <c r="T910" s="558">
        <f t="shared" si="103"/>
        <v>-812</v>
      </c>
      <c r="U910" s="558">
        <f t="shared" si="104"/>
        <v>876</v>
      </c>
      <c r="V910" s="558">
        <f t="shared" si="106"/>
        <v>0</v>
      </c>
      <c r="W910" s="558">
        <f t="shared" si="105"/>
        <v>0</v>
      </c>
      <c r="X910" s="558">
        <f t="shared" si="101"/>
        <v>0</v>
      </c>
      <c r="Y910" s="558">
        <f t="shared" si="107"/>
        <v>0</v>
      </c>
    </row>
    <row r="911" spans="18:25" x14ac:dyDescent="0.2">
      <c r="R911" s="558">
        <v>910</v>
      </c>
      <c r="S911" s="558">
        <f t="shared" si="102"/>
        <v>-824</v>
      </c>
      <c r="T911" s="558">
        <f t="shared" si="103"/>
        <v>-813</v>
      </c>
      <c r="U911" s="558">
        <f t="shared" si="104"/>
        <v>877</v>
      </c>
      <c r="V911" s="558">
        <f t="shared" si="106"/>
        <v>0</v>
      </c>
      <c r="W911" s="558">
        <f t="shared" si="105"/>
        <v>0</v>
      </c>
      <c r="X911" s="558">
        <f t="shared" si="101"/>
        <v>0</v>
      </c>
      <c r="Y911" s="558">
        <f t="shared" si="107"/>
        <v>0</v>
      </c>
    </row>
    <row r="912" spans="18:25" x14ac:dyDescent="0.2">
      <c r="R912" s="558">
        <v>911</v>
      </c>
      <c r="S912" s="558">
        <f t="shared" si="102"/>
        <v>-825</v>
      </c>
      <c r="T912" s="558">
        <f t="shared" si="103"/>
        <v>-814</v>
      </c>
      <c r="U912" s="558">
        <f t="shared" si="104"/>
        <v>878</v>
      </c>
      <c r="V912" s="558">
        <f t="shared" si="106"/>
        <v>0</v>
      </c>
      <c r="W912" s="558">
        <f t="shared" si="105"/>
        <v>0</v>
      </c>
      <c r="X912" s="558">
        <f t="shared" si="101"/>
        <v>0</v>
      </c>
      <c r="Y912" s="558">
        <f t="shared" si="107"/>
        <v>0</v>
      </c>
    </row>
    <row r="913" spans="18:25" x14ac:dyDescent="0.2">
      <c r="R913" s="558">
        <v>912</v>
      </c>
      <c r="S913" s="558">
        <f t="shared" si="102"/>
        <v>-826</v>
      </c>
      <c r="T913" s="558">
        <f t="shared" si="103"/>
        <v>-815</v>
      </c>
      <c r="U913" s="558">
        <f t="shared" si="104"/>
        <v>879</v>
      </c>
      <c r="V913" s="558">
        <f t="shared" si="106"/>
        <v>0</v>
      </c>
      <c r="W913" s="558">
        <f t="shared" si="105"/>
        <v>0</v>
      </c>
      <c r="X913" s="558">
        <f t="shared" si="101"/>
        <v>0</v>
      </c>
      <c r="Y913" s="558">
        <f t="shared" si="107"/>
        <v>0</v>
      </c>
    </row>
    <row r="914" spans="18:25" x14ac:dyDescent="0.2">
      <c r="R914" s="558">
        <v>913</v>
      </c>
      <c r="S914" s="558">
        <f t="shared" si="102"/>
        <v>-827</v>
      </c>
      <c r="T914" s="558">
        <f t="shared" si="103"/>
        <v>-816</v>
      </c>
      <c r="U914" s="558">
        <f t="shared" si="104"/>
        <v>880</v>
      </c>
      <c r="V914" s="558">
        <f t="shared" si="106"/>
        <v>0</v>
      </c>
      <c r="W914" s="558">
        <f t="shared" si="105"/>
        <v>0</v>
      </c>
      <c r="X914" s="558">
        <f t="shared" si="101"/>
        <v>0</v>
      </c>
      <c r="Y914" s="558">
        <f t="shared" si="107"/>
        <v>0</v>
      </c>
    </row>
    <row r="915" spans="18:25" x14ac:dyDescent="0.2">
      <c r="R915" s="558">
        <v>914</v>
      </c>
      <c r="S915" s="558">
        <f t="shared" si="102"/>
        <v>-828</v>
      </c>
      <c r="T915" s="558">
        <f t="shared" si="103"/>
        <v>-817</v>
      </c>
      <c r="U915" s="558">
        <f t="shared" si="104"/>
        <v>881</v>
      </c>
      <c r="V915" s="558">
        <f t="shared" si="106"/>
        <v>0</v>
      </c>
      <c r="W915" s="558">
        <f t="shared" si="105"/>
        <v>0</v>
      </c>
      <c r="X915" s="558">
        <f t="shared" si="101"/>
        <v>0</v>
      </c>
      <c r="Y915" s="558">
        <f t="shared" si="107"/>
        <v>0</v>
      </c>
    </row>
    <row r="916" spans="18:25" x14ac:dyDescent="0.2">
      <c r="R916" s="558">
        <v>915</v>
      </c>
      <c r="S916" s="558">
        <f t="shared" si="102"/>
        <v>-829</v>
      </c>
      <c r="T916" s="558">
        <f t="shared" si="103"/>
        <v>-818</v>
      </c>
      <c r="U916" s="558">
        <f t="shared" si="104"/>
        <v>882</v>
      </c>
      <c r="V916" s="558">
        <f t="shared" si="106"/>
        <v>0</v>
      </c>
      <c r="W916" s="558">
        <f t="shared" si="105"/>
        <v>0</v>
      </c>
      <c r="X916" s="558">
        <f t="shared" si="101"/>
        <v>0</v>
      </c>
      <c r="Y916" s="558">
        <f t="shared" si="107"/>
        <v>0</v>
      </c>
    </row>
    <row r="917" spans="18:25" x14ac:dyDescent="0.2">
      <c r="R917" s="558">
        <v>916</v>
      </c>
      <c r="S917" s="558">
        <f t="shared" si="102"/>
        <v>-830</v>
      </c>
      <c r="T917" s="558">
        <f t="shared" si="103"/>
        <v>-819</v>
      </c>
      <c r="U917" s="558">
        <f t="shared" si="104"/>
        <v>883</v>
      </c>
      <c r="V917" s="558">
        <f t="shared" si="106"/>
        <v>0</v>
      </c>
      <c r="W917" s="558">
        <f t="shared" si="105"/>
        <v>0</v>
      </c>
      <c r="X917" s="558">
        <f t="shared" si="101"/>
        <v>0</v>
      </c>
      <c r="Y917" s="558">
        <f t="shared" si="107"/>
        <v>0</v>
      </c>
    </row>
    <row r="918" spans="18:25" x14ac:dyDescent="0.2">
      <c r="R918" s="558">
        <v>917</v>
      </c>
      <c r="S918" s="558">
        <f t="shared" si="102"/>
        <v>-831</v>
      </c>
      <c r="T918" s="558">
        <f t="shared" si="103"/>
        <v>-820</v>
      </c>
      <c r="U918" s="558">
        <f t="shared" si="104"/>
        <v>884</v>
      </c>
      <c r="V918" s="558">
        <f t="shared" si="106"/>
        <v>0</v>
      </c>
      <c r="W918" s="558">
        <f t="shared" si="105"/>
        <v>0</v>
      </c>
      <c r="X918" s="558">
        <f t="shared" si="101"/>
        <v>0</v>
      </c>
      <c r="Y918" s="558">
        <f t="shared" si="107"/>
        <v>0</v>
      </c>
    </row>
    <row r="919" spans="18:25" x14ac:dyDescent="0.2">
      <c r="R919" s="558">
        <v>918</v>
      </c>
      <c r="S919" s="558">
        <f t="shared" si="102"/>
        <v>-832</v>
      </c>
      <c r="T919" s="558">
        <f t="shared" si="103"/>
        <v>-821</v>
      </c>
      <c r="U919" s="558">
        <f t="shared" si="104"/>
        <v>885</v>
      </c>
      <c r="V919" s="558">
        <f t="shared" si="106"/>
        <v>0</v>
      </c>
      <c r="W919" s="558">
        <f t="shared" si="105"/>
        <v>0</v>
      </c>
      <c r="X919" s="558">
        <f t="shared" si="101"/>
        <v>0</v>
      </c>
      <c r="Y919" s="558">
        <f t="shared" si="107"/>
        <v>0</v>
      </c>
    </row>
    <row r="920" spans="18:25" x14ac:dyDescent="0.2">
      <c r="R920" s="558">
        <v>919</v>
      </c>
      <c r="S920" s="558">
        <f t="shared" si="102"/>
        <v>-833</v>
      </c>
      <c r="T920" s="558">
        <f t="shared" si="103"/>
        <v>-822</v>
      </c>
      <c r="U920" s="558">
        <f t="shared" si="104"/>
        <v>886</v>
      </c>
      <c r="V920" s="558">
        <f t="shared" si="106"/>
        <v>0</v>
      </c>
      <c r="W920" s="558">
        <f t="shared" si="105"/>
        <v>0</v>
      </c>
      <c r="X920" s="558">
        <f t="shared" si="101"/>
        <v>0</v>
      </c>
      <c r="Y920" s="558">
        <f t="shared" si="107"/>
        <v>0</v>
      </c>
    </row>
    <row r="921" spans="18:25" x14ac:dyDescent="0.2">
      <c r="R921" s="558">
        <v>920</v>
      </c>
      <c r="S921" s="558">
        <f t="shared" si="102"/>
        <v>-834</v>
      </c>
      <c r="T921" s="558">
        <f t="shared" si="103"/>
        <v>-823</v>
      </c>
      <c r="U921" s="558">
        <f t="shared" si="104"/>
        <v>887</v>
      </c>
      <c r="V921" s="558">
        <f t="shared" si="106"/>
        <v>0</v>
      </c>
      <c r="W921" s="558">
        <f t="shared" si="105"/>
        <v>0</v>
      </c>
      <c r="X921" s="558">
        <f t="shared" si="101"/>
        <v>0</v>
      </c>
      <c r="Y921" s="558">
        <f t="shared" si="107"/>
        <v>0</v>
      </c>
    </row>
    <row r="922" spans="18:25" x14ac:dyDescent="0.2">
      <c r="R922" s="558">
        <v>921</v>
      </c>
      <c r="S922" s="558">
        <f t="shared" si="102"/>
        <v>-835</v>
      </c>
      <c r="T922" s="558">
        <f t="shared" si="103"/>
        <v>-824</v>
      </c>
      <c r="U922" s="558">
        <f t="shared" si="104"/>
        <v>888</v>
      </c>
      <c r="V922" s="558">
        <f t="shared" si="106"/>
        <v>0</v>
      </c>
      <c r="W922" s="558">
        <f t="shared" si="105"/>
        <v>0</v>
      </c>
      <c r="X922" s="558">
        <f t="shared" si="101"/>
        <v>0</v>
      </c>
      <c r="Y922" s="558">
        <f t="shared" si="107"/>
        <v>0</v>
      </c>
    </row>
    <row r="923" spans="18:25" x14ac:dyDescent="0.2">
      <c r="R923" s="558">
        <v>922</v>
      </c>
      <c r="S923" s="558">
        <f t="shared" si="102"/>
        <v>-836</v>
      </c>
      <c r="T923" s="558">
        <f t="shared" si="103"/>
        <v>-825</v>
      </c>
      <c r="U923" s="558">
        <f t="shared" si="104"/>
        <v>889</v>
      </c>
      <c r="V923" s="558">
        <f t="shared" si="106"/>
        <v>0</v>
      </c>
      <c r="W923" s="558">
        <f t="shared" si="105"/>
        <v>0</v>
      </c>
      <c r="X923" s="558">
        <f t="shared" si="101"/>
        <v>0</v>
      </c>
      <c r="Y923" s="558">
        <f t="shared" si="107"/>
        <v>0</v>
      </c>
    </row>
    <row r="924" spans="18:25" x14ac:dyDescent="0.2">
      <c r="R924" s="558">
        <v>923</v>
      </c>
      <c r="S924" s="558">
        <f t="shared" si="102"/>
        <v>-837</v>
      </c>
      <c r="T924" s="558">
        <f t="shared" si="103"/>
        <v>-826</v>
      </c>
      <c r="U924" s="558">
        <f t="shared" si="104"/>
        <v>890</v>
      </c>
      <c r="V924" s="558">
        <f t="shared" si="106"/>
        <v>0</v>
      </c>
      <c r="W924" s="558">
        <f t="shared" si="105"/>
        <v>0</v>
      </c>
      <c r="X924" s="558">
        <f t="shared" si="101"/>
        <v>0</v>
      </c>
      <c r="Y924" s="558">
        <f t="shared" si="107"/>
        <v>0</v>
      </c>
    </row>
    <row r="925" spans="18:25" x14ac:dyDescent="0.2">
      <c r="R925" s="558">
        <v>924</v>
      </c>
      <c r="S925" s="558">
        <f t="shared" si="102"/>
        <v>-838</v>
      </c>
      <c r="T925" s="558">
        <f t="shared" si="103"/>
        <v>-827</v>
      </c>
      <c r="U925" s="558">
        <f t="shared" si="104"/>
        <v>891</v>
      </c>
      <c r="V925" s="558">
        <f t="shared" si="106"/>
        <v>0</v>
      </c>
      <c r="W925" s="558">
        <f t="shared" si="105"/>
        <v>0</v>
      </c>
      <c r="X925" s="558">
        <f t="shared" si="101"/>
        <v>0</v>
      </c>
      <c r="Y925" s="558">
        <f t="shared" si="107"/>
        <v>0</v>
      </c>
    </row>
    <row r="926" spans="18:25" x14ac:dyDescent="0.2">
      <c r="R926" s="558">
        <v>925</v>
      </c>
      <c r="S926" s="558">
        <f t="shared" si="102"/>
        <v>-839</v>
      </c>
      <c r="T926" s="558">
        <f t="shared" si="103"/>
        <v>-828</v>
      </c>
      <c r="U926" s="558">
        <f t="shared" si="104"/>
        <v>892</v>
      </c>
      <c r="V926" s="558">
        <f t="shared" si="106"/>
        <v>0</v>
      </c>
      <c r="W926" s="558">
        <f t="shared" si="105"/>
        <v>0</v>
      </c>
      <c r="X926" s="558">
        <f t="shared" si="101"/>
        <v>0</v>
      </c>
      <c r="Y926" s="558">
        <f t="shared" si="107"/>
        <v>0</v>
      </c>
    </row>
    <row r="927" spans="18:25" x14ac:dyDescent="0.2">
      <c r="R927" s="558">
        <v>926</v>
      </c>
      <c r="S927" s="558">
        <f t="shared" si="102"/>
        <v>-840</v>
      </c>
      <c r="T927" s="558">
        <f t="shared" si="103"/>
        <v>-829</v>
      </c>
      <c r="U927" s="558">
        <f t="shared" si="104"/>
        <v>893</v>
      </c>
      <c r="V927" s="558">
        <f t="shared" si="106"/>
        <v>0</v>
      </c>
      <c r="W927" s="558">
        <f t="shared" si="105"/>
        <v>0</v>
      </c>
      <c r="X927" s="558">
        <f t="shared" si="101"/>
        <v>0</v>
      </c>
      <c r="Y927" s="558">
        <f t="shared" si="107"/>
        <v>0</v>
      </c>
    </row>
    <row r="928" spans="18:25" x14ac:dyDescent="0.2">
      <c r="R928" s="558">
        <v>927</v>
      </c>
      <c r="S928" s="558">
        <f t="shared" si="102"/>
        <v>-841</v>
      </c>
      <c r="T928" s="558">
        <f t="shared" si="103"/>
        <v>-830</v>
      </c>
      <c r="U928" s="558">
        <f t="shared" si="104"/>
        <v>894</v>
      </c>
      <c r="V928" s="558">
        <f t="shared" si="106"/>
        <v>0</v>
      </c>
      <c r="W928" s="558">
        <f t="shared" si="105"/>
        <v>0</v>
      </c>
      <c r="X928" s="558">
        <f t="shared" si="101"/>
        <v>0</v>
      </c>
      <c r="Y928" s="558">
        <f t="shared" si="107"/>
        <v>0</v>
      </c>
    </row>
    <row r="929" spans="18:25" x14ac:dyDescent="0.2">
      <c r="R929" s="558">
        <v>928</v>
      </c>
      <c r="S929" s="558">
        <f t="shared" si="102"/>
        <v>-842</v>
      </c>
      <c r="T929" s="558">
        <f t="shared" si="103"/>
        <v>-831</v>
      </c>
      <c r="U929" s="558">
        <f t="shared" si="104"/>
        <v>895</v>
      </c>
      <c r="V929" s="558">
        <f t="shared" si="106"/>
        <v>0</v>
      </c>
      <c r="W929" s="558">
        <f t="shared" si="105"/>
        <v>0</v>
      </c>
      <c r="X929" s="558">
        <f t="shared" si="101"/>
        <v>0</v>
      </c>
      <c r="Y929" s="558">
        <f t="shared" si="107"/>
        <v>0</v>
      </c>
    </row>
    <row r="930" spans="18:25" x14ac:dyDescent="0.2">
      <c r="R930" s="558">
        <v>929</v>
      </c>
      <c r="S930" s="558">
        <f t="shared" si="102"/>
        <v>-843</v>
      </c>
      <c r="T930" s="558">
        <f t="shared" si="103"/>
        <v>-832</v>
      </c>
      <c r="U930" s="558">
        <f t="shared" si="104"/>
        <v>896</v>
      </c>
      <c r="V930" s="558">
        <f t="shared" si="106"/>
        <v>0</v>
      </c>
      <c r="W930" s="558">
        <f t="shared" si="105"/>
        <v>0</v>
      </c>
      <c r="X930" s="558">
        <f t="shared" si="101"/>
        <v>0</v>
      </c>
      <c r="Y930" s="558">
        <f t="shared" si="107"/>
        <v>0</v>
      </c>
    </row>
    <row r="931" spans="18:25" x14ac:dyDescent="0.2">
      <c r="R931" s="558">
        <v>930</v>
      </c>
      <c r="S931" s="558">
        <f t="shared" si="102"/>
        <v>-844</v>
      </c>
      <c r="T931" s="558">
        <f t="shared" si="103"/>
        <v>-833</v>
      </c>
      <c r="U931" s="558">
        <f t="shared" si="104"/>
        <v>897</v>
      </c>
      <c r="V931" s="558">
        <f t="shared" si="106"/>
        <v>0</v>
      </c>
      <c r="W931" s="558">
        <f t="shared" si="105"/>
        <v>0</v>
      </c>
      <c r="X931" s="558">
        <f t="shared" ref="X931:X994" si="108">IF(R931=$B$7,W931,0)</f>
        <v>0</v>
      </c>
      <c r="Y931" s="558">
        <f t="shared" si="107"/>
        <v>0</v>
      </c>
    </row>
    <row r="932" spans="18:25" x14ac:dyDescent="0.2">
      <c r="R932" s="558">
        <v>931</v>
      </c>
      <c r="S932" s="558">
        <f t="shared" si="102"/>
        <v>-845</v>
      </c>
      <c r="T932" s="558">
        <f t="shared" si="103"/>
        <v>-834</v>
      </c>
      <c r="U932" s="558">
        <f t="shared" si="104"/>
        <v>898</v>
      </c>
      <c r="V932" s="558">
        <f t="shared" si="106"/>
        <v>0</v>
      </c>
      <c r="W932" s="558">
        <f t="shared" si="105"/>
        <v>0</v>
      </c>
      <c r="X932" s="558">
        <f t="shared" si="108"/>
        <v>0</v>
      </c>
      <c r="Y932" s="558">
        <f t="shared" si="107"/>
        <v>0</v>
      </c>
    </row>
    <row r="933" spans="18:25" x14ac:dyDescent="0.2">
      <c r="R933" s="558">
        <v>932</v>
      </c>
      <c r="S933" s="558">
        <f t="shared" si="102"/>
        <v>-846</v>
      </c>
      <c r="T933" s="558">
        <f t="shared" si="103"/>
        <v>-835</v>
      </c>
      <c r="U933" s="558">
        <f t="shared" si="104"/>
        <v>899</v>
      </c>
      <c r="V933" s="558">
        <f t="shared" si="106"/>
        <v>0</v>
      </c>
      <c r="W933" s="558">
        <f t="shared" si="105"/>
        <v>0</v>
      </c>
      <c r="X933" s="558">
        <f t="shared" si="108"/>
        <v>0</v>
      </c>
      <c r="Y933" s="558">
        <f t="shared" si="107"/>
        <v>0</v>
      </c>
    </row>
    <row r="934" spans="18:25" x14ac:dyDescent="0.2">
      <c r="R934" s="558">
        <v>933</v>
      </c>
      <c r="S934" s="558">
        <f t="shared" si="102"/>
        <v>-847</v>
      </c>
      <c r="T934" s="558">
        <f t="shared" si="103"/>
        <v>-836</v>
      </c>
      <c r="U934" s="558">
        <f t="shared" si="104"/>
        <v>900</v>
      </c>
      <c r="V934" s="558">
        <f t="shared" si="106"/>
        <v>0</v>
      </c>
      <c r="W934" s="558">
        <f t="shared" si="105"/>
        <v>0</v>
      </c>
      <c r="X934" s="558">
        <f t="shared" si="108"/>
        <v>0</v>
      </c>
      <c r="Y934" s="558">
        <f t="shared" si="107"/>
        <v>0</v>
      </c>
    </row>
    <row r="935" spans="18:25" x14ac:dyDescent="0.2">
      <c r="R935" s="558">
        <v>934</v>
      </c>
      <c r="S935" s="558">
        <f t="shared" si="102"/>
        <v>-848</v>
      </c>
      <c r="T935" s="558">
        <f t="shared" si="103"/>
        <v>-837</v>
      </c>
      <c r="U935" s="558">
        <f t="shared" si="104"/>
        <v>901</v>
      </c>
      <c r="V935" s="558">
        <f t="shared" si="106"/>
        <v>0</v>
      </c>
      <c r="W935" s="558">
        <f t="shared" si="105"/>
        <v>0</v>
      </c>
      <c r="X935" s="558">
        <f t="shared" si="108"/>
        <v>0</v>
      </c>
      <c r="Y935" s="558">
        <f t="shared" si="107"/>
        <v>0</v>
      </c>
    </row>
    <row r="936" spans="18:25" x14ac:dyDescent="0.2">
      <c r="R936" s="558">
        <v>935</v>
      </c>
      <c r="S936" s="558">
        <f t="shared" si="102"/>
        <v>-849</v>
      </c>
      <c r="T936" s="558">
        <f t="shared" si="103"/>
        <v>-838</v>
      </c>
      <c r="U936" s="558">
        <f t="shared" si="104"/>
        <v>902</v>
      </c>
      <c r="V936" s="558">
        <f t="shared" si="106"/>
        <v>0</v>
      </c>
      <c r="W936" s="558">
        <f t="shared" si="105"/>
        <v>0</v>
      </c>
      <c r="X936" s="558">
        <f t="shared" si="108"/>
        <v>0</v>
      </c>
      <c r="Y936" s="558">
        <f t="shared" si="107"/>
        <v>0</v>
      </c>
    </row>
    <row r="937" spans="18:25" x14ac:dyDescent="0.2">
      <c r="R937" s="558">
        <v>936</v>
      </c>
      <c r="S937" s="558">
        <f t="shared" si="102"/>
        <v>-850</v>
      </c>
      <c r="T937" s="558">
        <f t="shared" si="103"/>
        <v>-839</v>
      </c>
      <c r="U937" s="558">
        <f t="shared" si="104"/>
        <v>903</v>
      </c>
      <c r="V937" s="558">
        <f t="shared" si="106"/>
        <v>0</v>
      </c>
      <c r="W937" s="558">
        <f t="shared" si="105"/>
        <v>0</v>
      </c>
      <c r="X937" s="558">
        <f t="shared" si="108"/>
        <v>0</v>
      </c>
      <c r="Y937" s="558">
        <f t="shared" si="107"/>
        <v>0</v>
      </c>
    </row>
    <row r="938" spans="18:25" x14ac:dyDescent="0.2">
      <c r="R938" s="558">
        <v>937</v>
      </c>
      <c r="S938" s="558">
        <f t="shared" si="102"/>
        <v>-851</v>
      </c>
      <c r="T938" s="558">
        <f t="shared" si="103"/>
        <v>-840</v>
      </c>
      <c r="U938" s="558">
        <f t="shared" si="104"/>
        <v>904</v>
      </c>
      <c r="V938" s="558">
        <f t="shared" si="106"/>
        <v>0</v>
      </c>
      <c r="W938" s="558">
        <f t="shared" si="105"/>
        <v>0</v>
      </c>
      <c r="X938" s="558">
        <f t="shared" si="108"/>
        <v>0</v>
      </c>
      <c r="Y938" s="558">
        <f t="shared" si="107"/>
        <v>0</v>
      </c>
    </row>
    <row r="939" spans="18:25" x14ac:dyDescent="0.2">
      <c r="R939" s="558">
        <v>938</v>
      </c>
      <c r="S939" s="558">
        <f t="shared" si="102"/>
        <v>-852</v>
      </c>
      <c r="T939" s="558">
        <f t="shared" si="103"/>
        <v>-841</v>
      </c>
      <c r="U939" s="558">
        <f t="shared" si="104"/>
        <v>905</v>
      </c>
      <c r="V939" s="558">
        <f t="shared" si="106"/>
        <v>0</v>
      </c>
      <c r="W939" s="558">
        <f t="shared" si="105"/>
        <v>0</v>
      </c>
      <c r="X939" s="558">
        <f t="shared" si="108"/>
        <v>0</v>
      </c>
      <c r="Y939" s="558">
        <f t="shared" si="107"/>
        <v>0</v>
      </c>
    </row>
    <row r="940" spans="18:25" x14ac:dyDescent="0.2">
      <c r="R940" s="558">
        <v>939</v>
      </c>
      <c r="S940" s="558">
        <f t="shared" si="102"/>
        <v>-853</v>
      </c>
      <c r="T940" s="558">
        <f t="shared" si="103"/>
        <v>-842</v>
      </c>
      <c r="U940" s="558">
        <f t="shared" si="104"/>
        <v>906</v>
      </c>
      <c r="V940" s="558">
        <f t="shared" si="106"/>
        <v>0</v>
      </c>
      <c r="W940" s="558">
        <f t="shared" si="105"/>
        <v>0</v>
      </c>
      <c r="X940" s="558">
        <f t="shared" si="108"/>
        <v>0</v>
      </c>
      <c r="Y940" s="558">
        <f t="shared" si="107"/>
        <v>0</v>
      </c>
    </row>
    <row r="941" spans="18:25" x14ac:dyDescent="0.2">
      <c r="R941" s="558">
        <v>940</v>
      </c>
      <c r="S941" s="558">
        <f t="shared" si="102"/>
        <v>-854</v>
      </c>
      <c r="T941" s="558">
        <f t="shared" si="103"/>
        <v>-843</v>
      </c>
      <c r="U941" s="558">
        <f t="shared" si="104"/>
        <v>907</v>
      </c>
      <c r="V941" s="558">
        <f t="shared" si="106"/>
        <v>0</v>
      </c>
      <c r="W941" s="558">
        <f t="shared" si="105"/>
        <v>0</v>
      </c>
      <c r="X941" s="558">
        <f t="shared" si="108"/>
        <v>0</v>
      </c>
      <c r="Y941" s="558">
        <f t="shared" si="107"/>
        <v>0</v>
      </c>
    </row>
    <row r="942" spans="18:25" x14ac:dyDescent="0.2">
      <c r="R942" s="558">
        <v>941</v>
      </c>
      <c r="S942" s="558">
        <f t="shared" si="102"/>
        <v>-855</v>
      </c>
      <c r="T942" s="558">
        <f t="shared" si="103"/>
        <v>-844</v>
      </c>
      <c r="U942" s="558">
        <f t="shared" si="104"/>
        <v>908</v>
      </c>
      <c r="V942" s="558">
        <f t="shared" si="106"/>
        <v>0</v>
      </c>
      <c r="W942" s="558">
        <f t="shared" si="105"/>
        <v>0</v>
      </c>
      <c r="X942" s="558">
        <f t="shared" si="108"/>
        <v>0</v>
      </c>
      <c r="Y942" s="558">
        <f t="shared" si="107"/>
        <v>0</v>
      </c>
    </row>
    <row r="943" spans="18:25" x14ac:dyDescent="0.2">
      <c r="R943" s="558">
        <v>942</v>
      </c>
      <c r="S943" s="558">
        <f t="shared" si="102"/>
        <v>-856</v>
      </c>
      <c r="T943" s="558">
        <f t="shared" si="103"/>
        <v>-845</v>
      </c>
      <c r="U943" s="558">
        <f t="shared" si="104"/>
        <v>909</v>
      </c>
      <c r="V943" s="558">
        <f t="shared" si="106"/>
        <v>0</v>
      </c>
      <c r="W943" s="558">
        <f t="shared" si="105"/>
        <v>0</v>
      </c>
      <c r="X943" s="558">
        <f t="shared" si="108"/>
        <v>0</v>
      </c>
      <c r="Y943" s="558">
        <f t="shared" si="107"/>
        <v>0</v>
      </c>
    </row>
    <row r="944" spans="18:25" x14ac:dyDescent="0.2">
      <c r="R944" s="558">
        <v>943</v>
      </c>
      <c r="S944" s="558">
        <f t="shared" si="102"/>
        <v>-857</v>
      </c>
      <c r="T944" s="558">
        <f t="shared" si="103"/>
        <v>-846</v>
      </c>
      <c r="U944" s="558">
        <f t="shared" si="104"/>
        <v>910</v>
      </c>
      <c r="V944" s="558">
        <f t="shared" si="106"/>
        <v>0</v>
      </c>
      <c r="W944" s="558">
        <f t="shared" si="105"/>
        <v>0</v>
      </c>
      <c r="X944" s="558">
        <f t="shared" si="108"/>
        <v>0</v>
      </c>
      <c r="Y944" s="558">
        <f t="shared" si="107"/>
        <v>0</v>
      </c>
    </row>
    <row r="945" spans="18:25" x14ac:dyDescent="0.2">
      <c r="R945" s="558">
        <v>944</v>
      </c>
      <c r="S945" s="558">
        <f t="shared" si="102"/>
        <v>-858</v>
      </c>
      <c r="T945" s="558">
        <f t="shared" si="103"/>
        <v>-847</v>
      </c>
      <c r="U945" s="558">
        <f t="shared" si="104"/>
        <v>911</v>
      </c>
      <c r="V945" s="558">
        <f t="shared" si="106"/>
        <v>0</v>
      </c>
      <c r="W945" s="558">
        <f t="shared" si="105"/>
        <v>0</v>
      </c>
      <c r="X945" s="558">
        <f t="shared" si="108"/>
        <v>0</v>
      </c>
      <c r="Y945" s="558">
        <f t="shared" si="107"/>
        <v>0</v>
      </c>
    </row>
    <row r="946" spans="18:25" x14ac:dyDescent="0.2">
      <c r="R946" s="558">
        <v>945</v>
      </c>
      <c r="S946" s="558">
        <f t="shared" si="102"/>
        <v>-859</v>
      </c>
      <c r="T946" s="558">
        <f t="shared" si="103"/>
        <v>-848</v>
      </c>
      <c r="U946" s="558">
        <f t="shared" si="104"/>
        <v>912</v>
      </c>
      <c r="V946" s="558">
        <f t="shared" si="106"/>
        <v>0</v>
      </c>
      <c r="W946" s="558">
        <f t="shared" si="105"/>
        <v>0</v>
      </c>
      <c r="X946" s="558">
        <f t="shared" si="108"/>
        <v>0</v>
      </c>
      <c r="Y946" s="558">
        <f t="shared" si="107"/>
        <v>0</v>
      </c>
    </row>
    <row r="947" spans="18:25" x14ac:dyDescent="0.2">
      <c r="R947" s="558">
        <v>946</v>
      </c>
      <c r="S947" s="558">
        <f t="shared" si="102"/>
        <v>-860</v>
      </c>
      <c r="T947" s="558">
        <f t="shared" si="103"/>
        <v>-849</v>
      </c>
      <c r="U947" s="558">
        <f t="shared" si="104"/>
        <v>913</v>
      </c>
      <c r="V947" s="558">
        <f t="shared" si="106"/>
        <v>0</v>
      </c>
      <c r="W947" s="558">
        <f t="shared" si="105"/>
        <v>0</v>
      </c>
      <c r="X947" s="558">
        <f t="shared" si="108"/>
        <v>0</v>
      </c>
      <c r="Y947" s="558">
        <f t="shared" si="107"/>
        <v>0</v>
      </c>
    </row>
    <row r="948" spans="18:25" x14ac:dyDescent="0.2">
      <c r="R948" s="558">
        <v>947</v>
      </c>
      <c r="S948" s="558">
        <f t="shared" si="102"/>
        <v>-861</v>
      </c>
      <c r="T948" s="558">
        <f t="shared" si="103"/>
        <v>-850</v>
      </c>
      <c r="U948" s="558">
        <f t="shared" si="104"/>
        <v>914</v>
      </c>
      <c r="V948" s="558">
        <f t="shared" si="106"/>
        <v>0</v>
      </c>
      <c r="W948" s="558">
        <f t="shared" si="105"/>
        <v>0</v>
      </c>
      <c r="X948" s="558">
        <f t="shared" si="108"/>
        <v>0</v>
      </c>
      <c r="Y948" s="558">
        <f t="shared" si="107"/>
        <v>0</v>
      </c>
    </row>
    <row r="949" spans="18:25" x14ac:dyDescent="0.2">
      <c r="R949" s="558">
        <v>948</v>
      </c>
      <c r="S949" s="558">
        <f t="shared" si="102"/>
        <v>-862</v>
      </c>
      <c r="T949" s="558">
        <f t="shared" si="103"/>
        <v>-851</v>
      </c>
      <c r="U949" s="558">
        <f t="shared" si="104"/>
        <v>915</v>
      </c>
      <c r="V949" s="558">
        <f t="shared" si="106"/>
        <v>0</v>
      </c>
      <c r="W949" s="558">
        <f t="shared" si="105"/>
        <v>0</v>
      </c>
      <c r="X949" s="558">
        <f t="shared" si="108"/>
        <v>0</v>
      </c>
      <c r="Y949" s="558">
        <f t="shared" si="107"/>
        <v>0</v>
      </c>
    </row>
    <row r="950" spans="18:25" x14ac:dyDescent="0.2">
      <c r="R950" s="558">
        <v>949</v>
      </c>
      <c r="S950" s="558">
        <f t="shared" si="102"/>
        <v>-863</v>
      </c>
      <c r="T950" s="558">
        <f t="shared" si="103"/>
        <v>-852</v>
      </c>
      <c r="U950" s="558">
        <f t="shared" si="104"/>
        <v>916</v>
      </c>
      <c r="V950" s="558">
        <f t="shared" si="106"/>
        <v>0</v>
      </c>
      <c r="W950" s="558">
        <f t="shared" si="105"/>
        <v>0</v>
      </c>
      <c r="X950" s="558">
        <f t="shared" si="108"/>
        <v>0</v>
      </c>
      <c r="Y950" s="558">
        <f t="shared" si="107"/>
        <v>0</v>
      </c>
    </row>
    <row r="951" spans="18:25" x14ac:dyDescent="0.2">
      <c r="R951" s="558">
        <v>950</v>
      </c>
      <c r="S951" s="558">
        <f t="shared" si="102"/>
        <v>-864</v>
      </c>
      <c r="T951" s="558">
        <f t="shared" si="103"/>
        <v>-853</v>
      </c>
      <c r="U951" s="558">
        <f t="shared" si="104"/>
        <v>917</v>
      </c>
      <c r="V951" s="558">
        <f t="shared" si="106"/>
        <v>0</v>
      </c>
      <c r="W951" s="558">
        <f t="shared" si="105"/>
        <v>0</v>
      </c>
      <c r="X951" s="558">
        <f t="shared" si="108"/>
        <v>0</v>
      </c>
      <c r="Y951" s="558">
        <f t="shared" si="107"/>
        <v>0</v>
      </c>
    </row>
    <row r="952" spans="18:25" x14ac:dyDescent="0.2">
      <c r="R952" s="558">
        <v>951</v>
      </c>
      <c r="S952" s="558">
        <f t="shared" si="102"/>
        <v>-865</v>
      </c>
      <c r="T952" s="558">
        <f t="shared" si="103"/>
        <v>-854</v>
      </c>
      <c r="U952" s="558">
        <f t="shared" si="104"/>
        <v>918</v>
      </c>
      <c r="V952" s="558">
        <f t="shared" si="106"/>
        <v>0</v>
      </c>
      <c r="W952" s="558">
        <f t="shared" si="105"/>
        <v>0</v>
      </c>
      <c r="X952" s="558">
        <f t="shared" si="108"/>
        <v>0</v>
      </c>
      <c r="Y952" s="558">
        <f t="shared" si="107"/>
        <v>0</v>
      </c>
    </row>
    <row r="953" spans="18:25" x14ac:dyDescent="0.2">
      <c r="R953" s="558">
        <v>952</v>
      </c>
      <c r="S953" s="558">
        <f t="shared" si="102"/>
        <v>-866</v>
      </c>
      <c r="T953" s="558">
        <f t="shared" si="103"/>
        <v>-855</v>
      </c>
      <c r="U953" s="558">
        <f t="shared" si="104"/>
        <v>919</v>
      </c>
      <c r="V953" s="558">
        <f t="shared" si="106"/>
        <v>0</v>
      </c>
      <c r="W953" s="558">
        <f t="shared" si="105"/>
        <v>0</v>
      </c>
      <c r="X953" s="558">
        <f t="shared" si="108"/>
        <v>0</v>
      </c>
      <c r="Y953" s="558">
        <f t="shared" si="107"/>
        <v>0</v>
      </c>
    </row>
    <row r="954" spans="18:25" x14ac:dyDescent="0.2">
      <c r="R954" s="558">
        <v>953</v>
      </c>
      <c r="S954" s="558">
        <f t="shared" si="102"/>
        <v>-867</v>
      </c>
      <c r="T954" s="558">
        <f t="shared" si="103"/>
        <v>-856</v>
      </c>
      <c r="U954" s="558">
        <f t="shared" si="104"/>
        <v>920</v>
      </c>
      <c r="V954" s="558">
        <f t="shared" si="106"/>
        <v>0</v>
      </c>
      <c r="W954" s="558">
        <f t="shared" si="105"/>
        <v>0</v>
      </c>
      <c r="X954" s="558">
        <f t="shared" si="108"/>
        <v>0</v>
      </c>
      <c r="Y954" s="558">
        <f t="shared" si="107"/>
        <v>0</v>
      </c>
    </row>
    <row r="955" spans="18:25" x14ac:dyDescent="0.2">
      <c r="R955" s="558">
        <v>954</v>
      </c>
      <c r="S955" s="558">
        <f t="shared" si="102"/>
        <v>-868</v>
      </c>
      <c r="T955" s="558">
        <f t="shared" si="103"/>
        <v>-857</v>
      </c>
      <c r="U955" s="558">
        <f t="shared" si="104"/>
        <v>921</v>
      </c>
      <c r="V955" s="558">
        <f t="shared" si="106"/>
        <v>0</v>
      </c>
      <c r="W955" s="558">
        <f t="shared" si="105"/>
        <v>0</v>
      </c>
      <c r="X955" s="558">
        <f t="shared" si="108"/>
        <v>0</v>
      </c>
      <c r="Y955" s="558">
        <f t="shared" si="107"/>
        <v>0</v>
      </c>
    </row>
    <row r="956" spans="18:25" x14ac:dyDescent="0.2">
      <c r="R956" s="558">
        <v>955</v>
      </c>
      <c r="S956" s="558">
        <f t="shared" si="102"/>
        <v>-869</v>
      </c>
      <c r="T956" s="558">
        <f t="shared" si="103"/>
        <v>-858</v>
      </c>
      <c r="U956" s="558">
        <f t="shared" si="104"/>
        <v>922</v>
      </c>
      <c r="V956" s="558">
        <f t="shared" si="106"/>
        <v>0</v>
      </c>
      <c r="W956" s="558">
        <f t="shared" si="105"/>
        <v>0</v>
      </c>
      <c r="X956" s="558">
        <f t="shared" si="108"/>
        <v>0</v>
      </c>
      <c r="Y956" s="558">
        <f t="shared" si="107"/>
        <v>0</v>
      </c>
    </row>
    <row r="957" spans="18:25" x14ac:dyDescent="0.2">
      <c r="R957" s="558">
        <v>956</v>
      </c>
      <c r="S957" s="558">
        <f t="shared" si="102"/>
        <v>-870</v>
      </c>
      <c r="T957" s="558">
        <f t="shared" si="103"/>
        <v>-859</v>
      </c>
      <c r="U957" s="558">
        <f t="shared" si="104"/>
        <v>923</v>
      </c>
      <c r="V957" s="558">
        <f t="shared" si="106"/>
        <v>0</v>
      </c>
      <c r="W957" s="558">
        <f t="shared" si="105"/>
        <v>0</v>
      </c>
      <c r="X957" s="558">
        <f t="shared" si="108"/>
        <v>0</v>
      </c>
      <c r="Y957" s="558">
        <f t="shared" si="107"/>
        <v>0</v>
      </c>
    </row>
    <row r="958" spans="18:25" x14ac:dyDescent="0.2">
      <c r="R958" s="558">
        <v>957</v>
      </c>
      <c r="S958" s="558">
        <f t="shared" si="102"/>
        <v>-871</v>
      </c>
      <c r="T958" s="558">
        <f t="shared" si="103"/>
        <v>-860</v>
      </c>
      <c r="U958" s="558">
        <f t="shared" si="104"/>
        <v>924</v>
      </c>
      <c r="V958" s="558">
        <f t="shared" si="106"/>
        <v>0</v>
      </c>
      <c r="W958" s="558">
        <f t="shared" si="105"/>
        <v>0</v>
      </c>
      <c r="X958" s="558">
        <f t="shared" si="108"/>
        <v>0</v>
      </c>
      <c r="Y958" s="558">
        <f t="shared" si="107"/>
        <v>0</v>
      </c>
    </row>
    <row r="959" spans="18:25" x14ac:dyDescent="0.2">
      <c r="R959" s="558">
        <v>958</v>
      </c>
      <c r="S959" s="558">
        <f t="shared" si="102"/>
        <v>-872</v>
      </c>
      <c r="T959" s="558">
        <f t="shared" si="103"/>
        <v>-861</v>
      </c>
      <c r="U959" s="558">
        <f t="shared" si="104"/>
        <v>925</v>
      </c>
      <c r="V959" s="558">
        <f t="shared" si="106"/>
        <v>0</v>
      </c>
      <c r="W959" s="558">
        <f t="shared" si="105"/>
        <v>0</v>
      </c>
      <c r="X959" s="558">
        <f t="shared" si="108"/>
        <v>0</v>
      </c>
      <c r="Y959" s="558">
        <f t="shared" si="107"/>
        <v>0</v>
      </c>
    </row>
    <row r="960" spans="18:25" x14ac:dyDescent="0.2">
      <c r="R960" s="558">
        <v>959</v>
      </c>
      <c r="S960" s="558">
        <f t="shared" si="102"/>
        <v>-873</v>
      </c>
      <c r="T960" s="558">
        <f t="shared" si="103"/>
        <v>-862</v>
      </c>
      <c r="U960" s="558">
        <f t="shared" si="104"/>
        <v>926</v>
      </c>
      <c r="V960" s="558">
        <f t="shared" si="106"/>
        <v>0</v>
      </c>
      <c r="W960" s="558">
        <f t="shared" si="105"/>
        <v>0</v>
      </c>
      <c r="X960" s="558">
        <f t="shared" si="108"/>
        <v>0</v>
      </c>
      <c r="Y960" s="558">
        <f t="shared" si="107"/>
        <v>0</v>
      </c>
    </row>
    <row r="961" spans="18:25" x14ac:dyDescent="0.2">
      <c r="R961" s="558">
        <v>960</v>
      </c>
      <c r="S961" s="558">
        <f t="shared" ref="S961:S1024" si="109">$D$7-R961</f>
        <v>-874</v>
      </c>
      <c r="T961" s="558">
        <f t="shared" ref="T961:T1024" si="110">$B$9-R961</f>
        <v>-863</v>
      </c>
      <c r="U961" s="558">
        <f t="shared" ref="U961:U1024" si="111">$D$9-SUM(R961:T961)</f>
        <v>927</v>
      </c>
      <c r="V961" s="558">
        <f t="shared" si="106"/>
        <v>0</v>
      </c>
      <c r="W961" s="558">
        <f t="shared" ref="W961:W1024" si="112">_xlfn.HYPGEOM.DIST(R961,R961+T961,R961+S961,SUM(R961:U961),0)</f>
        <v>0</v>
      </c>
      <c r="X961" s="558">
        <f t="shared" si="108"/>
        <v>0</v>
      </c>
      <c r="Y961" s="558">
        <f t="shared" si="107"/>
        <v>0</v>
      </c>
    </row>
    <row r="962" spans="18:25" x14ac:dyDescent="0.2">
      <c r="R962" s="558">
        <v>961</v>
      </c>
      <c r="S962" s="558">
        <f t="shared" si="109"/>
        <v>-875</v>
      </c>
      <c r="T962" s="558">
        <f t="shared" si="110"/>
        <v>-864</v>
      </c>
      <c r="U962" s="558">
        <f t="shared" si="111"/>
        <v>928</v>
      </c>
      <c r="V962" s="558">
        <f t="shared" ref="V962:V1025" si="113">IF(S962&gt;=0,IF(T962&gt;=0,IF(U962&gt;=0,1,0),0),0)</f>
        <v>0</v>
      </c>
      <c r="W962" s="558">
        <f t="shared" si="112"/>
        <v>0</v>
      </c>
      <c r="X962" s="558">
        <f t="shared" si="108"/>
        <v>0</v>
      </c>
      <c r="Y962" s="558">
        <f t="shared" ref="Y962:Y1025" si="114">IF(W962&lt;=SUM($X$1:$X$1101),W962,0)</f>
        <v>0</v>
      </c>
    </row>
    <row r="963" spans="18:25" x14ac:dyDescent="0.2">
      <c r="R963" s="558">
        <v>962</v>
      </c>
      <c r="S963" s="558">
        <f t="shared" si="109"/>
        <v>-876</v>
      </c>
      <c r="T963" s="558">
        <f t="shared" si="110"/>
        <v>-865</v>
      </c>
      <c r="U963" s="558">
        <f t="shared" si="111"/>
        <v>929</v>
      </c>
      <c r="V963" s="558">
        <f t="shared" si="113"/>
        <v>0</v>
      </c>
      <c r="W963" s="558">
        <f t="shared" si="112"/>
        <v>0</v>
      </c>
      <c r="X963" s="558">
        <f t="shared" si="108"/>
        <v>0</v>
      </c>
      <c r="Y963" s="558">
        <f t="shared" si="114"/>
        <v>0</v>
      </c>
    </row>
    <row r="964" spans="18:25" x14ac:dyDescent="0.2">
      <c r="R964" s="558">
        <v>963</v>
      </c>
      <c r="S964" s="558">
        <f t="shared" si="109"/>
        <v>-877</v>
      </c>
      <c r="T964" s="558">
        <f t="shared" si="110"/>
        <v>-866</v>
      </c>
      <c r="U964" s="558">
        <f t="shared" si="111"/>
        <v>930</v>
      </c>
      <c r="V964" s="558">
        <f t="shared" si="113"/>
        <v>0</v>
      </c>
      <c r="W964" s="558">
        <f t="shared" si="112"/>
        <v>0</v>
      </c>
      <c r="X964" s="558">
        <f t="shared" si="108"/>
        <v>0</v>
      </c>
      <c r="Y964" s="558">
        <f t="shared" si="114"/>
        <v>0</v>
      </c>
    </row>
    <row r="965" spans="18:25" x14ac:dyDescent="0.2">
      <c r="R965" s="558">
        <v>964</v>
      </c>
      <c r="S965" s="558">
        <f t="shared" si="109"/>
        <v>-878</v>
      </c>
      <c r="T965" s="558">
        <f t="shared" si="110"/>
        <v>-867</v>
      </c>
      <c r="U965" s="558">
        <f t="shared" si="111"/>
        <v>931</v>
      </c>
      <c r="V965" s="558">
        <f t="shared" si="113"/>
        <v>0</v>
      </c>
      <c r="W965" s="558">
        <f t="shared" si="112"/>
        <v>0</v>
      </c>
      <c r="X965" s="558">
        <f t="shared" si="108"/>
        <v>0</v>
      </c>
      <c r="Y965" s="558">
        <f t="shared" si="114"/>
        <v>0</v>
      </c>
    </row>
    <row r="966" spans="18:25" x14ac:dyDescent="0.2">
      <c r="R966" s="558">
        <v>965</v>
      </c>
      <c r="S966" s="558">
        <f t="shared" si="109"/>
        <v>-879</v>
      </c>
      <c r="T966" s="558">
        <f t="shared" si="110"/>
        <v>-868</v>
      </c>
      <c r="U966" s="558">
        <f t="shared" si="111"/>
        <v>932</v>
      </c>
      <c r="V966" s="558">
        <f t="shared" si="113"/>
        <v>0</v>
      </c>
      <c r="W966" s="558">
        <f t="shared" si="112"/>
        <v>0</v>
      </c>
      <c r="X966" s="558">
        <f t="shared" si="108"/>
        <v>0</v>
      </c>
      <c r="Y966" s="558">
        <f t="shared" si="114"/>
        <v>0</v>
      </c>
    </row>
    <row r="967" spans="18:25" x14ac:dyDescent="0.2">
      <c r="R967" s="558">
        <v>966</v>
      </c>
      <c r="S967" s="558">
        <f t="shared" si="109"/>
        <v>-880</v>
      </c>
      <c r="T967" s="558">
        <f t="shared" si="110"/>
        <v>-869</v>
      </c>
      <c r="U967" s="558">
        <f t="shared" si="111"/>
        <v>933</v>
      </c>
      <c r="V967" s="558">
        <f t="shared" si="113"/>
        <v>0</v>
      </c>
      <c r="W967" s="558">
        <f t="shared" si="112"/>
        <v>0</v>
      </c>
      <c r="X967" s="558">
        <f t="shared" si="108"/>
        <v>0</v>
      </c>
      <c r="Y967" s="558">
        <f t="shared" si="114"/>
        <v>0</v>
      </c>
    </row>
    <row r="968" spans="18:25" x14ac:dyDescent="0.2">
      <c r="R968" s="558">
        <v>967</v>
      </c>
      <c r="S968" s="558">
        <f t="shared" si="109"/>
        <v>-881</v>
      </c>
      <c r="T968" s="558">
        <f t="shared" si="110"/>
        <v>-870</v>
      </c>
      <c r="U968" s="558">
        <f t="shared" si="111"/>
        <v>934</v>
      </c>
      <c r="V968" s="558">
        <f t="shared" si="113"/>
        <v>0</v>
      </c>
      <c r="W968" s="558">
        <f t="shared" si="112"/>
        <v>0</v>
      </c>
      <c r="X968" s="558">
        <f t="shared" si="108"/>
        <v>0</v>
      </c>
      <c r="Y968" s="558">
        <f t="shared" si="114"/>
        <v>0</v>
      </c>
    </row>
    <row r="969" spans="18:25" x14ac:dyDescent="0.2">
      <c r="R969" s="558">
        <v>968</v>
      </c>
      <c r="S969" s="558">
        <f t="shared" si="109"/>
        <v>-882</v>
      </c>
      <c r="T969" s="558">
        <f t="shared" si="110"/>
        <v>-871</v>
      </c>
      <c r="U969" s="558">
        <f t="shared" si="111"/>
        <v>935</v>
      </c>
      <c r="V969" s="558">
        <f t="shared" si="113"/>
        <v>0</v>
      </c>
      <c r="W969" s="558">
        <f t="shared" si="112"/>
        <v>0</v>
      </c>
      <c r="X969" s="558">
        <f t="shared" si="108"/>
        <v>0</v>
      </c>
      <c r="Y969" s="558">
        <f t="shared" si="114"/>
        <v>0</v>
      </c>
    </row>
    <row r="970" spans="18:25" x14ac:dyDescent="0.2">
      <c r="R970" s="558">
        <v>969</v>
      </c>
      <c r="S970" s="558">
        <f t="shared" si="109"/>
        <v>-883</v>
      </c>
      <c r="T970" s="558">
        <f t="shared" si="110"/>
        <v>-872</v>
      </c>
      <c r="U970" s="558">
        <f t="shared" si="111"/>
        <v>936</v>
      </c>
      <c r="V970" s="558">
        <f t="shared" si="113"/>
        <v>0</v>
      </c>
      <c r="W970" s="558">
        <f t="shared" si="112"/>
        <v>0</v>
      </c>
      <c r="X970" s="558">
        <f t="shared" si="108"/>
        <v>0</v>
      </c>
      <c r="Y970" s="558">
        <f t="shared" si="114"/>
        <v>0</v>
      </c>
    </row>
    <row r="971" spans="18:25" x14ac:dyDescent="0.2">
      <c r="R971" s="558">
        <v>970</v>
      </c>
      <c r="S971" s="558">
        <f t="shared" si="109"/>
        <v>-884</v>
      </c>
      <c r="T971" s="558">
        <f t="shared" si="110"/>
        <v>-873</v>
      </c>
      <c r="U971" s="558">
        <f t="shared" si="111"/>
        <v>937</v>
      </c>
      <c r="V971" s="558">
        <f t="shared" si="113"/>
        <v>0</v>
      </c>
      <c r="W971" s="558">
        <f t="shared" si="112"/>
        <v>0</v>
      </c>
      <c r="X971" s="558">
        <f t="shared" si="108"/>
        <v>0</v>
      </c>
      <c r="Y971" s="558">
        <f t="shared" si="114"/>
        <v>0</v>
      </c>
    </row>
    <row r="972" spans="18:25" x14ac:dyDescent="0.2">
      <c r="R972" s="558">
        <v>971</v>
      </c>
      <c r="S972" s="558">
        <f t="shared" si="109"/>
        <v>-885</v>
      </c>
      <c r="T972" s="558">
        <f t="shared" si="110"/>
        <v>-874</v>
      </c>
      <c r="U972" s="558">
        <f t="shared" si="111"/>
        <v>938</v>
      </c>
      <c r="V972" s="558">
        <f t="shared" si="113"/>
        <v>0</v>
      </c>
      <c r="W972" s="558">
        <f t="shared" si="112"/>
        <v>0</v>
      </c>
      <c r="X972" s="558">
        <f t="shared" si="108"/>
        <v>0</v>
      </c>
      <c r="Y972" s="558">
        <f t="shared" si="114"/>
        <v>0</v>
      </c>
    </row>
    <row r="973" spans="18:25" x14ac:dyDescent="0.2">
      <c r="R973" s="558">
        <v>972</v>
      </c>
      <c r="S973" s="558">
        <f t="shared" si="109"/>
        <v>-886</v>
      </c>
      <c r="T973" s="558">
        <f t="shared" si="110"/>
        <v>-875</v>
      </c>
      <c r="U973" s="558">
        <f t="shared" si="111"/>
        <v>939</v>
      </c>
      <c r="V973" s="558">
        <f t="shared" si="113"/>
        <v>0</v>
      </c>
      <c r="W973" s="558">
        <f t="shared" si="112"/>
        <v>0</v>
      </c>
      <c r="X973" s="558">
        <f t="shared" si="108"/>
        <v>0</v>
      </c>
      <c r="Y973" s="558">
        <f t="shared" si="114"/>
        <v>0</v>
      </c>
    </row>
    <row r="974" spans="18:25" x14ac:dyDescent="0.2">
      <c r="R974" s="558">
        <v>973</v>
      </c>
      <c r="S974" s="558">
        <f t="shared" si="109"/>
        <v>-887</v>
      </c>
      <c r="T974" s="558">
        <f t="shared" si="110"/>
        <v>-876</v>
      </c>
      <c r="U974" s="558">
        <f t="shared" si="111"/>
        <v>940</v>
      </c>
      <c r="V974" s="558">
        <f t="shared" si="113"/>
        <v>0</v>
      </c>
      <c r="W974" s="558">
        <f t="shared" si="112"/>
        <v>0</v>
      </c>
      <c r="X974" s="558">
        <f t="shared" si="108"/>
        <v>0</v>
      </c>
      <c r="Y974" s="558">
        <f t="shared" si="114"/>
        <v>0</v>
      </c>
    </row>
    <row r="975" spans="18:25" x14ac:dyDescent="0.2">
      <c r="R975" s="558">
        <v>974</v>
      </c>
      <c r="S975" s="558">
        <f t="shared" si="109"/>
        <v>-888</v>
      </c>
      <c r="T975" s="558">
        <f t="shared" si="110"/>
        <v>-877</v>
      </c>
      <c r="U975" s="558">
        <f t="shared" si="111"/>
        <v>941</v>
      </c>
      <c r="V975" s="558">
        <f t="shared" si="113"/>
        <v>0</v>
      </c>
      <c r="W975" s="558">
        <f t="shared" si="112"/>
        <v>0</v>
      </c>
      <c r="X975" s="558">
        <f t="shared" si="108"/>
        <v>0</v>
      </c>
      <c r="Y975" s="558">
        <f t="shared" si="114"/>
        <v>0</v>
      </c>
    </row>
    <row r="976" spans="18:25" x14ac:dyDescent="0.2">
      <c r="R976" s="558">
        <v>975</v>
      </c>
      <c r="S976" s="558">
        <f t="shared" si="109"/>
        <v>-889</v>
      </c>
      <c r="T976" s="558">
        <f t="shared" si="110"/>
        <v>-878</v>
      </c>
      <c r="U976" s="558">
        <f t="shared" si="111"/>
        <v>942</v>
      </c>
      <c r="V976" s="558">
        <f t="shared" si="113"/>
        <v>0</v>
      </c>
      <c r="W976" s="558">
        <f t="shared" si="112"/>
        <v>0</v>
      </c>
      <c r="X976" s="558">
        <f t="shared" si="108"/>
        <v>0</v>
      </c>
      <c r="Y976" s="558">
        <f t="shared" si="114"/>
        <v>0</v>
      </c>
    </row>
    <row r="977" spans="18:25" x14ac:dyDescent="0.2">
      <c r="R977" s="558">
        <v>976</v>
      </c>
      <c r="S977" s="558">
        <f t="shared" si="109"/>
        <v>-890</v>
      </c>
      <c r="T977" s="558">
        <f t="shared" si="110"/>
        <v>-879</v>
      </c>
      <c r="U977" s="558">
        <f t="shared" si="111"/>
        <v>943</v>
      </c>
      <c r="V977" s="558">
        <f t="shared" si="113"/>
        <v>0</v>
      </c>
      <c r="W977" s="558">
        <f t="shared" si="112"/>
        <v>0</v>
      </c>
      <c r="X977" s="558">
        <f t="shared" si="108"/>
        <v>0</v>
      </c>
      <c r="Y977" s="558">
        <f t="shared" si="114"/>
        <v>0</v>
      </c>
    </row>
    <row r="978" spans="18:25" x14ac:dyDescent="0.2">
      <c r="R978" s="558">
        <v>977</v>
      </c>
      <c r="S978" s="558">
        <f t="shared" si="109"/>
        <v>-891</v>
      </c>
      <c r="T978" s="558">
        <f t="shared" si="110"/>
        <v>-880</v>
      </c>
      <c r="U978" s="558">
        <f t="shared" si="111"/>
        <v>944</v>
      </c>
      <c r="V978" s="558">
        <f t="shared" si="113"/>
        <v>0</v>
      </c>
      <c r="W978" s="558">
        <f t="shared" si="112"/>
        <v>0</v>
      </c>
      <c r="X978" s="558">
        <f t="shared" si="108"/>
        <v>0</v>
      </c>
      <c r="Y978" s="558">
        <f t="shared" si="114"/>
        <v>0</v>
      </c>
    </row>
    <row r="979" spans="18:25" x14ac:dyDescent="0.2">
      <c r="R979" s="558">
        <v>978</v>
      </c>
      <c r="S979" s="558">
        <f t="shared" si="109"/>
        <v>-892</v>
      </c>
      <c r="T979" s="558">
        <f t="shared" si="110"/>
        <v>-881</v>
      </c>
      <c r="U979" s="558">
        <f t="shared" si="111"/>
        <v>945</v>
      </c>
      <c r="V979" s="558">
        <f t="shared" si="113"/>
        <v>0</v>
      </c>
      <c r="W979" s="558">
        <f t="shared" si="112"/>
        <v>0</v>
      </c>
      <c r="X979" s="558">
        <f t="shared" si="108"/>
        <v>0</v>
      </c>
      <c r="Y979" s="558">
        <f t="shared" si="114"/>
        <v>0</v>
      </c>
    </row>
    <row r="980" spans="18:25" x14ac:dyDescent="0.2">
      <c r="R980" s="558">
        <v>979</v>
      </c>
      <c r="S980" s="558">
        <f t="shared" si="109"/>
        <v>-893</v>
      </c>
      <c r="T980" s="558">
        <f t="shared" si="110"/>
        <v>-882</v>
      </c>
      <c r="U980" s="558">
        <f t="shared" si="111"/>
        <v>946</v>
      </c>
      <c r="V980" s="558">
        <f t="shared" si="113"/>
        <v>0</v>
      </c>
      <c r="W980" s="558">
        <f t="shared" si="112"/>
        <v>0</v>
      </c>
      <c r="X980" s="558">
        <f t="shared" si="108"/>
        <v>0</v>
      </c>
      <c r="Y980" s="558">
        <f t="shared" si="114"/>
        <v>0</v>
      </c>
    </row>
    <row r="981" spans="18:25" x14ac:dyDescent="0.2">
      <c r="R981" s="558">
        <v>980</v>
      </c>
      <c r="S981" s="558">
        <f t="shared" si="109"/>
        <v>-894</v>
      </c>
      <c r="T981" s="558">
        <f t="shared" si="110"/>
        <v>-883</v>
      </c>
      <c r="U981" s="558">
        <f t="shared" si="111"/>
        <v>947</v>
      </c>
      <c r="V981" s="558">
        <f t="shared" si="113"/>
        <v>0</v>
      </c>
      <c r="W981" s="558">
        <f t="shared" si="112"/>
        <v>0</v>
      </c>
      <c r="X981" s="558">
        <f t="shared" si="108"/>
        <v>0</v>
      </c>
      <c r="Y981" s="558">
        <f t="shared" si="114"/>
        <v>0</v>
      </c>
    </row>
    <row r="982" spans="18:25" x14ac:dyDescent="0.2">
      <c r="R982" s="558">
        <v>981</v>
      </c>
      <c r="S982" s="558">
        <f t="shared" si="109"/>
        <v>-895</v>
      </c>
      <c r="T982" s="558">
        <f t="shared" si="110"/>
        <v>-884</v>
      </c>
      <c r="U982" s="558">
        <f t="shared" si="111"/>
        <v>948</v>
      </c>
      <c r="V982" s="558">
        <f t="shared" si="113"/>
        <v>0</v>
      </c>
      <c r="W982" s="558">
        <f t="shared" si="112"/>
        <v>0</v>
      </c>
      <c r="X982" s="558">
        <f t="shared" si="108"/>
        <v>0</v>
      </c>
      <c r="Y982" s="558">
        <f t="shared" si="114"/>
        <v>0</v>
      </c>
    </row>
    <row r="983" spans="18:25" x14ac:dyDescent="0.2">
      <c r="R983" s="558">
        <v>982</v>
      </c>
      <c r="S983" s="558">
        <f t="shared" si="109"/>
        <v>-896</v>
      </c>
      <c r="T983" s="558">
        <f t="shared" si="110"/>
        <v>-885</v>
      </c>
      <c r="U983" s="558">
        <f t="shared" si="111"/>
        <v>949</v>
      </c>
      <c r="V983" s="558">
        <f t="shared" si="113"/>
        <v>0</v>
      </c>
      <c r="W983" s="558">
        <f t="shared" si="112"/>
        <v>0</v>
      </c>
      <c r="X983" s="558">
        <f t="shared" si="108"/>
        <v>0</v>
      </c>
      <c r="Y983" s="558">
        <f t="shared" si="114"/>
        <v>0</v>
      </c>
    </row>
    <row r="984" spans="18:25" x14ac:dyDescent="0.2">
      <c r="R984" s="558">
        <v>983</v>
      </c>
      <c r="S984" s="558">
        <f t="shared" si="109"/>
        <v>-897</v>
      </c>
      <c r="T984" s="558">
        <f t="shared" si="110"/>
        <v>-886</v>
      </c>
      <c r="U984" s="558">
        <f t="shared" si="111"/>
        <v>950</v>
      </c>
      <c r="V984" s="558">
        <f t="shared" si="113"/>
        <v>0</v>
      </c>
      <c r="W984" s="558">
        <f t="shared" si="112"/>
        <v>0</v>
      </c>
      <c r="X984" s="558">
        <f t="shared" si="108"/>
        <v>0</v>
      </c>
      <c r="Y984" s="558">
        <f t="shared" si="114"/>
        <v>0</v>
      </c>
    </row>
    <row r="985" spans="18:25" x14ac:dyDescent="0.2">
      <c r="R985" s="558">
        <v>984</v>
      </c>
      <c r="S985" s="558">
        <f t="shared" si="109"/>
        <v>-898</v>
      </c>
      <c r="T985" s="558">
        <f t="shared" si="110"/>
        <v>-887</v>
      </c>
      <c r="U985" s="558">
        <f t="shared" si="111"/>
        <v>951</v>
      </c>
      <c r="V985" s="558">
        <f t="shared" si="113"/>
        <v>0</v>
      </c>
      <c r="W985" s="558">
        <f t="shared" si="112"/>
        <v>0</v>
      </c>
      <c r="X985" s="558">
        <f t="shared" si="108"/>
        <v>0</v>
      </c>
      <c r="Y985" s="558">
        <f t="shared" si="114"/>
        <v>0</v>
      </c>
    </row>
    <row r="986" spans="18:25" x14ac:dyDescent="0.2">
      <c r="R986" s="558">
        <v>985</v>
      </c>
      <c r="S986" s="558">
        <f t="shared" si="109"/>
        <v>-899</v>
      </c>
      <c r="T986" s="558">
        <f t="shared" si="110"/>
        <v>-888</v>
      </c>
      <c r="U986" s="558">
        <f t="shared" si="111"/>
        <v>952</v>
      </c>
      <c r="V986" s="558">
        <f t="shared" si="113"/>
        <v>0</v>
      </c>
      <c r="W986" s="558">
        <f t="shared" si="112"/>
        <v>0</v>
      </c>
      <c r="X986" s="558">
        <f t="shared" si="108"/>
        <v>0</v>
      </c>
      <c r="Y986" s="558">
        <f t="shared" si="114"/>
        <v>0</v>
      </c>
    </row>
    <row r="987" spans="18:25" x14ac:dyDescent="0.2">
      <c r="R987" s="558">
        <v>986</v>
      </c>
      <c r="S987" s="558">
        <f t="shared" si="109"/>
        <v>-900</v>
      </c>
      <c r="T987" s="558">
        <f t="shared" si="110"/>
        <v>-889</v>
      </c>
      <c r="U987" s="558">
        <f t="shared" si="111"/>
        <v>953</v>
      </c>
      <c r="V987" s="558">
        <f t="shared" si="113"/>
        <v>0</v>
      </c>
      <c r="W987" s="558">
        <f t="shared" si="112"/>
        <v>0</v>
      </c>
      <c r="X987" s="558">
        <f t="shared" si="108"/>
        <v>0</v>
      </c>
      <c r="Y987" s="558">
        <f t="shared" si="114"/>
        <v>0</v>
      </c>
    </row>
    <row r="988" spans="18:25" x14ac:dyDescent="0.2">
      <c r="R988" s="558">
        <v>987</v>
      </c>
      <c r="S988" s="558">
        <f t="shared" si="109"/>
        <v>-901</v>
      </c>
      <c r="T988" s="558">
        <f t="shared" si="110"/>
        <v>-890</v>
      </c>
      <c r="U988" s="558">
        <f t="shared" si="111"/>
        <v>954</v>
      </c>
      <c r="V988" s="558">
        <f t="shared" si="113"/>
        <v>0</v>
      </c>
      <c r="W988" s="558">
        <f t="shared" si="112"/>
        <v>0</v>
      </c>
      <c r="X988" s="558">
        <f t="shared" si="108"/>
        <v>0</v>
      </c>
      <c r="Y988" s="558">
        <f t="shared" si="114"/>
        <v>0</v>
      </c>
    </row>
    <row r="989" spans="18:25" x14ac:dyDescent="0.2">
      <c r="R989" s="558">
        <v>988</v>
      </c>
      <c r="S989" s="558">
        <f t="shared" si="109"/>
        <v>-902</v>
      </c>
      <c r="T989" s="558">
        <f t="shared" si="110"/>
        <v>-891</v>
      </c>
      <c r="U989" s="558">
        <f t="shared" si="111"/>
        <v>955</v>
      </c>
      <c r="V989" s="558">
        <f t="shared" si="113"/>
        <v>0</v>
      </c>
      <c r="W989" s="558">
        <f t="shared" si="112"/>
        <v>0</v>
      </c>
      <c r="X989" s="558">
        <f t="shared" si="108"/>
        <v>0</v>
      </c>
      <c r="Y989" s="558">
        <f t="shared" si="114"/>
        <v>0</v>
      </c>
    </row>
    <row r="990" spans="18:25" x14ac:dyDescent="0.2">
      <c r="R990" s="558">
        <v>989</v>
      </c>
      <c r="S990" s="558">
        <f t="shared" si="109"/>
        <v>-903</v>
      </c>
      <c r="T990" s="558">
        <f t="shared" si="110"/>
        <v>-892</v>
      </c>
      <c r="U990" s="558">
        <f t="shared" si="111"/>
        <v>956</v>
      </c>
      <c r="V990" s="558">
        <f t="shared" si="113"/>
        <v>0</v>
      </c>
      <c r="W990" s="558">
        <f t="shared" si="112"/>
        <v>0</v>
      </c>
      <c r="X990" s="558">
        <f t="shared" si="108"/>
        <v>0</v>
      </c>
      <c r="Y990" s="558">
        <f t="shared" si="114"/>
        <v>0</v>
      </c>
    </row>
    <row r="991" spans="18:25" x14ac:dyDescent="0.2">
      <c r="R991" s="558">
        <v>990</v>
      </c>
      <c r="S991" s="558">
        <f t="shared" si="109"/>
        <v>-904</v>
      </c>
      <c r="T991" s="558">
        <f t="shared" si="110"/>
        <v>-893</v>
      </c>
      <c r="U991" s="558">
        <f t="shared" si="111"/>
        <v>957</v>
      </c>
      <c r="V991" s="558">
        <f t="shared" si="113"/>
        <v>0</v>
      </c>
      <c r="W991" s="558">
        <f t="shared" si="112"/>
        <v>0</v>
      </c>
      <c r="X991" s="558">
        <f t="shared" si="108"/>
        <v>0</v>
      </c>
      <c r="Y991" s="558">
        <f t="shared" si="114"/>
        <v>0</v>
      </c>
    </row>
    <row r="992" spans="18:25" x14ac:dyDescent="0.2">
      <c r="R992" s="558">
        <v>991</v>
      </c>
      <c r="S992" s="558">
        <f t="shared" si="109"/>
        <v>-905</v>
      </c>
      <c r="T992" s="558">
        <f t="shared" si="110"/>
        <v>-894</v>
      </c>
      <c r="U992" s="558">
        <f t="shared" si="111"/>
        <v>958</v>
      </c>
      <c r="V992" s="558">
        <f t="shared" si="113"/>
        <v>0</v>
      </c>
      <c r="W992" s="558">
        <f t="shared" si="112"/>
        <v>0</v>
      </c>
      <c r="X992" s="558">
        <f t="shared" si="108"/>
        <v>0</v>
      </c>
      <c r="Y992" s="558">
        <f t="shared" si="114"/>
        <v>0</v>
      </c>
    </row>
    <row r="993" spans="18:25" x14ac:dyDescent="0.2">
      <c r="R993" s="558">
        <v>992</v>
      </c>
      <c r="S993" s="558">
        <f t="shared" si="109"/>
        <v>-906</v>
      </c>
      <c r="T993" s="558">
        <f t="shared" si="110"/>
        <v>-895</v>
      </c>
      <c r="U993" s="558">
        <f t="shared" si="111"/>
        <v>959</v>
      </c>
      <c r="V993" s="558">
        <f t="shared" si="113"/>
        <v>0</v>
      </c>
      <c r="W993" s="558">
        <f t="shared" si="112"/>
        <v>0</v>
      </c>
      <c r="X993" s="558">
        <f t="shared" si="108"/>
        <v>0</v>
      </c>
      <c r="Y993" s="558">
        <f t="shared" si="114"/>
        <v>0</v>
      </c>
    </row>
    <row r="994" spans="18:25" x14ac:dyDescent="0.2">
      <c r="R994" s="558">
        <v>993</v>
      </c>
      <c r="S994" s="558">
        <f t="shared" si="109"/>
        <v>-907</v>
      </c>
      <c r="T994" s="558">
        <f t="shared" si="110"/>
        <v>-896</v>
      </c>
      <c r="U994" s="558">
        <f t="shared" si="111"/>
        <v>960</v>
      </c>
      <c r="V994" s="558">
        <f t="shared" si="113"/>
        <v>0</v>
      </c>
      <c r="W994" s="558">
        <f t="shared" si="112"/>
        <v>0</v>
      </c>
      <c r="X994" s="558">
        <f t="shared" si="108"/>
        <v>0</v>
      </c>
      <c r="Y994" s="558">
        <f t="shared" si="114"/>
        <v>0</v>
      </c>
    </row>
    <row r="995" spans="18:25" x14ac:dyDescent="0.2">
      <c r="R995" s="558">
        <v>994</v>
      </c>
      <c r="S995" s="558">
        <f t="shared" si="109"/>
        <v>-908</v>
      </c>
      <c r="T995" s="558">
        <f t="shared" si="110"/>
        <v>-897</v>
      </c>
      <c r="U995" s="558">
        <f t="shared" si="111"/>
        <v>961</v>
      </c>
      <c r="V995" s="558">
        <f t="shared" si="113"/>
        <v>0</v>
      </c>
      <c r="W995" s="558">
        <f t="shared" si="112"/>
        <v>0</v>
      </c>
      <c r="X995" s="558">
        <f t="shared" ref="X995:X1058" si="115">IF(R995=$B$7,W995,0)</f>
        <v>0</v>
      </c>
      <c r="Y995" s="558">
        <f t="shared" si="114"/>
        <v>0</v>
      </c>
    </row>
    <row r="996" spans="18:25" x14ac:dyDescent="0.2">
      <c r="R996" s="558">
        <v>995</v>
      </c>
      <c r="S996" s="558">
        <f t="shared" si="109"/>
        <v>-909</v>
      </c>
      <c r="T996" s="558">
        <f t="shared" si="110"/>
        <v>-898</v>
      </c>
      <c r="U996" s="558">
        <f t="shared" si="111"/>
        <v>962</v>
      </c>
      <c r="V996" s="558">
        <f t="shared" si="113"/>
        <v>0</v>
      </c>
      <c r="W996" s="558">
        <f t="shared" si="112"/>
        <v>0</v>
      </c>
      <c r="X996" s="558">
        <f t="shared" si="115"/>
        <v>0</v>
      </c>
      <c r="Y996" s="558">
        <f t="shared" si="114"/>
        <v>0</v>
      </c>
    </row>
    <row r="997" spans="18:25" x14ac:dyDescent="0.2">
      <c r="R997" s="558">
        <v>996</v>
      </c>
      <c r="S997" s="558">
        <f t="shared" si="109"/>
        <v>-910</v>
      </c>
      <c r="T997" s="558">
        <f t="shared" si="110"/>
        <v>-899</v>
      </c>
      <c r="U997" s="558">
        <f t="shared" si="111"/>
        <v>963</v>
      </c>
      <c r="V997" s="558">
        <f t="shared" si="113"/>
        <v>0</v>
      </c>
      <c r="W997" s="558">
        <f t="shared" si="112"/>
        <v>0</v>
      </c>
      <c r="X997" s="558">
        <f t="shared" si="115"/>
        <v>0</v>
      </c>
      <c r="Y997" s="558">
        <f t="shared" si="114"/>
        <v>0</v>
      </c>
    </row>
    <row r="998" spans="18:25" x14ac:dyDescent="0.2">
      <c r="R998" s="558">
        <v>997</v>
      </c>
      <c r="S998" s="558">
        <f t="shared" si="109"/>
        <v>-911</v>
      </c>
      <c r="T998" s="558">
        <f t="shared" si="110"/>
        <v>-900</v>
      </c>
      <c r="U998" s="558">
        <f t="shared" si="111"/>
        <v>964</v>
      </c>
      <c r="V998" s="558">
        <f t="shared" si="113"/>
        <v>0</v>
      </c>
      <c r="W998" s="558">
        <f t="shared" si="112"/>
        <v>0</v>
      </c>
      <c r="X998" s="558">
        <f t="shared" si="115"/>
        <v>0</v>
      </c>
      <c r="Y998" s="558">
        <f t="shared" si="114"/>
        <v>0</v>
      </c>
    </row>
    <row r="999" spans="18:25" x14ac:dyDescent="0.2">
      <c r="R999" s="558">
        <v>998</v>
      </c>
      <c r="S999" s="558">
        <f t="shared" si="109"/>
        <v>-912</v>
      </c>
      <c r="T999" s="558">
        <f t="shared" si="110"/>
        <v>-901</v>
      </c>
      <c r="U999" s="558">
        <f t="shared" si="111"/>
        <v>965</v>
      </c>
      <c r="V999" s="558">
        <f t="shared" si="113"/>
        <v>0</v>
      </c>
      <c r="W999" s="558">
        <f t="shared" si="112"/>
        <v>0</v>
      </c>
      <c r="X999" s="558">
        <f t="shared" si="115"/>
        <v>0</v>
      </c>
      <c r="Y999" s="558">
        <f t="shared" si="114"/>
        <v>0</v>
      </c>
    </row>
    <row r="1000" spans="18:25" x14ac:dyDescent="0.2">
      <c r="R1000" s="558">
        <v>999</v>
      </c>
      <c r="S1000" s="558">
        <f t="shared" si="109"/>
        <v>-913</v>
      </c>
      <c r="T1000" s="558">
        <f t="shared" si="110"/>
        <v>-902</v>
      </c>
      <c r="U1000" s="558">
        <f t="shared" si="111"/>
        <v>966</v>
      </c>
      <c r="V1000" s="558">
        <f t="shared" si="113"/>
        <v>0</v>
      </c>
      <c r="W1000" s="558">
        <f t="shared" si="112"/>
        <v>0</v>
      </c>
      <c r="X1000" s="558">
        <f t="shared" si="115"/>
        <v>0</v>
      </c>
      <c r="Y1000" s="558">
        <f t="shared" si="114"/>
        <v>0</v>
      </c>
    </row>
    <row r="1001" spans="18:25" x14ac:dyDescent="0.2">
      <c r="R1001" s="558">
        <v>1000</v>
      </c>
      <c r="S1001" s="558">
        <f t="shared" si="109"/>
        <v>-914</v>
      </c>
      <c r="T1001" s="558">
        <f t="shared" si="110"/>
        <v>-903</v>
      </c>
      <c r="U1001" s="558">
        <f t="shared" si="111"/>
        <v>967</v>
      </c>
      <c r="V1001" s="558">
        <f t="shared" si="113"/>
        <v>0</v>
      </c>
      <c r="W1001" s="558">
        <f t="shared" si="112"/>
        <v>0</v>
      </c>
      <c r="X1001" s="558">
        <f t="shared" si="115"/>
        <v>0</v>
      </c>
      <c r="Y1001" s="558">
        <f t="shared" si="114"/>
        <v>0</v>
      </c>
    </row>
    <row r="1002" spans="18:25" x14ac:dyDescent="0.2">
      <c r="R1002" s="558">
        <v>1001</v>
      </c>
      <c r="S1002" s="558">
        <f t="shared" si="109"/>
        <v>-915</v>
      </c>
      <c r="T1002" s="558">
        <f t="shared" si="110"/>
        <v>-904</v>
      </c>
      <c r="U1002" s="558">
        <f t="shared" si="111"/>
        <v>968</v>
      </c>
      <c r="V1002" s="558">
        <f t="shared" si="113"/>
        <v>0</v>
      </c>
      <c r="W1002" s="558">
        <f t="shared" si="112"/>
        <v>0</v>
      </c>
      <c r="X1002" s="558">
        <f t="shared" si="115"/>
        <v>0</v>
      </c>
      <c r="Y1002" s="558">
        <f t="shared" si="114"/>
        <v>0</v>
      </c>
    </row>
    <row r="1003" spans="18:25" x14ac:dyDescent="0.2">
      <c r="R1003" s="558">
        <v>1002</v>
      </c>
      <c r="S1003" s="558">
        <f t="shared" si="109"/>
        <v>-916</v>
      </c>
      <c r="T1003" s="558">
        <f t="shared" si="110"/>
        <v>-905</v>
      </c>
      <c r="U1003" s="558">
        <f t="shared" si="111"/>
        <v>969</v>
      </c>
      <c r="V1003" s="558">
        <f t="shared" si="113"/>
        <v>0</v>
      </c>
      <c r="W1003" s="558">
        <f t="shared" si="112"/>
        <v>0</v>
      </c>
      <c r="X1003" s="558">
        <f t="shared" si="115"/>
        <v>0</v>
      </c>
      <c r="Y1003" s="558">
        <f t="shared" si="114"/>
        <v>0</v>
      </c>
    </row>
    <row r="1004" spans="18:25" x14ac:dyDescent="0.2">
      <c r="R1004" s="558">
        <v>1003</v>
      </c>
      <c r="S1004" s="558">
        <f t="shared" si="109"/>
        <v>-917</v>
      </c>
      <c r="T1004" s="558">
        <f t="shared" si="110"/>
        <v>-906</v>
      </c>
      <c r="U1004" s="558">
        <f t="shared" si="111"/>
        <v>970</v>
      </c>
      <c r="V1004" s="558">
        <f t="shared" si="113"/>
        <v>0</v>
      </c>
      <c r="W1004" s="558">
        <f t="shared" si="112"/>
        <v>0</v>
      </c>
      <c r="X1004" s="558">
        <f t="shared" si="115"/>
        <v>0</v>
      </c>
      <c r="Y1004" s="558">
        <f t="shared" si="114"/>
        <v>0</v>
      </c>
    </row>
    <row r="1005" spans="18:25" x14ac:dyDescent="0.2">
      <c r="R1005" s="558">
        <v>1004</v>
      </c>
      <c r="S1005" s="558">
        <f t="shared" si="109"/>
        <v>-918</v>
      </c>
      <c r="T1005" s="558">
        <f t="shared" si="110"/>
        <v>-907</v>
      </c>
      <c r="U1005" s="558">
        <f t="shared" si="111"/>
        <v>971</v>
      </c>
      <c r="V1005" s="558">
        <f t="shared" si="113"/>
        <v>0</v>
      </c>
      <c r="W1005" s="558">
        <f t="shared" si="112"/>
        <v>0</v>
      </c>
      <c r="X1005" s="558">
        <f t="shared" si="115"/>
        <v>0</v>
      </c>
      <c r="Y1005" s="558">
        <f t="shared" si="114"/>
        <v>0</v>
      </c>
    </row>
    <row r="1006" spans="18:25" x14ac:dyDescent="0.2">
      <c r="R1006" s="558">
        <v>1005</v>
      </c>
      <c r="S1006" s="558">
        <f t="shared" si="109"/>
        <v>-919</v>
      </c>
      <c r="T1006" s="558">
        <f t="shared" si="110"/>
        <v>-908</v>
      </c>
      <c r="U1006" s="558">
        <f t="shared" si="111"/>
        <v>972</v>
      </c>
      <c r="V1006" s="558">
        <f t="shared" si="113"/>
        <v>0</v>
      </c>
      <c r="W1006" s="558">
        <f t="shared" si="112"/>
        <v>0</v>
      </c>
      <c r="X1006" s="558">
        <f t="shared" si="115"/>
        <v>0</v>
      </c>
      <c r="Y1006" s="558">
        <f t="shared" si="114"/>
        <v>0</v>
      </c>
    </row>
    <row r="1007" spans="18:25" x14ac:dyDescent="0.2">
      <c r="R1007" s="558">
        <v>1006</v>
      </c>
      <c r="S1007" s="558">
        <f t="shared" si="109"/>
        <v>-920</v>
      </c>
      <c r="T1007" s="558">
        <f t="shared" si="110"/>
        <v>-909</v>
      </c>
      <c r="U1007" s="558">
        <f t="shared" si="111"/>
        <v>973</v>
      </c>
      <c r="V1007" s="558">
        <f t="shared" si="113"/>
        <v>0</v>
      </c>
      <c r="W1007" s="558">
        <f t="shared" si="112"/>
        <v>0</v>
      </c>
      <c r="X1007" s="558">
        <f t="shared" si="115"/>
        <v>0</v>
      </c>
      <c r="Y1007" s="558">
        <f t="shared" si="114"/>
        <v>0</v>
      </c>
    </row>
    <row r="1008" spans="18:25" x14ac:dyDescent="0.2">
      <c r="R1008" s="558">
        <v>1007</v>
      </c>
      <c r="S1008" s="558">
        <f t="shared" si="109"/>
        <v>-921</v>
      </c>
      <c r="T1008" s="558">
        <f t="shared" si="110"/>
        <v>-910</v>
      </c>
      <c r="U1008" s="558">
        <f t="shared" si="111"/>
        <v>974</v>
      </c>
      <c r="V1008" s="558">
        <f t="shared" si="113"/>
        <v>0</v>
      </c>
      <c r="W1008" s="558">
        <f t="shared" si="112"/>
        <v>0</v>
      </c>
      <c r="X1008" s="558">
        <f t="shared" si="115"/>
        <v>0</v>
      </c>
      <c r="Y1008" s="558">
        <f t="shared" si="114"/>
        <v>0</v>
      </c>
    </row>
    <row r="1009" spans="18:25" x14ac:dyDescent="0.2">
      <c r="R1009" s="558">
        <v>1008</v>
      </c>
      <c r="S1009" s="558">
        <f t="shared" si="109"/>
        <v>-922</v>
      </c>
      <c r="T1009" s="558">
        <f t="shared" si="110"/>
        <v>-911</v>
      </c>
      <c r="U1009" s="558">
        <f t="shared" si="111"/>
        <v>975</v>
      </c>
      <c r="V1009" s="558">
        <f t="shared" si="113"/>
        <v>0</v>
      </c>
      <c r="W1009" s="558">
        <f t="shared" si="112"/>
        <v>0</v>
      </c>
      <c r="X1009" s="558">
        <f t="shared" si="115"/>
        <v>0</v>
      </c>
      <c r="Y1009" s="558">
        <f t="shared" si="114"/>
        <v>0</v>
      </c>
    </row>
    <row r="1010" spans="18:25" x14ac:dyDescent="0.2">
      <c r="R1010" s="558">
        <v>1009</v>
      </c>
      <c r="S1010" s="558">
        <f t="shared" si="109"/>
        <v>-923</v>
      </c>
      <c r="T1010" s="558">
        <f t="shared" si="110"/>
        <v>-912</v>
      </c>
      <c r="U1010" s="558">
        <f t="shared" si="111"/>
        <v>976</v>
      </c>
      <c r="V1010" s="558">
        <f t="shared" si="113"/>
        <v>0</v>
      </c>
      <c r="W1010" s="558">
        <f t="shared" si="112"/>
        <v>0</v>
      </c>
      <c r="X1010" s="558">
        <f t="shared" si="115"/>
        <v>0</v>
      </c>
      <c r="Y1010" s="558">
        <f t="shared" si="114"/>
        <v>0</v>
      </c>
    </row>
    <row r="1011" spans="18:25" x14ac:dyDescent="0.2">
      <c r="R1011" s="558">
        <v>1010</v>
      </c>
      <c r="S1011" s="558">
        <f t="shared" si="109"/>
        <v>-924</v>
      </c>
      <c r="T1011" s="558">
        <f t="shared" si="110"/>
        <v>-913</v>
      </c>
      <c r="U1011" s="558">
        <f t="shared" si="111"/>
        <v>977</v>
      </c>
      <c r="V1011" s="558">
        <f t="shared" si="113"/>
        <v>0</v>
      </c>
      <c r="W1011" s="558">
        <f t="shared" si="112"/>
        <v>0</v>
      </c>
      <c r="X1011" s="558">
        <f t="shared" si="115"/>
        <v>0</v>
      </c>
      <c r="Y1011" s="558">
        <f t="shared" si="114"/>
        <v>0</v>
      </c>
    </row>
    <row r="1012" spans="18:25" x14ac:dyDescent="0.2">
      <c r="R1012" s="558">
        <v>1011</v>
      </c>
      <c r="S1012" s="558">
        <f t="shared" si="109"/>
        <v>-925</v>
      </c>
      <c r="T1012" s="558">
        <f t="shared" si="110"/>
        <v>-914</v>
      </c>
      <c r="U1012" s="558">
        <f t="shared" si="111"/>
        <v>978</v>
      </c>
      <c r="V1012" s="558">
        <f t="shared" si="113"/>
        <v>0</v>
      </c>
      <c r="W1012" s="558">
        <f t="shared" si="112"/>
        <v>0</v>
      </c>
      <c r="X1012" s="558">
        <f t="shared" si="115"/>
        <v>0</v>
      </c>
      <c r="Y1012" s="558">
        <f t="shared" si="114"/>
        <v>0</v>
      </c>
    </row>
    <row r="1013" spans="18:25" x14ac:dyDescent="0.2">
      <c r="R1013" s="558">
        <v>1012</v>
      </c>
      <c r="S1013" s="558">
        <f t="shared" si="109"/>
        <v>-926</v>
      </c>
      <c r="T1013" s="558">
        <f t="shared" si="110"/>
        <v>-915</v>
      </c>
      <c r="U1013" s="558">
        <f t="shared" si="111"/>
        <v>979</v>
      </c>
      <c r="V1013" s="558">
        <f t="shared" si="113"/>
        <v>0</v>
      </c>
      <c r="W1013" s="558">
        <f t="shared" si="112"/>
        <v>0</v>
      </c>
      <c r="X1013" s="558">
        <f t="shared" si="115"/>
        <v>0</v>
      </c>
      <c r="Y1013" s="558">
        <f t="shared" si="114"/>
        <v>0</v>
      </c>
    </row>
    <row r="1014" spans="18:25" x14ac:dyDescent="0.2">
      <c r="R1014" s="558">
        <v>1013</v>
      </c>
      <c r="S1014" s="558">
        <f t="shared" si="109"/>
        <v>-927</v>
      </c>
      <c r="T1014" s="558">
        <f t="shared" si="110"/>
        <v>-916</v>
      </c>
      <c r="U1014" s="558">
        <f t="shared" si="111"/>
        <v>980</v>
      </c>
      <c r="V1014" s="558">
        <f t="shared" si="113"/>
        <v>0</v>
      </c>
      <c r="W1014" s="558">
        <f t="shared" si="112"/>
        <v>0</v>
      </c>
      <c r="X1014" s="558">
        <f t="shared" si="115"/>
        <v>0</v>
      </c>
      <c r="Y1014" s="558">
        <f t="shared" si="114"/>
        <v>0</v>
      </c>
    </row>
    <row r="1015" spans="18:25" x14ac:dyDescent="0.2">
      <c r="R1015" s="558">
        <v>1014</v>
      </c>
      <c r="S1015" s="558">
        <f t="shared" si="109"/>
        <v>-928</v>
      </c>
      <c r="T1015" s="558">
        <f t="shared" si="110"/>
        <v>-917</v>
      </c>
      <c r="U1015" s="558">
        <f t="shared" si="111"/>
        <v>981</v>
      </c>
      <c r="V1015" s="558">
        <f t="shared" si="113"/>
        <v>0</v>
      </c>
      <c r="W1015" s="558">
        <f t="shared" si="112"/>
        <v>0</v>
      </c>
      <c r="X1015" s="558">
        <f t="shared" si="115"/>
        <v>0</v>
      </c>
      <c r="Y1015" s="558">
        <f t="shared" si="114"/>
        <v>0</v>
      </c>
    </row>
    <row r="1016" spans="18:25" x14ac:dyDescent="0.2">
      <c r="R1016" s="558">
        <v>1015</v>
      </c>
      <c r="S1016" s="558">
        <f t="shared" si="109"/>
        <v>-929</v>
      </c>
      <c r="T1016" s="558">
        <f t="shared" si="110"/>
        <v>-918</v>
      </c>
      <c r="U1016" s="558">
        <f t="shared" si="111"/>
        <v>982</v>
      </c>
      <c r="V1016" s="558">
        <f t="shared" si="113"/>
        <v>0</v>
      </c>
      <c r="W1016" s="558">
        <f t="shared" si="112"/>
        <v>0</v>
      </c>
      <c r="X1016" s="558">
        <f t="shared" si="115"/>
        <v>0</v>
      </c>
      <c r="Y1016" s="558">
        <f t="shared" si="114"/>
        <v>0</v>
      </c>
    </row>
    <row r="1017" spans="18:25" x14ac:dyDescent="0.2">
      <c r="R1017" s="558">
        <v>1016</v>
      </c>
      <c r="S1017" s="558">
        <f t="shared" si="109"/>
        <v>-930</v>
      </c>
      <c r="T1017" s="558">
        <f t="shared" si="110"/>
        <v>-919</v>
      </c>
      <c r="U1017" s="558">
        <f t="shared" si="111"/>
        <v>983</v>
      </c>
      <c r="V1017" s="558">
        <f t="shared" si="113"/>
        <v>0</v>
      </c>
      <c r="W1017" s="558">
        <f t="shared" si="112"/>
        <v>0</v>
      </c>
      <c r="X1017" s="558">
        <f t="shared" si="115"/>
        <v>0</v>
      </c>
      <c r="Y1017" s="558">
        <f t="shared" si="114"/>
        <v>0</v>
      </c>
    </row>
    <row r="1018" spans="18:25" x14ac:dyDescent="0.2">
      <c r="R1018" s="558">
        <v>1017</v>
      </c>
      <c r="S1018" s="558">
        <f t="shared" si="109"/>
        <v>-931</v>
      </c>
      <c r="T1018" s="558">
        <f t="shared" si="110"/>
        <v>-920</v>
      </c>
      <c r="U1018" s="558">
        <f t="shared" si="111"/>
        <v>984</v>
      </c>
      <c r="V1018" s="558">
        <f t="shared" si="113"/>
        <v>0</v>
      </c>
      <c r="W1018" s="558">
        <f t="shared" si="112"/>
        <v>0</v>
      </c>
      <c r="X1018" s="558">
        <f t="shared" si="115"/>
        <v>0</v>
      </c>
      <c r="Y1018" s="558">
        <f t="shared" si="114"/>
        <v>0</v>
      </c>
    </row>
    <row r="1019" spans="18:25" x14ac:dyDescent="0.2">
      <c r="R1019" s="558">
        <v>1018</v>
      </c>
      <c r="S1019" s="558">
        <f t="shared" si="109"/>
        <v>-932</v>
      </c>
      <c r="T1019" s="558">
        <f t="shared" si="110"/>
        <v>-921</v>
      </c>
      <c r="U1019" s="558">
        <f t="shared" si="111"/>
        <v>985</v>
      </c>
      <c r="V1019" s="558">
        <f t="shared" si="113"/>
        <v>0</v>
      </c>
      <c r="W1019" s="558">
        <f t="shared" si="112"/>
        <v>0</v>
      </c>
      <c r="X1019" s="558">
        <f t="shared" si="115"/>
        <v>0</v>
      </c>
      <c r="Y1019" s="558">
        <f t="shared" si="114"/>
        <v>0</v>
      </c>
    </row>
    <row r="1020" spans="18:25" x14ac:dyDescent="0.2">
      <c r="R1020" s="558">
        <v>1019</v>
      </c>
      <c r="S1020" s="558">
        <f t="shared" si="109"/>
        <v>-933</v>
      </c>
      <c r="T1020" s="558">
        <f t="shared" si="110"/>
        <v>-922</v>
      </c>
      <c r="U1020" s="558">
        <f t="shared" si="111"/>
        <v>986</v>
      </c>
      <c r="V1020" s="558">
        <f t="shared" si="113"/>
        <v>0</v>
      </c>
      <c r="W1020" s="558">
        <f t="shared" si="112"/>
        <v>0</v>
      </c>
      <c r="X1020" s="558">
        <f t="shared" si="115"/>
        <v>0</v>
      </c>
      <c r="Y1020" s="558">
        <f t="shared" si="114"/>
        <v>0</v>
      </c>
    </row>
    <row r="1021" spans="18:25" x14ac:dyDescent="0.2">
      <c r="R1021" s="558">
        <v>1020</v>
      </c>
      <c r="S1021" s="558">
        <f t="shared" si="109"/>
        <v>-934</v>
      </c>
      <c r="T1021" s="558">
        <f t="shared" si="110"/>
        <v>-923</v>
      </c>
      <c r="U1021" s="558">
        <f t="shared" si="111"/>
        <v>987</v>
      </c>
      <c r="V1021" s="558">
        <f t="shared" si="113"/>
        <v>0</v>
      </c>
      <c r="W1021" s="558">
        <f t="shared" si="112"/>
        <v>0</v>
      </c>
      <c r="X1021" s="558">
        <f t="shared" si="115"/>
        <v>0</v>
      </c>
      <c r="Y1021" s="558">
        <f t="shared" si="114"/>
        <v>0</v>
      </c>
    </row>
    <row r="1022" spans="18:25" x14ac:dyDescent="0.2">
      <c r="R1022" s="558">
        <v>1021</v>
      </c>
      <c r="S1022" s="558">
        <f t="shared" si="109"/>
        <v>-935</v>
      </c>
      <c r="T1022" s="558">
        <f t="shared" si="110"/>
        <v>-924</v>
      </c>
      <c r="U1022" s="558">
        <f t="shared" si="111"/>
        <v>988</v>
      </c>
      <c r="V1022" s="558">
        <f t="shared" si="113"/>
        <v>0</v>
      </c>
      <c r="W1022" s="558">
        <f t="shared" si="112"/>
        <v>0</v>
      </c>
      <c r="X1022" s="558">
        <f t="shared" si="115"/>
        <v>0</v>
      </c>
      <c r="Y1022" s="558">
        <f t="shared" si="114"/>
        <v>0</v>
      </c>
    </row>
    <row r="1023" spans="18:25" x14ac:dyDescent="0.2">
      <c r="R1023" s="558">
        <v>1022</v>
      </c>
      <c r="S1023" s="558">
        <f t="shared" si="109"/>
        <v>-936</v>
      </c>
      <c r="T1023" s="558">
        <f t="shared" si="110"/>
        <v>-925</v>
      </c>
      <c r="U1023" s="558">
        <f t="shared" si="111"/>
        <v>989</v>
      </c>
      <c r="V1023" s="558">
        <f t="shared" si="113"/>
        <v>0</v>
      </c>
      <c r="W1023" s="558">
        <f t="shared" si="112"/>
        <v>0</v>
      </c>
      <c r="X1023" s="558">
        <f t="shared" si="115"/>
        <v>0</v>
      </c>
      <c r="Y1023" s="558">
        <f t="shared" si="114"/>
        <v>0</v>
      </c>
    </row>
    <row r="1024" spans="18:25" x14ac:dyDescent="0.2">
      <c r="R1024" s="558">
        <v>1023</v>
      </c>
      <c r="S1024" s="558">
        <f t="shared" si="109"/>
        <v>-937</v>
      </c>
      <c r="T1024" s="558">
        <f t="shared" si="110"/>
        <v>-926</v>
      </c>
      <c r="U1024" s="558">
        <f t="shared" si="111"/>
        <v>990</v>
      </c>
      <c r="V1024" s="558">
        <f t="shared" si="113"/>
        <v>0</v>
      </c>
      <c r="W1024" s="558">
        <f t="shared" si="112"/>
        <v>0</v>
      </c>
      <c r="X1024" s="558">
        <f t="shared" si="115"/>
        <v>0</v>
      </c>
      <c r="Y1024" s="558">
        <f t="shared" si="114"/>
        <v>0</v>
      </c>
    </row>
    <row r="1025" spans="18:25" x14ac:dyDescent="0.2">
      <c r="R1025" s="558">
        <v>1024</v>
      </c>
      <c r="S1025" s="558">
        <f t="shared" ref="S1025:S1088" si="116">$D$7-R1025</f>
        <v>-938</v>
      </c>
      <c r="T1025" s="558">
        <f t="shared" ref="T1025:T1088" si="117">$B$9-R1025</f>
        <v>-927</v>
      </c>
      <c r="U1025" s="558">
        <f t="shared" ref="U1025:U1088" si="118">$D$9-SUM(R1025:T1025)</f>
        <v>991</v>
      </c>
      <c r="V1025" s="558">
        <f t="shared" si="113"/>
        <v>0</v>
      </c>
      <c r="W1025" s="558">
        <f t="shared" ref="W1025:W1088" si="119">_xlfn.HYPGEOM.DIST(R1025,R1025+T1025,R1025+S1025,SUM(R1025:U1025),0)</f>
        <v>0</v>
      </c>
      <c r="X1025" s="558">
        <f t="shared" si="115"/>
        <v>0</v>
      </c>
      <c r="Y1025" s="558">
        <f t="shared" si="114"/>
        <v>0</v>
      </c>
    </row>
    <row r="1026" spans="18:25" x14ac:dyDescent="0.2">
      <c r="R1026" s="558">
        <v>1025</v>
      </c>
      <c r="S1026" s="558">
        <f t="shared" si="116"/>
        <v>-939</v>
      </c>
      <c r="T1026" s="558">
        <f t="shared" si="117"/>
        <v>-928</v>
      </c>
      <c r="U1026" s="558">
        <f t="shared" si="118"/>
        <v>992</v>
      </c>
      <c r="V1026" s="558">
        <f t="shared" ref="V1026:V1089" si="120">IF(S1026&gt;=0,IF(T1026&gt;=0,IF(U1026&gt;=0,1,0),0),0)</f>
        <v>0</v>
      </c>
      <c r="W1026" s="558">
        <f t="shared" si="119"/>
        <v>0</v>
      </c>
      <c r="X1026" s="558">
        <f t="shared" si="115"/>
        <v>0</v>
      </c>
      <c r="Y1026" s="558">
        <f t="shared" ref="Y1026:Y1089" si="121">IF(W1026&lt;=SUM($X$1:$X$1101),W1026,0)</f>
        <v>0</v>
      </c>
    </row>
    <row r="1027" spans="18:25" x14ac:dyDescent="0.2">
      <c r="R1027" s="558">
        <v>1026</v>
      </c>
      <c r="S1027" s="558">
        <f t="shared" si="116"/>
        <v>-940</v>
      </c>
      <c r="T1027" s="558">
        <f t="shared" si="117"/>
        <v>-929</v>
      </c>
      <c r="U1027" s="558">
        <f t="shared" si="118"/>
        <v>993</v>
      </c>
      <c r="V1027" s="558">
        <f t="shared" si="120"/>
        <v>0</v>
      </c>
      <c r="W1027" s="558">
        <f t="shared" si="119"/>
        <v>0</v>
      </c>
      <c r="X1027" s="558">
        <f t="shared" si="115"/>
        <v>0</v>
      </c>
      <c r="Y1027" s="558">
        <f t="shared" si="121"/>
        <v>0</v>
      </c>
    </row>
    <row r="1028" spans="18:25" x14ac:dyDescent="0.2">
      <c r="R1028" s="558">
        <v>1027</v>
      </c>
      <c r="S1028" s="558">
        <f t="shared" si="116"/>
        <v>-941</v>
      </c>
      <c r="T1028" s="558">
        <f t="shared" si="117"/>
        <v>-930</v>
      </c>
      <c r="U1028" s="558">
        <f t="shared" si="118"/>
        <v>994</v>
      </c>
      <c r="V1028" s="558">
        <f t="shared" si="120"/>
        <v>0</v>
      </c>
      <c r="W1028" s="558">
        <f t="shared" si="119"/>
        <v>0</v>
      </c>
      <c r="X1028" s="558">
        <f t="shared" si="115"/>
        <v>0</v>
      </c>
      <c r="Y1028" s="558">
        <f t="shared" si="121"/>
        <v>0</v>
      </c>
    </row>
    <row r="1029" spans="18:25" x14ac:dyDescent="0.2">
      <c r="R1029" s="558">
        <v>1028</v>
      </c>
      <c r="S1029" s="558">
        <f t="shared" si="116"/>
        <v>-942</v>
      </c>
      <c r="T1029" s="558">
        <f t="shared" si="117"/>
        <v>-931</v>
      </c>
      <c r="U1029" s="558">
        <f t="shared" si="118"/>
        <v>995</v>
      </c>
      <c r="V1029" s="558">
        <f t="shared" si="120"/>
        <v>0</v>
      </c>
      <c r="W1029" s="558">
        <f t="shared" si="119"/>
        <v>0</v>
      </c>
      <c r="X1029" s="558">
        <f t="shared" si="115"/>
        <v>0</v>
      </c>
      <c r="Y1029" s="558">
        <f t="shared" si="121"/>
        <v>0</v>
      </c>
    </row>
    <row r="1030" spans="18:25" x14ac:dyDescent="0.2">
      <c r="R1030" s="558">
        <v>1029</v>
      </c>
      <c r="S1030" s="558">
        <f t="shared" si="116"/>
        <v>-943</v>
      </c>
      <c r="T1030" s="558">
        <f t="shared" si="117"/>
        <v>-932</v>
      </c>
      <c r="U1030" s="558">
        <f t="shared" si="118"/>
        <v>996</v>
      </c>
      <c r="V1030" s="558">
        <f t="shared" si="120"/>
        <v>0</v>
      </c>
      <c r="W1030" s="558">
        <f t="shared" si="119"/>
        <v>0</v>
      </c>
      <c r="X1030" s="558">
        <f t="shared" si="115"/>
        <v>0</v>
      </c>
      <c r="Y1030" s="558">
        <f t="shared" si="121"/>
        <v>0</v>
      </c>
    </row>
    <row r="1031" spans="18:25" x14ac:dyDescent="0.2">
      <c r="R1031" s="558">
        <v>1030</v>
      </c>
      <c r="S1031" s="558">
        <f t="shared" si="116"/>
        <v>-944</v>
      </c>
      <c r="T1031" s="558">
        <f t="shared" si="117"/>
        <v>-933</v>
      </c>
      <c r="U1031" s="558">
        <f t="shared" si="118"/>
        <v>997</v>
      </c>
      <c r="V1031" s="558">
        <f t="shared" si="120"/>
        <v>0</v>
      </c>
      <c r="W1031" s="558">
        <f t="shared" si="119"/>
        <v>0</v>
      </c>
      <c r="X1031" s="558">
        <f t="shared" si="115"/>
        <v>0</v>
      </c>
      <c r="Y1031" s="558">
        <f t="shared" si="121"/>
        <v>0</v>
      </c>
    </row>
    <row r="1032" spans="18:25" x14ac:dyDescent="0.2">
      <c r="R1032" s="558">
        <v>1031</v>
      </c>
      <c r="S1032" s="558">
        <f t="shared" si="116"/>
        <v>-945</v>
      </c>
      <c r="T1032" s="558">
        <f t="shared" si="117"/>
        <v>-934</v>
      </c>
      <c r="U1032" s="558">
        <f t="shared" si="118"/>
        <v>998</v>
      </c>
      <c r="V1032" s="558">
        <f t="shared" si="120"/>
        <v>0</v>
      </c>
      <c r="W1032" s="558">
        <f t="shared" si="119"/>
        <v>0</v>
      </c>
      <c r="X1032" s="558">
        <f t="shared" si="115"/>
        <v>0</v>
      </c>
      <c r="Y1032" s="558">
        <f t="shared" si="121"/>
        <v>0</v>
      </c>
    </row>
    <row r="1033" spans="18:25" x14ac:dyDescent="0.2">
      <c r="R1033" s="558">
        <v>1032</v>
      </c>
      <c r="S1033" s="558">
        <f t="shared" si="116"/>
        <v>-946</v>
      </c>
      <c r="T1033" s="558">
        <f t="shared" si="117"/>
        <v>-935</v>
      </c>
      <c r="U1033" s="558">
        <f t="shared" si="118"/>
        <v>999</v>
      </c>
      <c r="V1033" s="558">
        <f t="shared" si="120"/>
        <v>0</v>
      </c>
      <c r="W1033" s="558">
        <f t="shared" si="119"/>
        <v>0</v>
      </c>
      <c r="X1033" s="558">
        <f t="shared" si="115"/>
        <v>0</v>
      </c>
      <c r="Y1033" s="558">
        <f t="shared" si="121"/>
        <v>0</v>
      </c>
    </row>
    <row r="1034" spans="18:25" x14ac:dyDescent="0.2">
      <c r="R1034" s="558">
        <v>1033</v>
      </c>
      <c r="S1034" s="558">
        <f t="shared" si="116"/>
        <v>-947</v>
      </c>
      <c r="T1034" s="558">
        <f t="shared" si="117"/>
        <v>-936</v>
      </c>
      <c r="U1034" s="558">
        <f t="shared" si="118"/>
        <v>1000</v>
      </c>
      <c r="V1034" s="558">
        <f t="shared" si="120"/>
        <v>0</v>
      </c>
      <c r="W1034" s="558">
        <f t="shared" si="119"/>
        <v>0</v>
      </c>
      <c r="X1034" s="558">
        <f t="shared" si="115"/>
        <v>0</v>
      </c>
      <c r="Y1034" s="558">
        <f t="shared" si="121"/>
        <v>0</v>
      </c>
    </row>
    <row r="1035" spans="18:25" x14ac:dyDescent="0.2">
      <c r="R1035" s="558">
        <v>1034</v>
      </c>
      <c r="S1035" s="558">
        <f t="shared" si="116"/>
        <v>-948</v>
      </c>
      <c r="T1035" s="558">
        <f t="shared" si="117"/>
        <v>-937</v>
      </c>
      <c r="U1035" s="558">
        <f t="shared" si="118"/>
        <v>1001</v>
      </c>
      <c r="V1035" s="558">
        <f t="shared" si="120"/>
        <v>0</v>
      </c>
      <c r="W1035" s="558">
        <f t="shared" si="119"/>
        <v>0</v>
      </c>
      <c r="X1035" s="558">
        <f t="shared" si="115"/>
        <v>0</v>
      </c>
      <c r="Y1035" s="558">
        <f t="shared" si="121"/>
        <v>0</v>
      </c>
    </row>
    <row r="1036" spans="18:25" x14ac:dyDescent="0.2">
      <c r="R1036" s="558">
        <v>1035</v>
      </c>
      <c r="S1036" s="558">
        <f t="shared" si="116"/>
        <v>-949</v>
      </c>
      <c r="T1036" s="558">
        <f t="shared" si="117"/>
        <v>-938</v>
      </c>
      <c r="U1036" s="558">
        <f t="shared" si="118"/>
        <v>1002</v>
      </c>
      <c r="V1036" s="558">
        <f t="shared" si="120"/>
        <v>0</v>
      </c>
      <c r="W1036" s="558">
        <f t="shared" si="119"/>
        <v>0</v>
      </c>
      <c r="X1036" s="558">
        <f t="shared" si="115"/>
        <v>0</v>
      </c>
      <c r="Y1036" s="558">
        <f t="shared" si="121"/>
        <v>0</v>
      </c>
    </row>
    <row r="1037" spans="18:25" x14ac:dyDescent="0.2">
      <c r="R1037" s="558">
        <v>1036</v>
      </c>
      <c r="S1037" s="558">
        <f t="shared" si="116"/>
        <v>-950</v>
      </c>
      <c r="T1037" s="558">
        <f t="shared" si="117"/>
        <v>-939</v>
      </c>
      <c r="U1037" s="558">
        <f t="shared" si="118"/>
        <v>1003</v>
      </c>
      <c r="V1037" s="558">
        <f t="shared" si="120"/>
        <v>0</v>
      </c>
      <c r="W1037" s="558">
        <f t="shared" si="119"/>
        <v>0</v>
      </c>
      <c r="X1037" s="558">
        <f t="shared" si="115"/>
        <v>0</v>
      </c>
      <c r="Y1037" s="558">
        <f t="shared" si="121"/>
        <v>0</v>
      </c>
    </row>
    <row r="1038" spans="18:25" x14ac:dyDescent="0.2">
      <c r="R1038" s="558">
        <v>1037</v>
      </c>
      <c r="S1038" s="558">
        <f t="shared" si="116"/>
        <v>-951</v>
      </c>
      <c r="T1038" s="558">
        <f t="shared" si="117"/>
        <v>-940</v>
      </c>
      <c r="U1038" s="558">
        <f t="shared" si="118"/>
        <v>1004</v>
      </c>
      <c r="V1038" s="558">
        <f t="shared" si="120"/>
        <v>0</v>
      </c>
      <c r="W1038" s="558">
        <f t="shared" si="119"/>
        <v>0</v>
      </c>
      <c r="X1038" s="558">
        <f t="shared" si="115"/>
        <v>0</v>
      </c>
      <c r="Y1038" s="558">
        <f t="shared" si="121"/>
        <v>0</v>
      </c>
    </row>
    <row r="1039" spans="18:25" x14ac:dyDescent="0.2">
      <c r="R1039" s="558">
        <v>1038</v>
      </c>
      <c r="S1039" s="558">
        <f t="shared" si="116"/>
        <v>-952</v>
      </c>
      <c r="T1039" s="558">
        <f t="shared" si="117"/>
        <v>-941</v>
      </c>
      <c r="U1039" s="558">
        <f t="shared" si="118"/>
        <v>1005</v>
      </c>
      <c r="V1039" s="558">
        <f t="shared" si="120"/>
        <v>0</v>
      </c>
      <c r="W1039" s="558">
        <f t="shared" si="119"/>
        <v>0</v>
      </c>
      <c r="X1039" s="558">
        <f t="shared" si="115"/>
        <v>0</v>
      </c>
      <c r="Y1039" s="558">
        <f t="shared" si="121"/>
        <v>0</v>
      </c>
    </row>
    <row r="1040" spans="18:25" x14ac:dyDescent="0.2">
      <c r="R1040" s="558">
        <v>1039</v>
      </c>
      <c r="S1040" s="558">
        <f t="shared" si="116"/>
        <v>-953</v>
      </c>
      <c r="T1040" s="558">
        <f t="shared" si="117"/>
        <v>-942</v>
      </c>
      <c r="U1040" s="558">
        <f t="shared" si="118"/>
        <v>1006</v>
      </c>
      <c r="V1040" s="558">
        <f t="shared" si="120"/>
        <v>0</v>
      </c>
      <c r="W1040" s="558">
        <f t="shared" si="119"/>
        <v>0</v>
      </c>
      <c r="X1040" s="558">
        <f t="shared" si="115"/>
        <v>0</v>
      </c>
      <c r="Y1040" s="558">
        <f t="shared" si="121"/>
        <v>0</v>
      </c>
    </row>
    <row r="1041" spans="18:25" x14ac:dyDescent="0.2">
      <c r="R1041" s="558">
        <v>1040</v>
      </c>
      <c r="S1041" s="558">
        <f t="shared" si="116"/>
        <v>-954</v>
      </c>
      <c r="T1041" s="558">
        <f t="shared" si="117"/>
        <v>-943</v>
      </c>
      <c r="U1041" s="558">
        <f t="shared" si="118"/>
        <v>1007</v>
      </c>
      <c r="V1041" s="558">
        <f t="shared" si="120"/>
        <v>0</v>
      </c>
      <c r="W1041" s="558">
        <f t="shared" si="119"/>
        <v>0</v>
      </c>
      <c r="X1041" s="558">
        <f t="shared" si="115"/>
        <v>0</v>
      </c>
      <c r="Y1041" s="558">
        <f t="shared" si="121"/>
        <v>0</v>
      </c>
    </row>
    <row r="1042" spans="18:25" x14ac:dyDescent="0.2">
      <c r="R1042" s="558">
        <v>1041</v>
      </c>
      <c r="S1042" s="558">
        <f t="shared" si="116"/>
        <v>-955</v>
      </c>
      <c r="T1042" s="558">
        <f t="shared" si="117"/>
        <v>-944</v>
      </c>
      <c r="U1042" s="558">
        <f t="shared" si="118"/>
        <v>1008</v>
      </c>
      <c r="V1042" s="558">
        <f t="shared" si="120"/>
        <v>0</v>
      </c>
      <c r="W1042" s="558">
        <f t="shared" si="119"/>
        <v>0</v>
      </c>
      <c r="X1042" s="558">
        <f t="shared" si="115"/>
        <v>0</v>
      </c>
      <c r="Y1042" s="558">
        <f t="shared" si="121"/>
        <v>0</v>
      </c>
    </row>
    <row r="1043" spans="18:25" x14ac:dyDescent="0.2">
      <c r="R1043" s="558">
        <v>1042</v>
      </c>
      <c r="S1043" s="558">
        <f t="shared" si="116"/>
        <v>-956</v>
      </c>
      <c r="T1043" s="558">
        <f t="shared" si="117"/>
        <v>-945</v>
      </c>
      <c r="U1043" s="558">
        <f t="shared" si="118"/>
        <v>1009</v>
      </c>
      <c r="V1043" s="558">
        <f t="shared" si="120"/>
        <v>0</v>
      </c>
      <c r="W1043" s="558">
        <f t="shared" si="119"/>
        <v>0</v>
      </c>
      <c r="X1043" s="558">
        <f t="shared" si="115"/>
        <v>0</v>
      </c>
      <c r="Y1043" s="558">
        <f t="shared" si="121"/>
        <v>0</v>
      </c>
    </row>
    <row r="1044" spans="18:25" x14ac:dyDescent="0.2">
      <c r="R1044" s="558">
        <v>1043</v>
      </c>
      <c r="S1044" s="558">
        <f t="shared" si="116"/>
        <v>-957</v>
      </c>
      <c r="T1044" s="558">
        <f t="shared" si="117"/>
        <v>-946</v>
      </c>
      <c r="U1044" s="558">
        <f t="shared" si="118"/>
        <v>1010</v>
      </c>
      <c r="V1044" s="558">
        <f t="shared" si="120"/>
        <v>0</v>
      </c>
      <c r="W1044" s="558">
        <f t="shared" si="119"/>
        <v>0</v>
      </c>
      <c r="X1044" s="558">
        <f t="shared" si="115"/>
        <v>0</v>
      </c>
      <c r="Y1044" s="558">
        <f t="shared" si="121"/>
        <v>0</v>
      </c>
    </row>
    <row r="1045" spans="18:25" x14ac:dyDescent="0.2">
      <c r="R1045" s="558">
        <v>1044</v>
      </c>
      <c r="S1045" s="558">
        <f t="shared" si="116"/>
        <v>-958</v>
      </c>
      <c r="T1045" s="558">
        <f t="shared" si="117"/>
        <v>-947</v>
      </c>
      <c r="U1045" s="558">
        <f t="shared" si="118"/>
        <v>1011</v>
      </c>
      <c r="V1045" s="558">
        <f t="shared" si="120"/>
        <v>0</v>
      </c>
      <c r="W1045" s="558">
        <f t="shared" si="119"/>
        <v>0</v>
      </c>
      <c r="X1045" s="558">
        <f t="shared" si="115"/>
        <v>0</v>
      </c>
      <c r="Y1045" s="558">
        <f t="shared" si="121"/>
        <v>0</v>
      </c>
    </row>
    <row r="1046" spans="18:25" x14ac:dyDescent="0.2">
      <c r="R1046" s="558">
        <v>1045</v>
      </c>
      <c r="S1046" s="558">
        <f t="shared" si="116"/>
        <v>-959</v>
      </c>
      <c r="T1046" s="558">
        <f t="shared" si="117"/>
        <v>-948</v>
      </c>
      <c r="U1046" s="558">
        <f t="shared" si="118"/>
        <v>1012</v>
      </c>
      <c r="V1046" s="558">
        <f t="shared" si="120"/>
        <v>0</v>
      </c>
      <c r="W1046" s="558">
        <f t="shared" si="119"/>
        <v>0</v>
      </c>
      <c r="X1046" s="558">
        <f t="shared" si="115"/>
        <v>0</v>
      </c>
      <c r="Y1046" s="558">
        <f t="shared" si="121"/>
        <v>0</v>
      </c>
    </row>
    <row r="1047" spans="18:25" x14ac:dyDescent="0.2">
      <c r="R1047" s="558">
        <v>1046</v>
      </c>
      <c r="S1047" s="558">
        <f t="shared" si="116"/>
        <v>-960</v>
      </c>
      <c r="T1047" s="558">
        <f t="shared" si="117"/>
        <v>-949</v>
      </c>
      <c r="U1047" s="558">
        <f t="shared" si="118"/>
        <v>1013</v>
      </c>
      <c r="V1047" s="558">
        <f t="shared" si="120"/>
        <v>0</v>
      </c>
      <c r="W1047" s="558">
        <f t="shared" si="119"/>
        <v>0</v>
      </c>
      <c r="X1047" s="558">
        <f t="shared" si="115"/>
        <v>0</v>
      </c>
      <c r="Y1047" s="558">
        <f t="shared" si="121"/>
        <v>0</v>
      </c>
    </row>
    <row r="1048" spans="18:25" x14ac:dyDescent="0.2">
      <c r="R1048" s="558">
        <v>1047</v>
      </c>
      <c r="S1048" s="558">
        <f t="shared" si="116"/>
        <v>-961</v>
      </c>
      <c r="T1048" s="558">
        <f t="shared" si="117"/>
        <v>-950</v>
      </c>
      <c r="U1048" s="558">
        <f t="shared" si="118"/>
        <v>1014</v>
      </c>
      <c r="V1048" s="558">
        <f t="shared" si="120"/>
        <v>0</v>
      </c>
      <c r="W1048" s="558">
        <f t="shared" si="119"/>
        <v>0</v>
      </c>
      <c r="X1048" s="558">
        <f t="shared" si="115"/>
        <v>0</v>
      </c>
      <c r="Y1048" s="558">
        <f t="shared" si="121"/>
        <v>0</v>
      </c>
    </row>
    <row r="1049" spans="18:25" x14ac:dyDescent="0.2">
      <c r="R1049" s="558">
        <v>1048</v>
      </c>
      <c r="S1049" s="558">
        <f t="shared" si="116"/>
        <v>-962</v>
      </c>
      <c r="T1049" s="558">
        <f t="shared" si="117"/>
        <v>-951</v>
      </c>
      <c r="U1049" s="558">
        <f t="shared" si="118"/>
        <v>1015</v>
      </c>
      <c r="V1049" s="558">
        <f t="shared" si="120"/>
        <v>0</v>
      </c>
      <c r="W1049" s="558">
        <f t="shared" si="119"/>
        <v>0</v>
      </c>
      <c r="X1049" s="558">
        <f t="shared" si="115"/>
        <v>0</v>
      </c>
      <c r="Y1049" s="558">
        <f t="shared" si="121"/>
        <v>0</v>
      </c>
    </row>
    <row r="1050" spans="18:25" x14ac:dyDescent="0.2">
      <c r="R1050" s="558">
        <v>1049</v>
      </c>
      <c r="S1050" s="558">
        <f t="shared" si="116"/>
        <v>-963</v>
      </c>
      <c r="T1050" s="558">
        <f t="shared" si="117"/>
        <v>-952</v>
      </c>
      <c r="U1050" s="558">
        <f t="shared" si="118"/>
        <v>1016</v>
      </c>
      <c r="V1050" s="558">
        <f t="shared" si="120"/>
        <v>0</v>
      </c>
      <c r="W1050" s="558">
        <f t="shared" si="119"/>
        <v>0</v>
      </c>
      <c r="X1050" s="558">
        <f t="shared" si="115"/>
        <v>0</v>
      </c>
      <c r="Y1050" s="558">
        <f t="shared" si="121"/>
        <v>0</v>
      </c>
    </row>
    <row r="1051" spans="18:25" x14ac:dyDescent="0.2">
      <c r="R1051" s="558">
        <v>1050</v>
      </c>
      <c r="S1051" s="558">
        <f t="shared" si="116"/>
        <v>-964</v>
      </c>
      <c r="T1051" s="558">
        <f t="shared" si="117"/>
        <v>-953</v>
      </c>
      <c r="U1051" s="558">
        <f t="shared" si="118"/>
        <v>1017</v>
      </c>
      <c r="V1051" s="558">
        <f t="shared" si="120"/>
        <v>0</v>
      </c>
      <c r="W1051" s="558">
        <f t="shared" si="119"/>
        <v>0</v>
      </c>
      <c r="X1051" s="558">
        <f t="shared" si="115"/>
        <v>0</v>
      </c>
      <c r="Y1051" s="558">
        <f t="shared" si="121"/>
        <v>0</v>
      </c>
    </row>
    <row r="1052" spans="18:25" x14ac:dyDescent="0.2">
      <c r="R1052" s="558">
        <v>1051</v>
      </c>
      <c r="S1052" s="558">
        <f t="shared" si="116"/>
        <v>-965</v>
      </c>
      <c r="T1052" s="558">
        <f t="shared" si="117"/>
        <v>-954</v>
      </c>
      <c r="U1052" s="558">
        <f t="shared" si="118"/>
        <v>1018</v>
      </c>
      <c r="V1052" s="558">
        <f t="shared" si="120"/>
        <v>0</v>
      </c>
      <c r="W1052" s="558">
        <f t="shared" si="119"/>
        <v>0</v>
      </c>
      <c r="X1052" s="558">
        <f t="shared" si="115"/>
        <v>0</v>
      </c>
      <c r="Y1052" s="558">
        <f t="shared" si="121"/>
        <v>0</v>
      </c>
    </row>
    <row r="1053" spans="18:25" x14ac:dyDescent="0.2">
      <c r="R1053" s="558">
        <v>1052</v>
      </c>
      <c r="S1053" s="558">
        <f t="shared" si="116"/>
        <v>-966</v>
      </c>
      <c r="T1053" s="558">
        <f t="shared" si="117"/>
        <v>-955</v>
      </c>
      <c r="U1053" s="558">
        <f t="shared" si="118"/>
        <v>1019</v>
      </c>
      <c r="V1053" s="558">
        <f t="shared" si="120"/>
        <v>0</v>
      </c>
      <c r="W1053" s="558">
        <f t="shared" si="119"/>
        <v>0</v>
      </c>
      <c r="X1053" s="558">
        <f t="shared" si="115"/>
        <v>0</v>
      </c>
      <c r="Y1053" s="558">
        <f t="shared" si="121"/>
        <v>0</v>
      </c>
    </row>
    <row r="1054" spans="18:25" x14ac:dyDescent="0.2">
      <c r="R1054" s="558">
        <v>1053</v>
      </c>
      <c r="S1054" s="558">
        <f t="shared" si="116"/>
        <v>-967</v>
      </c>
      <c r="T1054" s="558">
        <f t="shared" si="117"/>
        <v>-956</v>
      </c>
      <c r="U1054" s="558">
        <f t="shared" si="118"/>
        <v>1020</v>
      </c>
      <c r="V1054" s="558">
        <f t="shared" si="120"/>
        <v>0</v>
      </c>
      <c r="W1054" s="558">
        <f t="shared" si="119"/>
        <v>0</v>
      </c>
      <c r="X1054" s="558">
        <f t="shared" si="115"/>
        <v>0</v>
      </c>
      <c r="Y1054" s="558">
        <f t="shared" si="121"/>
        <v>0</v>
      </c>
    </row>
    <row r="1055" spans="18:25" x14ac:dyDescent="0.2">
      <c r="R1055" s="558">
        <v>1054</v>
      </c>
      <c r="S1055" s="558">
        <f t="shared" si="116"/>
        <v>-968</v>
      </c>
      <c r="T1055" s="558">
        <f t="shared" si="117"/>
        <v>-957</v>
      </c>
      <c r="U1055" s="558">
        <f t="shared" si="118"/>
        <v>1021</v>
      </c>
      <c r="V1055" s="558">
        <f t="shared" si="120"/>
        <v>0</v>
      </c>
      <c r="W1055" s="558">
        <f t="shared" si="119"/>
        <v>0</v>
      </c>
      <c r="X1055" s="558">
        <f t="shared" si="115"/>
        <v>0</v>
      </c>
      <c r="Y1055" s="558">
        <f t="shared" si="121"/>
        <v>0</v>
      </c>
    </row>
    <row r="1056" spans="18:25" x14ac:dyDescent="0.2">
      <c r="R1056" s="558">
        <v>1055</v>
      </c>
      <c r="S1056" s="558">
        <f t="shared" si="116"/>
        <v>-969</v>
      </c>
      <c r="T1056" s="558">
        <f t="shared" si="117"/>
        <v>-958</v>
      </c>
      <c r="U1056" s="558">
        <f t="shared" si="118"/>
        <v>1022</v>
      </c>
      <c r="V1056" s="558">
        <f t="shared" si="120"/>
        <v>0</v>
      </c>
      <c r="W1056" s="558">
        <f t="shared" si="119"/>
        <v>0</v>
      </c>
      <c r="X1056" s="558">
        <f t="shared" si="115"/>
        <v>0</v>
      </c>
      <c r="Y1056" s="558">
        <f t="shared" si="121"/>
        <v>0</v>
      </c>
    </row>
    <row r="1057" spans="18:25" x14ac:dyDescent="0.2">
      <c r="R1057" s="558">
        <v>1056</v>
      </c>
      <c r="S1057" s="558">
        <f t="shared" si="116"/>
        <v>-970</v>
      </c>
      <c r="T1057" s="558">
        <f t="shared" si="117"/>
        <v>-959</v>
      </c>
      <c r="U1057" s="558">
        <f t="shared" si="118"/>
        <v>1023</v>
      </c>
      <c r="V1057" s="558">
        <f t="shared" si="120"/>
        <v>0</v>
      </c>
      <c r="W1057" s="558">
        <f t="shared" si="119"/>
        <v>0</v>
      </c>
      <c r="X1057" s="558">
        <f t="shared" si="115"/>
        <v>0</v>
      </c>
      <c r="Y1057" s="558">
        <f t="shared" si="121"/>
        <v>0</v>
      </c>
    </row>
    <row r="1058" spans="18:25" x14ac:dyDescent="0.2">
      <c r="R1058" s="558">
        <v>1057</v>
      </c>
      <c r="S1058" s="558">
        <f t="shared" si="116"/>
        <v>-971</v>
      </c>
      <c r="T1058" s="558">
        <f t="shared" si="117"/>
        <v>-960</v>
      </c>
      <c r="U1058" s="558">
        <f t="shared" si="118"/>
        <v>1024</v>
      </c>
      <c r="V1058" s="558">
        <f t="shared" si="120"/>
        <v>0</v>
      </c>
      <c r="W1058" s="558">
        <f t="shared" si="119"/>
        <v>0</v>
      </c>
      <c r="X1058" s="558">
        <f t="shared" si="115"/>
        <v>0</v>
      </c>
      <c r="Y1058" s="558">
        <f t="shared" si="121"/>
        <v>0</v>
      </c>
    </row>
    <row r="1059" spans="18:25" x14ac:dyDescent="0.2">
      <c r="R1059" s="558">
        <v>1058</v>
      </c>
      <c r="S1059" s="558">
        <f t="shared" si="116"/>
        <v>-972</v>
      </c>
      <c r="T1059" s="558">
        <f t="shared" si="117"/>
        <v>-961</v>
      </c>
      <c r="U1059" s="558">
        <f t="shared" si="118"/>
        <v>1025</v>
      </c>
      <c r="V1059" s="558">
        <f t="shared" si="120"/>
        <v>0</v>
      </c>
      <c r="W1059" s="558">
        <f t="shared" si="119"/>
        <v>0</v>
      </c>
      <c r="X1059" s="558">
        <f t="shared" ref="X1059:X1101" si="122">IF(R1059=$B$7,W1059,0)</f>
        <v>0</v>
      </c>
      <c r="Y1059" s="558">
        <f t="shared" si="121"/>
        <v>0</v>
      </c>
    </row>
    <row r="1060" spans="18:25" x14ac:dyDescent="0.2">
      <c r="R1060" s="558">
        <v>1059</v>
      </c>
      <c r="S1060" s="558">
        <f t="shared" si="116"/>
        <v>-973</v>
      </c>
      <c r="T1060" s="558">
        <f t="shared" si="117"/>
        <v>-962</v>
      </c>
      <c r="U1060" s="558">
        <f t="shared" si="118"/>
        <v>1026</v>
      </c>
      <c r="V1060" s="558">
        <f t="shared" si="120"/>
        <v>0</v>
      </c>
      <c r="W1060" s="558">
        <f t="shared" si="119"/>
        <v>0</v>
      </c>
      <c r="X1060" s="558">
        <f t="shared" si="122"/>
        <v>0</v>
      </c>
      <c r="Y1060" s="558">
        <f t="shared" si="121"/>
        <v>0</v>
      </c>
    </row>
    <row r="1061" spans="18:25" x14ac:dyDescent="0.2">
      <c r="R1061" s="558">
        <v>1060</v>
      </c>
      <c r="S1061" s="558">
        <f t="shared" si="116"/>
        <v>-974</v>
      </c>
      <c r="T1061" s="558">
        <f t="shared" si="117"/>
        <v>-963</v>
      </c>
      <c r="U1061" s="558">
        <f t="shared" si="118"/>
        <v>1027</v>
      </c>
      <c r="V1061" s="558">
        <f t="shared" si="120"/>
        <v>0</v>
      </c>
      <c r="W1061" s="558">
        <f t="shared" si="119"/>
        <v>0</v>
      </c>
      <c r="X1061" s="558">
        <f t="shared" si="122"/>
        <v>0</v>
      </c>
      <c r="Y1061" s="558">
        <f t="shared" si="121"/>
        <v>0</v>
      </c>
    </row>
    <row r="1062" spans="18:25" x14ac:dyDescent="0.2">
      <c r="R1062" s="558">
        <v>1061</v>
      </c>
      <c r="S1062" s="558">
        <f t="shared" si="116"/>
        <v>-975</v>
      </c>
      <c r="T1062" s="558">
        <f t="shared" si="117"/>
        <v>-964</v>
      </c>
      <c r="U1062" s="558">
        <f t="shared" si="118"/>
        <v>1028</v>
      </c>
      <c r="V1062" s="558">
        <f t="shared" si="120"/>
        <v>0</v>
      </c>
      <c r="W1062" s="558">
        <f t="shared" si="119"/>
        <v>0</v>
      </c>
      <c r="X1062" s="558">
        <f t="shared" si="122"/>
        <v>0</v>
      </c>
      <c r="Y1062" s="558">
        <f t="shared" si="121"/>
        <v>0</v>
      </c>
    </row>
    <row r="1063" spans="18:25" x14ac:dyDescent="0.2">
      <c r="R1063" s="558">
        <v>1062</v>
      </c>
      <c r="S1063" s="558">
        <f t="shared" si="116"/>
        <v>-976</v>
      </c>
      <c r="T1063" s="558">
        <f t="shared" si="117"/>
        <v>-965</v>
      </c>
      <c r="U1063" s="558">
        <f t="shared" si="118"/>
        <v>1029</v>
      </c>
      <c r="V1063" s="558">
        <f t="shared" si="120"/>
        <v>0</v>
      </c>
      <c r="W1063" s="558">
        <f t="shared" si="119"/>
        <v>0</v>
      </c>
      <c r="X1063" s="558">
        <f t="shared" si="122"/>
        <v>0</v>
      </c>
      <c r="Y1063" s="558">
        <f t="shared" si="121"/>
        <v>0</v>
      </c>
    </row>
    <row r="1064" spans="18:25" x14ac:dyDescent="0.2">
      <c r="R1064" s="558">
        <v>1063</v>
      </c>
      <c r="S1064" s="558">
        <f t="shared" si="116"/>
        <v>-977</v>
      </c>
      <c r="T1064" s="558">
        <f t="shared" si="117"/>
        <v>-966</v>
      </c>
      <c r="U1064" s="558">
        <f t="shared" si="118"/>
        <v>1030</v>
      </c>
      <c r="V1064" s="558">
        <f t="shared" si="120"/>
        <v>0</v>
      </c>
      <c r="W1064" s="558">
        <f t="shared" si="119"/>
        <v>0</v>
      </c>
      <c r="X1064" s="558">
        <f t="shared" si="122"/>
        <v>0</v>
      </c>
      <c r="Y1064" s="558">
        <f t="shared" si="121"/>
        <v>0</v>
      </c>
    </row>
    <row r="1065" spans="18:25" x14ac:dyDescent="0.2">
      <c r="R1065" s="558">
        <v>1064</v>
      </c>
      <c r="S1065" s="558">
        <f t="shared" si="116"/>
        <v>-978</v>
      </c>
      <c r="T1065" s="558">
        <f t="shared" si="117"/>
        <v>-967</v>
      </c>
      <c r="U1065" s="558">
        <f t="shared" si="118"/>
        <v>1031</v>
      </c>
      <c r="V1065" s="558">
        <f t="shared" si="120"/>
        <v>0</v>
      </c>
      <c r="W1065" s="558">
        <f t="shared" si="119"/>
        <v>0</v>
      </c>
      <c r="X1065" s="558">
        <f t="shared" si="122"/>
        <v>0</v>
      </c>
      <c r="Y1065" s="558">
        <f t="shared" si="121"/>
        <v>0</v>
      </c>
    </row>
    <row r="1066" spans="18:25" x14ac:dyDescent="0.2">
      <c r="R1066" s="558">
        <v>1065</v>
      </c>
      <c r="S1066" s="558">
        <f t="shared" si="116"/>
        <v>-979</v>
      </c>
      <c r="T1066" s="558">
        <f t="shared" si="117"/>
        <v>-968</v>
      </c>
      <c r="U1066" s="558">
        <f t="shared" si="118"/>
        <v>1032</v>
      </c>
      <c r="V1066" s="558">
        <f t="shared" si="120"/>
        <v>0</v>
      </c>
      <c r="W1066" s="558">
        <f t="shared" si="119"/>
        <v>0</v>
      </c>
      <c r="X1066" s="558">
        <f t="shared" si="122"/>
        <v>0</v>
      </c>
      <c r="Y1066" s="558">
        <f t="shared" si="121"/>
        <v>0</v>
      </c>
    </row>
    <row r="1067" spans="18:25" x14ac:dyDescent="0.2">
      <c r="R1067" s="558">
        <v>1066</v>
      </c>
      <c r="S1067" s="558">
        <f t="shared" si="116"/>
        <v>-980</v>
      </c>
      <c r="T1067" s="558">
        <f t="shared" si="117"/>
        <v>-969</v>
      </c>
      <c r="U1067" s="558">
        <f t="shared" si="118"/>
        <v>1033</v>
      </c>
      <c r="V1067" s="558">
        <f t="shared" si="120"/>
        <v>0</v>
      </c>
      <c r="W1067" s="558">
        <f t="shared" si="119"/>
        <v>0</v>
      </c>
      <c r="X1067" s="558">
        <f t="shared" si="122"/>
        <v>0</v>
      </c>
      <c r="Y1067" s="558">
        <f t="shared" si="121"/>
        <v>0</v>
      </c>
    </row>
    <row r="1068" spans="18:25" x14ac:dyDescent="0.2">
      <c r="R1068" s="558">
        <v>1067</v>
      </c>
      <c r="S1068" s="558">
        <f t="shared" si="116"/>
        <v>-981</v>
      </c>
      <c r="T1068" s="558">
        <f t="shared" si="117"/>
        <v>-970</v>
      </c>
      <c r="U1068" s="558">
        <f t="shared" si="118"/>
        <v>1034</v>
      </c>
      <c r="V1068" s="558">
        <f t="shared" si="120"/>
        <v>0</v>
      </c>
      <c r="W1068" s="558">
        <f t="shared" si="119"/>
        <v>0</v>
      </c>
      <c r="X1068" s="558">
        <f t="shared" si="122"/>
        <v>0</v>
      </c>
      <c r="Y1068" s="558">
        <f t="shared" si="121"/>
        <v>0</v>
      </c>
    </row>
    <row r="1069" spans="18:25" x14ac:dyDescent="0.2">
      <c r="R1069" s="558">
        <v>1068</v>
      </c>
      <c r="S1069" s="558">
        <f t="shared" si="116"/>
        <v>-982</v>
      </c>
      <c r="T1069" s="558">
        <f t="shared" si="117"/>
        <v>-971</v>
      </c>
      <c r="U1069" s="558">
        <f t="shared" si="118"/>
        <v>1035</v>
      </c>
      <c r="V1069" s="558">
        <f t="shared" si="120"/>
        <v>0</v>
      </c>
      <c r="W1069" s="558">
        <f t="shared" si="119"/>
        <v>0</v>
      </c>
      <c r="X1069" s="558">
        <f t="shared" si="122"/>
        <v>0</v>
      </c>
      <c r="Y1069" s="558">
        <f t="shared" si="121"/>
        <v>0</v>
      </c>
    </row>
    <row r="1070" spans="18:25" x14ac:dyDescent="0.2">
      <c r="R1070" s="558">
        <v>1069</v>
      </c>
      <c r="S1070" s="558">
        <f t="shared" si="116"/>
        <v>-983</v>
      </c>
      <c r="T1070" s="558">
        <f t="shared" si="117"/>
        <v>-972</v>
      </c>
      <c r="U1070" s="558">
        <f t="shared" si="118"/>
        <v>1036</v>
      </c>
      <c r="V1070" s="558">
        <f t="shared" si="120"/>
        <v>0</v>
      </c>
      <c r="W1070" s="558">
        <f t="shared" si="119"/>
        <v>0</v>
      </c>
      <c r="X1070" s="558">
        <f t="shared" si="122"/>
        <v>0</v>
      </c>
      <c r="Y1070" s="558">
        <f t="shared" si="121"/>
        <v>0</v>
      </c>
    </row>
    <row r="1071" spans="18:25" x14ac:dyDescent="0.2">
      <c r="R1071" s="558">
        <v>1070</v>
      </c>
      <c r="S1071" s="558">
        <f t="shared" si="116"/>
        <v>-984</v>
      </c>
      <c r="T1071" s="558">
        <f t="shared" si="117"/>
        <v>-973</v>
      </c>
      <c r="U1071" s="558">
        <f t="shared" si="118"/>
        <v>1037</v>
      </c>
      <c r="V1071" s="558">
        <f t="shared" si="120"/>
        <v>0</v>
      </c>
      <c r="W1071" s="558">
        <f t="shared" si="119"/>
        <v>0</v>
      </c>
      <c r="X1071" s="558">
        <f t="shared" si="122"/>
        <v>0</v>
      </c>
      <c r="Y1071" s="558">
        <f t="shared" si="121"/>
        <v>0</v>
      </c>
    </row>
    <row r="1072" spans="18:25" x14ac:dyDescent="0.2">
      <c r="R1072" s="558">
        <v>1071</v>
      </c>
      <c r="S1072" s="558">
        <f t="shared" si="116"/>
        <v>-985</v>
      </c>
      <c r="T1072" s="558">
        <f t="shared" si="117"/>
        <v>-974</v>
      </c>
      <c r="U1072" s="558">
        <f t="shared" si="118"/>
        <v>1038</v>
      </c>
      <c r="V1072" s="558">
        <f t="shared" si="120"/>
        <v>0</v>
      </c>
      <c r="W1072" s="558">
        <f t="shared" si="119"/>
        <v>0</v>
      </c>
      <c r="X1072" s="558">
        <f t="shared" si="122"/>
        <v>0</v>
      </c>
      <c r="Y1072" s="558">
        <f t="shared" si="121"/>
        <v>0</v>
      </c>
    </row>
    <row r="1073" spans="18:25" x14ac:dyDescent="0.2">
      <c r="R1073" s="558">
        <v>1072</v>
      </c>
      <c r="S1073" s="558">
        <f t="shared" si="116"/>
        <v>-986</v>
      </c>
      <c r="T1073" s="558">
        <f t="shared" si="117"/>
        <v>-975</v>
      </c>
      <c r="U1073" s="558">
        <f t="shared" si="118"/>
        <v>1039</v>
      </c>
      <c r="V1073" s="558">
        <f t="shared" si="120"/>
        <v>0</v>
      </c>
      <c r="W1073" s="558">
        <f t="shared" si="119"/>
        <v>0</v>
      </c>
      <c r="X1073" s="558">
        <f t="shared" si="122"/>
        <v>0</v>
      </c>
      <c r="Y1073" s="558">
        <f t="shared" si="121"/>
        <v>0</v>
      </c>
    </row>
    <row r="1074" spans="18:25" x14ac:dyDescent="0.2">
      <c r="R1074" s="558">
        <v>1073</v>
      </c>
      <c r="S1074" s="558">
        <f t="shared" si="116"/>
        <v>-987</v>
      </c>
      <c r="T1074" s="558">
        <f t="shared" si="117"/>
        <v>-976</v>
      </c>
      <c r="U1074" s="558">
        <f t="shared" si="118"/>
        <v>1040</v>
      </c>
      <c r="V1074" s="558">
        <f t="shared" si="120"/>
        <v>0</v>
      </c>
      <c r="W1074" s="558">
        <f t="shared" si="119"/>
        <v>0</v>
      </c>
      <c r="X1074" s="558">
        <f t="shared" si="122"/>
        <v>0</v>
      </c>
      <c r="Y1074" s="558">
        <f t="shared" si="121"/>
        <v>0</v>
      </c>
    </row>
    <row r="1075" spans="18:25" x14ac:dyDescent="0.2">
      <c r="R1075" s="558">
        <v>1074</v>
      </c>
      <c r="S1075" s="558">
        <f t="shared" si="116"/>
        <v>-988</v>
      </c>
      <c r="T1075" s="558">
        <f t="shared" si="117"/>
        <v>-977</v>
      </c>
      <c r="U1075" s="558">
        <f t="shared" si="118"/>
        <v>1041</v>
      </c>
      <c r="V1075" s="558">
        <f t="shared" si="120"/>
        <v>0</v>
      </c>
      <c r="W1075" s="558">
        <f t="shared" si="119"/>
        <v>0</v>
      </c>
      <c r="X1075" s="558">
        <f t="shared" si="122"/>
        <v>0</v>
      </c>
      <c r="Y1075" s="558">
        <f t="shared" si="121"/>
        <v>0</v>
      </c>
    </row>
    <row r="1076" spans="18:25" x14ac:dyDescent="0.2">
      <c r="R1076" s="558">
        <v>1075</v>
      </c>
      <c r="S1076" s="558">
        <f t="shared" si="116"/>
        <v>-989</v>
      </c>
      <c r="T1076" s="558">
        <f t="shared" si="117"/>
        <v>-978</v>
      </c>
      <c r="U1076" s="558">
        <f t="shared" si="118"/>
        <v>1042</v>
      </c>
      <c r="V1076" s="558">
        <f t="shared" si="120"/>
        <v>0</v>
      </c>
      <c r="W1076" s="558">
        <f t="shared" si="119"/>
        <v>0</v>
      </c>
      <c r="X1076" s="558">
        <f t="shared" si="122"/>
        <v>0</v>
      </c>
      <c r="Y1076" s="558">
        <f t="shared" si="121"/>
        <v>0</v>
      </c>
    </row>
    <row r="1077" spans="18:25" x14ac:dyDescent="0.2">
      <c r="R1077" s="558">
        <v>1076</v>
      </c>
      <c r="S1077" s="558">
        <f t="shared" si="116"/>
        <v>-990</v>
      </c>
      <c r="T1077" s="558">
        <f t="shared" si="117"/>
        <v>-979</v>
      </c>
      <c r="U1077" s="558">
        <f t="shared" si="118"/>
        <v>1043</v>
      </c>
      <c r="V1077" s="558">
        <f t="shared" si="120"/>
        <v>0</v>
      </c>
      <c r="W1077" s="558">
        <f t="shared" si="119"/>
        <v>0</v>
      </c>
      <c r="X1077" s="558">
        <f t="shared" si="122"/>
        <v>0</v>
      </c>
      <c r="Y1077" s="558">
        <f t="shared" si="121"/>
        <v>0</v>
      </c>
    </row>
    <row r="1078" spans="18:25" x14ac:dyDescent="0.2">
      <c r="R1078" s="558">
        <v>1077</v>
      </c>
      <c r="S1078" s="558">
        <f t="shared" si="116"/>
        <v>-991</v>
      </c>
      <c r="T1078" s="558">
        <f t="shared" si="117"/>
        <v>-980</v>
      </c>
      <c r="U1078" s="558">
        <f t="shared" si="118"/>
        <v>1044</v>
      </c>
      <c r="V1078" s="558">
        <f t="shared" si="120"/>
        <v>0</v>
      </c>
      <c r="W1078" s="558">
        <f t="shared" si="119"/>
        <v>0</v>
      </c>
      <c r="X1078" s="558">
        <f t="shared" si="122"/>
        <v>0</v>
      </c>
      <c r="Y1078" s="558">
        <f t="shared" si="121"/>
        <v>0</v>
      </c>
    </row>
    <row r="1079" spans="18:25" x14ac:dyDescent="0.2">
      <c r="R1079" s="558">
        <v>1078</v>
      </c>
      <c r="S1079" s="558">
        <f t="shared" si="116"/>
        <v>-992</v>
      </c>
      <c r="T1079" s="558">
        <f t="shared" si="117"/>
        <v>-981</v>
      </c>
      <c r="U1079" s="558">
        <f t="shared" si="118"/>
        <v>1045</v>
      </c>
      <c r="V1079" s="558">
        <f t="shared" si="120"/>
        <v>0</v>
      </c>
      <c r="W1079" s="558">
        <f t="shared" si="119"/>
        <v>0</v>
      </c>
      <c r="X1079" s="558">
        <f t="shared" si="122"/>
        <v>0</v>
      </c>
      <c r="Y1079" s="558">
        <f t="shared" si="121"/>
        <v>0</v>
      </c>
    </row>
    <row r="1080" spans="18:25" x14ac:dyDescent="0.2">
      <c r="R1080" s="558">
        <v>1079</v>
      </c>
      <c r="S1080" s="558">
        <f t="shared" si="116"/>
        <v>-993</v>
      </c>
      <c r="T1080" s="558">
        <f t="shared" si="117"/>
        <v>-982</v>
      </c>
      <c r="U1080" s="558">
        <f t="shared" si="118"/>
        <v>1046</v>
      </c>
      <c r="V1080" s="558">
        <f t="shared" si="120"/>
        <v>0</v>
      </c>
      <c r="W1080" s="558">
        <f t="shared" si="119"/>
        <v>0</v>
      </c>
      <c r="X1080" s="558">
        <f t="shared" si="122"/>
        <v>0</v>
      </c>
      <c r="Y1080" s="558">
        <f t="shared" si="121"/>
        <v>0</v>
      </c>
    </row>
    <row r="1081" spans="18:25" x14ac:dyDescent="0.2">
      <c r="R1081" s="558">
        <v>1080</v>
      </c>
      <c r="S1081" s="558">
        <f t="shared" si="116"/>
        <v>-994</v>
      </c>
      <c r="T1081" s="558">
        <f t="shared" si="117"/>
        <v>-983</v>
      </c>
      <c r="U1081" s="558">
        <f t="shared" si="118"/>
        <v>1047</v>
      </c>
      <c r="V1081" s="558">
        <f t="shared" si="120"/>
        <v>0</v>
      </c>
      <c r="W1081" s="558">
        <f t="shared" si="119"/>
        <v>0</v>
      </c>
      <c r="X1081" s="558">
        <f t="shared" si="122"/>
        <v>0</v>
      </c>
      <c r="Y1081" s="558">
        <f t="shared" si="121"/>
        <v>0</v>
      </c>
    </row>
    <row r="1082" spans="18:25" x14ac:dyDescent="0.2">
      <c r="R1082" s="558">
        <v>1081</v>
      </c>
      <c r="S1082" s="558">
        <f t="shared" si="116"/>
        <v>-995</v>
      </c>
      <c r="T1082" s="558">
        <f t="shared" si="117"/>
        <v>-984</v>
      </c>
      <c r="U1082" s="558">
        <f t="shared" si="118"/>
        <v>1048</v>
      </c>
      <c r="V1082" s="558">
        <f t="shared" si="120"/>
        <v>0</v>
      </c>
      <c r="W1082" s="558">
        <f t="shared" si="119"/>
        <v>0</v>
      </c>
      <c r="X1082" s="558">
        <f t="shared" si="122"/>
        <v>0</v>
      </c>
      <c r="Y1082" s="558">
        <f t="shared" si="121"/>
        <v>0</v>
      </c>
    </row>
    <row r="1083" spans="18:25" x14ac:dyDescent="0.2">
      <c r="R1083" s="558">
        <v>1082</v>
      </c>
      <c r="S1083" s="558">
        <f t="shared" si="116"/>
        <v>-996</v>
      </c>
      <c r="T1083" s="558">
        <f t="shared" si="117"/>
        <v>-985</v>
      </c>
      <c r="U1083" s="558">
        <f t="shared" si="118"/>
        <v>1049</v>
      </c>
      <c r="V1083" s="558">
        <f t="shared" si="120"/>
        <v>0</v>
      </c>
      <c r="W1083" s="558">
        <f t="shared" si="119"/>
        <v>0</v>
      </c>
      <c r="X1083" s="558">
        <f t="shared" si="122"/>
        <v>0</v>
      </c>
      <c r="Y1083" s="558">
        <f t="shared" si="121"/>
        <v>0</v>
      </c>
    </row>
    <row r="1084" spans="18:25" x14ac:dyDescent="0.2">
      <c r="R1084" s="558">
        <v>1083</v>
      </c>
      <c r="S1084" s="558">
        <f t="shared" si="116"/>
        <v>-997</v>
      </c>
      <c r="T1084" s="558">
        <f t="shared" si="117"/>
        <v>-986</v>
      </c>
      <c r="U1084" s="558">
        <f t="shared" si="118"/>
        <v>1050</v>
      </c>
      <c r="V1084" s="558">
        <f t="shared" si="120"/>
        <v>0</v>
      </c>
      <c r="W1084" s="558">
        <f t="shared" si="119"/>
        <v>0</v>
      </c>
      <c r="X1084" s="558">
        <f t="shared" si="122"/>
        <v>0</v>
      </c>
      <c r="Y1084" s="558">
        <f t="shared" si="121"/>
        <v>0</v>
      </c>
    </row>
    <row r="1085" spans="18:25" x14ac:dyDescent="0.2">
      <c r="R1085" s="558">
        <v>1084</v>
      </c>
      <c r="S1085" s="558">
        <f t="shared" si="116"/>
        <v>-998</v>
      </c>
      <c r="T1085" s="558">
        <f t="shared" si="117"/>
        <v>-987</v>
      </c>
      <c r="U1085" s="558">
        <f t="shared" si="118"/>
        <v>1051</v>
      </c>
      <c r="V1085" s="558">
        <f t="shared" si="120"/>
        <v>0</v>
      </c>
      <c r="W1085" s="558">
        <f t="shared" si="119"/>
        <v>0</v>
      </c>
      <c r="X1085" s="558">
        <f t="shared" si="122"/>
        <v>0</v>
      </c>
      <c r="Y1085" s="558">
        <f t="shared" si="121"/>
        <v>0</v>
      </c>
    </row>
    <row r="1086" spans="18:25" x14ac:dyDescent="0.2">
      <c r="R1086" s="558">
        <v>1085</v>
      </c>
      <c r="S1086" s="558">
        <f t="shared" si="116"/>
        <v>-999</v>
      </c>
      <c r="T1086" s="558">
        <f t="shared" si="117"/>
        <v>-988</v>
      </c>
      <c r="U1086" s="558">
        <f t="shared" si="118"/>
        <v>1052</v>
      </c>
      <c r="V1086" s="558">
        <f t="shared" si="120"/>
        <v>0</v>
      </c>
      <c r="W1086" s="558">
        <f t="shared" si="119"/>
        <v>0</v>
      </c>
      <c r="X1086" s="558">
        <f t="shared" si="122"/>
        <v>0</v>
      </c>
      <c r="Y1086" s="558">
        <f t="shared" si="121"/>
        <v>0</v>
      </c>
    </row>
    <row r="1087" spans="18:25" x14ac:dyDescent="0.2">
      <c r="R1087" s="558">
        <v>1086</v>
      </c>
      <c r="S1087" s="558">
        <f t="shared" si="116"/>
        <v>-1000</v>
      </c>
      <c r="T1087" s="558">
        <f t="shared" si="117"/>
        <v>-989</v>
      </c>
      <c r="U1087" s="558">
        <f t="shared" si="118"/>
        <v>1053</v>
      </c>
      <c r="V1087" s="558">
        <f t="shared" si="120"/>
        <v>0</v>
      </c>
      <c r="W1087" s="558">
        <f t="shared" si="119"/>
        <v>0</v>
      </c>
      <c r="X1087" s="558">
        <f t="shared" si="122"/>
        <v>0</v>
      </c>
      <c r="Y1087" s="558">
        <f t="shared" si="121"/>
        <v>0</v>
      </c>
    </row>
    <row r="1088" spans="18:25" x14ac:dyDescent="0.2">
      <c r="R1088" s="558">
        <v>1087</v>
      </c>
      <c r="S1088" s="558">
        <f t="shared" si="116"/>
        <v>-1001</v>
      </c>
      <c r="T1088" s="558">
        <f t="shared" si="117"/>
        <v>-990</v>
      </c>
      <c r="U1088" s="558">
        <f t="shared" si="118"/>
        <v>1054</v>
      </c>
      <c r="V1088" s="558">
        <f t="shared" si="120"/>
        <v>0</v>
      </c>
      <c r="W1088" s="558">
        <f t="shared" si="119"/>
        <v>0</v>
      </c>
      <c r="X1088" s="558">
        <f t="shared" si="122"/>
        <v>0</v>
      </c>
      <c r="Y1088" s="558">
        <f t="shared" si="121"/>
        <v>0</v>
      </c>
    </row>
    <row r="1089" spans="18:25" x14ac:dyDescent="0.2">
      <c r="R1089" s="558">
        <v>1088</v>
      </c>
      <c r="S1089" s="558">
        <f t="shared" ref="S1089:S1101" si="123">$D$7-R1089</f>
        <v>-1002</v>
      </c>
      <c r="T1089" s="558">
        <f t="shared" ref="T1089:T1101" si="124">$B$9-R1089</f>
        <v>-991</v>
      </c>
      <c r="U1089" s="558">
        <f t="shared" ref="U1089:U1101" si="125">$D$9-SUM(R1089:T1089)</f>
        <v>1055</v>
      </c>
      <c r="V1089" s="558">
        <f t="shared" si="120"/>
        <v>0</v>
      </c>
      <c r="W1089" s="558">
        <f t="shared" ref="W1089:W1101" si="126">_xlfn.HYPGEOM.DIST(R1089,R1089+T1089,R1089+S1089,SUM(R1089:U1089),0)</f>
        <v>0</v>
      </c>
      <c r="X1089" s="558">
        <f t="shared" si="122"/>
        <v>0</v>
      </c>
      <c r="Y1089" s="558">
        <f t="shared" si="121"/>
        <v>0</v>
      </c>
    </row>
    <row r="1090" spans="18:25" x14ac:dyDescent="0.2">
      <c r="R1090" s="558">
        <v>1089</v>
      </c>
      <c r="S1090" s="558">
        <f t="shared" si="123"/>
        <v>-1003</v>
      </c>
      <c r="T1090" s="558">
        <f t="shared" si="124"/>
        <v>-992</v>
      </c>
      <c r="U1090" s="558">
        <f t="shared" si="125"/>
        <v>1056</v>
      </c>
      <c r="V1090" s="558">
        <f t="shared" ref="V1090:V1101" si="127">IF(S1090&gt;=0,IF(T1090&gt;=0,IF(U1090&gt;=0,1,0),0),0)</f>
        <v>0</v>
      </c>
      <c r="W1090" s="558">
        <f t="shared" si="126"/>
        <v>0</v>
      </c>
      <c r="X1090" s="558">
        <f t="shared" si="122"/>
        <v>0</v>
      </c>
      <c r="Y1090" s="558">
        <f t="shared" ref="Y1090:Y1101" si="128">IF(W1090&lt;=SUM($X$1:$X$1101),W1090,0)</f>
        <v>0</v>
      </c>
    </row>
    <row r="1091" spans="18:25" x14ac:dyDescent="0.2">
      <c r="R1091" s="558">
        <v>1090</v>
      </c>
      <c r="S1091" s="558">
        <f t="shared" si="123"/>
        <v>-1004</v>
      </c>
      <c r="T1091" s="558">
        <f t="shared" si="124"/>
        <v>-993</v>
      </c>
      <c r="U1091" s="558">
        <f t="shared" si="125"/>
        <v>1057</v>
      </c>
      <c r="V1091" s="558">
        <f t="shared" si="127"/>
        <v>0</v>
      </c>
      <c r="W1091" s="558">
        <f t="shared" si="126"/>
        <v>0</v>
      </c>
      <c r="X1091" s="558">
        <f t="shared" si="122"/>
        <v>0</v>
      </c>
      <c r="Y1091" s="558">
        <f t="shared" si="128"/>
        <v>0</v>
      </c>
    </row>
    <row r="1092" spans="18:25" x14ac:dyDescent="0.2">
      <c r="R1092" s="558">
        <v>1091</v>
      </c>
      <c r="S1092" s="558">
        <f t="shared" si="123"/>
        <v>-1005</v>
      </c>
      <c r="T1092" s="558">
        <f t="shared" si="124"/>
        <v>-994</v>
      </c>
      <c r="U1092" s="558">
        <f t="shared" si="125"/>
        <v>1058</v>
      </c>
      <c r="V1092" s="558">
        <f t="shared" si="127"/>
        <v>0</v>
      </c>
      <c r="W1092" s="558">
        <f t="shared" si="126"/>
        <v>0</v>
      </c>
      <c r="X1092" s="558">
        <f t="shared" si="122"/>
        <v>0</v>
      </c>
      <c r="Y1092" s="558">
        <f t="shared" si="128"/>
        <v>0</v>
      </c>
    </row>
    <row r="1093" spans="18:25" x14ac:dyDescent="0.2">
      <c r="R1093" s="558">
        <v>1092</v>
      </c>
      <c r="S1093" s="558">
        <f t="shared" si="123"/>
        <v>-1006</v>
      </c>
      <c r="T1093" s="558">
        <f t="shared" si="124"/>
        <v>-995</v>
      </c>
      <c r="U1093" s="558">
        <f t="shared" si="125"/>
        <v>1059</v>
      </c>
      <c r="V1093" s="558">
        <f t="shared" si="127"/>
        <v>0</v>
      </c>
      <c r="W1093" s="558">
        <f t="shared" si="126"/>
        <v>0</v>
      </c>
      <c r="X1093" s="558">
        <f t="shared" si="122"/>
        <v>0</v>
      </c>
      <c r="Y1093" s="558">
        <f t="shared" si="128"/>
        <v>0</v>
      </c>
    </row>
    <row r="1094" spans="18:25" x14ac:dyDescent="0.2">
      <c r="R1094" s="558">
        <v>1093</v>
      </c>
      <c r="S1094" s="558">
        <f t="shared" si="123"/>
        <v>-1007</v>
      </c>
      <c r="T1094" s="558">
        <f t="shared" si="124"/>
        <v>-996</v>
      </c>
      <c r="U1094" s="558">
        <f t="shared" si="125"/>
        <v>1060</v>
      </c>
      <c r="V1094" s="558">
        <f t="shared" si="127"/>
        <v>0</v>
      </c>
      <c r="W1094" s="558">
        <f t="shared" si="126"/>
        <v>0</v>
      </c>
      <c r="X1094" s="558">
        <f t="shared" si="122"/>
        <v>0</v>
      </c>
      <c r="Y1094" s="558">
        <f t="shared" si="128"/>
        <v>0</v>
      </c>
    </row>
    <row r="1095" spans="18:25" x14ac:dyDescent="0.2">
      <c r="R1095" s="558">
        <v>1094</v>
      </c>
      <c r="S1095" s="558">
        <f t="shared" si="123"/>
        <v>-1008</v>
      </c>
      <c r="T1095" s="558">
        <f t="shared" si="124"/>
        <v>-997</v>
      </c>
      <c r="U1095" s="558">
        <f t="shared" si="125"/>
        <v>1061</v>
      </c>
      <c r="V1095" s="558">
        <f t="shared" si="127"/>
        <v>0</v>
      </c>
      <c r="W1095" s="558">
        <f t="shared" si="126"/>
        <v>0</v>
      </c>
      <c r="X1095" s="558">
        <f t="shared" si="122"/>
        <v>0</v>
      </c>
      <c r="Y1095" s="558">
        <f t="shared" si="128"/>
        <v>0</v>
      </c>
    </row>
    <row r="1096" spans="18:25" x14ac:dyDescent="0.2">
      <c r="R1096" s="558">
        <v>1095</v>
      </c>
      <c r="S1096" s="558">
        <f t="shared" si="123"/>
        <v>-1009</v>
      </c>
      <c r="T1096" s="558">
        <f t="shared" si="124"/>
        <v>-998</v>
      </c>
      <c r="U1096" s="558">
        <f t="shared" si="125"/>
        <v>1062</v>
      </c>
      <c r="V1096" s="558">
        <f t="shared" si="127"/>
        <v>0</v>
      </c>
      <c r="W1096" s="558">
        <f t="shared" si="126"/>
        <v>0</v>
      </c>
      <c r="X1096" s="558">
        <f t="shared" si="122"/>
        <v>0</v>
      </c>
      <c r="Y1096" s="558">
        <f t="shared" si="128"/>
        <v>0</v>
      </c>
    </row>
    <row r="1097" spans="18:25" x14ac:dyDescent="0.2">
      <c r="R1097" s="558">
        <v>1096</v>
      </c>
      <c r="S1097" s="558">
        <f t="shared" si="123"/>
        <v>-1010</v>
      </c>
      <c r="T1097" s="558">
        <f t="shared" si="124"/>
        <v>-999</v>
      </c>
      <c r="U1097" s="558">
        <f t="shared" si="125"/>
        <v>1063</v>
      </c>
      <c r="V1097" s="558">
        <f t="shared" si="127"/>
        <v>0</v>
      </c>
      <c r="W1097" s="558">
        <f t="shared" si="126"/>
        <v>0</v>
      </c>
      <c r="X1097" s="558">
        <f t="shared" si="122"/>
        <v>0</v>
      </c>
      <c r="Y1097" s="558">
        <f t="shared" si="128"/>
        <v>0</v>
      </c>
    </row>
    <row r="1098" spans="18:25" x14ac:dyDescent="0.2">
      <c r="R1098" s="558">
        <v>1097</v>
      </c>
      <c r="S1098" s="558">
        <f t="shared" si="123"/>
        <v>-1011</v>
      </c>
      <c r="T1098" s="558">
        <f t="shared" si="124"/>
        <v>-1000</v>
      </c>
      <c r="U1098" s="558">
        <f t="shared" si="125"/>
        <v>1064</v>
      </c>
      <c r="V1098" s="558">
        <f t="shared" si="127"/>
        <v>0</v>
      </c>
      <c r="W1098" s="558">
        <f t="shared" si="126"/>
        <v>0</v>
      </c>
      <c r="X1098" s="558">
        <f t="shared" si="122"/>
        <v>0</v>
      </c>
      <c r="Y1098" s="558">
        <f t="shared" si="128"/>
        <v>0</v>
      </c>
    </row>
    <row r="1099" spans="18:25" x14ac:dyDescent="0.2">
      <c r="R1099" s="558">
        <v>1098</v>
      </c>
      <c r="S1099" s="558">
        <f t="shared" si="123"/>
        <v>-1012</v>
      </c>
      <c r="T1099" s="558">
        <f t="shared" si="124"/>
        <v>-1001</v>
      </c>
      <c r="U1099" s="558">
        <f t="shared" si="125"/>
        <v>1065</v>
      </c>
      <c r="V1099" s="558">
        <f t="shared" si="127"/>
        <v>0</v>
      </c>
      <c r="W1099" s="558">
        <f t="shared" si="126"/>
        <v>0</v>
      </c>
      <c r="X1099" s="558">
        <f t="shared" si="122"/>
        <v>0</v>
      </c>
      <c r="Y1099" s="558">
        <f t="shared" si="128"/>
        <v>0</v>
      </c>
    </row>
    <row r="1100" spans="18:25" x14ac:dyDescent="0.2">
      <c r="R1100" s="558">
        <v>1099</v>
      </c>
      <c r="S1100" s="558">
        <f t="shared" si="123"/>
        <v>-1013</v>
      </c>
      <c r="T1100" s="558">
        <f t="shared" si="124"/>
        <v>-1002</v>
      </c>
      <c r="U1100" s="558">
        <f t="shared" si="125"/>
        <v>1066</v>
      </c>
      <c r="V1100" s="558">
        <f t="shared" si="127"/>
        <v>0</v>
      </c>
      <c r="W1100" s="558">
        <f t="shared" si="126"/>
        <v>0</v>
      </c>
      <c r="X1100" s="558">
        <f t="shared" si="122"/>
        <v>0</v>
      </c>
      <c r="Y1100" s="558">
        <f t="shared" si="128"/>
        <v>0</v>
      </c>
    </row>
    <row r="1101" spans="18:25" x14ac:dyDescent="0.2">
      <c r="R1101" s="558">
        <v>1100</v>
      </c>
      <c r="S1101" s="558">
        <f t="shared" si="123"/>
        <v>-1014</v>
      </c>
      <c r="T1101" s="558">
        <f t="shared" si="124"/>
        <v>-1003</v>
      </c>
      <c r="U1101" s="558">
        <f t="shared" si="125"/>
        <v>1067</v>
      </c>
      <c r="V1101" s="558">
        <f t="shared" si="127"/>
        <v>0</v>
      </c>
      <c r="W1101" s="558">
        <f t="shared" si="126"/>
        <v>0</v>
      </c>
      <c r="X1101" s="558">
        <f t="shared" si="122"/>
        <v>0</v>
      </c>
      <c r="Y1101" s="558">
        <f t="shared" si="128"/>
        <v>0</v>
      </c>
    </row>
  </sheetData>
  <sheetProtection password="EA44" sheet="1" objects="1" scenarios="1" selectLockedCells="1"/>
  <pageMargins left="0.511811024" right="0.511811024" top="0.78740157499999996" bottom="0.78740157499999996" header="0.31496062000000002" footer="0.31496062000000002"/>
  <ignoredErrors>
    <ignoredError sqref="H15:I15" formula="1"/>
  </ignoredErrors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/>
  <dimension ref="A1:AA45"/>
  <sheetViews>
    <sheetView showRowColHeaders="0" workbookViewId="0">
      <selection activeCell="D6" sqref="D6"/>
    </sheetView>
  </sheetViews>
  <sheetFormatPr defaultRowHeight="12.75" x14ac:dyDescent="0.2"/>
  <cols>
    <col min="1" max="1" width="3" customWidth="1"/>
    <col min="2" max="2" width="10.140625" customWidth="1"/>
    <col min="5" max="5" width="8.5703125" customWidth="1"/>
    <col min="6" max="6" width="8.140625" customWidth="1"/>
    <col min="8" max="14" width="8.28515625" customWidth="1"/>
  </cols>
  <sheetData>
    <row r="1" spans="1:27" ht="13.5" thickBot="1" x14ac:dyDescent="0.25">
      <c r="A1" s="26"/>
      <c r="B1" s="26"/>
      <c r="C1" s="26"/>
      <c r="D1" s="26"/>
      <c r="E1" s="26"/>
      <c r="F1" s="26"/>
      <c r="G1" s="26"/>
      <c r="H1" s="620"/>
      <c r="I1" s="620"/>
      <c r="J1" s="620"/>
      <c r="K1" s="620"/>
      <c r="L1" s="620"/>
      <c r="M1" s="620"/>
      <c r="N1" s="620"/>
      <c r="O1" s="620"/>
      <c r="P1" s="558"/>
      <c r="Q1" s="558"/>
      <c r="R1" s="558"/>
      <c r="S1" s="558"/>
      <c r="T1" s="558"/>
      <c r="U1" s="558"/>
      <c r="V1" s="612"/>
      <c r="W1" s="612"/>
      <c r="X1" s="612"/>
      <c r="Y1" s="612"/>
      <c r="Z1" s="612"/>
      <c r="AA1" s="612"/>
    </row>
    <row r="2" spans="1:27" ht="13.5" thickBot="1" x14ac:dyDescent="0.25">
      <c r="A2" s="26"/>
      <c r="B2" s="149" t="s">
        <v>102</v>
      </c>
      <c r="C2" s="44"/>
      <c r="D2" s="44"/>
      <c r="E2" s="45"/>
      <c r="F2" s="26"/>
      <c r="G2" s="26"/>
      <c r="H2" s="620"/>
      <c r="I2" s="620"/>
      <c r="J2" s="620"/>
      <c r="K2" s="620"/>
      <c r="L2" s="620"/>
      <c r="M2" s="620"/>
      <c r="N2" s="620"/>
      <c r="O2" s="620"/>
      <c r="P2" s="558"/>
      <c r="Q2" s="558"/>
      <c r="R2" s="558"/>
      <c r="S2" s="558"/>
      <c r="T2" s="558"/>
      <c r="U2" s="558"/>
      <c r="V2" s="612"/>
      <c r="W2" s="612"/>
      <c r="X2" s="612"/>
      <c r="Y2" s="612"/>
      <c r="Z2" s="612"/>
      <c r="AA2" s="612"/>
    </row>
    <row r="3" spans="1:27" x14ac:dyDescent="0.2">
      <c r="A3" s="26"/>
      <c r="B3" s="26"/>
      <c r="C3" s="26"/>
      <c r="D3" s="26"/>
      <c r="E3" s="26"/>
      <c r="F3" s="26"/>
      <c r="G3" s="26"/>
      <c r="H3" s="620"/>
      <c r="I3" s="620"/>
      <c r="J3" s="620"/>
      <c r="K3" s="620"/>
      <c r="L3" s="620" t="s">
        <v>110</v>
      </c>
      <c r="M3" s="620"/>
      <c r="N3" s="620"/>
      <c r="O3" s="620"/>
      <c r="P3" s="558"/>
      <c r="Q3" s="558"/>
      <c r="R3" s="558"/>
      <c r="S3" s="558"/>
      <c r="T3" s="558"/>
      <c r="U3" s="558"/>
      <c r="V3" s="612"/>
      <c r="W3" s="612"/>
      <c r="X3" s="612"/>
      <c r="Y3" s="612"/>
      <c r="Z3" s="612"/>
      <c r="AA3" s="612"/>
    </row>
    <row r="4" spans="1:27" ht="13.5" thickBot="1" x14ac:dyDescent="0.25">
      <c r="A4" s="26"/>
      <c r="B4" s="42"/>
      <c r="C4" s="150" t="s">
        <v>103</v>
      </c>
      <c r="D4" s="150" t="s">
        <v>104</v>
      </c>
      <c r="E4" s="150" t="s">
        <v>7</v>
      </c>
      <c r="F4" s="26"/>
      <c r="G4" s="26"/>
      <c r="H4" s="620">
        <f>C5</f>
        <v>4</v>
      </c>
      <c r="I4" s="620">
        <f>D5</f>
        <v>8</v>
      </c>
      <c r="J4" s="620">
        <f>SUM(H4:I4)</f>
        <v>12</v>
      </c>
      <c r="K4" s="620"/>
      <c r="L4" s="620">
        <f>H4/$J$6</f>
        <v>0.2</v>
      </c>
      <c r="M4" s="620">
        <f>I4/$J$6</f>
        <v>0.4</v>
      </c>
      <c r="N4" s="620">
        <f>SUM(L4:M4)</f>
        <v>0.60000000000000009</v>
      </c>
      <c r="O4" s="620"/>
      <c r="P4" s="558"/>
      <c r="Q4" s="558"/>
      <c r="R4" s="558"/>
      <c r="S4" s="558"/>
      <c r="T4" s="558"/>
      <c r="U4" s="558"/>
      <c r="V4" s="612"/>
      <c r="W4" s="612"/>
      <c r="X4" s="612"/>
      <c r="Y4" s="612"/>
      <c r="Z4" s="612"/>
      <c r="AA4" s="612"/>
    </row>
    <row r="5" spans="1:27" x14ac:dyDescent="0.2">
      <c r="A5" s="26"/>
      <c r="B5" s="150" t="s">
        <v>103</v>
      </c>
      <c r="C5" s="156">
        <v>4</v>
      </c>
      <c r="D5" s="157">
        <v>8</v>
      </c>
      <c r="E5" s="150">
        <f>SUM(C5:D5)</f>
        <v>12</v>
      </c>
      <c r="F5" s="26"/>
      <c r="G5" s="26"/>
      <c r="H5" s="620">
        <f>C6</f>
        <v>5</v>
      </c>
      <c r="I5" s="620">
        <f>D6</f>
        <v>3</v>
      </c>
      <c r="J5" s="620">
        <f>SUM(H5:I5)</f>
        <v>8</v>
      </c>
      <c r="K5" s="620"/>
      <c r="L5" s="620">
        <f>H5/$J$6</f>
        <v>0.25</v>
      </c>
      <c r="M5" s="620">
        <f>I5/$J$6</f>
        <v>0.15</v>
      </c>
      <c r="N5" s="620">
        <f>SUM(L5:M5)</f>
        <v>0.4</v>
      </c>
      <c r="O5" s="620"/>
      <c r="P5" s="558"/>
      <c r="Q5" s="558"/>
      <c r="R5" s="558"/>
      <c r="S5" s="558"/>
      <c r="T5" s="558"/>
      <c r="U5" s="558"/>
      <c r="V5" s="612"/>
      <c r="W5" s="612"/>
      <c r="X5" s="612"/>
      <c r="Y5" s="612"/>
      <c r="Z5" s="612"/>
      <c r="AA5" s="612"/>
    </row>
    <row r="6" spans="1:27" ht="13.5" thickBot="1" x14ac:dyDescent="0.25">
      <c r="A6" s="26"/>
      <c r="B6" s="150" t="s">
        <v>104</v>
      </c>
      <c r="C6" s="158">
        <v>5</v>
      </c>
      <c r="D6" s="159">
        <v>3</v>
      </c>
      <c r="E6" s="150">
        <f>SUM(C6:D6)</f>
        <v>8</v>
      </c>
      <c r="F6" s="26"/>
      <c r="G6" s="26"/>
      <c r="H6" s="620">
        <f>SUM(H4:H5)</f>
        <v>9</v>
      </c>
      <c r="I6" s="620">
        <f>SUM(I4:I5)</f>
        <v>11</v>
      </c>
      <c r="J6" s="620">
        <f>SUM(H6:I6)</f>
        <v>20</v>
      </c>
      <c r="K6" s="620"/>
      <c r="L6" s="620">
        <f>SUM(L4:L5)</f>
        <v>0.45</v>
      </c>
      <c r="M6" s="620">
        <f>SUM(M4:M5)</f>
        <v>0.55000000000000004</v>
      </c>
      <c r="N6" s="620">
        <f>SUM(L6:M6)</f>
        <v>1</v>
      </c>
      <c r="O6" s="620"/>
      <c r="P6" s="558"/>
      <c r="Q6" s="558"/>
      <c r="R6" s="558"/>
      <c r="S6" s="558"/>
      <c r="T6" s="558"/>
      <c r="U6" s="558"/>
      <c r="V6" s="612"/>
      <c r="W6" s="612"/>
      <c r="X6" s="612"/>
      <c r="Y6" s="612"/>
      <c r="Z6" s="612"/>
      <c r="AA6" s="612"/>
    </row>
    <row r="7" spans="1:27" x14ac:dyDescent="0.2">
      <c r="A7" s="26"/>
      <c r="B7" s="150" t="s">
        <v>7</v>
      </c>
      <c r="C7" s="150">
        <f>SUM(C5:C6)</f>
        <v>9</v>
      </c>
      <c r="D7" s="150">
        <f>SUM(D5:D6)</f>
        <v>11</v>
      </c>
      <c r="E7" s="150">
        <f>SUM(E5:E6)</f>
        <v>20</v>
      </c>
      <c r="F7" s="26"/>
      <c r="G7" s="26"/>
      <c r="H7" s="620"/>
      <c r="I7" s="620"/>
      <c r="J7" s="620"/>
      <c r="K7" s="620"/>
      <c r="L7" s="620"/>
      <c r="M7" s="620"/>
      <c r="N7" s="620"/>
      <c r="O7" s="620"/>
      <c r="P7" s="558"/>
      <c r="Q7" s="558"/>
      <c r="R7" s="558"/>
      <c r="S7" s="558"/>
      <c r="T7" s="558"/>
      <c r="U7" s="558"/>
      <c r="V7" s="612"/>
      <c r="W7" s="612"/>
      <c r="X7" s="612"/>
      <c r="Y7" s="612"/>
      <c r="Z7" s="612"/>
      <c r="AA7" s="612"/>
    </row>
    <row r="8" spans="1:27" ht="13.5" thickBot="1" x14ac:dyDescent="0.25">
      <c r="A8" s="26"/>
      <c r="B8" s="26"/>
      <c r="C8" s="26"/>
      <c r="D8" s="26"/>
      <c r="E8" s="26"/>
      <c r="F8" s="26"/>
      <c r="G8" s="26"/>
      <c r="H8" s="620" t="s">
        <v>108</v>
      </c>
      <c r="I8" s="620">
        <f>(H4+I5)/J6</f>
        <v>0.35</v>
      </c>
      <c r="J8" s="620"/>
      <c r="K8" s="620"/>
      <c r="L8" s="620" t="s">
        <v>111</v>
      </c>
      <c r="M8" s="620">
        <f>L4*(1-(N4+L6)*(1-I10))^2</f>
        <v>2.288062283737026E-2</v>
      </c>
      <c r="N8" s="620"/>
      <c r="O8" s="620"/>
      <c r="P8" s="558"/>
      <c r="Q8" s="558"/>
      <c r="R8" s="558"/>
      <c r="S8" s="558"/>
      <c r="T8" s="558"/>
      <c r="U8" s="558"/>
      <c r="V8" s="612"/>
      <c r="W8" s="612"/>
      <c r="X8" s="612"/>
      <c r="Y8" s="612"/>
      <c r="Z8" s="612"/>
      <c r="AA8" s="612"/>
    </row>
    <row r="9" spans="1:27" x14ac:dyDescent="0.2">
      <c r="A9" s="26"/>
      <c r="B9" s="1" t="s">
        <v>105</v>
      </c>
      <c r="C9" s="22"/>
      <c r="D9" s="22"/>
      <c r="E9" s="38"/>
      <c r="F9" s="151">
        <f>I10</f>
        <v>-0.27450980392156876</v>
      </c>
      <c r="G9" s="26"/>
      <c r="H9" s="620" t="s">
        <v>109</v>
      </c>
      <c r="I9" s="620">
        <f>((J4*H6/J6)+(J5*I6/J6))/J6</f>
        <v>0.49000000000000005</v>
      </c>
      <c r="J9" s="620"/>
      <c r="K9" s="620"/>
      <c r="L9" s="620" t="s">
        <v>112</v>
      </c>
      <c r="M9" s="620">
        <f>M5*(1-(N5+M6)*(1-I10))^2</f>
        <v>6.6645040369088899E-3</v>
      </c>
      <c r="N9" s="620"/>
      <c r="O9" s="620"/>
      <c r="P9" s="558"/>
      <c r="Q9" s="558"/>
      <c r="R9" s="558"/>
      <c r="S9" s="558"/>
      <c r="T9" s="558"/>
      <c r="U9" s="558"/>
      <c r="V9" s="612"/>
      <c r="W9" s="612"/>
      <c r="X9" s="612"/>
      <c r="Y9" s="612"/>
      <c r="Z9" s="612"/>
      <c r="AA9" s="612"/>
    </row>
    <row r="10" spans="1:27" x14ac:dyDescent="0.2">
      <c r="A10" s="26"/>
      <c r="B10" s="147" t="s">
        <v>106</v>
      </c>
      <c r="C10" s="16"/>
      <c r="D10" s="16"/>
      <c r="E10" s="57"/>
      <c r="F10" s="152">
        <f>I17</f>
        <v>0.2092683193869059</v>
      </c>
      <c r="G10" s="26"/>
      <c r="H10" s="620" t="s">
        <v>113</v>
      </c>
      <c r="I10" s="620">
        <f>(I8-I9)/(1-I9)</f>
        <v>-0.27450980392156876</v>
      </c>
      <c r="J10" s="620"/>
      <c r="K10" s="620"/>
      <c r="L10" s="620"/>
      <c r="M10" s="620"/>
      <c r="N10" s="620"/>
      <c r="O10" s="620"/>
      <c r="P10" s="558"/>
      <c r="Q10" s="558"/>
      <c r="R10" s="558"/>
      <c r="S10" s="558"/>
      <c r="T10" s="558"/>
      <c r="U10" s="558"/>
      <c r="V10" s="612"/>
      <c r="W10" s="612"/>
      <c r="X10" s="612"/>
      <c r="Y10" s="612"/>
      <c r="Z10" s="612"/>
      <c r="AA10" s="612"/>
    </row>
    <row r="11" spans="1:27" x14ac:dyDescent="0.2">
      <c r="A11" s="26"/>
      <c r="B11" s="147" t="s">
        <v>67</v>
      </c>
      <c r="C11" s="16"/>
      <c r="D11" s="16"/>
      <c r="E11" s="57"/>
      <c r="F11" s="160">
        <v>0.95</v>
      </c>
      <c r="G11" s="26"/>
      <c r="H11" s="620" t="s">
        <v>103</v>
      </c>
      <c r="I11" s="620">
        <f>M8+M9</f>
        <v>2.954512687427915E-2</v>
      </c>
      <c r="J11" s="620"/>
      <c r="K11" s="620"/>
      <c r="L11" s="620" t="s">
        <v>114</v>
      </c>
      <c r="M11" s="620">
        <f>M4*(N5+L6)*(N5+L6)</f>
        <v>0.28900000000000009</v>
      </c>
      <c r="N11" s="620"/>
      <c r="O11" s="620"/>
      <c r="P11" s="558"/>
      <c r="Q11" s="558"/>
      <c r="R11" s="558"/>
      <c r="S11" s="558"/>
      <c r="T11" s="558"/>
      <c r="U11" s="558"/>
      <c r="V11" s="612"/>
      <c r="W11" s="612"/>
      <c r="X11" s="612"/>
      <c r="Y11" s="612"/>
      <c r="Z11" s="612"/>
      <c r="AA11" s="612"/>
    </row>
    <row r="12" spans="1:27" x14ac:dyDescent="0.2">
      <c r="A12" s="26"/>
      <c r="B12" s="147" t="s">
        <v>107</v>
      </c>
      <c r="C12" s="16"/>
      <c r="D12" s="148">
        <f>F11</f>
        <v>0.95</v>
      </c>
      <c r="E12" s="154"/>
      <c r="F12" s="152" t="str">
        <f>CONCATENATE("(",ROUNDDOWN(I18,4)," ; ",ROUNDUP(I19,4),")")</f>
        <v>(-0,6846 ; 0,1357)</v>
      </c>
      <c r="G12" s="26"/>
      <c r="H12" s="620" t="s">
        <v>104</v>
      </c>
      <c r="I12" s="620">
        <f>(1-I10)*(1-I10)*SUM(M11:M12)</f>
        <v>1.0065035082660518</v>
      </c>
      <c r="J12" s="620"/>
      <c r="K12" s="620"/>
      <c r="L12" s="620" t="s">
        <v>115</v>
      </c>
      <c r="M12" s="620">
        <f>L5*(N4+M6)*(N4+M6)</f>
        <v>0.33062500000000006</v>
      </c>
      <c r="N12" s="620"/>
      <c r="O12" s="620"/>
      <c r="P12" s="558"/>
      <c r="Q12" s="558"/>
      <c r="R12" s="558"/>
      <c r="S12" s="558"/>
      <c r="T12" s="558"/>
      <c r="U12" s="558"/>
      <c r="V12" s="612"/>
      <c r="W12" s="612"/>
      <c r="X12" s="612"/>
      <c r="Y12" s="612"/>
      <c r="Z12" s="612"/>
      <c r="AA12" s="612"/>
    </row>
    <row r="13" spans="1:27" x14ac:dyDescent="0.2">
      <c r="A13" s="26"/>
      <c r="B13" s="147"/>
      <c r="C13" s="16"/>
      <c r="D13" s="16" t="s">
        <v>108</v>
      </c>
      <c r="E13" s="57"/>
      <c r="F13" s="152">
        <f>I8</f>
        <v>0.35</v>
      </c>
      <c r="G13" s="26"/>
      <c r="H13" s="620" t="s">
        <v>116</v>
      </c>
      <c r="I13" s="620">
        <f>(I10-I9*(1-I10))*(I10-I9*(1-I10))</f>
        <v>0.80823625528642873</v>
      </c>
      <c r="J13" s="620"/>
      <c r="K13" s="620"/>
      <c r="L13" s="620"/>
      <c r="M13" s="620"/>
      <c r="N13" s="620"/>
      <c r="O13" s="620"/>
      <c r="P13" s="558"/>
      <c r="Q13" s="558"/>
      <c r="R13" s="558"/>
      <c r="S13" s="558"/>
      <c r="T13" s="558"/>
      <c r="U13" s="558"/>
      <c r="V13" s="612"/>
      <c r="W13" s="612"/>
      <c r="X13" s="612"/>
      <c r="Y13" s="612"/>
      <c r="Z13" s="612"/>
      <c r="AA13" s="612"/>
    </row>
    <row r="14" spans="1:27" ht="13.5" thickBot="1" x14ac:dyDescent="0.25">
      <c r="A14" s="26"/>
      <c r="B14" s="147"/>
      <c r="C14" s="16"/>
      <c r="D14" s="16" t="s">
        <v>109</v>
      </c>
      <c r="E14" s="57"/>
      <c r="F14" s="152">
        <f>I9</f>
        <v>0.49000000000000005</v>
      </c>
      <c r="G14" s="26"/>
      <c r="H14" s="620" t="s">
        <v>117</v>
      </c>
      <c r="I14" s="620">
        <f>(I11+I12-I13)/((1-I9)*(1-I9)*J6)</f>
        <v>4.3793229499020057E-2</v>
      </c>
      <c r="J14" s="620"/>
      <c r="K14" s="620"/>
      <c r="L14" s="620"/>
      <c r="M14" s="620"/>
      <c r="N14" s="620"/>
      <c r="O14" s="620"/>
      <c r="P14" s="558"/>
      <c r="Q14" s="558"/>
      <c r="R14" s="558"/>
      <c r="S14" s="558"/>
      <c r="T14" s="558"/>
      <c r="U14" s="558"/>
      <c r="V14" s="612"/>
      <c r="W14" s="612"/>
      <c r="X14" s="612"/>
      <c r="Y14" s="612"/>
      <c r="Z14" s="612"/>
      <c r="AA14" s="612"/>
    </row>
    <row r="15" spans="1:27" x14ac:dyDescent="0.2">
      <c r="A15" s="26"/>
      <c r="B15" s="268" t="s">
        <v>301</v>
      </c>
      <c r="C15" s="22"/>
      <c r="D15" s="22"/>
      <c r="E15" s="38"/>
      <c r="F15" s="483">
        <f>ABS(D5-C6)/E7</f>
        <v>0.15</v>
      </c>
      <c r="G15" s="26"/>
      <c r="H15" s="620"/>
      <c r="I15" s="620"/>
      <c r="J15" s="620"/>
      <c r="K15" s="620"/>
      <c r="L15" s="620"/>
      <c r="M15" s="620"/>
      <c r="N15" s="620"/>
      <c r="O15" s="620"/>
      <c r="P15" s="558"/>
      <c r="Q15" s="558"/>
      <c r="R15" s="558"/>
      <c r="S15" s="558"/>
      <c r="T15" s="558"/>
      <c r="U15" s="558"/>
      <c r="V15" s="612"/>
      <c r="W15" s="612"/>
      <c r="X15" s="612"/>
      <c r="Y15" s="612"/>
      <c r="Z15" s="612"/>
      <c r="AA15" s="612"/>
    </row>
    <row r="16" spans="1:27" ht="13.5" thickBot="1" x14ac:dyDescent="0.25">
      <c r="A16" s="26"/>
      <c r="B16" s="146" t="s">
        <v>302</v>
      </c>
      <c r="C16" s="54"/>
      <c r="D16" s="54"/>
      <c r="E16" s="39"/>
      <c r="F16" s="153">
        <f>(D5-C6)/(D5+C6)</f>
        <v>0.23076923076923078</v>
      </c>
      <c r="G16" s="26"/>
      <c r="H16" s="620"/>
      <c r="I16" s="620"/>
      <c r="J16" s="620"/>
      <c r="K16" s="620"/>
      <c r="L16" s="620"/>
      <c r="M16" s="620"/>
      <c r="N16" s="620"/>
      <c r="O16" s="620"/>
      <c r="P16" s="558"/>
      <c r="Q16" s="558"/>
      <c r="R16" s="558"/>
      <c r="S16" s="558"/>
      <c r="T16" s="558"/>
      <c r="U16" s="558"/>
      <c r="V16" s="612"/>
      <c r="W16" s="612"/>
      <c r="X16" s="612"/>
      <c r="Y16" s="612"/>
      <c r="Z16" s="612"/>
      <c r="AA16" s="612"/>
    </row>
    <row r="17" spans="1:27" ht="13.5" thickBot="1" x14ac:dyDescent="0.25">
      <c r="A17" s="26"/>
      <c r="B17" s="26"/>
      <c r="C17" s="26"/>
      <c r="D17" s="26"/>
      <c r="E17" s="26"/>
      <c r="F17" s="26"/>
      <c r="G17" s="26"/>
      <c r="H17" s="600" t="s">
        <v>118</v>
      </c>
      <c r="I17" s="600">
        <f>SQRT(I14)</f>
        <v>0.2092683193869059</v>
      </c>
      <c r="J17" s="620"/>
      <c r="K17" s="620"/>
      <c r="L17" s="620"/>
      <c r="M17" s="620"/>
      <c r="N17" s="620"/>
      <c r="O17" s="620"/>
      <c r="P17" s="558"/>
      <c r="Q17" s="558"/>
      <c r="R17" s="558"/>
      <c r="S17" s="558"/>
      <c r="T17" s="558"/>
      <c r="U17" s="558"/>
      <c r="V17" s="612"/>
      <c r="W17" s="612"/>
      <c r="X17" s="612"/>
      <c r="Y17" s="612"/>
      <c r="Z17" s="612"/>
      <c r="AA17" s="612"/>
    </row>
    <row r="18" spans="1:27" x14ac:dyDescent="0.2">
      <c r="A18" s="26"/>
      <c r="B18" s="10" t="s">
        <v>303</v>
      </c>
      <c r="C18" s="38"/>
      <c r="D18" s="38"/>
      <c r="E18" s="38"/>
      <c r="F18" s="4"/>
      <c r="G18" s="26"/>
      <c r="H18" s="600"/>
      <c r="I18" s="621">
        <f>I10-NORMSINV((1+F11)/2)*I17</f>
        <v>-0.68466817302512939</v>
      </c>
      <c r="J18" s="620"/>
      <c r="K18" s="620"/>
      <c r="L18" s="620"/>
      <c r="M18" s="620"/>
      <c r="N18" s="620"/>
      <c r="O18" s="620"/>
      <c r="P18" s="558"/>
      <c r="Q18" s="558"/>
      <c r="R18" s="558"/>
      <c r="S18" s="558"/>
      <c r="T18" s="558"/>
      <c r="U18" s="558"/>
      <c r="V18" s="612"/>
      <c r="W18" s="612"/>
      <c r="X18" s="612"/>
      <c r="Y18" s="612"/>
      <c r="Z18" s="612"/>
      <c r="AA18" s="612"/>
    </row>
    <row r="19" spans="1:27" x14ac:dyDescent="0.2">
      <c r="A19" s="26"/>
      <c r="B19" s="155" t="s">
        <v>305</v>
      </c>
      <c r="C19" s="57"/>
      <c r="D19" s="57"/>
      <c r="E19" s="57"/>
      <c r="F19" s="11"/>
      <c r="G19" s="26"/>
      <c r="H19" s="600"/>
      <c r="I19" s="621">
        <f>I10+NORMSINV((1+F11)/2)*I17</f>
        <v>0.13564856518199186</v>
      </c>
      <c r="J19" s="620"/>
      <c r="K19" s="620"/>
      <c r="L19" s="620"/>
      <c r="M19" s="620"/>
      <c r="N19" s="620"/>
      <c r="O19" s="620"/>
      <c r="P19" s="558"/>
      <c r="Q19" s="558"/>
      <c r="R19" s="558"/>
      <c r="S19" s="558"/>
      <c r="T19" s="558"/>
      <c r="U19" s="558"/>
      <c r="V19" s="612"/>
      <c r="W19" s="612"/>
      <c r="X19" s="612"/>
      <c r="Y19" s="612"/>
      <c r="Z19" s="612"/>
      <c r="AA19" s="612"/>
    </row>
    <row r="20" spans="1:27" x14ac:dyDescent="0.2">
      <c r="A20" s="26"/>
      <c r="B20" s="56" t="s">
        <v>121</v>
      </c>
      <c r="C20" s="57"/>
      <c r="D20" s="57"/>
      <c r="E20" s="57"/>
      <c r="F20" s="11"/>
      <c r="G20" s="26"/>
      <c r="H20" s="600"/>
      <c r="I20" s="600"/>
      <c r="J20" s="620"/>
      <c r="K20" s="620"/>
      <c r="L20" s="620"/>
      <c r="M20" s="620"/>
      <c r="N20" s="620"/>
      <c r="O20" s="620"/>
      <c r="P20" s="558"/>
      <c r="Q20" s="558"/>
      <c r="R20" s="558"/>
      <c r="S20" s="558"/>
      <c r="T20" s="558"/>
      <c r="U20" s="558"/>
      <c r="V20" s="612"/>
      <c r="W20" s="612"/>
      <c r="X20" s="612"/>
      <c r="Y20" s="612"/>
      <c r="Z20" s="612"/>
      <c r="AA20" s="612"/>
    </row>
    <row r="21" spans="1:27" ht="13.5" thickBot="1" x14ac:dyDescent="0.25">
      <c r="A21" s="26"/>
      <c r="B21" s="75" t="s">
        <v>122</v>
      </c>
      <c r="C21" s="39"/>
      <c r="D21" s="39"/>
      <c r="E21" s="39"/>
      <c r="F21" s="5"/>
      <c r="G21" s="26"/>
      <c r="H21" s="600"/>
      <c r="I21" s="600"/>
      <c r="J21" s="620"/>
      <c r="K21" s="620"/>
      <c r="L21" s="620"/>
      <c r="M21" s="620"/>
      <c r="N21" s="620"/>
      <c r="O21" s="620"/>
      <c r="P21" s="558"/>
      <c r="Q21" s="558"/>
      <c r="R21" s="558"/>
      <c r="S21" s="558"/>
      <c r="T21" s="558"/>
      <c r="U21" s="558"/>
      <c r="V21" s="612"/>
      <c r="W21" s="612"/>
      <c r="X21" s="612"/>
      <c r="Y21" s="612"/>
      <c r="Z21" s="612"/>
      <c r="AA21" s="612"/>
    </row>
    <row r="22" spans="1:27" x14ac:dyDescent="0.2">
      <c r="A22" s="26"/>
      <c r="B22" s="484" t="s">
        <v>304</v>
      </c>
      <c r="C22" s="485"/>
      <c r="D22" s="485"/>
      <c r="E22" s="485"/>
      <c r="F22" s="486"/>
      <c r="G22" s="26"/>
      <c r="H22" s="600"/>
      <c r="I22" s="600"/>
      <c r="J22" s="620"/>
      <c r="K22" s="620"/>
      <c r="L22" s="620"/>
      <c r="M22" s="620"/>
      <c r="N22" s="620"/>
      <c r="O22" s="620"/>
      <c r="P22" s="558"/>
      <c r="Q22" s="558"/>
      <c r="R22" s="558"/>
      <c r="S22" s="558"/>
      <c r="T22" s="558"/>
      <c r="U22" s="558"/>
      <c r="V22" s="612"/>
      <c r="W22" s="612"/>
      <c r="X22" s="612"/>
      <c r="Y22" s="612"/>
      <c r="Z22" s="612"/>
      <c r="AA22" s="612"/>
    </row>
    <row r="23" spans="1:27" x14ac:dyDescent="0.2">
      <c r="A23" s="26"/>
      <c r="B23" s="487" t="s">
        <v>306</v>
      </c>
      <c r="C23" s="488"/>
      <c r="D23" s="488"/>
      <c r="E23" s="488"/>
      <c r="F23" s="489"/>
      <c r="G23" s="26"/>
      <c r="H23" s="599"/>
      <c r="I23" s="599"/>
      <c r="J23" s="558"/>
      <c r="K23" s="558"/>
      <c r="L23" s="558"/>
      <c r="M23" s="558"/>
      <c r="N23" s="558"/>
      <c r="O23" s="558"/>
      <c r="P23" s="558"/>
      <c r="Q23" s="558"/>
      <c r="R23" s="558"/>
      <c r="S23" s="558"/>
      <c r="T23" s="558"/>
      <c r="U23" s="558"/>
      <c r="V23" s="612"/>
      <c r="W23" s="612"/>
      <c r="X23" s="612"/>
      <c r="Y23" s="612"/>
      <c r="Z23" s="612"/>
      <c r="AA23" s="612"/>
    </row>
    <row r="24" spans="1:27" ht="13.5" thickBot="1" x14ac:dyDescent="0.25">
      <c r="A24" s="26"/>
      <c r="B24" s="490" t="s">
        <v>307</v>
      </c>
      <c r="C24" s="491"/>
      <c r="D24" s="491"/>
      <c r="E24" s="491"/>
      <c r="F24" s="492"/>
      <c r="G24" s="26"/>
      <c r="H24" s="558"/>
      <c r="I24" s="558"/>
      <c r="J24" s="558"/>
      <c r="K24" s="558"/>
      <c r="L24" s="558"/>
      <c r="M24" s="558"/>
      <c r="N24" s="558"/>
      <c r="O24" s="558"/>
      <c r="P24" s="558"/>
      <c r="Q24" s="558"/>
      <c r="R24" s="558"/>
      <c r="S24" s="558"/>
      <c r="T24" s="558"/>
      <c r="U24" s="558"/>
      <c r="V24" s="612"/>
      <c r="W24" s="612"/>
      <c r="X24" s="612"/>
      <c r="Y24" s="612"/>
      <c r="Z24" s="612"/>
      <c r="AA24" s="612"/>
    </row>
    <row r="25" spans="1:27" x14ac:dyDescent="0.2">
      <c r="A25" s="26"/>
      <c r="B25" s="26"/>
      <c r="C25" s="26"/>
      <c r="D25" s="26"/>
      <c r="E25" s="26"/>
      <c r="F25" s="26"/>
      <c r="G25" s="26"/>
      <c r="H25" s="558"/>
      <c r="I25" s="558"/>
      <c r="J25" s="558"/>
      <c r="K25" s="558"/>
      <c r="L25" s="558"/>
      <c r="M25" s="558"/>
      <c r="N25" s="558"/>
      <c r="O25" s="558"/>
      <c r="P25" s="558"/>
      <c r="Q25" s="558"/>
      <c r="R25" s="558"/>
      <c r="S25" s="558"/>
      <c r="T25" s="558"/>
      <c r="U25" s="558"/>
      <c r="V25" s="612"/>
      <c r="W25" s="612"/>
      <c r="X25" s="612"/>
      <c r="Y25" s="612"/>
      <c r="Z25" s="612"/>
      <c r="AA25" s="612"/>
    </row>
    <row r="26" spans="1:27" x14ac:dyDescent="0.2">
      <c r="A26" s="26"/>
      <c r="B26" s="26"/>
      <c r="C26" s="26"/>
      <c r="D26" s="26"/>
      <c r="E26" s="26"/>
      <c r="F26" s="26"/>
      <c r="G26" s="26"/>
      <c r="H26" s="558"/>
      <c r="I26" s="558"/>
      <c r="J26" s="558"/>
      <c r="K26" s="558"/>
      <c r="L26" s="558"/>
      <c r="M26" s="558"/>
      <c r="N26" s="558"/>
      <c r="O26" s="558"/>
      <c r="P26" s="558"/>
      <c r="Q26" s="558"/>
      <c r="R26" s="558"/>
      <c r="S26" s="558"/>
      <c r="T26" s="558"/>
      <c r="U26" s="558"/>
      <c r="V26" s="612"/>
      <c r="W26" s="612"/>
      <c r="X26" s="612"/>
      <c r="Y26" s="612"/>
      <c r="Z26" s="612"/>
      <c r="AA26" s="612"/>
    </row>
    <row r="27" spans="1:27" x14ac:dyDescent="0.2">
      <c r="A27" s="26"/>
      <c r="B27" s="26"/>
      <c r="C27" s="26"/>
      <c r="D27" s="26"/>
      <c r="E27" s="26"/>
      <c r="F27" s="26"/>
      <c r="G27" s="26"/>
      <c r="H27" s="558"/>
      <c r="I27" s="558"/>
      <c r="J27" s="558"/>
      <c r="K27" s="558"/>
      <c r="L27" s="558"/>
      <c r="M27" s="558"/>
      <c r="N27" s="558"/>
      <c r="O27" s="558"/>
      <c r="P27" s="558"/>
      <c r="Q27" s="558"/>
      <c r="R27" s="558"/>
      <c r="S27" s="558"/>
      <c r="T27" s="558"/>
      <c r="U27" s="558"/>
      <c r="V27" s="612"/>
      <c r="W27" s="612"/>
      <c r="X27" s="612"/>
      <c r="Y27" s="612"/>
      <c r="Z27" s="612"/>
      <c r="AA27" s="612"/>
    </row>
    <row r="28" spans="1:27" x14ac:dyDescent="0.2">
      <c r="A28" s="26"/>
      <c r="B28" s="26"/>
      <c r="C28" s="26"/>
      <c r="D28" s="26"/>
      <c r="E28" s="26"/>
      <c r="F28" s="26"/>
      <c r="G28" s="26"/>
      <c r="H28" s="558"/>
      <c r="I28" s="558"/>
      <c r="J28" s="558"/>
      <c r="K28" s="558"/>
      <c r="L28" s="558"/>
      <c r="M28" s="558"/>
      <c r="N28" s="558"/>
      <c r="O28" s="558"/>
      <c r="P28" s="558"/>
      <c r="Q28" s="558"/>
      <c r="R28" s="558"/>
      <c r="S28" s="558"/>
      <c r="T28" s="558"/>
      <c r="U28" s="558"/>
      <c r="V28" s="612"/>
      <c r="W28" s="612"/>
      <c r="X28" s="612"/>
      <c r="Y28" s="612"/>
      <c r="Z28" s="612"/>
      <c r="AA28" s="612"/>
    </row>
    <row r="29" spans="1:27" x14ac:dyDescent="0.2">
      <c r="A29" s="26"/>
      <c r="B29" s="26"/>
      <c r="C29" s="26"/>
      <c r="D29" s="26"/>
      <c r="E29" s="26"/>
      <c r="F29" s="26"/>
      <c r="G29" s="26"/>
      <c r="H29" s="558"/>
      <c r="I29" s="558"/>
      <c r="J29" s="558"/>
      <c r="K29" s="558"/>
      <c r="L29" s="558"/>
      <c r="M29" s="558"/>
      <c r="N29" s="558"/>
      <c r="O29" s="558"/>
      <c r="P29" s="558"/>
      <c r="Q29" s="558"/>
      <c r="R29" s="558"/>
      <c r="S29" s="558"/>
      <c r="T29" s="558"/>
      <c r="U29" s="558"/>
      <c r="V29" s="612"/>
      <c r="W29" s="612"/>
      <c r="X29" s="612"/>
      <c r="Y29" s="612"/>
      <c r="Z29" s="612"/>
      <c r="AA29" s="612"/>
    </row>
    <row r="30" spans="1:27" x14ac:dyDescent="0.2">
      <c r="A30" s="26"/>
      <c r="B30" s="26"/>
      <c r="C30" s="26"/>
      <c r="D30" s="26"/>
      <c r="E30" s="26"/>
      <c r="F30" s="26"/>
      <c r="G30" s="26"/>
      <c r="H30" s="558"/>
      <c r="I30" s="558"/>
      <c r="J30" s="558"/>
      <c r="K30" s="558"/>
      <c r="L30" s="558"/>
      <c r="M30" s="558"/>
      <c r="N30" s="558"/>
      <c r="O30" s="558"/>
      <c r="P30" s="558"/>
      <c r="Q30" s="558"/>
      <c r="R30" s="558"/>
      <c r="S30" s="558"/>
      <c r="T30" s="558"/>
      <c r="U30" s="558"/>
      <c r="V30" s="612"/>
      <c r="W30" s="612"/>
      <c r="X30" s="612"/>
      <c r="Y30" s="612"/>
      <c r="Z30" s="612"/>
      <c r="AA30" s="612"/>
    </row>
    <row r="31" spans="1:27" x14ac:dyDescent="0.2">
      <c r="H31" s="558"/>
      <c r="I31" s="558"/>
      <c r="J31" s="558"/>
      <c r="K31" s="558"/>
      <c r="L31" s="558"/>
      <c r="M31" s="558"/>
      <c r="N31" s="558"/>
      <c r="O31" s="558"/>
      <c r="P31" s="558"/>
      <c r="Q31" s="558"/>
      <c r="R31" s="558"/>
      <c r="S31" s="558"/>
      <c r="T31" s="558"/>
      <c r="U31" s="558"/>
      <c r="V31" s="612"/>
      <c r="W31" s="612"/>
      <c r="X31" s="612"/>
      <c r="Y31" s="612"/>
      <c r="Z31" s="612"/>
      <c r="AA31" s="612"/>
    </row>
    <row r="32" spans="1:27" x14ac:dyDescent="0.2">
      <c r="H32" s="612"/>
      <c r="I32" s="612"/>
      <c r="J32" s="612"/>
      <c r="K32" s="612"/>
      <c r="L32" s="612"/>
      <c r="M32" s="612"/>
      <c r="N32" s="612"/>
      <c r="O32" s="612"/>
      <c r="P32" s="612"/>
      <c r="Q32" s="612"/>
      <c r="R32" s="612"/>
      <c r="S32" s="612"/>
      <c r="T32" s="612"/>
      <c r="U32" s="612"/>
      <c r="V32" s="612"/>
      <c r="W32" s="612"/>
      <c r="X32" s="612"/>
      <c r="Y32" s="612"/>
      <c r="Z32" s="612"/>
      <c r="AA32" s="612"/>
    </row>
    <row r="33" spans="8:27" x14ac:dyDescent="0.2">
      <c r="H33" s="612"/>
      <c r="I33" s="612"/>
      <c r="J33" s="612"/>
      <c r="K33" s="612"/>
      <c r="L33" s="612"/>
      <c r="M33" s="612"/>
      <c r="N33" s="612"/>
      <c r="O33" s="612"/>
      <c r="P33" s="612"/>
      <c r="Q33" s="612"/>
      <c r="R33" s="612"/>
      <c r="S33" s="612"/>
      <c r="T33" s="612"/>
      <c r="U33" s="612"/>
      <c r="V33" s="612"/>
      <c r="W33" s="612"/>
      <c r="X33" s="612"/>
      <c r="Y33" s="612"/>
      <c r="Z33" s="612"/>
      <c r="AA33" s="612"/>
    </row>
    <row r="34" spans="8:27" x14ac:dyDescent="0.2">
      <c r="H34" s="612"/>
      <c r="I34" s="612"/>
      <c r="J34" s="612"/>
      <c r="K34" s="612"/>
      <c r="L34" s="612"/>
      <c r="M34" s="612"/>
      <c r="N34" s="612"/>
      <c r="O34" s="612"/>
      <c r="P34" s="612"/>
      <c r="Q34" s="612"/>
      <c r="R34" s="612"/>
      <c r="S34" s="612"/>
      <c r="T34" s="612"/>
      <c r="U34" s="612"/>
      <c r="V34" s="612"/>
      <c r="W34" s="612"/>
      <c r="X34" s="612"/>
      <c r="Y34" s="612"/>
      <c r="Z34" s="612"/>
      <c r="AA34" s="612"/>
    </row>
    <row r="35" spans="8:27" x14ac:dyDescent="0.2">
      <c r="H35" s="612"/>
      <c r="I35" s="612"/>
      <c r="J35" s="612"/>
      <c r="K35" s="612"/>
      <c r="L35" s="612"/>
      <c r="M35" s="612"/>
      <c r="N35" s="612"/>
      <c r="O35" s="612"/>
      <c r="P35" s="612"/>
      <c r="Q35" s="612"/>
      <c r="R35" s="612"/>
      <c r="S35" s="612"/>
      <c r="T35" s="612"/>
      <c r="U35" s="612"/>
      <c r="V35" s="612"/>
      <c r="W35" s="612"/>
      <c r="X35" s="612"/>
      <c r="Y35" s="612"/>
      <c r="Z35" s="612"/>
      <c r="AA35" s="612"/>
    </row>
    <row r="36" spans="8:27" x14ac:dyDescent="0.2">
      <c r="H36" s="612"/>
      <c r="I36" s="612"/>
      <c r="J36" s="612"/>
      <c r="K36" s="612"/>
      <c r="L36" s="612"/>
      <c r="M36" s="612"/>
      <c r="N36" s="612"/>
      <c r="O36" s="612"/>
      <c r="P36" s="612"/>
      <c r="Q36" s="612"/>
      <c r="R36" s="612"/>
      <c r="S36" s="612"/>
      <c r="T36" s="612"/>
      <c r="U36" s="612"/>
      <c r="V36" s="612"/>
      <c r="W36" s="612"/>
      <c r="X36" s="612"/>
      <c r="Y36" s="612"/>
      <c r="Z36" s="612"/>
      <c r="AA36" s="612"/>
    </row>
    <row r="37" spans="8:27" x14ac:dyDescent="0.2">
      <c r="H37" s="612"/>
      <c r="I37" s="612"/>
      <c r="J37" s="612"/>
      <c r="K37" s="612"/>
      <c r="L37" s="612"/>
      <c r="M37" s="612"/>
      <c r="N37" s="612"/>
      <c r="O37" s="612"/>
      <c r="P37" s="612"/>
      <c r="Q37" s="612"/>
      <c r="R37" s="612"/>
      <c r="S37" s="612"/>
      <c r="T37" s="612"/>
      <c r="U37" s="612"/>
      <c r="V37" s="612"/>
      <c r="W37" s="612"/>
      <c r="X37" s="612"/>
      <c r="Y37" s="612"/>
      <c r="Z37" s="612"/>
      <c r="AA37" s="612"/>
    </row>
    <row r="38" spans="8:27" x14ac:dyDescent="0.2">
      <c r="H38" s="612"/>
      <c r="I38" s="612"/>
      <c r="J38" s="612"/>
      <c r="K38" s="612"/>
      <c r="L38" s="612"/>
      <c r="M38" s="612"/>
      <c r="N38" s="612"/>
      <c r="O38" s="612"/>
      <c r="P38" s="612"/>
      <c r="Q38" s="612"/>
      <c r="R38" s="612"/>
      <c r="S38" s="612"/>
      <c r="T38" s="612"/>
      <c r="U38" s="612"/>
      <c r="V38" s="612"/>
      <c r="W38" s="612"/>
      <c r="X38" s="612"/>
      <c r="Y38" s="612"/>
      <c r="Z38" s="612"/>
      <c r="AA38" s="612"/>
    </row>
    <row r="39" spans="8:27" x14ac:dyDescent="0.2">
      <c r="H39" s="612"/>
      <c r="I39" s="612"/>
      <c r="J39" s="612"/>
      <c r="K39" s="612"/>
      <c r="L39" s="612"/>
      <c r="M39" s="612"/>
      <c r="N39" s="612"/>
      <c r="O39" s="612"/>
      <c r="P39" s="612"/>
      <c r="Q39" s="612"/>
      <c r="R39" s="612"/>
      <c r="S39" s="612"/>
      <c r="T39" s="612"/>
      <c r="U39" s="612"/>
      <c r="V39" s="612"/>
      <c r="W39" s="612"/>
      <c r="X39" s="612"/>
      <c r="Y39" s="612"/>
      <c r="Z39" s="612"/>
      <c r="AA39" s="612"/>
    </row>
    <row r="40" spans="8:27" x14ac:dyDescent="0.2">
      <c r="H40" s="612"/>
      <c r="I40" s="612"/>
      <c r="J40" s="612"/>
      <c r="K40" s="612"/>
      <c r="L40" s="612"/>
      <c r="M40" s="612"/>
      <c r="N40" s="612"/>
      <c r="O40" s="612"/>
      <c r="P40" s="612"/>
      <c r="Q40" s="612"/>
      <c r="R40" s="612"/>
      <c r="S40" s="612"/>
      <c r="T40" s="612"/>
      <c r="U40" s="612"/>
      <c r="V40" s="612"/>
      <c r="W40" s="612"/>
      <c r="X40" s="612"/>
      <c r="Y40" s="612"/>
      <c r="Z40" s="612"/>
      <c r="AA40" s="612"/>
    </row>
    <row r="41" spans="8:27" x14ac:dyDescent="0.2">
      <c r="H41" s="612"/>
      <c r="I41" s="612"/>
      <c r="J41" s="612"/>
      <c r="K41" s="612"/>
      <c r="L41" s="612"/>
      <c r="M41" s="612"/>
      <c r="N41" s="612"/>
      <c r="O41" s="612"/>
      <c r="P41" s="612"/>
      <c r="Q41" s="612"/>
      <c r="R41" s="612"/>
      <c r="S41" s="612"/>
      <c r="T41" s="612"/>
      <c r="U41" s="612"/>
      <c r="V41" s="612"/>
      <c r="W41" s="612"/>
      <c r="X41" s="612"/>
      <c r="Y41" s="612"/>
      <c r="Z41" s="612"/>
      <c r="AA41" s="612"/>
    </row>
    <row r="42" spans="8:27" x14ac:dyDescent="0.2">
      <c r="H42" s="612"/>
      <c r="I42" s="612"/>
      <c r="J42" s="612"/>
      <c r="K42" s="612"/>
      <c r="L42" s="612"/>
      <c r="M42" s="612"/>
      <c r="N42" s="612"/>
      <c r="O42" s="612"/>
      <c r="P42" s="612"/>
      <c r="Q42" s="612"/>
      <c r="R42" s="612"/>
      <c r="S42" s="612"/>
      <c r="T42" s="612"/>
      <c r="U42" s="612"/>
      <c r="V42" s="612"/>
      <c r="W42" s="612"/>
      <c r="X42" s="612"/>
      <c r="Y42" s="612"/>
      <c r="Z42" s="612"/>
      <c r="AA42" s="612"/>
    </row>
    <row r="43" spans="8:27" x14ac:dyDescent="0.2">
      <c r="H43" s="612"/>
      <c r="I43" s="612"/>
      <c r="J43" s="612"/>
      <c r="K43" s="612"/>
      <c r="L43" s="612"/>
      <c r="M43" s="612"/>
      <c r="N43" s="612"/>
      <c r="O43" s="612"/>
      <c r="P43" s="612"/>
      <c r="Q43" s="612"/>
      <c r="R43" s="612"/>
      <c r="S43" s="612"/>
      <c r="T43" s="612"/>
      <c r="U43" s="612"/>
      <c r="V43" s="612"/>
      <c r="W43" s="612"/>
      <c r="X43" s="612"/>
      <c r="Y43" s="612"/>
      <c r="Z43" s="612"/>
      <c r="AA43" s="612"/>
    </row>
    <row r="44" spans="8:27" x14ac:dyDescent="0.2">
      <c r="H44" s="612"/>
      <c r="I44" s="612"/>
      <c r="J44" s="612"/>
      <c r="K44" s="612"/>
      <c r="L44" s="612"/>
      <c r="M44" s="612"/>
      <c r="N44" s="612"/>
      <c r="O44" s="612"/>
      <c r="P44" s="612"/>
      <c r="Q44" s="612"/>
      <c r="R44" s="612"/>
      <c r="S44" s="612"/>
      <c r="T44" s="612"/>
      <c r="U44" s="612"/>
      <c r="V44" s="612"/>
      <c r="W44" s="612"/>
      <c r="X44" s="612"/>
      <c r="Y44" s="612"/>
      <c r="Z44" s="612"/>
      <c r="AA44" s="612"/>
    </row>
    <row r="45" spans="8:27" x14ac:dyDescent="0.2">
      <c r="H45" s="612"/>
      <c r="I45" s="612"/>
      <c r="J45" s="612"/>
      <c r="K45" s="612"/>
      <c r="L45" s="612"/>
      <c r="M45" s="612"/>
      <c r="N45" s="612"/>
      <c r="O45" s="612"/>
      <c r="P45" s="612"/>
      <c r="Q45" s="612"/>
      <c r="R45" s="612"/>
      <c r="S45" s="612"/>
      <c r="T45" s="612"/>
      <c r="U45" s="612"/>
      <c r="V45" s="612"/>
      <c r="W45" s="612"/>
      <c r="X45" s="612"/>
      <c r="Y45" s="612"/>
      <c r="Z45" s="612"/>
      <c r="AA45" s="612"/>
    </row>
  </sheetData>
  <sheetProtection password="EA44" sheet="1" objects="1" scenarios="1" selectLockedCells="1"/>
  <phoneticPr fontId="4" type="noConversion"/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/>
  <dimension ref="A1:Y58"/>
  <sheetViews>
    <sheetView showRowColHeaders="0" workbookViewId="0">
      <selection activeCell="C5" sqref="C5"/>
    </sheetView>
  </sheetViews>
  <sheetFormatPr defaultRowHeight="12.75" x14ac:dyDescent="0.2"/>
  <cols>
    <col min="1" max="1" width="3.140625" style="83" customWidth="1"/>
    <col min="2" max="2" width="9.140625" style="83"/>
    <col min="3" max="5" width="9.42578125" style="83" customWidth="1"/>
    <col min="6" max="7" width="9.140625" style="83"/>
    <col min="8" max="25" width="9.140625" style="80"/>
    <col min="26" max="16384" width="9.140625" style="83"/>
  </cols>
  <sheetData>
    <row r="1" spans="1:25" ht="13.5" thickBot="1" x14ac:dyDescent="0.25">
      <c r="A1" s="79"/>
      <c r="B1" s="79"/>
      <c r="C1" s="79"/>
      <c r="D1" s="79"/>
      <c r="E1" s="79"/>
      <c r="F1" s="79"/>
      <c r="G1" s="79"/>
      <c r="H1" s="613"/>
      <c r="I1" s="613"/>
      <c r="J1" s="613" t="s">
        <v>134</v>
      </c>
      <c r="K1" s="613"/>
      <c r="L1" s="613"/>
      <c r="M1" s="613"/>
      <c r="N1" s="613"/>
      <c r="O1" s="613"/>
      <c r="P1" s="613"/>
      <c r="Q1" s="613"/>
      <c r="R1" s="613"/>
      <c r="S1" s="613"/>
      <c r="T1" s="613"/>
      <c r="U1" s="613"/>
      <c r="V1" s="613"/>
      <c r="W1" s="613"/>
      <c r="X1" s="609"/>
      <c r="Y1" s="609"/>
    </row>
    <row r="2" spans="1:25" ht="13.5" thickBot="1" x14ac:dyDescent="0.25">
      <c r="A2" s="79"/>
      <c r="B2" s="162" t="s">
        <v>150</v>
      </c>
      <c r="C2" s="163"/>
      <c r="D2" s="163"/>
      <c r="E2" s="164"/>
      <c r="F2" s="79"/>
      <c r="G2" s="79"/>
      <c r="H2" s="613"/>
      <c r="I2" s="613">
        <v>1</v>
      </c>
      <c r="J2" s="613">
        <v>2</v>
      </c>
      <c r="K2" s="613">
        <v>3</v>
      </c>
      <c r="L2" s="613"/>
      <c r="M2" s="613"/>
      <c r="N2" s="613" t="s">
        <v>135</v>
      </c>
      <c r="O2" s="613" t="s">
        <v>136</v>
      </c>
      <c r="P2" s="613"/>
      <c r="Q2" s="613"/>
      <c r="R2" s="613"/>
      <c r="S2" s="613"/>
      <c r="T2" s="613"/>
      <c r="U2" s="613"/>
      <c r="V2" s="613"/>
      <c r="W2" s="613"/>
      <c r="X2" s="609"/>
      <c r="Y2" s="609"/>
    </row>
    <row r="3" spans="1:25" x14ac:dyDescent="0.2">
      <c r="A3" s="79"/>
      <c r="B3" s="79"/>
      <c r="C3" s="79"/>
      <c r="D3" s="79"/>
      <c r="E3" s="79"/>
      <c r="F3" s="79"/>
      <c r="G3" s="79"/>
      <c r="H3" s="613">
        <v>1</v>
      </c>
      <c r="I3" s="613">
        <v>1</v>
      </c>
      <c r="J3" s="613">
        <v>0.5</v>
      </c>
      <c r="K3" s="613">
        <v>0</v>
      </c>
      <c r="L3" s="614"/>
      <c r="M3" s="613"/>
      <c r="N3" s="613">
        <f>N12*I3+O12*J3+P12*K3</f>
        <v>0.61194029850746268</v>
      </c>
      <c r="O3" s="613">
        <f>Q9*I3+Q10*I4+Q11*I5</f>
        <v>0.96268656716417911</v>
      </c>
      <c r="P3" s="613"/>
      <c r="Q3" s="613" t="s">
        <v>103</v>
      </c>
      <c r="R3" s="613">
        <f>Q25</f>
        <v>0.24110766227847241</v>
      </c>
      <c r="S3" s="613"/>
      <c r="T3" s="613"/>
      <c r="U3" s="613"/>
      <c r="V3" s="613"/>
      <c r="W3" s="613"/>
      <c r="X3" s="609"/>
      <c r="Y3" s="609"/>
    </row>
    <row r="4" spans="1:25" ht="13.5" thickBot="1" x14ac:dyDescent="0.25">
      <c r="A4" s="79"/>
      <c r="B4" s="165"/>
      <c r="C4" s="166" t="s">
        <v>103</v>
      </c>
      <c r="D4" s="166" t="s">
        <v>104</v>
      </c>
      <c r="E4" s="166" t="s">
        <v>116</v>
      </c>
      <c r="F4" s="79" t="s">
        <v>7</v>
      </c>
      <c r="G4" s="79"/>
      <c r="H4" s="613">
        <v>2</v>
      </c>
      <c r="I4" s="613">
        <v>0.5</v>
      </c>
      <c r="J4" s="613">
        <v>1</v>
      </c>
      <c r="K4" s="613">
        <v>0.5</v>
      </c>
      <c r="L4" s="614"/>
      <c r="M4" s="613"/>
      <c r="N4" s="613">
        <f>N12*I4+O12*J4+P12*K4</f>
        <v>0.66417910447761197</v>
      </c>
      <c r="O4" s="615">
        <f>Q9*J3+Q10*J4+Q11*J5</f>
        <v>0.53731343283582089</v>
      </c>
      <c r="P4" s="613"/>
      <c r="Q4" s="613" t="s">
        <v>104</v>
      </c>
      <c r="R4" s="613">
        <f>(O18-O17*(1-O18))^2</f>
        <v>0.22590083474091835</v>
      </c>
      <c r="S4" s="613"/>
      <c r="T4" s="613"/>
      <c r="U4" s="613"/>
      <c r="V4" s="613"/>
      <c r="W4" s="613"/>
      <c r="X4" s="609"/>
      <c r="Y4" s="609"/>
    </row>
    <row r="5" spans="1:25" x14ac:dyDescent="0.2">
      <c r="A5" s="79"/>
      <c r="B5" s="166" t="s">
        <v>103</v>
      </c>
      <c r="C5" s="156">
        <v>30</v>
      </c>
      <c r="D5" s="194">
        <v>18</v>
      </c>
      <c r="E5" s="157">
        <v>14</v>
      </c>
      <c r="F5" s="166">
        <f>SUM(C5:E5)</f>
        <v>62</v>
      </c>
      <c r="G5" s="79"/>
      <c r="H5" s="613">
        <v>3</v>
      </c>
      <c r="I5" s="613">
        <v>0</v>
      </c>
      <c r="J5" s="613">
        <v>0.5</v>
      </c>
      <c r="K5" s="613">
        <v>1</v>
      </c>
      <c r="L5" s="614"/>
      <c r="M5" s="613"/>
      <c r="N5" s="613">
        <f>N12*I5+O12*J5+P12*K5</f>
        <v>0.38805970149253732</v>
      </c>
      <c r="O5" s="613">
        <f>Q9*K3+Q10*K4+Q11*K5</f>
        <v>3.7313432835820892E-2</v>
      </c>
      <c r="P5" s="613"/>
      <c r="Q5" s="613" t="s">
        <v>116</v>
      </c>
      <c r="R5" s="613">
        <f>L12*(1-O17)*(1-O17)</f>
        <v>9.8878527278953889</v>
      </c>
      <c r="S5" s="613"/>
      <c r="T5" s="613"/>
      <c r="U5" s="613"/>
      <c r="V5" s="613"/>
      <c r="W5" s="613"/>
      <c r="X5" s="609"/>
      <c r="Y5" s="609"/>
    </row>
    <row r="6" spans="1:25" x14ac:dyDescent="0.2">
      <c r="A6" s="79"/>
      <c r="B6" s="166" t="s">
        <v>104</v>
      </c>
      <c r="C6" s="196">
        <v>0</v>
      </c>
      <c r="D6" s="193">
        <v>4</v>
      </c>
      <c r="E6" s="197">
        <v>1</v>
      </c>
      <c r="F6" s="166">
        <f>SUM(C6:E6)</f>
        <v>5</v>
      </c>
      <c r="G6" s="79"/>
      <c r="H6" s="613"/>
      <c r="I6" s="613"/>
      <c r="J6" s="613"/>
      <c r="K6" s="613"/>
      <c r="L6" s="613"/>
      <c r="M6" s="613"/>
      <c r="N6" s="613"/>
      <c r="O6" s="613"/>
      <c r="P6" s="613"/>
      <c r="Q6" s="613"/>
      <c r="R6" s="613"/>
      <c r="S6" s="613"/>
      <c r="T6" s="613"/>
      <c r="U6" s="613"/>
      <c r="V6" s="613"/>
      <c r="W6" s="613"/>
      <c r="X6" s="609"/>
      <c r="Y6" s="609"/>
    </row>
    <row r="7" spans="1:25" ht="13.5" thickBot="1" x14ac:dyDescent="0.25">
      <c r="A7" s="79"/>
      <c r="B7" s="166" t="s">
        <v>116</v>
      </c>
      <c r="C7" s="158">
        <v>0</v>
      </c>
      <c r="D7" s="195">
        <v>0</v>
      </c>
      <c r="E7" s="159">
        <v>0</v>
      </c>
      <c r="F7" s="166">
        <f>SUM(C7:E7)</f>
        <v>0</v>
      </c>
      <c r="G7" s="79"/>
      <c r="H7" s="613"/>
      <c r="I7" s="613"/>
      <c r="J7" s="613"/>
      <c r="K7" s="613"/>
      <c r="L7" s="613"/>
      <c r="M7" s="613"/>
      <c r="N7" s="613"/>
      <c r="O7" s="613"/>
      <c r="P7" s="613" t="s">
        <v>110</v>
      </c>
      <c r="Q7" s="613"/>
      <c r="R7" s="613"/>
      <c r="S7" s="613"/>
      <c r="T7" s="613"/>
      <c r="U7" s="613" t="s">
        <v>137</v>
      </c>
      <c r="V7" s="613"/>
      <c r="W7" s="613"/>
      <c r="X7" s="609"/>
      <c r="Y7" s="609"/>
    </row>
    <row r="8" spans="1:25" x14ac:dyDescent="0.2">
      <c r="A8" s="79"/>
      <c r="B8" s="166" t="s">
        <v>7</v>
      </c>
      <c r="C8" s="166">
        <f>SUM(C5:C7)</f>
        <v>30</v>
      </c>
      <c r="D8" s="166">
        <f>SUM(D5:D7)</f>
        <v>22</v>
      </c>
      <c r="E8" s="166">
        <f>SUM(E5:E7)</f>
        <v>15</v>
      </c>
      <c r="F8" s="166">
        <f>SUM(F5:F7)</f>
        <v>67</v>
      </c>
      <c r="G8" s="79"/>
      <c r="H8" s="613"/>
      <c r="I8" s="613">
        <v>1</v>
      </c>
      <c r="J8" s="613">
        <v>2</v>
      </c>
      <c r="K8" s="613">
        <v>3</v>
      </c>
      <c r="L8" s="613"/>
      <c r="M8" s="613"/>
      <c r="N8" s="613">
        <v>1</v>
      </c>
      <c r="O8" s="613">
        <v>2</v>
      </c>
      <c r="P8" s="613">
        <v>3</v>
      </c>
      <c r="Q8" s="613"/>
      <c r="R8" s="613"/>
      <c r="S8" s="613"/>
      <c r="T8" s="613"/>
      <c r="U8" s="613"/>
      <c r="V8" s="613"/>
      <c r="W8" s="613"/>
      <c r="X8" s="609"/>
      <c r="Y8" s="609"/>
    </row>
    <row r="9" spans="1:25" ht="13.5" thickBot="1" x14ac:dyDescent="0.25">
      <c r="A9" s="79"/>
      <c r="B9" s="79"/>
      <c r="C9" s="79"/>
      <c r="D9" s="79"/>
      <c r="E9" s="79"/>
      <c r="F9" s="166"/>
      <c r="G9" s="79"/>
      <c r="H9" s="613">
        <v>1</v>
      </c>
      <c r="I9" s="613">
        <f t="shared" ref="I9:K11" si="0">C5</f>
        <v>30</v>
      </c>
      <c r="J9" s="613">
        <f t="shared" si="0"/>
        <v>18</v>
      </c>
      <c r="K9" s="613">
        <f t="shared" si="0"/>
        <v>14</v>
      </c>
      <c r="L9" s="613">
        <f>SUM(I9:K9)</f>
        <v>62</v>
      </c>
      <c r="M9" s="613">
        <v>1</v>
      </c>
      <c r="N9" s="613">
        <f>I9/L12</f>
        <v>0.44776119402985076</v>
      </c>
      <c r="O9" s="613">
        <f>J9/L12</f>
        <v>0.26865671641791045</v>
      </c>
      <c r="P9" s="613">
        <f>K9/L12</f>
        <v>0.20895522388059701</v>
      </c>
      <c r="Q9" s="613">
        <f>SUM(N9:P9)</f>
        <v>0.92537313432835822</v>
      </c>
      <c r="R9" s="613"/>
      <c r="S9" s="613"/>
      <c r="T9" s="615" t="s">
        <v>108</v>
      </c>
      <c r="U9" s="613">
        <f>(I9+J10+K11)/L12</f>
        <v>0.5074626865671642</v>
      </c>
      <c r="V9" s="613"/>
      <c r="W9" s="613"/>
      <c r="X9" s="609"/>
      <c r="Y9" s="609"/>
    </row>
    <row r="10" spans="1:25" x14ac:dyDescent="0.2">
      <c r="A10" s="79"/>
      <c r="B10" s="167" t="s">
        <v>105</v>
      </c>
      <c r="C10" s="168"/>
      <c r="D10" s="168"/>
      <c r="E10" s="181"/>
      <c r="F10" s="198">
        <f>U11</f>
        <v>0.12227074235807865</v>
      </c>
      <c r="G10" s="79"/>
      <c r="H10" s="613">
        <v>2</v>
      </c>
      <c r="I10" s="613">
        <f t="shared" si="0"/>
        <v>0</v>
      </c>
      <c r="J10" s="613">
        <f t="shared" si="0"/>
        <v>4</v>
      </c>
      <c r="K10" s="613">
        <f t="shared" si="0"/>
        <v>1</v>
      </c>
      <c r="L10" s="613">
        <f>SUM(I10:K10)</f>
        <v>5</v>
      </c>
      <c r="M10" s="613">
        <v>2</v>
      </c>
      <c r="N10" s="613">
        <f>I10/L12</f>
        <v>0</v>
      </c>
      <c r="O10" s="613">
        <f>J10/L12</f>
        <v>5.9701492537313432E-2</v>
      </c>
      <c r="P10" s="613">
        <f>K10/L12</f>
        <v>1.4925373134328358E-2</v>
      </c>
      <c r="Q10" s="613">
        <f>SUM(N10:P10)</f>
        <v>7.4626865671641784E-2</v>
      </c>
      <c r="R10" s="613"/>
      <c r="S10" s="613"/>
      <c r="T10" s="615" t="s">
        <v>109</v>
      </c>
      <c r="U10" s="613">
        <f>((L9*I12/L12)+(L10*J12/L12)+(L11*K12/L12))/L12</f>
        <v>0.43885052350189352</v>
      </c>
      <c r="V10" s="613"/>
      <c r="W10" s="613"/>
      <c r="X10" s="609"/>
      <c r="Y10" s="609"/>
    </row>
    <row r="11" spans="1:25" x14ac:dyDescent="0.2">
      <c r="A11" s="79"/>
      <c r="B11" s="171" t="s">
        <v>106</v>
      </c>
      <c r="C11" s="172"/>
      <c r="D11" s="172"/>
      <c r="E11" s="184"/>
      <c r="F11" s="174">
        <f>U17</f>
        <v>5.5363557561316258E-2</v>
      </c>
      <c r="G11" s="79"/>
      <c r="H11" s="613">
        <v>3</v>
      </c>
      <c r="I11" s="613">
        <f t="shared" si="0"/>
        <v>0</v>
      </c>
      <c r="J11" s="613">
        <f t="shared" si="0"/>
        <v>0</v>
      </c>
      <c r="K11" s="613">
        <f t="shared" si="0"/>
        <v>0</v>
      </c>
      <c r="L11" s="613">
        <f>SUM(I11:K11)</f>
        <v>0</v>
      </c>
      <c r="M11" s="613">
        <v>3</v>
      </c>
      <c r="N11" s="613">
        <f>I11/L12</f>
        <v>0</v>
      </c>
      <c r="O11" s="613">
        <f>J11/L12</f>
        <v>0</v>
      </c>
      <c r="P11" s="613">
        <f>K11/L12</f>
        <v>0</v>
      </c>
      <c r="Q11" s="613">
        <f>SUM(N11:P11)</f>
        <v>0</v>
      </c>
      <c r="R11" s="613"/>
      <c r="S11" s="613"/>
      <c r="T11" s="615" t="s">
        <v>113</v>
      </c>
      <c r="U11" s="613">
        <f>(U9-U10)/(1-U10)</f>
        <v>0.12227074235807865</v>
      </c>
      <c r="V11" s="613"/>
      <c r="W11" s="613"/>
      <c r="X11" s="609"/>
      <c r="Y11" s="609"/>
    </row>
    <row r="12" spans="1:25" x14ac:dyDescent="0.2">
      <c r="A12" s="79"/>
      <c r="B12" s="171" t="s">
        <v>67</v>
      </c>
      <c r="C12" s="172"/>
      <c r="D12" s="172"/>
      <c r="E12" s="184"/>
      <c r="F12" s="160">
        <v>0.95</v>
      </c>
      <c r="G12" s="79"/>
      <c r="H12" s="613"/>
      <c r="I12" s="613">
        <f>SUM(I9:I11)</f>
        <v>30</v>
      </c>
      <c r="J12" s="613">
        <f>SUM(J9:J11)</f>
        <v>22</v>
      </c>
      <c r="K12" s="613">
        <f>SUM(K9:K11)</f>
        <v>15</v>
      </c>
      <c r="L12" s="613">
        <f>SUM(I12:K12)</f>
        <v>67</v>
      </c>
      <c r="M12" s="613"/>
      <c r="N12" s="613">
        <f>SUM(N9:N11)</f>
        <v>0.44776119402985076</v>
      </c>
      <c r="O12" s="613">
        <f>SUM(O9:O11)</f>
        <v>0.32835820895522388</v>
      </c>
      <c r="P12" s="613">
        <f>SUM(P9:P11)</f>
        <v>0.22388059701492535</v>
      </c>
      <c r="Q12" s="613">
        <f>SUM(N12:P12)</f>
        <v>1</v>
      </c>
      <c r="R12" s="613"/>
      <c r="S12" s="613"/>
      <c r="T12" s="615" t="s">
        <v>103</v>
      </c>
      <c r="U12" s="613">
        <f>SUM(U19:U21)</f>
        <v>4.3797905649191532E-2</v>
      </c>
      <c r="V12" s="613"/>
      <c r="W12" s="613"/>
      <c r="X12" s="609"/>
      <c r="Y12" s="609"/>
    </row>
    <row r="13" spans="1:25" x14ac:dyDescent="0.2">
      <c r="A13" s="79"/>
      <c r="B13" s="171" t="s">
        <v>107</v>
      </c>
      <c r="C13" s="172"/>
      <c r="D13" s="199">
        <f>F12</f>
        <v>0.95</v>
      </c>
      <c r="E13" s="200"/>
      <c r="F13" s="174" t="str">
        <f>CONCATENATE("(",ROUNDDOWN(U23,4)," ; ",ROUNDUP(U24,4),")")</f>
        <v>(0,0137 ; 0,2308)</v>
      </c>
      <c r="G13" s="79"/>
      <c r="H13" s="613"/>
      <c r="I13" s="613"/>
      <c r="J13" s="613"/>
      <c r="K13" s="613"/>
      <c r="L13" s="613"/>
      <c r="M13" s="613"/>
      <c r="N13" s="613"/>
      <c r="O13" s="613"/>
      <c r="P13" s="613"/>
      <c r="Q13" s="613"/>
      <c r="R13" s="613"/>
      <c r="S13" s="613"/>
      <c r="T13" s="615" t="s">
        <v>104</v>
      </c>
      <c r="U13" s="613">
        <f>(1-U11)*(1-U11)*SUM(N27:P29)</f>
        <v>8.999623457434891E-2</v>
      </c>
      <c r="V13" s="613"/>
      <c r="W13" s="613"/>
      <c r="X13" s="609"/>
      <c r="Y13" s="609"/>
    </row>
    <row r="14" spans="1:25" x14ac:dyDescent="0.2">
      <c r="A14" s="79"/>
      <c r="B14" s="171"/>
      <c r="C14" s="172"/>
      <c r="D14" s="172" t="s">
        <v>108</v>
      </c>
      <c r="E14" s="184"/>
      <c r="F14" s="174">
        <f>U9</f>
        <v>0.5074626865671642</v>
      </c>
      <c r="G14" s="79"/>
      <c r="H14" s="613"/>
      <c r="I14" s="613">
        <v>1</v>
      </c>
      <c r="J14" s="613">
        <v>2</v>
      </c>
      <c r="K14" s="613">
        <v>3</v>
      </c>
      <c r="L14" s="613"/>
      <c r="M14" s="613"/>
      <c r="N14" s="613"/>
      <c r="O14" s="613"/>
      <c r="P14" s="613"/>
      <c r="Q14" s="613"/>
      <c r="R14" s="613"/>
      <c r="S14" s="613"/>
      <c r="T14" s="615" t="s">
        <v>116</v>
      </c>
      <c r="U14" s="613">
        <f>(U11-U10*(1-U11))*(U11-U10*(1-U11))</f>
        <v>6.9127558382777898E-2</v>
      </c>
      <c r="V14" s="613"/>
      <c r="W14" s="613"/>
      <c r="X14" s="609"/>
      <c r="Y14" s="609"/>
    </row>
    <row r="15" spans="1:25" ht="13.5" thickBot="1" x14ac:dyDescent="0.25">
      <c r="A15" s="79"/>
      <c r="B15" s="176"/>
      <c r="C15" s="177"/>
      <c r="D15" s="177" t="s">
        <v>109</v>
      </c>
      <c r="E15" s="187"/>
      <c r="F15" s="201">
        <f>U10</f>
        <v>0.43885052350189352</v>
      </c>
      <c r="G15" s="79"/>
      <c r="H15" s="613">
        <v>1</v>
      </c>
      <c r="I15" s="613">
        <f t="shared" ref="I15:K15" si="1">I3*N9</f>
        <v>0.44776119402985076</v>
      </c>
      <c r="J15" s="613">
        <f t="shared" si="1"/>
        <v>0.13432835820895522</v>
      </c>
      <c r="K15" s="613">
        <f t="shared" si="1"/>
        <v>0</v>
      </c>
      <c r="L15" s="613">
        <f>SUM(I15:K15)</f>
        <v>0.58208955223880599</v>
      </c>
      <c r="M15" s="613"/>
      <c r="N15" s="613" t="s">
        <v>138</v>
      </c>
      <c r="O15" s="613">
        <f>L19</f>
        <v>0.64925373134328368</v>
      </c>
      <c r="P15" s="613"/>
      <c r="Q15" s="613"/>
      <c r="R15" s="613"/>
      <c r="S15" s="616"/>
      <c r="T15" s="615" t="s">
        <v>117</v>
      </c>
      <c r="U15" s="613">
        <f>(U12+U13-U14)/((1-U10)*(1-U10)*L12)</f>
        <v>3.0651235058451786E-3</v>
      </c>
      <c r="V15" s="613"/>
      <c r="W15" s="613"/>
      <c r="X15" s="609"/>
      <c r="Y15" s="609"/>
    </row>
    <row r="16" spans="1:25" ht="13.5" thickBot="1" x14ac:dyDescent="0.25">
      <c r="A16" s="79"/>
      <c r="B16" s="493" t="s">
        <v>301</v>
      </c>
      <c r="C16" s="434"/>
      <c r="D16" s="434"/>
      <c r="E16" s="163"/>
      <c r="F16" s="494">
        <f>ABS((D5+E5+E6)-(C6+C7+D7))/F8</f>
        <v>0.4925373134328358</v>
      </c>
      <c r="G16" s="79"/>
      <c r="H16" s="613"/>
      <c r="I16" s="613"/>
      <c r="J16" s="613"/>
      <c r="K16" s="613"/>
      <c r="L16" s="613"/>
      <c r="M16" s="613"/>
      <c r="N16" s="613"/>
      <c r="O16" s="613"/>
      <c r="P16" s="613"/>
      <c r="Q16" s="613"/>
      <c r="R16" s="613"/>
      <c r="S16" s="616"/>
      <c r="T16" s="615"/>
      <c r="U16" s="613"/>
      <c r="V16" s="613"/>
      <c r="W16" s="613"/>
      <c r="X16" s="609"/>
      <c r="Y16" s="609"/>
    </row>
    <row r="17" spans="1:25" ht="13.5" thickBot="1" x14ac:dyDescent="0.25">
      <c r="A17" s="79"/>
      <c r="B17" s="79"/>
      <c r="C17" s="79"/>
      <c r="D17" s="79"/>
      <c r="E17" s="79"/>
      <c r="F17" s="79"/>
      <c r="G17" s="79"/>
      <c r="H17" s="613">
        <v>2</v>
      </c>
      <c r="I17" s="613">
        <f t="shared" ref="I17:K18" si="2">I4*N10</f>
        <v>0</v>
      </c>
      <c r="J17" s="613">
        <f t="shared" si="2"/>
        <v>5.9701492537313432E-2</v>
      </c>
      <c r="K17" s="613">
        <f t="shared" si="2"/>
        <v>7.462686567164179E-3</v>
      </c>
      <c r="L17" s="613">
        <f>SUM(I17:K17)</f>
        <v>6.7164179104477612E-2</v>
      </c>
      <c r="M17" s="613"/>
      <c r="N17" s="613" t="s">
        <v>139</v>
      </c>
      <c r="O17" s="613">
        <f>L25</f>
        <v>0.61583871686344394</v>
      </c>
      <c r="P17" s="613"/>
      <c r="Q17" s="613"/>
      <c r="R17" s="613"/>
      <c r="S17" s="613"/>
      <c r="T17" s="615" t="s">
        <v>118</v>
      </c>
      <c r="U17" s="613">
        <f>SQRT(U15)</f>
        <v>5.5363557561316258E-2</v>
      </c>
      <c r="V17" s="613"/>
      <c r="W17" s="613"/>
      <c r="X17" s="609"/>
      <c r="Y17" s="609"/>
    </row>
    <row r="18" spans="1:25" x14ac:dyDescent="0.2">
      <c r="A18" s="79"/>
      <c r="B18" s="167" t="s">
        <v>149</v>
      </c>
      <c r="C18" s="168"/>
      <c r="D18" s="168"/>
      <c r="E18" s="168"/>
      <c r="F18" s="202"/>
      <c r="G18" s="79"/>
      <c r="H18" s="613">
        <v>3</v>
      </c>
      <c r="I18" s="613">
        <f t="shared" si="2"/>
        <v>0</v>
      </c>
      <c r="J18" s="613">
        <f t="shared" si="2"/>
        <v>0</v>
      </c>
      <c r="K18" s="613">
        <f t="shared" si="2"/>
        <v>0</v>
      </c>
      <c r="L18" s="613">
        <f>SUM(I18:K18)</f>
        <v>0</v>
      </c>
      <c r="M18" s="613"/>
      <c r="N18" s="613" t="s">
        <v>140</v>
      </c>
      <c r="O18" s="613">
        <f>(O15-O17)/(1-O17)</f>
        <v>8.6981733835894803E-2</v>
      </c>
      <c r="P18" s="613"/>
      <c r="Q18" s="617">
        <f>F21</f>
        <v>0.95</v>
      </c>
      <c r="R18" s="613"/>
      <c r="S18" s="613"/>
      <c r="T18" s="613"/>
      <c r="U18" s="613"/>
      <c r="V18" s="613"/>
      <c r="W18" s="613"/>
      <c r="X18" s="609"/>
      <c r="Y18" s="609"/>
    </row>
    <row r="19" spans="1:25" x14ac:dyDescent="0.2">
      <c r="A19" s="79"/>
      <c r="B19" s="171" t="s">
        <v>149</v>
      </c>
      <c r="C19" s="172"/>
      <c r="D19" s="172"/>
      <c r="E19" s="184"/>
      <c r="F19" s="203">
        <f>O18</f>
        <v>8.6981733835894803E-2</v>
      </c>
      <c r="G19" s="79"/>
      <c r="H19" s="613"/>
      <c r="I19" s="613">
        <f>SUM(I15:I18)</f>
        <v>0.44776119402985076</v>
      </c>
      <c r="J19" s="613">
        <f>SUM(J15:J18)</f>
        <v>0.19402985074626866</v>
      </c>
      <c r="K19" s="613">
        <f>SUM(K15:K18)</f>
        <v>7.462686567164179E-3</v>
      </c>
      <c r="L19" s="613">
        <f>SUM(I19:K19)</f>
        <v>0.64925373134328368</v>
      </c>
      <c r="M19" s="619" t="s">
        <v>141</v>
      </c>
      <c r="N19" s="613" t="s">
        <v>142</v>
      </c>
      <c r="O19" s="613">
        <f>(R3-R4)/R5</f>
        <v>1.5379302216600478E-3</v>
      </c>
      <c r="P19" s="615" t="s">
        <v>143</v>
      </c>
      <c r="Q19" s="618">
        <f>O18-NORMSINV((1+Q18)/2)*O20</f>
        <v>1.0118897460907592E-2</v>
      </c>
      <c r="R19" s="618">
        <f>O18+NORMSINV((1+Q18)/2)*O20</f>
        <v>0.163844570210882</v>
      </c>
      <c r="S19" s="613"/>
      <c r="T19" s="615" t="s">
        <v>111</v>
      </c>
      <c r="U19" s="613">
        <f>N9*(1-(Q9+N12)*(1-U11))^2</f>
        <v>1.8861281775937523E-2</v>
      </c>
      <c r="V19" s="613"/>
      <c r="W19" s="613"/>
      <c r="X19" s="609"/>
      <c r="Y19" s="609"/>
    </row>
    <row r="20" spans="1:25" x14ac:dyDescent="0.2">
      <c r="A20" s="79"/>
      <c r="B20" s="171" t="s">
        <v>106</v>
      </c>
      <c r="C20" s="172"/>
      <c r="D20" s="172"/>
      <c r="E20" s="184"/>
      <c r="F20" s="174">
        <f>O20</f>
        <v>3.9216453455916275E-2</v>
      </c>
      <c r="G20" s="79"/>
      <c r="H20" s="613"/>
      <c r="I20" s="613"/>
      <c r="J20" s="613"/>
      <c r="K20" s="613"/>
      <c r="L20" s="613"/>
      <c r="M20" s="613"/>
      <c r="N20" s="613" t="s">
        <v>144</v>
      </c>
      <c r="O20" s="613">
        <f>SQRT(O19)</f>
        <v>3.9216453455916275E-2</v>
      </c>
      <c r="P20" s="613"/>
      <c r="Q20" s="613"/>
      <c r="R20" s="613">
        <v>1</v>
      </c>
      <c r="S20" s="613"/>
      <c r="T20" s="615" t="s">
        <v>112</v>
      </c>
      <c r="U20" s="613">
        <f>O10*(1-(Q10+O12)*(1-U11))^2</f>
        <v>2.4936623873254005E-2</v>
      </c>
      <c r="V20" s="613"/>
      <c r="W20" s="613"/>
      <c r="X20" s="609"/>
      <c r="Y20" s="609"/>
    </row>
    <row r="21" spans="1:25" x14ac:dyDescent="0.2">
      <c r="A21" s="79"/>
      <c r="B21" s="171" t="s">
        <v>67</v>
      </c>
      <c r="C21" s="172"/>
      <c r="D21" s="172"/>
      <c r="E21" s="184"/>
      <c r="F21" s="160">
        <v>0.95</v>
      </c>
      <c r="G21" s="79"/>
      <c r="H21" s="613"/>
      <c r="I21" s="613">
        <v>1</v>
      </c>
      <c r="J21" s="613">
        <v>2</v>
      </c>
      <c r="K21" s="613">
        <v>3</v>
      </c>
      <c r="L21" s="613"/>
      <c r="M21" s="613"/>
      <c r="N21" s="613"/>
      <c r="O21" s="613"/>
      <c r="P21" s="613"/>
      <c r="Q21" s="613"/>
      <c r="R21" s="613"/>
      <c r="S21" s="613"/>
      <c r="T21" s="615" t="s">
        <v>145</v>
      </c>
      <c r="U21" s="613">
        <f>P11*(1-(Q11+P12)*(1-U11))^2</f>
        <v>0</v>
      </c>
      <c r="V21" s="613"/>
      <c r="W21" s="613"/>
      <c r="X21" s="609"/>
      <c r="Y21" s="609"/>
    </row>
    <row r="22" spans="1:25" ht="13.5" thickBot="1" x14ac:dyDescent="0.25">
      <c r="A22" s="79"/>
      <c r="B22" s="176" t="s">
        <v>107</v>
      </c>
      <c r="C22" s="177"/>
      <c r="D22" s="204">
        <f>F21</f>
        <v>0.95</v>
      </c>
      <c r="E22" s="187"/>
      <c r="F22" s="201" t="str">
        <f>CONCATENATE("(",ROUNDDOWN(Q19,4)," ; ",ROUNDUP(R19,4),")")</f>
        <v>(0,0101 ; 0,1639)</v>
      </c>
      <c r="G22" s="79"/>
      <c r="H22" s="613">
        <v>1</v>
      </c>
      <c r="I22" s="613">
        <f>I3*Q9*N12</f>
        <v>0.41434617955001113</v>
      </c>
      <c r="J22" s="613">
        <f>J3*Q9*O12</f>
        <v>0.15192693250167075</v>
      </c>
      <c r="K22" s="613">
        <f>K3*Q9*P12</f>
        <v>0</v>
      </c>
      <c r="L22" s="613">
        <f>SUM(I22:K22)</f>
        <v>0.56627311205168185</v>
      </c>
      <c r="M22" s="613"/>
      <c r="N22" s="613">
        <f>N9*(I3-(N3+O3)*(1-$O$18))^2</f>
        <v>8.5768200450298704E-2</v>
      </c>
      <c r="O22" s="613">
        <f>O9*(J3-(N3+O4)*(1-$O$18))^2</f>
        <v>8.1058867707583068E-2</v>
      </c>
      <c r="P22" s="613">
        <f>P9*(K3-(N3+O5)*(1-$O$18))^2</f>
        <v>7.3424512889699575E-2</v>
      </c>
      <c r="Q22" s="613"/>
      <c r="R22" s="613"/>
      <c r="S22" s="613"/>
      <c r="T22" s="613"/>
      <c r="U22" s="617">
        <f>F12</f>
        <v>0.95</v>
      </c>
      <c r="V22" s="613"/>
      <c r="W22" s="613"/>
      <c r="X22" s="609"/>
      <c r="Y22" s="609"/>
    </row>
    <row r="23" spans="1:25" ht="13.5" thickBot="1" x14ac:dyDescent="0.25">
      <c r="A23" s="79"/>
      <c r="B23" s="79"/>
      <c r="C23" s="79"/>
      <c r="D23" s="79"/>
      <c r="E23" s="79"/>
      <c r="F23" s="79"/>
      <c r="G23" s="79"/>
      <c r="H23" s="613">
        <v>2</v>
      </c>
      <c r="I23" s="613">
        <f>I4*Q10*N12</f>
        <v>1.6707507239919803E-2</v>
      </c>
      <c r="J23" s="613">
        <f>J4*Q10*O12</f>
        <v>2.4504343951882376E-2</v>
      </c>
      <c r="K23" s="613">
        <f>K4*Q10*P12</f>
        <v>8.3537536199599013E-3</v>
      </c>
      <c r="L23" s="613">
        <f>SUM(I23:K23)</f>
        <v>4.956560481176208E-2</v>
      </c>
      <c r="M23" s="613"/>
      <c r="N23" s="613">
        <f>N10*(I4-(N4+O3)*(1-$O$18))^2</f>
        <v>0</v>
      </c>
      <c r="O23" s="613">
        <f>O10*(J4-(N4+O4)*(1-$O$18))^2</f>
        <v>5.615533780405945E-4</v>
      </c>
      <c r="P23" s="613">
        <f>P10*(K4-(N4+O5)*(1-$O$18))^2</f>
        <v>2.9452785285043702E-4</v>
      </c>
      <c r="Q23" s="613"/>
      <c r="R23" s="613"/>
      <c r="S23" s="613"/>
      <c r="T23" s="615" t="s">
        <v>146</v>
      </c>
      <c r="U23" s="618">
        <f>U11-NORMSINV((1+U22)/2)*U17</f>
        <v>1.3760163481888632E-2</v>
      </c>
      <c r="V23" s="613"/>
      <c r="W23" s="613"/>
      <c r="X23" s="609"/>
      <c r="Y23" s="609"/>
    </row>
    <row r="24" spans="1:25" x14ac:dyDescent="0.2">
      <c r="A24" s="79"/>
      <c r="B24" s="180" t="s">
        <v>119</v>
      </c>
      <c r="C24" s="181"/>
      <c r="D24" s="181"/>
      <c r="E24" s="181"/>
      <c r="F24" s="182"/>
      <c r="G24" s="79"/>
      <c r="H24" s="613">
        <v>3</v>
      </c>
      <c r="I24" s="613">
        <f>I5*Q11*N12</f>
        <v>0</v>
      </c>
      <c r="J24" s="613">
        <f>J5*Q11*O12</f>
        <v>0</v>
      </c>
      <c r="K24" s="613">
        <f>K5*Q11*P12</f>
        <v>0</v>
      </c>
      <c r="L24" s="613">
        <f>SUM(I24:K24)</f>
        <v>0</v>
      </c>
      <c r="M24" s="613"/>
      <c r="N24" s="613">
        <f>N11*(I5-(N5+O3)*(1-$O$18))^2</f>
        <v>0</v>
      </c>
      <c r="O24" s="613">
        <f>O11*(J5-(N5+O4)*(1-$O$18))^2</f>
        <v>0</v>
      </c>
      <c r="P24" s="613">
        <f>P11*(K5-(N5+O5)*(1-$O$18))^2</f>
        <v>0</v>
      </c>
      <c r="Q24" s="613"/>
      <c r="R24" s="613"/>
      <c r="S24" s="613"/>
      <c r="T24" s="615" t="s">
        <v>147</v>
      </c>
      <c r="U24" s="618">
        <f>U11+NORMSINV((1+U22)/2)*U17</f>
        <v>0.23078132123426867</v>
      </c>
      <c r="V24" s="613"/>
      <c r="W24" s="613"/>
      <c r="X24" s="609"/>
      <c r="Y24" s="609"/>
    </row>
    <row r="25" spans="1:25" x14ac:dyDescent="0.2">
      <c r="A25" s="79"/>
      <c r="B25" s="205" t="s">
        <v>120</v>
      </c>
      <c r="C25" s="184"/>
      <c r="D25" s="184"/>
      <c r="E25" s="184"/>
      <c r="F25" s="185"/>
      <c r="G25" s="79"/>
      <c r="H25" s="613"/>
      <c r="I25" s="613">
        <f>SUM(I22:I24)</f>
        <v>0.43105368678993095</v>
      </c>
      <c r="J25" s="613">
        <f>SUM(J22:J24)</f>
        <v>0.17643127645355311</v>
      </c>
      <c r="K25" s="613">
        <f>SUM(K22:K24)</f>
        <v>8.3537536199599013E-3</v>
      </c>
      <c r="L25" s="613">
        <f>SUM(I25:K25)</f>
        <v>0.61583871686344394</v>
      </c>
      <c r="M25" s="619" t="s">
        <v>148</v>
      </c>
      <c r="N25" s="613"/>
      <c r="O25" s="613"/>
      <c r="P25" s="613"/>
      <c r="Q25" s="613">
        <f>SUM(N22:P24)</f>
        <v>0.24110766227847241</v>
      </c>
      <c r="R25" s="613"/>
      <c r="S25" s="613"/>
      <c r="T25" s="613"/>
      <c r="U25" s="613"/>
      <c r="V25" s="613"/>
      <c r="W25" s="613"/>
      <c r="X25" s="609"/>
      <c r="Y25" s="609"/>
    </row>
    <row r="26" spans="1:25" x14ac:dyDescent="0.2">
      <c r="A26" s="79"/>
      <c r="B26" s="183" t="s">
        <v>121</v>
      </c>
      <c r="C26" s="184"/>
      <c r="D26" s="184"/>
      <c r="E26" s="184"/>
      <c r="F26" s="185"/>
      <c r="G26" s="79"/>
      <c r="H26" s="613"/>
      <c r="I26" s="613"/>
      <c r="J26" s="613"/>
      <c r="K26" s="613"/>
      <c r="L26" s="613"/>
      <c r="M26" s="613"/>
      <c r="N26" s="613"/>
      <c r="O26" s="613"/>
      <c r="P26" s="613"/>
      <c r="Q26" s="613"/>
      <c r="R26" s="613"/>
      <c r="S26" s="613"/>
      <c r="T26" s="613"/>
      <c r="U26" s="613"/>
      <c r="V26" s="613"/>
      <c r="W26" s="613"/>
      <c r="X26" s="609"/>
      <c r="Y26" s="609"/>
    </row>
    <row r="27" spans="1:25" ht="13.5" thickBot="1" x14ac:dyDescent="0.25">
      <c r="A27" s="79"/>
      <c r="B27" s="206" t="s">
        <v>122</v>
      </c>
      <c r="C27" s="187"/>
      <c r="D27" s="187"/>
      <c r="E27" s="187"/>
      <c r="F27" s="188"/>
      <c r="G27" s="79"/>
      <c r="H27" s="613"/>
      <c r="I27" s="613"/>
      <c r="J27" s="613"/>
      <c r="K27" s="613"/>
      <c r="L27" s="613"/>
      <c r="M27" s="613"/>
      <c r="N27" s="613"/>
      <c r="O27" s="613">
        <f>O9*(Q10+N12)*(Q10+N12)</f>
        <v>7.3313539231886896E-2</v>
      </c>
      <c r="P27" s="613">
        <f>P9*(N12+Q11)*(N12+Q11)</f>
        <v>4.189345098964966E-2</v>
      </c>
      <c r="Q27" s="613"/>
      <c r="R27" s="613"/>
      <c r="S27" s="613"/>
      <c r="T27" s="613"/>
      <c r="U27" s="613"/>
      <c r="V27" s="613"/>
      <c r="W27" s="613"/>
      <c r="X27" s="609"/>
      <c r="Y27" s="609"/>
    </row>
    <row r="28" spans="1:25" x14ac:dyDescent="0.2">
      <c r="A28" s="610"/>
      <c r="B28" s="610"/>
      <c r="C28" s="610"/>
      <c r="D28" s="610"/>
      <c r="E28" s="610"/>
      <c r="F28" s="610"/>
      <c r="G28" s="610"/>
      <c r="H28" s="613"/>
      <c r="I28" s="613"/>
      <c r="J28" s="613"/>
      <c r="K28" s="613"/>
      <c r="L28" s="613"/>
      <c r="M28" s="613"/>
      <c r="N28" s="613">
        <f>N10*(Q9+O12)*(Q9+O12)</f>
        <v>0</v>
      </c>
      <c r="O28" s="613"/>
      <c r="P28" s="613">
        <f>P10*(Q11+O12)*(Q11+O12)</f>
        <v>1.6092404983325743E-3</v>
      </c>
      <c r="Q28" s="613"/>
      <c r="R28" s="613"/>
      <c r="S28" s="613"/>
      <c r="T28" s="613"/>
      <c r="U28" s="613"/>
      <c r="V28" s="613"/>
      <c r="W28" s="613"/>
      <c r="X28" s="609"/>
      <c r="Y28" s="609"/>
    </row>
    <row r="29" spans="1:25" x14ac:dyDescent="0.2">
      <c r="A29" s="610"/>
      <c r="B29" s="610"/>
      <c r="C29" s="610"/>
      <c r="D29" s="610"/>
      <c r="E29" s="610"/>
      <c r="F29" s="610"/>
      <c r="G29" s="610"/>
      <c r="H29" s="613"/>
      <c r="I29" s="613"/>
      <c r="J29" s="613"/>
      <c r="K29" s="613"/>
      <c r="L29" s="613"/>
      <c r="M29" s="613"/>
      <c r="N29" s="613">
        <f>N11*(Q9+P12)*(Q9+P12)</f>
        <v>0</v>
      </c>
      <c r="O29" s="613">
        <f>O11*(Q10+P12)*(Q10+P12)</f>
        <v>0</v>
      </c>
      <c r="P29" s="613"/>
      <c r="Q29" s="613"/>
      <c r="R29" s="613"/>
      <c r="S29" s="613"/>
      <c r="T29" s="613"/>
      <c r="U29" s="613"/>
      <c r="V29" s="613"/>
      <c r="W29" s="613"/>
      <c r="X29" s="609"/>
      <c r="Y29" s="609"/>
    </row>
    <row r="30" spans="1:25" x14ac:dyDescent="0.2">
      <c r="A30" s="610"/>
      <c r="B30" s="610"/>
      <c r="C30" s="610"/>
      <c r="D30" s="610"/>
      <c r="E30" s="610"/>
      <c r="F30" s="610"/>
      <c r="G30" s="610"/>
      <c r="H30" s="613"/>
      <c r="I30" s="613"/>
      <c r="J30" s="613"/>
      <c r="K30" s="613"/>
      <c r="L30" s="613"/>
      <c r="M30" s="613"/>
      <c r="N30" s="613"/>
      <c r="O30" s="613"/>
      <c r="P30" s="613"/>
      <c r="Q30" s="613"/>
      <c r="R30" s="613"/>
      <c r="S30" s="613"/>
      <c r="T30" s="613"/>
      <c r="U30" s="613"/>
      <c r="V30" s="613"/>
      <c r="W30" s="613"/>
      <c r="X30" s="609"/>
      <c r="Y30" s="609"/>
    </row>
    <row r="31" spans="1:25" x14ac:dyDescent="0.2">
      <c r="A31" s="610"/>
      <c r="B31" s="610"/>
      <c r="C31" s="610"/>
      <c r="D31" s="610"/>
      <c r="E31" s="610"/>
      <c r="F31" s="610"/>
      <c r="G31" s="610"/>
      <c r="H31" s="613"/>
      <c r="I31" s="613"/>
      <c r="J31" s="613"/>
      <c r="K31" s="613"/>
      <c r="L31" s="613"/>
      <c r="M31" s="613"/>
      <c r="N31" s="613"/>
      <c r="O31" s="613"/>
      <c r="P31" s="613"/>
      <c r="Q31" s="613"/>
      <c r="R31" s="613"/>
      <c r="S31" s="613"/>
      <c r="T31" s="613"/>
      <c r="U31" s="613"/>
      <c r="V31" s="613"/>
      <c r="W31" s="613"/>
      <c r="X31" s="609"/>
      <c r="Y31" s="609"/>
    </row>
    <row r="32" spans="1:25" x14ac:dyDescent="0.2">
      <c r="A32" s="610"/>
      <c r="B32" s="610"/>
      <c r="C32" s="610"/>
      <c r="D32" s="610"/>
      <c r="E32" s="610"/>
      <c r="F32" s="610"/>
      <c r="G32" s="610"/>
      <c r="H32" s="613"/>
      <c r="I32" s="613"/>
      <c r="J32" s="613"/>
      <c r="K32" s="613"/>
      <c r="L32" s="613"/>
      <c r="M32" s="613"/>
      <c r="N32" s="613"/>
      <c r="O32" s="613"/>
      <c r="P32" s="613"/>
      <c r="Q32" s="613"/>
      <c r="R32" s="613"/>
      <c r="S32" s="613"/>
      <c r="T32" s="613"/>
      <c r="U32" s="613"/>
      <c r="V32" s="613"/>
      <c r="W32" s="613"/>
      <c r="X32" s="609"/>
      <c r="Y32" s="609"/>
    </row>
    <row r="33" spans="1:25" x14ac:dyDescent="0.2">
      <c r="A33" s="610"/>
      <c r="B33" s="610"/>
      <c r="C33" s="610"/>
      <c r="D33" s="610"/>
      <c r="E33" s="610"/>
      <c r="F33" s="610"/>
      <c r="G33" s="610"/>
      <c r="H33" s="613"/>
      <c r="I33" s="613"/>
      <c r="J33" s="613"/>
      <c r="K33" s="613"/>
      <c r="L33" s="613"/>
      <c r="M33" s="613"/>
      <c r="N33" s="613"/>
      <c r="O33" s="613"/>
      <c r="P33" s="613"/>
      <c r="Q33" s="613"/>
      <c r="R33" s="613"/>
      <c r="S33" s="613"/>
      <c r="T33" s="613"/>
      <c r="U33" s="613"/>
      <c r="V33" s="613"/>
      <c r="W33" s="613"/>
      <c r="X33" s="609"/>
      <c r="Y33" s="609"/>
    </row>
    <row r="34" spans="1:25" x14ac:dyDescent="0.2">
      <c r="A34" s="610"/>
      <c r="B34" s="610"/>
      <c r="C34" s="610"/>
      <c r="D34" s="610"/>
      <c r="E34" s="610"/>
      <c r="F34" s="610"/>
      <c r="G34" s="610"/>
      <c r="H34" s="609"/>
      <c r="I34" s="609"/>
      <c r="J34" s="609"/>
      <c r="K34" s="609"/>
      <c r="L34" s="609"/>
      <c r="M34" s="609"/>
      <c r="N34" s="609"/>
      <c r="O34" s="609"/>
      <c r="P34" s="609"/>
      <c r="Q34" s="609"/>
      <c r="R34" s="609"/>
      <c r="S34" s="609"/>
      <c r="T34" s="609"/>
      <c r="U34" s="609"/>
      <c r="V34" s="609"/>
      <c r="W34" s="609"/>
      <c r="X34" s="609"/>
      <c r="Y34" s="609"/>
    </row>
    <row r="35" spans="1:25" x14ac:dyDescent="0.2">
      <c r="A35" s="611"/>
      <c r="B35" s="611"/>
      <c r="C35" s="611"/>
      <c r="D35" s="611"/>
      <c r="E35" s="611"/>
      <c r="F35" s="611"/>
      <c r="G35" s="611"/>
      <c r="H35" s="609"/>
      <c r="I35" s="609"/>
      <c r="J35" s="609"/>
      <c r="K35" s="609"/>
      <c r="L35" s="609"/>
      <c r="M35" s="609"/>
      <c r="N35" s="609"/>
      <c r="O35" s="609"/>
      <c r="P35" s="609"/>
      <c r="Q35" s="609"/>
      <c r="R35" s="609"/>
      <c r="S35" s="609"/>
      <c r="T35" s="609"/>
      <c r="U35" s="609"/>
      <c r="V35" s="609"/>
      <c r="W35" s="609"/>
      <c r="X35" s="609"/>
      <c r="Y35" s="609"/>
    </row>
    <row r="36" spans="1:25" x14ac:dyDescent="0.2">
      <c r="A36" s="611"/>
      <c r="B36" s="611"/>
      <c r="C36" s="611"/>
      <c r="D36" s="611"/>
      <c r="E36" s="611"/>
      <c r="F36" s="611"/>
      <c r="G36" s="611"/>
      <c r="H36" s="609"/>
      <c r="I36" s="609"/>
      <c r="J36" s="609"/>
      <c r="K36" s="609"/>
      <c r="L36" s="609"/>
      <c r="M36" s="609"/>
      <c r="N36" s="609"/>
      <c r="O36" s="609"/>
      <c r="P36" s="609"/>
      <c r="Q36" s="609"/>
      <c r="R36" s="609"/>
      <c r="S36" s="609"/>
      <c r="T36" s="609"/>
      <c r="U36" s="609"/>
      <c r="V36" s="609"/>
      <c r="W36" s="609"/>
      <c r="X36" s="609"/>
      <c r="Y36" s="609"/>
    </row>
    <row r="37" spans="1:25" x14ac:dyDescent="0.2">
      <c r="A37" s="611"/>
      <c r="B37" s="611"/>
      <c r="C37" s="611"/>
      <c r="D37" s="611"/>
      <c r="E37" s="611"/>
      <c r="F37" s="611"/>
      <c r="G37" s="611"/>
      <c r="H37" s="609"/>
      <c r="I37" s="609"/>
      <c r="J37" s="609"/>
      <c r="K37" s="609"/>
      <c r="L37" s="609"/>
      <c r="M37" s="609"/>
      <c r="N37" s="609"/>
      <c r="O37" s="609"/>
      <c r="P37" s="609"/>
      <c r="Q37" s="609"/>
      <c r="R37" s="609"/>
      <c r="S37" s="609"/>
      <c r="T37" s="609"/>
      <c r="U37" s="609"/>
      <c r="V37" s="609"/>
      <c r="W37" s="609"/>
      <c r="X37" s="609"/>
      <c r="Y37" s="609"/>
    </row>
    <row r="38" spans="1:25" x14ac:dyDescent="0.2">
      <c r="A38" s="611"/>
      <c r="B38" s="611"/>
      <c r="C38" s="611"/>
      <c r="D38" s="611"/>
      <c r="E38" s="611"/>
      <c r="F38" s="611"/>
      <c r="G38" s="611"/>
      <c r="H38" s="609"/>
      <c r="I38" s="609"/>
      <c r="J38" s="609"/>
      <c r="K38" s="609"/>
      <c r="L38" s="609"/>
      <c r="M38" s="609"/>
      <c r="N38" s="609"/>
      <c r="O38" s="609"/>
      <c r="P38" s="609"/>
      <c r="Q38" s="609"/>
      <c r="R38" s="609"/>
      <c r="S38" s="609"/>
      <c r="T38" s="609"/>
      <c r="U38" s="609"/>
      <c r="V38" s="609"/>
      <c r="W38" s="609"/>
      <c r="X38" s="609"/>
      <c r="Y38" s="609"/>
    </row>
    <row r="39" spans="1:25" x14ac:dyDescent="0.2">
      <c r="A39" s="611"/>
      <c r="B39" s="611"/>
      <c r="C39" s="611"/>
      <c r="D39" s="611"/>
      <c r="E39" s="611"/>
      <c r="F39" s="611"/>
      <c r="G39" s="611"/>
      <c r="H39" s="609"/>
      <c r="I39" s="609"/>
      <c r="J39" s="609"/>
      <c r="K39" s="609"/>
      <c r="L39" s="609"/>
      <c r="M39" s="609"/>
      <c r="N39" s="609"/>
      <c r="O39" s="609"/>
      <c r="P39" s="609"/>
      <c r="Q39" s="609"/>
      <c r="R39" s="609"/>
      <c r="S39" s="609"/>
      <c r="T39" s="609"/>
      <c r="U39" s="609"/>
      <c r="V39" s="609"/>
      <c r="W39" s="609"/>
      <c r="X39" s="609"/>
      <c r="Y39" s="609"/>
    </row>
    <row r="40" spans="1:25" x14ac:dyDescent="0.2">
      <c r="A40" s="611"/>
      <c r="B40" s="611"/>
      <c r="C40" s="611"/>
      <c r="D40" s="611"/>
      <c r="E40" s="611"/>
      <c r="F40" s="611"/>
      <c r="G40" s="611"/>
      <c r="H40" s="609"/>
      <c r="I40" s="609"/>
      <c r="J40" s="609"/>
      <c r="K40" s="609"/>
      <c r="L40" s="609"/>
      <c r="M40" s="609"/>
      <c r="N40" s="609"/>
      <c r="O40" s="609"/>
      <c r="P40" s="609"/>
      <c r="Q40" s="609"/>
      <c r="R40" s="609"/>
      <c r="S40" s="609"/>
      <c r="T40" s="609"/>
      <c r="U40" s="609"/>
      <c r="V40" s="609"/>
      <c r="W40" s="609"/>
      <c r="X40" s="609"/>
      <c r="Y40" s="609"/>
    </row>
    <row r="41" spans="1:25" x14ac:dyDescent="0.2">
      <c r="A41" s="611"/>
      <c r="B41" s="611"/>
      <c r="C41" s="611"/>
      <c r="D41" s="611"/>
      <c r="E41" s="611"/>
      <c r="F41" s="611"/>
      <c r="G41" s="611"/>
      <c r="H41" s="609"/>
      <c r="I41" s="609"/>
      <c r="J41" s="609"/>
      <c r="K41" s="609"/>
      <c r="L41" s="609"/>
      <c r="M41" s="609"/>
      <c r="N41" s="609"/>
      <c r="O41" s="609"/>
      <c r="P41" s="609"/>
      <c r="Q41" s="609"/>
      <c r="R41" s="609"/>
      <c r="S41" s="609"/>
      <c r="T41" s="609"/>
      <c r="U41" s="609"/>
      <c r="V41" s="609"/>
      <c r="W41" s="609"/>
      <c r="X41" s="609"/>
      <c r="Y41" s="609"/>
    </row>
    <row r="42" spans="1:25" x14ac:dyDescent="0.2">
      <c r="A42" s="611"/>
      <c r="B42" s="611"/>
      <c r="C42" s="611"/>
      <c r="D42" s="611"/>
      <c r="E42" s="611"/>
      <c r="F42" s="611"/>
      <c r="G42" s="611"/>
      <c r="H42" s="609"/>
      <c r="I42" s="609"/>
      <c r="J42" s="609"/>
      <c r="K42" s="609"/>
      <c r="L42" s="609"/>
      <c r="M42" s="609"/>
      <c r="N42" s="609"/>
      <c r="O42" s="609"/>
      <c r="P42" s="609"/>
      <c r="Q42" s="609"/>
      <c r="R42" s="609"/>
      <c r="S42" s="609"/>
      <c r="T42" s="609"/>
      <c r="U42" s="609"/>
      <c r="V42" s="609"/>
      <c r="W42" s="609"/>
      <c r="X42" s="609"/>
      <c r="Y42" s="609"/>
    </row>
    <row r="43" spans="1:25" x14ac:dyDescent="0.2">
      <c r="A43" s="611"/>
      <c r="B43" s="611"/>
      <c r="C43" s="611"/>
      <c r="D43" s="611"/>
      <c r="E43" s="611"/>
      <c r="F43" s="611"/>
      <c r="G43" s="611"/>
      <c r="H43" s="609"/>
      <c r="I43" s="609"/>
      <c r="J43" s="609"/>
      <c r="K43" s="609"/>
      <c r="L43" s="609"/>
      <c r="M43" s="609"/>
      <c r="N43" s="609"/>
      <c r="O43" s="609"/>
      <c r="P43" s="609"/>
      <c r="Q43" s="609"/>
      <c r="R43" s="609"/>
      <c r="S43" s="609"/>
      <c r="T43" s="609"/>
      <c r="U43" s="609"/>
      <c r="V43" s="609"/>
      <c r="W43" s="609"/>
      <c r="X43" s="609"/>
      <c r="Y43" s="609"/>
    </row>
    <row r="44" spans="1:25" x14ac:dyDescent="0.2">
      <c r="A44" s="611"/>
      <c r="B44" s="611"/>
      <c r="C44" s="611"/>
      <c r="D44" s="611"/>
      <c r="E44" s="611"/>
      <c r="F44" s="611"/>
      <c r="G44" s="611"/>
      <c r="H44" s="609"/>
      <c r="I44" s="609"/>
      <c r="J44" s="609"/>
      <c r="K44" s="609"/>
      <c r="L44" s="609"/>
      <c r="M44" s="609"/>
      <c r="N44" s="609"/>
      <c r="O44" s="609"/>
      <c r="P44" s="609"/>
      <c r="Q44" s="609"/>
      <c r="R44" s="609"/>
      <c r="S44" s="609"/>
      <c r="T44" s="609"/>
      <c r="U44" s="609"/>
      <c r="V44" s="609"/>
      <c r="W44" s="609"/>
      <c r="X44" s="609"/>
      <c r="Y44" s="609"/>
    </row>
    <row r="45" spans="1:25" x14ac:dyDescent="0.2">
      <c r="A45" s="611"/>
      <c r="B45" s="611"/>
      <c r="C45" s="611"/>
      <c r="D45" s="611"/>
      <c r="E45" s="611"/>
      <c r="F45" s="611"/>
      <c r="G45" s="611"/>
      <c r="H45" s="609"/>
      <c r="I45" s="609"/>
      <c r="J45" s="609"/>
      <c r="K45" s="609"/>
      <c r="L45" s="609"/>
      <c r="M45" s="609"/>
      <c r="N45" s="609"/>
      <c r="O45" s="609"/>
      <c r="P45" s="609"/>
      <c r="Q45" s="609"/>
      <c r="R45" s="609"/>
      <c r="S45" s="609"/>
      <c r="T45" s="609"/>
      <c r="U45" s="609"/>
      <c r="V45" s="609"/>
      <c r="W45" s="609"/>
      <c r="X45" s="609"/>
      <c r="Y45" s="609"/>
    </row>
    <row r="46" spans="1:25" x14ac:dyDescent="0.2">
      <c r="A46" s="611"/>
      <c r="B46" s="611"/>
      <c r="C46" s="611"/>
      <c r="D46" s="611"/>
      <c r="E46" s="611"/>
      <c r="F46" s="611"/>
      <c r="G46" s="611"/>
      <c r="H46" s="609"/>
      <c r="I46" s="609"/>
      <c r="J46" s="609"/>
      <c r="K46" s="609"/>
      <c r="L46" s="609"/>
      <c r="M46" s="609"/>
      <c r="N46" s="609"/>
      <c r="O46" s="609"/>
      <c r="P46" s="609"/>
      <c r="Q46" s="609"/>
      <c r="R46" s="609"/>
      <c r="S46" s="609"/>
      <c r="T46" s="609"/>
      <c r="U46" s="609"/>
      <c r="V46" s="609"/>
      <c r="W46" s="609"/>
      <c r="X46" s="609"/>
      <c r="Y46" s="609"/>
    </row>
    <row r="47" spans="1:25" x14ac:dyDescent="0.2">
      <c r="A47" s="611"/>
      <c r="B47" s="611"/>
      <c r="C47" s="611"/>
      <c r="D47" s="611"/>
      <c r="E47" s="611"/>
      <c r="F47" s="611"/>
      <c r="G47" s="611"/>
      <c r="H47" s="609"/>
      <c r="I47" s="609"/>
      <c r="J47" s="609"/>
      <c r="K47" s="609"/>
      <c r="L47" s="609"/>
      <c r="M47" s="609"/>
      <c r="N47" s="609"/>
      <c r="O47" s="609"/>
      <c r="P47" s="609"/>
      <c r="Q47" s="609"/>
      <c r="R47" s="609"/>
      <c r="S47" s="609"/>
      <c r="T47" s="609"/>
      <c r="U47" s="609"/>
      <c r="V47" s="609"/>
      <c r="W47" s="609"/>
      <c r="X47" s="609"/>
      <c r="Y47" s="609"/>
    </row>
    <row r="48" spans="1:25" x14ac:dyDescent="0.2">
      <c r="A48" s="611"/>
      <c r="B48" s="611"/>
      <c r="C48" s="611"/>
      <c r="D48" s="611"/>
      <c r="E48" s="611"/>
      <c r="F48" s="611"/>
      <c r="G48" s="611"/>
      <c r="H48" s="609"/>
      <c r="I48" s="609"/>
      <c r="J48" s="609"/>
      <c r="K48" s="609"/>
      <c r="L48" s="609"/>
      <c r="M48" s="609"/>
      <c r="N48" s="609"/>
      <c r="O48" s="609"/>
      <c r="P48" s="609"/>
      <c r="Q48" s="609"/>
      <c r="R48" s="609"/>
      <c r="S48" s="609"/>
      <c r="T48" s="609"/>
      <c r="U48" s="609"/>
      <c r="V48" s="609"/>
      <c r="W48" s="609"/>
      <c r="X48" s="609"/>
      <c r="Y48" s="609"/>
    </row>
    <row r="49" spans="1:22" x14ac:dyDescent="0.2">
      <c r="A49" s="611"/>
      <c r="B49" s="611"/>
      <c r="C49" s="611"/>
      <c r="D49" s="611"/>
      <c r="E49" s="611"/>
      <c r="F49" s="611"/>
      <c r="G49" s="611"/>
      <c r="H49" s="609"/>
      <c r="I49" s="609"/>
      <c r="J49" s="609"/>
      <c r="K49" s="609"/>
      <c r="L49" s="609"/>
      <c r="M49" s="609"/>
      <c r="N49" s="609"/>
      <c r="O49" s="609"/>
      <c r="P49" s="609"/>
      <c r="Q49" s="609"/>
      <c r="R49" s="609"/>
      <c r="S49" s="609"/>
      <c r="T49" s="609"/>
      <c r="U49" s="609"/>
      <c r="V49" s="609"/>
    </row>
    <row r="50" spans="1:22" x14ac:dyDescent="0.2">
      <c r="A50" s="611"/>
      <c r="B50" s="611"/>
      <c r="C50" s="611"/>
      <c r="D50" s="611"/>
      <c r="E50" s="611"/>
      <c r="F50" s="611"/>
      <c r="G50" s="611"/>
      <c r="H50" s="609"/>
      <c r="I50" s="609"/>
      <c r="J50" s="609"/>
      <c r="K50" s="609"/>
      <c r="L50" s="609"/>
      <c r="M50" s="609"/>
      <c r="N50" s="609"/>
      <c r="O50" s="609"/>
      <c r="P50" s="609"/>
      <c r="Q50" s="609"/>
      <c r="R50" s="609"/>
      <c r="S50" s="609"/>
      <c r="T50" s="609"/>
      <c r="U50" s="609"/>
      <c r="V50" s="609"/>
    </row>
    <row r="51" spans="1:22" x14ac:dyDescent="0.2">
      <c r="A51" s="611"/>
      <c r="B51" s="611"/>
      <c r="C51" s="611"/>
      <c r="D51" s="611"/>
      <c r="E51" s="611"/>
      <c r="F51" s="611"/>
      <c r="G51" s="611"/>
      <c r="H51" s="609"/>
      <c r="I51" s="609"/>
      <c r="J51" s="609"/>
      <c r="K51" s="609"/>
      <c r="L51" s="609"/>
      <c r="M51" s="609"/>
      <c r="N51" s="609"/>
      <c r="O51" s="609"/>
      <c r="P51" s="609"/>
      <c r="Q51" s="609"/>
      <c r="R51" s="609"/>
      <c r="S51" s="609"/>
      <c r="T51" s="609"/>
      <c r="U51" s="609"/>
      <c r="V51" s="609"/>
    </row>
    <row r="52" spans="1:22" x14ac:dyDescent="0.2">
      <c r="A52" s="611"/>
      <c r="B52" s="611"/>
      <c r="C52" s="611"/>
      <c r="D52" s="611"/>
      <c r="E52" s="611"/>
      <c r="F52" s="611"/>
      <c r="G52" s="611"/>
      <c r="H52" s="609"/>
      <c r="I52" s="609"/>
      <c r="J52" s="609"/>
      <c r="K52" s="609"/>
      <c r="L52" s="609"/>
      <c r="M52" s="609"/>
      <c r="N52" s="609"/>
      <c r="O52" s="609"/>
      <c r="P52" s="609"/>
      <c r="Q52" s="609"/>
      <c r="R52" s="609"/>
      <c r="S52" s="609"/>
      <c r="T52" s="609"/>
      <c r="U52" s="609"/>
      <c r="V52" s="609"/>
    </row>
    <row r="53" spans="1:22" x14ac:dyDescent="0.2">
      <c r="A53" s="611"/>
      <c r="B53" s="611"/>
      <c r="C53" s="611"/>
      <c r="D53" s="611"/>
      <c r="E53" s="611"/>
      <c r="F53" s="611"/>
      <c r="G53" s="611"/>
      <c r="H53" s="609"/>
      <c r="I53" s="609"/>
      <c r="J53" s="609"/>
      <c r="K53" s="609"/>
      <c r="L53" s="609"/>
      <c r="M53" s="609"/>
      <c r="N53" s="609"/>
      <c r="O53" s="609"/>
      <c r="P53" s="609"/>
      <c r="Q53" s="609"/>
      <c r="R53" s="609"/>
      <c r="S53" s="609"/>
      <c r="T53" s="609"/>
      <c r="U53" s="609"/>
      <c r="V53" s="609"/>
    </row>
    <row r="54" spans="1:22" x14ac:dyDescent="0.2">
      <c r="A54" s="611"/>
      <c r="B54" s="611"/>
      <c r="C54" s="611"/>
      <c r="D54" s="611"/>
      <c r="E54" s="611"/>
      <c r="F54" s="611"/>
      <c r="G54" s="611"/>
      <c r="H54" s="609"/>
      <c r="I54" s="609"/>
      <c r="J54" s="609"/>
      <c r="K54" s="609"/>
      <c r="L54" s="609"/>
      <c r="M54" s="609"/>
      <c r="N54" s="609"/>
      <c r="O54" s="609"/>
      <c r="P54" s="609"/>
      <c r="Q54" s="609"/>
      <c r="R54" s="609"/>
      <c r="S54" s="609"/>
      <c r="T54" s="609"/>
      <c r="U54" s="609"/>
      <c r="V54" s="609"/>
    </row>
    <row r="55" spans="1:22" x14ac:dyDescent="0.2">
      <c r="A55" s="611"/>
      <c r="B55" s="611"/>
      <c r="C55" s="611"/>
      <c r="D55" s="611"/>
      <c r="E55" s="611"/>
      <c r="F55" s="611"/>
      <c r="G55" s="611"/>
      <c r="H55" s="609"/>
      <c r="I55" s="609"/>
      <c r="J55" s="609"/>
      <c r="K55" s="609"/>
      <c r="L55" s="609"/>
      <c r="M55" s="609"/>
      <c r="N55" s="609"/>
      <c r="O55" s="609"/>
      <c r="P55" s="609"/>
      <c r="Q55" s="609"/>
      <c r="R55" s="609"/>
      <c r="S55" s="609"/>
      <c r="T55" s="609"/>
      <c r="U55" s="609"/>
      <c r="V55" s="609"/>
    </row>
    <row r="56" spans="1:22" x14ac:dyDescent="0.2">
      <c r="A56" s="611"/>
      <c r="B56" s="611"/>
      <c r="C56" s="611"/>
      <c r="D56" s="611"/>
      <c r="E56" s="611"/>
      <c r="F56" s="611"/>
      <c r="G56" s="611"/>
      <c r="H56" s="609"/>
      <c r="I56" s="609"/>
      <c r="J56" s="609"/>
      <c r="K56" s="609"/>
      <c r="L56" s="609"/>
      <c r="M56" s="609"/>
      <c r="N56" s="609"/>
      <c r="O56" s="609"/>
      <c r="P56" s="609"/>
      <c r="Q56" s="609"/>
      <c r="R56" s="609"/>
      <c r="S56" s="609"/>
      <c r="T56" s="609"/>
      <c r="U56" s="609"/>
      <c r="V56" s="609"/>
    </row>
    <row r="57" spans="1:22" x14ac:dyDescent="0.2">
      <c r="A57" s="611"/>
      <c r="B57" s="611"/>
      <c r="C57" s="611"/>
      <c r="D57" s="611"/>
      <c r="E57" s="611"/>
      <c r="F57" s="611"/>
      <c r="G57" s="611"/>
      <c r="H57" s="609"/>
      <c r="I57" s="609"/>
      <c r="J57" s="609"/>
      <c r="K57" s="609"/>
      <c r="L57" s="609"/>
      <c r="M57" s="609"/>
      <c r="N57" s="609"/>
      <c r="O57" s="609"/>
      <c r="P57" s="609"/>
      <c r="Q57" s="609"/>
      <c r="R57" s="609"/>
      <c r="S57" s="609"/>
      <c r="T57" s="609"/>
      <c r="U57" s="609"/>
      <c r="V57" s="609"/>
    </row>
    <row r="58" spans="1:22" x14ac:dyDescent="0.2">
      <c r="A58" s="611"/>
      <c r="B58" s="611"/>
      <c r="C58" s="611"/>
      <c r="D58" s="611"/>
      <c r="E58" s="611"/>
      <c r="F58" s="611"/>
      <c r="G58" s="611"/>
      <c r="H58" s="609"/>
      <c r="I58" s="609"/>
      <c r="J58" s="609"/>
      <c r="K58" s="609"/>
      <c r="L58" s="609"/>
      <c r="M58" s="609"/>
      <c r="N58" s="609"/>
      <c r="O58" s="609"/>
      <c r="P58" s="609"/>
      <c r="Q58" s="609"/>
      <c r="R58" s="609"/>
      <c r="S58" s="609"/>
      <c r="T58" s="609"/>
      <c r="U58" s="609"/>
      <c r="V58" s="609"/>
    </row>
  </sheetData>
  <sheetProtection password="EA44" sheet="1" objects="1" scenarios="1" selectLockedCells="1"/>
  <phoneticPr fontId="4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AA44"/>
  <sheetViews>
    <sheetView showRowColHeaders="0" workbookViewId="0">
      <selection activeCell="E7" sqref="E7"/>
    </sheetView>
  </sheetViews>
  <sheetFormatPr defaultRowHeight="12.75" x14ac:dyDescent="0.2"/>
  <cols>
    <col min="1" max="1" width="3.140625" style="302" customWidth="1"/>
    <col min="2" max="2" width="9.140625" style="302"/>
    <col min="3" max="5" width="9.42578125" style="302" customWidth="1"/>
    <col min="6" max="7" width="9.140625" style="302"/>
    <col min="8" max="23" width="9.140625" style="80"/>
    <col min="24" max="26" width="9.140625" style="301"/>
    <col min="27" max="16384" width="9.140625" style="302"/>
  </cols>
  <sheetData>
    <row r="1" spans="1:26" ht="13.5" thickBot="1" x14ac:dyDescent="0.25">
      <c r="A1" s="300"/>
      <c r="B1" s="300"/>
      <c r="C1" s="300"/>
      <c r="D1" s="300"/>
      <c r="E1" s="300"/>
      <c r="F1" s="300"/>
      <c r="G1" s="300"/>
      <c r="H1" s="613"/>
      <c r="I1" s="613"/>
      <c r="J1" s="613" t="s">
        <v>134</v>
      </c>
      <c r="K1" s="613"/>
      <c r="L1" s="613"/>
      <c r="M1" s="613"/>
      <c r="N1" s="613"/>
      <c r="O1" s="613"/>
      <c r="P1" s="613"/>
      <c r="Q1" s="613"/>
      <c r="R1" s="613"/>
      <c r="S1" s="613"/>
      <c r="T1" s="613"/>
      <c r="U1" s="613"/>
      <c r="V1" s="613"/>
      <c r="W1" s="613"/>
      <c r="X1" s="613"/>
    </row>
    <row r="2" spans="1:26" ht="13.5" thickBot="1" x14ac:dyDescent="0.25">
      <c r="A2" s="300"/>
      <c r="B2" s="303" t="s">
        <v>227</v>
      </c>
      <c r="C2" s="304"/>
      <c r="D2" s="304"/>
      <c r="E2" s="305"/>
      <c r="F2" s="300"/>
      <c r="G2" s="300"/>
      <c r="H2" s="613"/>
      <c r="I2" s="613">
        <v>1</v>
      </c>
      <c r="J2" s="613">
        <v>2</v>
      </c>
      <c r="K2" s="613">
        <v>3</v>
      </c>
      <c r="L2" s="613">
        <v>4</v>
      </c>
      <c r="M2" s="613"/>
      <c r="N2" s="613"/>
      <c r="O2" s="613" t="s">
        <v>135</v>
      </c>
      <c r="P2" s="613" t="s">
        <v>136</v>
      </c>
      <c r="Q2" s="613"/>
      <c r="R2" s="613"/>
      <c r="S2" s="613"/>
      <c r="T2" s="613"/>
      <c r="U2" s="613"/>
      <c r="V2" s="613"/>
      <c r="W2" s="613"/>
      <c r="X2" s="613"/>
    </row>
    <row r="3" spans="1:26" x14ac:dyDescent="0.2">
      <c r="A3" s="300"/>
      <c r="B3" s="300"/>
      <c r="C3" s="300"/>
      <c r="D3" s="300"/>
      <c r="E3" s="300"/>
      <c r="F3" s="300"/>
      <c r="G3" s="300"/>
      <c r="H3" s="613">
        <v>1</v>
      </c>
      <c r="I3" s="613">
        <f>1-ABS(I$2-$H3)/3</f>
        <v>1</v>
      </c>
      <c r="J3" s="613">
        <f>1-ABS(J$2-$H3)/3</f>
        <v>0.66666666666666674</v>
      </c>
      <c r="K3" s="613">
        <f>1-ABS(K$2-$H3)/3</f>
        <v>0.33333333333333337</v>
      </c>
      <c r="L3" s="613">
        <f>1-ABS(L$2-$H3)/3</f>
        <v>0</v>
      </c>
      <c r="M3" s="614"/>
      <c r="N3" s="613"/>
      <c r="O3" s="613">
        <f>O13*I3+P13*J3+Q13*K3+R13*L3</f>
        <v>0.47830374753451682</v>
      </c>
      <c r="P3" s="613">
        <f>S9*I3+S10*I4+S11*I5+S12*I6</f>
        <v>0.46548323471400399</v>
      </c>
      <c r="Q3" s="613"/>
      <c r="R3" s="613" t="s">
        <v>103</v>
      </c>
      <c r="S3" s="613">
        <f>S27</f>
        <v>0.50297588948424599</v>
      </c>
      <c r="T3" s="613"/>
      <c r="U3" s="613"/>
      <c r="V3" s="613"/>
      <c r="W3" s="613"/>
      <c r="X3" s="613"/>
    </row>
    <row r="4" spans="1:26" ht="13.5" thickBot="1" x14ac:dyDescent="0.25">
      <c r="A4" s="300"/>
      <c r="B4" s="306"/>
      <c r="C4" s="307" t="s">
        <v>103</v>
      </c>
      <c r="D4" s="307" t="s">
        <v>104</v>
      </c>
      <c r="E4" s="307" t="s">
        <v>116</v>
      </c>
      <c r="F4" s="307" t="s">
        <v>228</v>
      </c>
      <c r="G4" s="300" t="s">
        <v>7</v>
      </c>
      <c r="H4" s="613">
        <v>2</v>
      </c>
      <c r="I4" s="613">
        <f t="shared" ref="I4:L6" si="0">1-ABS(I$2-$H4)/3</f>
        <v>0.66666666666666674</v>
      </c>
      <c r="J4" s="613">
        <f t="shared" si="0"/>
        <v>1</v>
      </c>
      <c r="K4" s="613">
        <f t="shared" si="0"/>
        <v>0.66666666666666674</v>
      </c>
      <c r="L4" s="613">
        <f t="shared" si="0"/>
        <v>0.33333333333333337</v>
      </c>
      <c r="M4" s="614"/>
      <c r="N4" s="613"/>
      <c r="O4" s="613">
        <f>O13*I4+P13*J4+Q13*K4+R13*L4</f>
        <v>0.67948717948717963</v>
      </c>
      <c r="P4" s="615">
        <f>S9*J3+S10*J4+S11*J5+S12*J6</f>
        <v>0.67061143984220917</v>
      </c>
      <c r="Q4" s="613"/>
      <c r="R4" s="613" t="s">
        <v>104</v>
      </c>
      <c r="S4" s="613">
        <f>(P19-P18*(1-P19))^2</f>
        <v>0.46905274640761002</v>
      </c>
      <c r="T4" s="613"/>
      <c r="U4" s="613"/>
      <c r="V4" s="613"/>
      <c r="W4" s="613"/>
      <c r="X4" s="613"/>
    </row>
    <row r="5" spans="1:26" x14ac:dyDescent="0.2">
      <c r="A5" s="300"/>
      <c r="B5" s="307" t="s">
        <v>103</v>
      </c>
      <c r="C5" s="308">
        <v>56</v>
      </c>
      <c r="D5" s="309">
        <v>6</v>
      </c>
      <c r="E5" s="309">
        <v>2</v>
      </c>
      <c r="F5" s="310">
        <v>1</v>
      </c>
      <c r="G5" s="307">
        <f>SUM(C5:F5)</f>
        <v>65</v>
      </c>
      <c r="H5" s="613">
        <v>3</v>
      </c>
      <c r="I5" s="613">
        <f t="shared" si="0"/>
        <v>0.33333333333333337</v>
      </c>
      <c r="J5" s="613">
        <f t="shared" si="0"/>
        <v>0.66666666666666674</v>
      </c>
      <c r="K5" s="613">
        <f t="shared" si="0"/>
        <v>1</v>
      </c>
      <c r="L5" s="613">
        <f t="shared" si="0"/>
        <v>0.66666666666666674</v>
      </c>
      <c r="M5" s="614"/>
      <c r="N5" s="613"/>
      <c r="O5" s="613">
        <f>O13*I5+P13*J5+Q13*K5+R13*L5</f>
        <v>0.70118343195266275</v>
      </c>
      <c r="P5" s="613">
        <f>S9*K3+S10*K4+S11*K5+S12*K6</f>
        <v>0.71400394477317564</v>
      </c>
      <c r="Q5" s="613"/>
      <c r="R5" s="613" t="s">
        <v>116</v>
      </c>
      <c r="S5" s="613">
        <f>M13*(1-P18)*(1-P18)</f>
        <v>50.978799451148753</v>
      </c>
      <c r="T5" s="613"/>
      <c r="U5" s="613"/>
      <c r="V5" s="613"/>
      <c r="W5" s="613"/>
      <c r="X5" s="613"/>
    </row>
    <row r="6" spans="1:26" x14ac:dyDescent="0.2">
      <c r="A6" s="300"/>
      <c r="B6" s="307" t="s">
        <v>104</v>
      </c>
      <c r="C6" s="311">
        <v>6</v>
      </c>
      <c r="D6" s="312">
        <v>67</v>
      </c>
      <c r="E6" s="312">
        <v>7</v>
      </c>
      <c r="F6" s="313">
        <v>2</v>
      </c>
      <c r="G6" s="307">
        <f>SUM(C6:F6)</f>
        <v>82</v>
      </c>
      <c r="H6" s="615">
        <v>4</v>
      </c>
      <c r="I6" s="613">
        <f t="shared" si="0"/>
        <v>0</v>
      </c>
      <c r="J6" s="613">
        <f t="shared" si="0"/>
        <v>0.33333333333333337</v>
      </c>
      <c r="K6" s="613">
        <f t="shared" si="0"/>
        <v>0.66666666666666674</v>
      </c>
      <c r="L6" s="613">
        <f t="shared" si="0"/>
        <v>1</v>
      </c>
      <c r="M6" s="613"/>
      <c r="N6" s="613"/>
      <c r="O6" s="613">
        <f>O13*I6+P13*J6+Q13*K6+R13*L6</f>
        <v>0.52169625246548335</v>
      </c>
      <c r="P6" s="613">
        <f>S9*L3+S10*L4+S11*L5+S12*L6</f>
        <v>0.53451676528599612</v>
      </c>
      <c r="Q6" s="613"/>
      <c r="R6" s="613"/>
      <c r="S6" s="613"/>
      <c r="T6" s="613"/>
      <c r="U6" s="613"/>
      <c r="V6" s="613"/>
      <c r="W6" s="613"/>
      <c r="X6" s="613"/>
    </row>
    <row r="7" spans="1:26" x14ac:dyDescent="0.2">
      <c r="A7" s="300"/>
      <c r="B7" s="307" t="s">
        <v>116</v>
      </c>
      <c r="C7" s="311">
        <v>4</v>
      </c>
      <c r="D7" s="312">
        <v>12</v>
      </c>
      <c r="E7" s="312">
        <v>89</v>
      </c>
      <c r="F7" s="313">
        <v>8</v>
      </c>
      <c r="G7" s="307">
        <f>SUM(C7:F7)</f>
        <v>113</v>
      </c>
      <c r="H7" s="613"/>
      <c r="I7" s="613"/>
      <c r="J7" s="613"/>
      <c r="K7" s="613"/>
      <c r="L7" s="613"/>
      <c r="M7" s="613"/>
      <c r="N7" s="613"/>
      <c r="O7" s="613"/>
      <c r="P7" s="613" t="s">
        <v>110</v>
      </c>
      <c r="Q7" s="613"/>
      <c r="R7" s="613"/>
      <c r="S7" s="613"/>
      <c r="T7" s="613"/>
      <c r="U7" s="613" t="s">
        <v>137</v>
      </c>
      <c r="V7" s="613"/>
      <c r="W7" s="613"/>
      <c r="X7" s="613"/>
      <c r="Z7" s="302"/>
    </row>
    <row r="8" spans="1:26" ht="13.5" thickBot="1" x14ac:dyDescent="0.25">
      <c r="A8" s="300"/>
      <c r="B8" s="307" t="s">
        <v>228</v>
      </c>
      <c r="C8" s="314">
        <v>1</v>
      </c>
      <c r="D8" s="276">
        <v>6</v>
      </c>
      <c r="E8" s="276">
        <v>4</v>
      </c>
      <c r="F8" s="277">
        <v>67</v>
      </c>
      <c r="G8" s="307">
        <f>SUM(C8:F8)</f>
        <v>78</v>
      </c>
      <c r="H8" s="613"/>
      <c r="I8" s="615">
        <v>1</v>
      </c>
      <c r="J8" s="613">
        <v>2</v>
      </c>
      <c r="K8" s="613">
        <v>3</v>
      </c>
      <c r="L8" s="613">
        <v>4</v>
      </c>
      <c r="M8" s="615" t="s">
        <v>4</v>
      </c>
      <c r="N8" s="613"/>
      <c r="O8" s="613">
        <v>1</v>
      </c>
      <c r="P8" s="613">
        <v>2</v>
      </c>
      <c r="Q8" s="613">
        <v>3</v>
      </c>
      <c r="R8" s="613">
        <v>4</v>
      </c>
      <c r="S8" s="613"/>
      <c r="T8" s="613"/>
      <c r="U8" s="613"/>
      <c r="V8" s="613"/>
      <c r="W8" s="613"/>
      <c r="X8" s="613"/>
      <c r="Z8" s="302"/>
    </row>
    <row r="9" spans="1:26" x14ac:dyDescent="0.2">
      <c r="A9" s="300"/>
      <c r="B9" s="307" t="s">
        <v>7</v>
      </c>
      <c r="C9" s="307">
        <f>SUM(C5:C8)</f>
        <v>67</v>
      </c>
      <c r="D9" s="307">
        <f>SUM(D5:D8)</f>
        <v>91</v>
      </c>
      <c r="E9" s="307">
        <f>SUM(E5:E8)</f>
        <v>102</v>
      </c>
      <c r="F9" s="307">
        <f>SUM(F5:F8)</f>
        <v>78</v>
      </c>
      <c r="G9" s="307">
        <f>SUM(G5:G8)</f>
        <v>338</v>
      </c>
      <c r="H9" s="613">
        <v>1</v>
      </c>
      <c r="I9" s="613">
        <f>C5</f>
        <v>56</v>
      </c>
      <c r="J9" s="613">
        <f>D5</f>
        <v>6</v>
      </c>
      <c r="K9" s="613">
        <f>E5</f>
        <v>2</v>
      </c>
      <c r="L9" s="613">
        <f>F5</f>
        <v>1</v>
      </c>
      <c r="M9" s="613">
        <f>SUM(I9:L9)</f>
        <v>65</v>
      </c>
      <c r="N9" s="613">
        <v>1</v>
      </c>
      <c r="O9" s="613">
        <f>I9/M13</f>
        <v>0.16568047337278108</v>
      </c>
      <c r="P9" s="613">
        <f>J9/M13</f>
        <v>1.7751479289940829E-2</v>
      </c>
      <c r="Q9" s="613">
        <f>K9/M13</f>
        <v>5.9171597633136093E-3</v>
      </c>
      <c r="R9" s="613">
        <f>L9/M13</f>
        <v>2.9585798816568047E-3</v>
      </c>
      <c r="S9" s="613">
        <f>SUM(O9:R9)</f>
        <v>0.19230769230769232</v>
      </c>
      <c r="T9" s="613"/>
      <c r="U9" s="615" t="s">
        <v>108</v>
      </c>
      <c r="V9" s="613">
        <f>(I9+J10+K11+L12)/M13</f>
        <v>0.82544378698224852</v>
      </c>
      <c r="W9" s="613"/>
      <c r="X9" s="613"/>
    </row>
    <row r="10" spans="1:26" ht="13.5" thickBot="1" x14ac:dyDescent="0.25">
      <c r="A10" s="300"/>
      <c r="B10" s="300"/>
      <c r="C10" s="300"/>
      <c r="D10" s="300"/>
      <c r="E10" s="300"/>
      <c r="F10" s="307"/>
      <c r="G10" s="300"/>
      <c r="H10" s="613">
        <v>2</v>
      </c>
      <c r="I10" s="613">
        <f t="shared" ref="I10:K12" si="1">C6</f>
        <v>6</v>
      </c>
      <c r="J10" s="613">
        <f t="shared" si="1"/>
        <v>67</v>
      </c>
      <c r="K10" s="613">
        <f t="shared" si="1"/>
        <v>7</v>
      </c>
      <c r="L10" s="613">
        <f>F6</f>
        <v>2</v>
      </c>
      <c r="M10" s="613">
        <f>SUM(I10:L10)</f>
        <v>82</v>
      </c>
      <c r="N10" s="613">
        <v>2</v>
      </c>
      <c r="O10" s="613">
        <f>I10/M13</f>
        <v>1.7751479289940829E-2</v>
      </c>
      <c r="P10" s="613">
        <f>J10/M13</f>
        <v>0.19822485207100593</v>
      </c>
      <c r="Q10" s="613">
        <f>K10/M13</f>
        <v>2.0710059171597635E-2</v>
      </c>
      <c r="R10" s="613">
        <f>L10/M13</f>
        <v>5.9171597633136093E-3</v>
      </c>
      <c r="S10" s="613">
        <f>SUM(O10:R10)</f>
        <v>0.24260355029585801</v>
      </c>
      <c r="T10" s="613"/>
      <c r="U10" s="615" t="s">
        <v>109</v>
      </c>
      <c r="V10" s="613">
        <f>((M9*I13/M13)+(M10*J13/M13)+(M11*K13/M13)+(M12*L13/M13))/M13</f>
        <v>0.25758026679738105</v>
      </c>
      <c r="W10" s="613"/>
      <c r="X10" s="613"/>
    </row>
    <row r="11" spans="1:26" x14ac:dyDescent="0.2">
      <c r="A11" s="300"/>
      <c r="B11" s="315" t="s">
        <v>105</v>
      </c>
      <c r="C11" s="316"/>
      <c r="D11" s="316"/>
      <c r="E11" s="317"/>
      <c r="F11" s="318">
        <f>V11</f>
        <v>0.76488204015704386</v>
      </c>
      <c r="G11" s="300"/>
      <c r="H11" s="613">
        <v>3</v>
      </c>
      <c r="I11" s="613">
        <f t="shared" si="1"/>
        <v>4</v>
      </c>
      <c r="J11" s="613">
        <f t="shared" si="1"/>
        <v>12</v>
      </c>
      <c r="K11" s="613">
        <f t="shared" si="1"/>
        <v>89</v>
      </c>
      <c r="L11" s="613">
        <f>F7</f>
        <v>8</v>
      </c>
      <c r="M11" s="613">
        <f>SUM(I11:L11)</f>
        <v>113</v>
      </c>
      <c r="N11" s="613">
        <v>3</v>
      </c>
      <c r="O11" s="613">
        <f>I11/M13</f>
        <v>1.1834319526627219E-2</v>
      </c>
      <c r="P11" s="613">
        <f>J11/M13</f>
        <v>3.5502958579881658E-2</v>
      </c>
      <c r="Q11" s="613">
        <f>K11/M13</f>
        <v>0.26331360946745563</v>
      </c>
      <c r="R11" s="613">
        <f>L11/M13</f>
        <v>2.3668639053254437E-2</v>
      </c>
      <c r="S11" s="613">
        <f>SUM(O11:R11)</f>
        <v>0.33431952662721898</v>
      </c>
      <c r="T11" s="613"/>
      <c r="U11" s="615" t="s">
        <v>113</v>
      </c>
      <c r="V11" s="613">
        <f>(V9-V10)/(1-V10)</f>
        <v>0.76488204015704386</v>
      </c>
      <c r="W11" s="613"/>
      <c r="X11" s="613"/>
    </row>
    <row r="12" spans="1:26" x14ac:dyDescent="0.2">
      <c r="A12" s="300"/>
      <c r="B12" s="319" t="s">
        <v>106</v>
      </c>
      <c r="C12" s="320"/>
      <c r="D12" s="320"/>
      <c r="E12" s="321"/>
      <c r="F12" s="322">
        <f>V16</f>
        <v>2.7854169550913119E-2</v>
      </c>
      <c r="G12" s="300"/>
      <c r="H12" s="613">
        <v>4</v>
      </c>
      <c r="I12" s="613">
        <f>C8</f>
        <v>1</v>
      </c>
      <c r="J12" s="613">
        <f t="shared" si="1"/>
        <v>6</v>
      </c>
      <c r="K12" s="613">
        <f t="shared" si="1"/>
        <v>4</v>
      </c>
      <c r="L12" s="613">
        <f>F8</f>
        <v>67</v>
      </c>
      <c r="M12" s="613">
        <f>SUM(I12:L12)</f>
        <v>78</v>
      </c>
      <c r="N12" s="613">
        <v>4</v>
      </c>
      <c r="O12" s="613">
        <f>I12/M13</f>
        <v>2.9585798816568047E-3</v>
      </c>
      <c r="P12" s="613">
        <f>J12/M13</f>
        <v>1.7751479289940829E-2</v>
      </c>
      <c r="Q12" s="613">
        <f>K12/M13</f>
        <v>1.1834319526627219E-2</v>
      </c>
      <c r="R12" s="613">
        <f>L12/M13</f>
        <v>0.19822485207100593</v>
      </c>
      <c r="S12" s="613">
        <f>SUM(O12:R12)</f>
        <v>0.23076923076923078</v>
      </c>
      <c r="T12" s="613"/>
      <c r="U12" s="615" t="s">
        <v>103</v>
      </c>
      <c r="V12" s="613">
        <f>SUM(V19:V22)</f>
        <v>0.6380178841735229</v>
      </c>
      <c r="W12" s="613"/>
      <c r="X12" s="613"/>
    </row>
    <row r="13" spans="1:26" x14ac:dyDescent="0.2">
      <c r="A13" s="300"/>
      <c r="B13" s="319" t="s">
        <v>67</v>
      </c>
      <c r="C13" s="320"/>
      <c r="D13" s="320"/>
      <c r="E13" s="321"/>
      <c r="F13" s="323">
        <v>0.95</v>
      </c>
      <c r="G13" s="300"/>
      <c r="H13" s="615" t="s">
        <v>4</v>
      </c>
      <c r="I13" s="613">
        <f>SUM(I9:I12)</f>
        <v>67</v>
      </c>
      <c r="J13" s="613">
        <f>SUM(J9:J12)</f>
        <v>91</v>
      </c>
      <c r="K13" s="613">
        <f>SUM(K9:K12)</f>
        <v>102</v>
      </c>
      <c r="L13" s="613">
        <f>SUM(L9:L12)</f>
        <v>78</v>
      </c>
      <c r="M13" s="613">
        <f>SUM(I13:L13)</f>
        <v>338</v>
      </c>
      <c r="N13" s="613"/>
      <c r="O13" s="613">
        <f>SUM(O9:O12)</f>
        <v>0.19822485207100593</v>
      </c>
      <c r="P13" s="613">
        <f>SUM(P9:P12)</f>
        <v>0.26923076923076922</v>
      </c>
      <c r="Q13" s="613">
        <f>SUM(Q9:Q12)</f>
        <v>0.30177514792899413</v>
      </c>
      <c r="R13" s="613">
        <f>SUM(R9:R12)</f>
        <v>0.23076923076923078</v>
      </c>
      <c r="S13" s="613">
        <f>SUM(O13:R13)</f>
        <v>1</v>
      </c>
      <c r="T13" s="613"/>
      <c r="U13" s="615" t="s">
        <v>104</v>
      </c>
      <c r="V13" s="613">
        <f>(1-V11)*(1-V11)*SUM(O29:R32)</f>
        <v>2.5918849493273368E-3</v>
      </c>
      <c r="W13" s="613"/>
      <c r="X13" s="613"/>
    </row>
    <row r="14" spans="1:26" x14ac:dyDescent="0.2">
      <c r="A14" s="300"/>
      <c r="B14" s="319" t="s">
        <v>107</v>
      </c>
      <c r="C14" s="320"/>
      <c r="D14" s="324">
        <f>F13</f>
        <v>0.95</v>
      </c>
      <c r="E14" s="325"/>
      <c r="F14" s="322" t="str">
        <f>CONCATENATE("(",ROUNDDOWN(V24,4)," ; ",ROUNDUP(V25,4),")")</f>
        <v>(0,7102 ; 0,8195)</v>
      </c>
      <c r="G14" s="300"/>
      <c r="H14" s="613"/>
      <c r="I14" s="613"/>
      <c r="J14" s="613"/>
      <c r="K14" s="613"/>
      <c r="L14" s="613"/>
      <c r="M14" s="613"/>
      <c r="N14" s="613"/>
      <c r="O14" s="613"/>
      <c r="P14" s="613"/>
      <c r="Q14" s="613"/>
      <c r="R14" s="613"/>
      <c r="S14" s="613"/>
      <c r="T14" s="613"/>
      <c r="U14" s="615" t="s">
        <v>116</v>
      </c>
      <c r="V14" s="613">
        <f>(V11-V10*(1-V11))*(V11-V10*(1-V11))</f>
        <v>0.49606707559904817</v>
      </c>
      <c r="W14" s="613"/>
      <c r="X14" s="613"/>
    </row>
    <row r="15" spans="1:26" x14ac:dyDescent="0.2">
      <c r="A15" s="300"/>
      <c r="B15" s="319"/>
      <c r="C15" s="320"/>
      <c r="D15" s="320" t="s">
        <v>108</v>
      </c>
      <c r="E15" s="321"/>
      <c r="F15" s="322">
        <f>V9</f>
        <v>0.82544378698224852</v>
      </c>
      <c r="G15" s="300"/>
      <c r="H15" s="613"/>
      <c r="I15" s="613">
        <v>1</v>
      </c>
      <c r="J15" s="613">
        <v>2</v>
      </c>
      <c r="K15" s="613">
        <v>3</v>
      </c>
      <c r="L15" s="613">
        <v>4</v>
      </c>
      <c r="M15" s="613"/>
      <c r="N15" s="613"/>
      <c r="O15" s="613"/>
      <c r="P15" s="613"/>
      <c r="Q15" s="613"/>
      <c r="R15" s="613"/>
      <c r="S15" s="613"/>
      <c r="T15" s="616"/>
      <c r="U15" s="615" t="s">
        <v>117</v>
      </c>
      <c r="V15" s="613">
        <f>(V12+V13-V14)/((1-V10)*(1-V10)*M13)</f>
        <v>7.7585476137101547E-4</v>
      </c>
      <c r="W15" s="613"/>
      <c r="X15" s="613"/>
    </row>
    <row r="16" spans="1:26" ht="13.5" thickBot="1" x14ac:dyDescent="0.25">
      <c r="A16" s="300"/>
      <c r="B16" s="326"/>
      <c r="C16" s="327"/>
      <c r="D16" s="327" t="s">
        <v>109</v>
      </c>
      <c r="E16" s="328"/>
      <c r="F16" s="329">
        <f>V10</f>
        <v>0.25758026679738105</v>
      </c>
      <c r="G16" s="300"/>
      <c r="H16" s="613">
        <v>1</v>
      </c>
      <c r="I16" s="613">
        <f t="shared" ref="I16:L16" si="2">I3*O9</f>
        <v>0.16568047337278108</v>
      </c>
      <c r="J16" s="613">
        <f t="shared" si="2"/>
        <v>1.183431952662722E-2</v>
      </c>
      <c r="K16" s="613">
        <f t="shared" si="2"/>
        <v>1.9723865877712033E-3</v>
      </c>
      <c r="L16" s="613">
        <f t="shared" si="2"/>
        <v>0</v>
      </c>
      <c r="M16" s="613">
        <f>SUM(I16:L16)</f>
        <v>0.17948717948717952</v>
      </c>
      <c r="N16" s="613"/>
      <c r="O16" s="613" t="s">
        <v>138</v>
      </c>
      <c r="P16" s="613">
        <f>M21</f>
        <v>0.92406311637080873</v>
      </c>
      <c r="Q16" s="613"/>
      <c r="R16" s="613"/>
      <c r="S16" s="613"/>
      <c r="T16" s="613"/>
      <c r="U16" s="615" t="s">
        <v>118</v>
      </c>
      <c r="V16" s="613">
        <f>SQRT(V15)</f>
        <v>2.7854169550913119E-2</v>
      </c>
      <c r="W16" s="613"/>
      <c r="X16" s="613"/>
    </row>
    <row r="17" spans="1:27" ht="13.5" thickBot="1" x14ac:dyDescent="0.25">
      <c r="A17" s="300"/>
      <c r="B17" s="493" t="s">
        <v>301</v>
      </c>
      <c r="C17" s="495"/>
      <c r="D17" s="495"/>
      <c r="E17" s="304"/>
      <c r="F17" s="496">
        <f>ABS((D5+E5+F5+E6+F6+F7)-(C6+C7+D7+C8+D8+E8))/G9</f>
        <v>2.0710059171597635E-2</v>
      </c>
      <c r="G17" s="300"/>
      <c r="H17" s="613"/>
      <c r="I17" s="613"/>
      <c r="J17" s="613"/>
      <c r="K17" s="613"/>
      <c r="L17" s="613"/>
      <c r="M17" s="613"/>
      <c r="N17" s="613"/>
      <c r="O17" s="613"/>
      <c r="P17" s="613"/>
      <c r="Q17" s="613"/>
      <c r="R17" s="613"/>
      <c r="S17" s="613"/>
      <c r="T17" s="613"/>
      <c r="U17" s="615"/>
      <c r="V17" s="613"/>
      <c r="W17" s="613"/>
      <c r="X17" s="613"/>
    </row>
    <row r="18" spans="1:27" ht="13.5" thickBot="1" x14ac:dyDescent="0.25">
      <c r="A18" s="300"/>
      <c r="B18" s="300"/>
      <c r="C18" s="300"/>
      <c r="D18" s="300"/>
      <c r="E18" s="300"/>
      <c r="F18" s="300"/>
      <c r="G18" s="300"/>
      <c r="H18" s="613">
        <v>2</v>
      </c>
      <c r="I18" s="613">
        <f t="shared" ref="I18:L20" si="3">I4*O10</f>
        <v>1.183431952662722E-2</v>
      </c>
      <c r="J18" s="613">
        <f t="shared" si="3"/>
        <v>0.19822485207100593</v>
      </c>
      <c r="K18" s="613">
        <f t="shared" si="3"/>
        <v>1.3806706114398425E-2</v>
      </c>
      <c r="L18" s="613">
        <f t="shared" si="3"/>
        <v>1.9723865877712033E-3</v>
      </c>
      <c r="M18" s="613">
        <f>SUM(I18:L18)</f>
        <v>0.2258382642998028</v>
      </c>
      <c r="N18" s="613"/>
      <c r="O18" s="613" t="s">
        <v>139</v>
      </c>
      <c r="P18" s="613">
        <f>M28</f>
        <v>0.6116382479605057</v>
      </c>
      <c r="Q18" s="613"/>
      <c r="R18" s="613"/>
      <c r="S18" s="613"/>
      <c r="T18" s="613"/>
      <c r="U18" s="613"/>
      <c r="V18" s="613"/>
      <c r="W18" s="613"/>
      <c r="X18" s="613"/>
    </row>
    <row r="19" spans="1:27" x14ac:dyDescent="0.2">
      <c r="A19" s="300"/>
      <c r="B19" s="315" t="s">
        <v>149</v>
      </c>
      <c r="C19" s="316"/>
      <c r="D19" s="316"/>
      <c r="E19" s="316"/>
      <c r="F19" s="330"/>
      <c r="G19" s="300"/>
      <c r="H19" s="613">
        <v>3</v>
      </c>
      <c r="I19" s="613">
        <f t="shared" si="3"/>
        <v>3.9447731755424065E-3</v>
      </c>
      <c r="J19" s="613">
        <f t="shared" si="3"/>
        <v>2.3668639053254441E-2</v>
      </c>
      <c r="K19" s="613">
        <f t="shared" si="3"/>
        <v>0.26331360946745563</v>
      </c>
      <c r="L19" s="613">
        <f t="shared" si="3"/>
        <v>1.5779092702169626E-2</v>
      </c>
      <c r="M19" s="613">
        <f>SUM(I19:L19)</f>
        <v>0.30670611439842216</v>
      </c>
      <c r="N19" s="613"/>
      <c r="O19" s="613" t="s">
        <v>140</v>
      </c>
      <c r="P19" s="613">
        <f>(P16-P18)/(1-P18)</f>
        <v>0.8044686861401612</v>
      </c>
      <c r="Q19" s="613"/>
      <c r="R19" s="617">
        <f>F22</f>
        <v>0.95</v>
      </c>
      <c r="S19" s="613"/>
      <c r="T19" s="613"/>
      <c r="U19" s="615" t="s">
        <v>111</v>
      </c>
      <c r="V19" s="613">
        <f>O9*(1-(S9+O13)*(1-V11))^2</f>
        <v>0.13665138313769185</v>
      </c>
      <c r="W19" s="613"/>
      <c r="X19" s="613"/>
    </row>
    <row r="20" spans="1:27" x14ac:dyDescent="0.2">
      <c r="A20" s="300"/>
      <c r="B20" s="319" t="s">
        <v>149</v>
      </c>
      <c r="C20" s="320"/>
      <c r="D20" s="320"/>
      <c r="E20" s="321"/>
      <c r="F20" s="331">
        <f>P19</f>
        <v>0.8044686861401612</v>
      </c>
      <c r="G20" s="300"/>
      <c r="H20" s="613"/>
      <c r="I20" s="613">
        <f t="shared" si="3"/>
        <v>0</v>
      </c>
      <c r="J20" s="613">
        <f t="shared" si="3"/>
        <v>5.9171597633136102E-3</v>
      </c>
      <c r="K20" s="613">
        <f t="shared" si="3"/>
        <v>7.889546351084813E-3</v>
      </c>
      <c r="L20" s="613">
        <f t="shared" si="3"/>
        <v>0.19822485207100593</v>
      </c>
      <c r="M20" s="613">
        <f>SUM(I20:L20)</f>
        <v>0.21203155818540437</v>
      </c>
      <c r="N20" s="613"/>
      <c r="O20" s="613" t="s">
        <v>142</v>
      </c>
      <c r="P20" s="613">
        <f>(S3-S4)/S5</f>
        <v>6.6543628806212585E-4</v>
      </c>
      <c r="Q20" s="615" t="s">
        <v>143</v>
      </c>
      <c r="R20" s="618">
        <f>P19-NORMSINV((1+R19)/2)*P21</f>
        <v>0.75390935368426137</v>
      </c>
      <c r="S20" s="618">
        <f>P19+NORMSINV((1+R19)/2)*P21</f>
        <v>0.85502801859606103</v>
      </c>
      <c r="T20" s="613"/>
      <c r="U20" s="615" t="s">
        <v>112</v>
      </c>
      <c r="V20" s="613">
        <f>P10*(1-(S10+P13)*(1-V11))^2</f>
        <v>0.15338622807714075</v>
      </c>
      <c r="W20" s="613"/>
      <c r="X20" s="613"/>
    </row>
    <row r="21" spans="1:27" x14ac:dyDescent="0.2">
      <c r="A21" s="300"/>
      <c r="B21" s="319" t="s">
        <v>106</v>
      </c>
      <c r="C21" s="320"/>
      <c r="D21" s="320"/>
      <c r="E21" s="321"/>
      <c r="F21" s="322">
        <f>P21</f>
        <v>2.5796051792127527E-2</v>
      </c>
      <c r="G21" s="300"/>
      <c r="H21" s="613"/>
      <c r="I21" s="613">
        <f>SUM(I16:I20)</f>
        <v>0.1814595660749507</v>
      </c>
      <c r="J21" s="613">
        <f>SUM(J16:J20)</f>
        <v>0.23964497041420121</v>
      </c>
      <c r="K21" s="613">
        <f>SUM(K16:K20)</f>
        <v>0.28698224852071008</v>
      </c>
      <c r="L21" s="613">
        <f>SUM(L16:L20)</f>
        <v>0.21597633136094677</v>
      </c>
      <c r="M21" s="613">
        <f>SUM(I21:L21)</f>
        <v>0.92406311637080873</v>
      </c>
      <c r="N21" s="619" t="s">
        <v>141</v>
      </c>
      <c r="O21" s="613" t="s">
        <v>144</v>
      </c>
      <c r="P21" s="613">
        <f>SQRT(P20)</f>
        <v>2.5796051792127527E-2</v>
      </c>
      <c r="Q21" s="613"/>
      <c r="R21" s="613"/>
      <c r="S21" s="613">
        <v>1</v>
      </c>
      <c r="T21" s="613"/>
      <c r="U21" s="615" t="s">
        <v>145</v>
      </c>
      <c r="V21" s="613">
        <f>Q11*(1-(S11+Q13)*(1-V11))^2</f>
        <v>0.19044230962968176</v>
      </c>
      <c r="W21" s="613"/>
      <c r="X21" s="613"/>
    </row>
    <row r="22" spans="1:27" x14ac:dyDescent="0.2">
      <c r="A22" s="300"/>
      <c r="B22" s="319" t="s">
        <v>67</v>
      </c>
      <c r="C22" s="320"/>
      <c r="D22" s="320"/>
      <c r="E22" s="321"/>
      <c r="F22" s="323">
        <v>0.95</v>
      </c>
      <c r="G22" s="300"/>
      <c r="H22" s="613"/>
      <c r="I22" s="613"/>
      <c r="J22" s="613"/>
      <c r="K22" s="613"/>
      <c r="L22" s="613"/>
      <c r="M22" s="613"/>
      <c r="N22" s="613"/>
      <c r="O22" s="613"/>
      <c r="P22" s="613"/>
      <c r="Q22" s="613"/>
      <c r="R22" s="613"/>
      <c r="S22" s="613"/>
      <c r="T22" s="613"/>
      <c r="U22" s="615" t="s">
        <v>229</v>
      </c>
      <c r="V22" s="613">
        <f>R12*(1-(S12+R13)*(1-V11))^2</f>
        <v>0.15753796332900855</v>
      </c>
      <c r="W22" s="613"/>
      <c r="X22" s="613"/>
    </row>
    <row r="23" spans="1:27" ht="13.5" thickBot="1" x14ac:dyDescent="0.25">
      <c r="A23" s="300"/>
      <c r="B23" s="326" t="s">
        <v>107</v>
      </c>
      <c r="C23" s="327"/>
      <c r="D23" s="332">
        <f>F22</f>
        <v>0.95</v>
      </c>
      <c r="E23" s="328"/>
      <c r="F23" s="329" t="str">
        <f>CONCATENATE("(",ROUNDDOWN(R20,4)," ; ",ROUNDUP(S20,4),")")</f>
        <v>(0,7539 ; 0,8551)</v>
      </c>
      <c r="G23" s="300"/>
      <c r="H23" s="613"/>
      <c r="I23" s="613">
        <v>1</v>
      </c>
      <c r="J23" s="613">
        <v>2</v>
      </c>
      <c r="K23" s="613">
        <v>3</v>
      </c>
      <c r="L23" s="613">
        <v>4</v>
      </c>
      <c r="M23" s="613"/>
      <c r="N23" s="613"/>
      <c r="O23" s="613">
        <f>O9*(I3-(O3+P3)*(1-$P$19))^2</f>
        <v>0.1101733993887172</v>
      </c>
      <c r="P23" s="613">
        <f>P9*(J3-(O3+P4)*(1-$P$19))^2</f>
        <v>3.4682788667854863E-3</v>
      </c>
      <c r="Q23" s="613">
        <f>Q9*(K3-(O3+P5)*(1-$P$19))^2</f>
        <v>5.9408335406866727E-5</v>
      </c>
      <c r="R23" s="613">
        <f>R9*(L3-(O3+P6)*(1-$P$19))^2</f>
        <v>1.1603283781553792E-4</v>
      </c>
      <c r="S23" s="613"/>
      <c r="T23" s="613"/>
      <c r="U23" s="613"/>
      <c r="V23" s="617">
        <f>F13</f>
        <v>0.95</v>
      </c>
      <c r="W23" s="613"/>
      <c r="X23" s="613"/>
    </row>
    <row r="24" spans="1:27" ht="13.5" thickBot="1" x14ac:dyDescent="0.25">
      <c r="A24" s="300"/>
      <c r="B24" s="300"/>
      <c r="C24" s="300"/>
      <c r="D24" s="300"/>
      <c r="E24" s="300"/>
      <c r="F24" s="300"/>
      <c r="G24" s="300"/>
      <c r="H24" s="613">
        <v>1</v>
      </c>
      <c r="I24" s="613">
        <f>I3*S9*O13</f>
        <v>3.8120163859808834E-2</v>
      </c>
      <c r="J24" s="613">
        <f>J3*S9*P13</f>
        <v>3.4516765285996058E-2</v>
      </c>
      <c r="K24" s="613">
        <f>K3*S9*Q13</f>
        <v>1.9344560764679112E-2</v>
      </c>
      <c r="L24" s="613">
        <f>L3*S9*R13</f>
        <v>0</v>
      </c>
      <c r="M24" s="613">
        <f>SUM(I24:L24)</f>
        <v>9.1981489910483993E-2</v>
      </c>
      <c r="N24" s="613"/>
      <c r="O24" s="613">
        <f>O10*(I4-(O4+P3)*(1-$P$19))^2</f>
        <v>3.4803938101961238E-3</v>
      </c>
      <c r="P24" s="613">
        <f>P10*(J4-(O4+P4)*(1-$P$19))^2</f>
        <v>0.1073815320313284</v>
      </c>
      <c r="Q24" s="613">
        <f>Q10*(K4-(O4+P5)*(1-$P$19))^2</f>
        <v>3.2181382705059949E-3</v>
      </c>
      <c r="R24" s="613">
        <f>R10*(L4-(O4+P6)*(1-$P$19))^2</f>
        <v>5.4484324393927887E-5</v>
      </c>
      <c r="S24" s="613"/>
      <c r="T24" s="613"/>
      <c r="U24" s="615" t="s">
        <v>146</v>
      </c>
      <c r="V24" s="618">
        <f>V11-NORMSINV((1+V23)/2)*V16</f>
        <v>0.71028887101798199</v>
      </c>
      <c r="W24" s="613"/>
      <c r="X24" s="613"/>
    </row>
    <row r="25" spans="1:27" x14ac:dyDescent="0.2">
      <c r="A25" s="300"/>
      <c r="B25" s="333" t="s">
        <v>119</v>
      </c>
      <c r="C25" s="317"/>
      <c r="D25" s="317"/>
      <c r="E25" s="317"/>
      <c r="F25" s="334"/>
      <c r="G25" s="300"/>
      <c r="H25" s="613">
        <v>2</v>
      </c>
      <c r="I25" s="613">
        <f>I4*S10*O13</f>
        <v>3.2060035246198201E-2</v>
      </c>
      <c r="J25" s="613">
        <f>J4*S10*P13</f>
        <v>6.5316340464269457E-2</v>
      </c>
      <c r="K25" s="613">
        <f>K4*S10*Q13</f>
        <v>4.8807814852421146E-2</v>
      </c>
      <c r="L25" s="613">
        <f>L4*S10*R13</f>
        <v>1.8661811561219849E-2</v>
      </c>
      <c r="M25" s="613">
        <f>SUM(I25:L25)</f>
        <v>0.16484600212410866</v>
      </c>
      <c r="N25" s="613"/>
      <c r="O25" s="613">
        <f>O11*(I5-(O5+P3)*(1-$P$19))^2</f>
        <v>1.3100442216058461E-4</v>
      </c>
      <c r="P25" s="613">
        <f>P11*(J5-(O5+P4)*(1-$P$19))^2</f>
        <v>5.6361902080062963E-3</v>
      </c>
      <c r="Q25" s="613">
        <f>Q11*(K5-(O5+P5)*(1-$P$19))^2</f>
        <v>0.13775078681416944</v>
      </c>
      <c r="R25" s="613">
        <f>R11*(L5-(O5+P6)*(1-$P$19))^2</f>
        <v>4.2761254056694212E-3</v>
      </c>
      <c r="S25" s="613"/>
      <c r="T25" s="613"/>
      <c r="U25" s="615" t="s">
        <v>147</v>
      </c>
      <c r="V25" s="618">
        <f>V11+NORMSINV((1+V23)/2)*V16</f>
        <v>0.81947520929610573</v>
      </c>
      <c r="W25" s="613"/>
      <c r="X25" s="613"/>
    </row>
    <row r="26" spans="1:27" x14ac:dyDescent="0.2">
      <c r="A26" s="300"/>
      <c r="B26" s="335" t="s">
        <v>120</v>
      </c>
      <c r="C26" s="321"/>
      <c r="D26" s="321"/>
      <c r="E26" s="321"/>
      <c r="F26" s="336"/>
      <c r="G26" s="300"/>
      <c r="H26" s="613">
        <v>3</v>
      </c>
      <c r="I26" s="613">
        <f>I5*S11*O13</f>
        <v>2.209014623670974E-2</v>
      </c>
      <c r="J26" s="613">
        <f>J5*S11*P13</f>
        <v>6.0006068881808539E-2</v>
      </c>
      <c r="K26" s="613">
        <f>K5*S11*Q13</f>
        <v>0.1008893246034803</v>
      </c>
      <c r="L26" s="613">
        <f>L5*S11*R13</f>
        <v>5.1433773327264468E-2</v>
      </c>
      <c r="M26" s="613">
        <f>SUM(I26:L26)</f>
        <v>0.23441931304926306</v>
      </c>
      <c r="N26" s="613"/>
      <c r="O26" s="613">
        <f>O12*(I6-(O6+P3)*(1-$P$19))^2</f>
        <v>1.1023212552608949E-4</v>
      </c>
      <c r="P26" s="613">
        <f>P12*(J6-(O6+P4)*(1-$P$19))^2</f>
        <v>1.7822500622060019E-4</v>
      </c>
      <c r="Q26" s="613">
        <f>Q12*(K6-(O6+P5)*(1-$P$19))^2</f>
        <v>2.1380627028347097E-3</v>
      </c>
      <c r="R26" s="613">
        <f>R12*(L6-(O6+P6)*(1-$P$19))^2</f>
        <v>0.12480359493450931</v>
      </c>
      <c r="S26" s="613"/>
      <c r="T26" s="613"/>
      <c r="U26" s="613"/>
      <c r="V26" s="613"/>
      <c r="W26" s="613"/>
      <c r="X26" s="613"/>
    </row>
    <row r="27" spans="1:27" x14ac:dyDescent="0.2">
      <c r="A27" s="300"/>
      <c r="B27" s="337" t="s">
        <v>230</v>
      </c>
      <c r="C27" s="321"/>
      <c r="D27" s="321"/>
      <c r="E27" s="321"/>
      <c r="F27" s="336"/>
      <c r="G27" s="300"/>
      <c r="H27" s="613"/>
      <c r="I27" s="613">
        <f>I6*S12*O13</f>
        <v>0</v>
      </c>
      <c r="J27" s="613">
        <f>J6*S12*P13</f>
        <v>2.0710059171597638E-2</v>
      </c>
      <c r="K27" s="613">
        <f>K6*S12*Q13</f>
        <v>4.6426945835229876E-2</v>
      </c>
      <c r="L27" s="613">
        <f>L6*S12*R13</f>
        <v>5.3254437869822494E-2</v>
      </c>
      <c r="M27" s="613">
        <f>SUM(I27:L27)</f>
        <v>0.12039144287665</v>
      </c>
      <c r="N27" s="613"/>
      <c r="O27" s="613"/>
      <c r="P27" s="613"/>
      <c r="Q27" s="613"/>
      <c r="R27" s="613"/>
      <c r="S27" s="613">
        <f>SUM(O23:R26)</f>
        <v>0.50297588948424599</v>
      </c>
      <c r="T27" s="613"/>
      <c r="U27" s="613"/>
      <c r="V27" s="613"/>
      <c r="W27" s="613"/>
      <c r="X27" s="613"/>
      <c r="AA27" s="301"/>
    </row>
    <row r="28" spans="1:27" ht="13.5" thickBot="1" x14ac:dyDescent="0.25">
      <c r="A28" s="300"/>
      <c r="B28" s="338" t="s">
        <v>231</v>
      </c>
      <c r="C28" s="328"/>
      <c r="D28" s="328"/>
      <c r="E28" s="328"/>
      <c r="F28" s="339"/>
      <c r="G28" s="300"/>
      <c r="H28" s="613"/>
      <c r="I28" s="613">
        <f>SUM(I24:I27)</f>
        <v>9.2270345342716775E-2</v>
      </c>
      <c r="J28" s="613">
        <f>SUM(J24:J27)</f>
        <v>0.18054923380367169</v>
      </c>
      <c r="K28" s="613">
        <f>SUM(K24:K27)</f>
        <v>0.21546864605581045</v>
      </c>
      <c r="L28" s="613">
        <f>SUM(L24:L27)</f>
        <v>0.12335002275830681</v>
      </c>
      <c r="M28" s="613">
        <f>SUM(I28:L28)</f>
        <v>0.6116382479605057</v>
      </c>
      <c r="N28" s="619" t="s">
        <v>148</v>
      </c>
      <c r="O28" s="613"/>
      <c r="P28" s="613"/>
      <c r="Q28" s="613"/>
      <c r="R28" s="613"/>
      <c r="S28" s="613"/>
      <c r="T28" s="613"/>
      <c r="U28" s="613"/>
      <c r="V28" s="613"/>
      <c r="W28" s="613"/>
      <c r="X28" s="613"/>
    </row>
    <row r="29" spans="1:27" x14ac:dyDescent="0.2">
      <c r="A29" s="300"/>
      <c r="B29" s="300"/>
      <c r="C29" s="300"/>
      <c r="D29" s="300"/>
      <c r="E29" s="300"/>
      <c r="F29" s="300"/>
      <c r="G29" s="300"/>
      <c r="H29" s="613"/>
      <c r="I29" s="613"/>
      <c r="J29" s="613"/>
      <c r="K29" s="613"/>
      <c r="L29" s="613"/>
      <c r="M29" s="613"/>
      <c r="N29" s="613"/>
      <c r="O29" s="613"/>
      <c r="P29" s="613">
        <f>P9*(S10+O13)*(S10+O13)</f>
        <v>3.449639295857781E-3</v>
      </c>
      <c r="Q29" s="613">
        <f>Q9*(S11+O13)*(S11+O13)</f>
        <v>1.6781273093673275E-3</v>
      </c>
      <c r="R29" s="613">
        <f>R9*(S12+O13)*(S12+O13)</f>
        <v>5.4448497962111201E-4</v>
      </c>
      <c r="S29" s="613"/>
      <c r="T29" s="613"/>
      <c r="U29" s="613"/>
      <c r="V29" s="613"/>
      <c r="W29" s="613"/>
      <c r="X29" s="613"/>
    </row>
    <row r="30" spans="1:27" x14ac:dyDescent="0.2">
      <c r="A30" s="300"/>
      <c r="B30" s="300"/>
      <c r="C30" s="300"/>
      <c r="D30" s="300"/>
      <c r="E30" s="300"/>
      <c r="F30" s="300"/>
      <c r="G30" s="300"/>
      <c r="H30" s="613"/>
      <c r="I30" s="613"/>
      <c r="J30" s="613"/>
      <c r="K30" s="613"/>
      <c r="L30" s="613"/>
      <c r="M30" s="613"/>
      <c r="N30" s="613"/>
      <c r="O30" s="613">
        <f>O10*(S9+P13)*(S9+P13)</f>
        <v>3.7813802037743784E-3</v>
      </c>
      <c r="P30" s="613"/>
      <c r="Q30" s="613">
        <f>Q10*(S11+P13)*(S11+P13)</f>
        <v>7.5441145485557852E-3</v>
      </c>
      <c r="R30" s="613">
        <f>R10*(S12+P13)*(S12+P13)</f>
        <v>1.4792899408284023E-3</v>
      </c>
      <c r="S30" s="613"/>
      <c r="T30" s="613"/>
      <c r="U30" s="613"/>
      <c r="V30" s="613"/>
      <c r="W30" s="613"/>
      <c r="X30" s="613"/>
    </row>
    <row r="31" spans="1:27" x14ac:dyDescent="0.2">
      <c r="A31" s="300"/>
      <c r="B31" s="300"/>
      <c r="C31" s="300"/>
      <c r="D31" s="300"/>
      <c r="E31" s="300"/>
      <c r="F31" s="300"/>
      <c r="G31" s="300"/>
      <c r="H31" s="613"/>
      <c r="I31" s="613"/>
      <c r="J31" s="613"/>
      <c r="K31" s="613"/>
      <c r="L31" s="613"/>
      <c r="M31" s="613"/>
      <c r="N31" s="613"/>
      <c r="O31" s="613">
        <f>O11*(S9+Q13)*(S9+Q13)</f>
        <v>2.8889686747497166E-3</v>
      </c>
      <c r="P31" s="613">
        <f>P11*(S10+Q13)*(S10+Q13)</f>
        <v>1.0521236701100048E-2</v>
      </c>
      <c r="Q31" s="613"/>
      <c r="R31" s="613">
        <f>R11*(S12+Q13)*(S12+Q13)</f>
        <v>6.71250923746931E-3</v>
      </c>
      <c r="S31" s="613"/>
      <c r="T31" s="613"/>
      <c r="U31" s="613"/>
      <c r="V31" s="613"/>
      <c r="W31" s="613"/>
      <c r="X31" s="613"/>
    </row>
    <row r="32" spans="1:27" x14ac:dyDescent="0.2">
      <c r="A32" s="300"/>
      <c r="B32" s="300"/>
      <c r="C32" s="300"/>
      <c r="D32" s="300"/>
      <c r="E32" s="300"/>
      <c r="F32" s="300"/>
      <c r="G32" s="300"/>
      <c r="H32" s="613"/>
      <c r="I32" s="613"/>
      <c r="J32" s="613"/>
      <c r="K32" s="613"/>
      <c r="L32" s="613"/>
      <c r="M32" s="613"/>
      <c r="N32" s="613"/>
      <c r="O32" s="613">
        <f>O12*(S9+R13)*(S9+R13)</f>
        <v>5.2956829242673583E-4</v>
      </c>
      <c r="P32" s="613">
        <f>P12*(S10+R13)*(S10+R13)</f>
        <v>3.9777832518336654E-3</v>
      </c>
      <c r="Q32" s="613">
        <f>Q12*(S11+R13)*(S11+R13)</f>
        <v>3.7789976773474998E-3</v>
      </c>
      <c r="R32" s="613"/>
      <c r="S32" s="613"/>
      <c r="T32" s="613"/>
      <c r="U32" s="613"/>
      <c r="V32" s="613"/>
      <c r="W32" s="613"/>
      <c r="X32" s="613"/>
    </row>
    <row r="33" spans="1:24" x14ac:dyDescent="0.2">
      <c r="A33" s="300"/>
      <c r="B33" s="300"/>
      <c r="C33" s="300"/>
      <c r="D33" s="300"/>
      <c r="E33" s="300"/>
      <c r="F33" s="300"/>
      <c r="G33" s="300"/>
      <c r="H33" s="613"/>
      <c r="I33" s="613"/>
      <c r="J33" s="613"/>
      <c r="K33" s="613"/>
      <c r="L33" s="613"/>
      <c r="M33" s="613"/>
      <c r="N33" s="613"/>
      <c r="O33" s="613"/>
      <c r="P33" s="613"/>
      <c r="Q33" s="613"/>
      <c r="R33" s="613"/>
      <c r="S33" s="613"/>
      <c r="T33" s="613"/>
      <c r="U33" s="613"/>
      <c r="V33" s="613"/>
      <c r="W33" s="613"/>
      <c r="X33" s="613"/>
    </row>
    <row r="34" spans="1:24" x14ac:dyDescent="0.2">
      <c r="A34" s="300"/>
      <c r="B34" s="300"/>
      <c r="C34" s="300"/>
      <c r="D34" s="300"/>
      <c r="E34" s="300"/>
      <c r="F34" s="300"/>
      <c r="G34" s="300"/>
      <c r="H34" s="613"/>
      <c r="I34" s="613"/>
      <c r="J34" s="613"/>
      <c r="K34" s="613"/>
      <c r="L34" s="613"/>
      <c r="M34" s="613"/>
      <c r="N34" s="613"/>
      <c r="O34" s="613"/>
      <c r="P34" s="613"/>
      <c r="Q34" s="613"/>
      <c r="R34" s="613"/>
      <c r="S34" s="613"/>
      <c r="T34" s="613"/>
      <c r="U34" s="613"/>
      <c r="V34" s="613"/>
      <c r="W34" s="613"/>
      <c r="X34" s="613"/>
    </row>
    <row r="35" spans="1:24" x14ac:dyDescent="0.2">
      <c r="A35" s="300"/>
      <c r="B35" s="300"/>
      <c r="C35" s="300"/>
      <c r="D35" s="300"/>
      <c r="E35" s="300"/>
      <c r="F35" s="300"/>
      <c r="G35" s="300"/>
      <c r="H35" s="613"/>
      <c r="I35" s="613"/>
      <c r="J35" s="613"/>
      <c r="K35" s="613"/>
      <c r="L35" s="613"/>
      <c r="M35" s="613"/>
      <c r="N35" s="613"/>
      <c r="O35" s="613"/>
      <c r="P35" s="613"/>
      <c r="Q35" s="613"/>
      <c r="R35" s="613"/>
      <c r="S35" s="613"/>
      <c r="T35" s="613"/>
      <c r="U35" s="613"/>
      <c r="V35" s="613"/>
      <c r="W35" s="613"/>
      <c r="X35" s="613"/>
    </row>
    <row r="36" spans="1:24" x14ac:dyDescent="0.2">
      <c r="H36" s="609"/>
      <c r="I36" s="609"/>
      <c r="J36" s="609"/>
      <c r="K36" s="609"/>
      <c r="L36" s="609"/>
      <c r="M36" s="609"/>
      <c r="N36" s="609"/>
      <c r="O36" s="609"/>
      <c r="P36" s="609"/>
      <c r="Q36" s="609"/>
      <c r="R36" s="609"/>
      <c r="S36" s="609"/>
      <c r="T36" s="609"/>
      <c r="U36" s="609"/>
      <c r="V36" s="609"/>
      <c r="W36" s="609"/>
      <c r="X36" s="609"/>
    </row>
    <row r="37" spans="1:24" x14ac:dyDescent="0.2">
      <c r="H37" s="609"/>
      <c r="I37" s="609"/>
      <c r="J37" s="609"/>
      <c r="K37" s="609"/>
      <c r="L37" s="609"/>
      <c r="M37" s="609"/>
      <c r="N37" s="609"/>
      <c r="O37" s="609"/>
      <c r="P37" s="609"/>
      <c r="Q37" s="609"/>
      <c r="R37" s="609"/>
      <c r="S37" s="609"/>
      <c r="T37" s="609"/>
      <c r="U37" s="609"/>
      <c r="V37" s="609"/>
      <c r="W37" s="609"/>
      <c r="X37" s="609"/>
    </row>
    <row r="38" spans="1:24" x14ac:dyDescent="0.2">
      <c r="H38" s="609"/>
      <c r="I38" s="609"/>
      <c r="J38" s="609"/>
      <c r="K38" s="609"/>
      <c r="L38" s="609"/>
      <c r="M38" s="609"/>
      <c r="N38" s="609"/>
      <c r="O38" s="609"/>
      <c r="P38" s="609"/>
      <c r="Q38" s="609"/>
      <c r="R38" s="609"/>
      <c r="S38" s="609"/>
      <c r="T38" s="609"/>
      <c r="U38" s="609"/>
      <c r="V38" s="609"/>
      <c r="W38" s="609"/>
      <c r="X38" s="609"/>
    </row>
    <row r="39" spans="1:24" x14ac:dyDescent="0.2">
      <c r="H39" s="609"/>
      <c r="I39" s="609"/>
      <c r="J39" s="609"/>
      <c r="K39" s="609"/>
      <c r="L39" s="609"/>
      <c r="M39" s="609"/>
      <c r="N39" s="609"/>
      <c r="O39" s="609"/>
      <c r="P39" s="609"/>
      <c r="Q39" s="609"/>
      <c r="R39" s="609"/>
      <c r="S39" s="609"/>
      <c r="T39" s="609"/>
      <c r="U39" s="609"/>
      <c r="V39" s="609"/>
      <c r="W39" s="609"/>
      <c r="X39" s="609"/>
    </row>
    <row r="40" spans="1:24" x14ac:dyDescent="0.2">
      <c r="H40" s="609"/>
      <c r="I40" s="609"/>
      <c r="J40" s="609"/>
      <c r="K40" s="609"/>
      <c r="L40" s="609"/>
      <c r="M40" s="609"/>
      <c r="N40" s="609"/>
      <c r="O40" s="609"/>
      <c r="P40" s="609"/>
      <c r="Q40" s="609"/>
      <c r="R40" s="609"/>
      <c r="S40" s="609"/>
      <c r="T40" s="609"/>
      <c r="U40" s="609"/>
      <c r="V40" s="609"/>
      <c r="W40" s="609"/>
      <c r="X40" s="609"/>
    </row>
    <row r="41" spans="1:24" x14ac:dyDescent="0.2">
      <c r="H41" s="609"/>
      <c r="I41" s="609"/>
      <c r="J41" s="609"/>
      <c r="K41" s="609"/>
      <c r="L41" s="609"/>
      <c r="M41" s="609"/>
      <c r="N41" s="609"/>
      <c r="O41" s="609"/>
      <c r="P41" s="609"/>
      <c r="Q41" s="609"/>
      <c r="R41" s="609"/>
      <c r="S41" s="609"/>
      <c r="T41" s="609"/>
      <c r="U41" s="609"/>
      <c r="V41" s="609"/>
      <c r="W41" s="609"/>
      <c r="X41" s="609"/>
    </row>
    <row r="42" spans="1:24" x14ac:dyDescent="0.2">
      <c r="H42" s="609"/>
      <c r="I42" s="609"/>
      <c r="J42" s="609"/>
      <c r="K42" s="609"/>
      <c r="L42" s="609"/>
      <c r="M42" s="609"/>
      <c r="N42" s="609"/>
      <c r="O42" s="609"/>
      <c r="P42" s="609"/>
      <c r="Q42" s="609"/>
      <c r="R42" s="609"/>
      <c r="S42" s="609"/>
      <c r="T42" s="609"/>
      <c r="U42" s="609"/>
      <c r="V42" s="609"/>
      <c r="W42" s="609"/>
      <c r="X42" s="609"/>
    </row>
    <row r="43" spans="1:24" x14ac:dyDescent="0.2">
      <c r="H43" s="609"/>
      <c r="I43" s="609"/>
      <c r="J43" s="609"/>
      <c r="K43" s="609"/>
      <c r="L43" s="609"/>
      <c r="M43" s="609"/>
      <c r="N43" s="609"/>
      <c r="O43" s="609"/>
      <c r="P43" s="609"/>
      <c r="Q43" s="609"/>
      <c r="R43" s="609"/>
      <c r="S43" s="609"/>
      <c r="T43" s="609"/>
      <c r="U43" s="609"/>
      <c r="V43" s="609"/>
      <c r="W43" s="609"/>
      <c r="X43" s="609"/>
    </row>
    <row r="44" spans="1:24" x14ac:dyDescent="0.2">
      <c r="H44" s="609"/>
      <c r="I44" s="609"/>
      <c r="J44" s="609"/>
      <c r="K44" s="609"/>
      <c r="L44" s="609"/>
      <c r="M44" s="609"/>
      <c r="N44" s="609"/>
      <c r="O44" s="609"/>
      <c r="P44" s="609"/>
      <c r="Q44" s="609"/>
      <c r="R44" s="609"/>
      <c r="S44" s="609"/>
      <c r="T44" s="609"/>
      <c r="U44" s="609"/>
      <c r="V44" s="609"/>
      <c r="W44" s="609"/>
      <c r="X44" s="609"/>
    </row>
  </sheetData>
  <sheetProtection password="EA44" sheet="1" objects="1" scenarios="1" selectLockedCells="1"/>
  <phoneticPr fontId="4" type="noConversion"/>
  <pageMargins left="0.78740157499999996" right="0.78740157499999996" top="0.984251969" bottom="0.984251969" header="0.49212598499999999" footer="0.49212598499999999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/>
  <dimension ref="A1:H26"/>
  <sheetViews>
    <sheetView showRowColHeaders="0" zoomScale="95" zoomScaleNormal="95" workbookViewId="0">
      <selection activeCell="C5" sqref="C5"/>
    </sheetView>
  </sheetViews>
  <sheetFormatPr defaultRowHeight="12.75" x14ac:dyDescent="0.2"/>
  <cols>
    <col min="1" max="1" width="3" style="83" customWidth="1"/>
    <col min="2" max="3" width="10" style="83" customWidth="1"/>
    <col min="4" max="4" width="10.42578125" style="83" customWidth="1"/>
    <col min="5" max="5" width="10" style="83" customWidth="1"/>
    <col min="6" max="6" width="8.140625" style="83" customWidth="1"/>
    <col min="7" max="16384" width="9.140625" style="83"/>
  </cols>
  <sheetData>
    <row r="1" spans="1:8" ht="13.5" thickBot="1" x14ac:dyDescent="0.25">
      <c r="A1" s="79"/>
      <c r="B1" s="79"/>
      <c r="C1" s="79"/>
      <c r="D1" s="79"/>
      <c r="E1" s="79"/>
      <c r="F1" s="79"/>
      <c r="G1" s="79"/>
    </row>
    <row r="2" spans="1:8" ht="13.5" thickBot="1" x14ac:dyDescent="0.25">
      <c r="A2" s="79"/>
      <c r="B2" s="162" t="s">
        <v>131</v>
      </c>
      <c r="C2" s="163"/>
      <c r="D2" s="163"/>
      <c r="E2" s="164"/>
      <c r="F2" s="79"/>
      <c r="G2" s="79"/>
    </row>
    <row r="3" spans="1:8" x14ac:dyDescent="0.2">
      <c r="A3" s="79"/>
      <c r="B3" s="79"/>
      <c r="C3" s="79"/>
      <c r="D3" s="79"/>
      <c r="E3" s="79"/>
      <c r="F3" s="79"/>
      <c r="G3" s="79"/>
    </row>
    <row r="4" spans="1:8" ht="13.5" thickBot="1" x14ac:dyDescent="0.25">
      <c r="A4" s="79"/>
      <c r="B4" s="165"/>
      <c r="C4" s="166" t="s">
        <v>103</v>
      </c>
      <c r="D4" s="166" t="s">
        <v>104</v>
      </c>
      <c r="E4" s="166" t="s">
        <v>7</v>
      </c>
      <c r="F4" s="79"/>
      <c r="G4" s="79"/>
    </row>
    <row r="5" spans="1:8" x14ac:dyDescent="0.2">
      <c r="A5" s="79"/>
      <c r="B5" s="166" t="s">
        <v>103</v>
      </c>
      <c r="C5" s="156">
        <v>9</v>
      </c>
      <c r="D5" s="157">
        <v>6</v>
      </c>
      <c r="E5" s="166">
        <f>SUM(C5:D5)</f>
        <v>15</v>
      </c>
      <c r="F5" s="79"/>
      <c r="G5" s="79"/>
    </row>
    <row r="6" spans="1:8" ht="13.5" thickBot="1" x14ac:dyDescent="0.25">
      <c r="A6" s="79"/>
      <c r="B6" s="166" t="s">
        <v>104</v>
      </c>
      <c r="C6" s="158">
        <v>9</v>
      </c>
      <c r="D6" s="159">
        <v>4</v>
      </c>
      <c r="E6" s="166">
        <f>SUM(C6:D6)</f>
        <v>13</v>
      </c>
      <c r="F6" s="79"/>
      <c r="G6" s="79"/>
    </row>
    <row r="7" spans="1:8" x14ac:dyDescent="0.2">
      <c r="A7" s="79"/>
      <c r="B7" s="166" t="s">
        <v>7</v>
      </c>
      <c r="C7" s="166">
        <f>SUM(C5:C6)</f>
        <v>18</v>
      </c>
      <c r="D7" s="166">
        <f>SUM(D5:D6)</f>
        <v>10</v>
      </c>
      <c r="E7" s="166">
        <f>SUM(E5:E6)</f>
        <v>28</v>
      </c>
      <c r="F7" s="79"/>
      <c r="G7" s="79"/>
    </row>
    <row r="8" spans="1:8" ht="13.5" thickBot="1" x14ac:dyDescent="0.25">
      <c r="A8" s="79"/>
      <c r="B8" s="79"/>
      <c r="C8" s="79"/>
      <c r="D8" s="79"/>
      <c r="E8" s="79"/>
      <c r="F8" s="79"/>
      <c r="G8" s="79"/>
    </row>
    <row r="9" spans="1:8" x14ac:dyDescent="0.2">
      <c r="A9" s="79"/>
      <c r="B9" s="167" t="s">
        <v>123</v>
      </c>
      <c r="C9" s="168"/>
      <c r="D9" s="169" t="s">
        <v>124</v>
      </c>
      <c r="E9" s="170">
        <f>E5/E7</f>
        <v>0.5357142857142857</v>
      </c>
      <c r="F9" s="79"/>
      <c r="G9" s="211"/>
    </row>
    <row r="10" spans="1:8" x14ac:dyDescent="0.2">
      <c r="A10" s="79"/>
      <c r="B10" s="171"/>
      <c r="C10" s="172"/>
      <c r="D10" s="173" t="s">
        <v>125</v>
      </c>
      <c r="E10" s="174">
        <f>C7/E7</f>
        <v>0.6428571428571429</v>
      </c>
      <c r="F10" s="79"/>
      <c r="G10" s="79"/>
    </row>
    <row r="11" spans="1:8" x14ac:dyDescent="0.2">
      <c r="A11" s="79"/>
      <c r="B11" s="171"/>
      <c r="C11" s="172"/>
      <c r="D11" s="173" t="s">
        <v>126</v>
      </c>
      <c r="E11" s="161">
        <f>(ABS(C6-D5)-1)^2/(D5+C6)</f>
        <v>0.26666666666666666</v>
      </c>
      <c r="F11" s="79"/>
      <c r="G11" s="79"/>
    </row>
    <row r="12" spans="1:8" x14ac:dyDescent="0.2">
      <c r="A12" s="79"/>
      <c r="B12" s="171"/>
      <c r="C12" s="172"/>
      <c r="D12" s="191" t="s">
        <v>133</v>
      </c>
      <c r="E12" s="175">
        <f>ROUNDUP(CHIDIST(E11,1),4)</f>
        <v>0.60560000000000003</v>
      </c>
      <c r="F12" s="79"/>
      <c r="G12" s="79"/>
    </row>
    <row r="13" spans="1:8" x14ac:dyDescent="0.2">
      <c r="A13" s="79"/>
      <c r="B13" s="171"/>
      <c r="C13" s="172"/>
      <c r="D13" s="173" t="s">
        <v>127</v>
      </c>
      <c r="E13" s="175">
        <f>(ABS(C6-D5))^2/(D5+C6)</f>
        <v>0.6</v>
      </c>
      <c r="F13" s="79"/>
      <c r="G13" s="79"/>
    </row>
    <row r="14" spans="1:8" ht="13.5" thickBot="1" x14ac:dyDescent="0.25">
      <c r="A14" s="79"/>
      <c r="B14" s="176"/>
      <c r="C14" s="177"/>
      <c r="D14" s="192" t="s">
        <v>133</v>
      </c>
      <c r="E14" s="178">
        <f>ROUNDUP(CHIDIST(E13,1),4)</f>
        <v>0.43859999999999999</v>
      </c>
      <c r="F14" s="79"/>
      <c r="G14" s="79"/>
    </row>
    <row r="15" spans="1:8" ht="13.5" thickBot="1" x14ac:dyDescent="0.25">
      <c r="A15" s="79"/>
      <c r="B15" s="79"/>
      <c r="C15" s="79"/>
      <c r="D15" s="79"/>
      <c r="E15" s="79"/>
      <c r="F15" s="79"/>
      <c r="G15" s="79"/>
      <c r="H15" s="179"/>
    </row>
    <row r="16" spans="1:8" x14ac:dyDescent="0.2">
      <c r="A16" s="79"/>
      <c r="B16" s="180" t="s">
        <v>119</v>
      </c>
      <c r="C16" s="181"/>
      <c r="D16" s="181"/>
      <c r="E16" s="181"/>
      <c r="F16" s="182"/>
      <c r="G16" s="79"/>
      <c r="H16" s="179"/>
    </row>
    <row r="17" spans="1:8" x14ac:dyDescent="0.2">
      <c r="A17" s="79"/>
      <c r="B17" s="183" t="s">
        <v>128</v>
      </c>
      <c r="C17" s="184"/>
      <c r="D17" s="184"/>
      <c r="E17" s="184"/>
      <c r="F17" s="185"/>
      <c r="G17" s="79"/>
      <c r="H17" s="179"/>
    </row>
    <row r="18" spans="1:8" x14ac:dyDescent="0.2">
      <c r="A18" s="79"/>
      <c r="B18" s="183" t="s">
        <v>129</v>
      </c>
      <c r="C18" s="184"/>
      <c r="D18" s="184"/>
      <c r="E18" s="184"/>
      <c r="F18" s="185"/>
      <c r="G18" s="79"/>
      <c r="H18" s="179"/>
    </row>
    <row r="19" spans="1:8" ht="13.5" thickBot="1" x14ac:dyDescent="0.25">
      <c r="A19" s="79"/>
      <c r="B19" s="186" t="s">
        <v>130</v>
      </c>
      <c r="C19" s="187"/>
      <c r="D19" s="187"/>
      <c r="E19" s="187"/>
      <c r="F19" s="188"/>
      <c r="G19" s="79"/>
      <c r="H19" s="179"/>
    </row>
    <row r="20" spans="1:8" x14ac:dyDescent="0.2">
      <c r="A20" s="79"/>
      <c r="B20" s="79"/>
      <c r="C20" s="79"/>
      <c r="D20" s="79"/>
      <c r="E20" s="79"/>
      <c r="F20" s="79"/>
      <c r="G20" s="79"/>
      <c r="H20" s="179"/>
    </row>
    <row r="21" spans="1:8" x14ac:dyDescent="0.2">
      <c r="A21" s="79"/>
      <c r="B21" s="79"/>
      <c r="C21" s="79"/>
      <c r="D21" s="79"/>
      <c r="E21" s="79"/>
      <c r="F21" s="79"/>
      <c r="G21" s="79"/>
      <c r="H21" s="179"/>
    </row>
    <row r="22" spans="1:8" x14ac:dyDescent="0.2">
      <c r="A22" s="79"/>
      <c r="B22" s="79"/>
      <c r="C22" s="79"/>
      <c r="D22" s="79"/>
      <c r="E22" s="79"/>
      <c r="F22" s="79"/>
      <c r="G22" s="79"/>
      <c r="H22" s="179"/>
    </row>
    <row r="23" spans="1:8" x14ac:dyDescent="0.2">
      <c r="A23" s="79"/>
      <c r="B23" s="79"/>
      <c r="C23" s="79"/>
      <c r="D23" s="79"/>
      <c r="E23" s="79"/>
      <c r="F23" s="79"/>
      <c r="G23" s="79"/>
      <c r="H23" s="179"/>
    </row>
    <row r="24" spans="1:8" x14ac:dyDescent="0.2">
      <c r="A24" s="79"/>
      <c r="B24" s="79"/>
      <c r="C24" s="79"/>
      <c r="D24" s="79"/>
      <c r="E24" s="79"/>
      <c r="F24" s="79"/>
      <c r="G24" s="79"/>
    </row>
    <row r="25" spans="1:8" x14ac:dyDescent="0.2">
      <c r="A25" s="79"/>
      <c r="B25" s="79"/>
      <c r="C25" s="79"/>
      <c r="D25" s="79"/>
      <c r="E25" s="79"/>
      <c r="F25" s="79"/>
      <c r="G25" s="79"/>
    </row>
    <row r="26" spans="1:8" x14ac:dyDescent="0.2">
      <c r="A26" s="79"/>
      <c r="B26" s="79"/>
      <c r="C26" s="79"/>
      <c r="D26" s="79"/>
      <c r="E26" s="79"/>
      <c r="F26" s="79"/>
      <c r="G26" s="79"/>
    </row>
  </sheetData>
  <sheetProtection password="EA44" sheet="1" objects="1" scenarios="1" selectLockedCells="1"/>
  <phoneticPr fontId="4" type="noConversion"/>
  <pageMargins left="0.78740157499999996" right="0.78740157499999996" top="0.984251969" bottom="0.984251969" header="0.49212598499999999" footer="0.49212598499999999"/>
  <headerFooter alignWithMargins="0"/>
  <ignoredErrors>
    <ignoredError sqref="E13" formula="1"/>
  </ignoredErrors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/>
  <dimension ref="A1:Y107"/>
  <sheetViews>
    <sheetView showRowColHeaders="0" workbookViewId="0">
      <selection activeCell="F3" sqref="F3"/>
    </sheetView>
  </sheetViews>
  <sheetFormatPr defaultRowHeight="15" x14ac:dyDescent="0.25"/>
  <cols>
    <col min="1" max="1" width="2.28515625" customWidth="1"/>
    <col min="2" max="2" width="11.28515625" style="299" customWidth="1"/>
    <col min="3" max="3" width="1.7109375" customWidth="1"/>
    <col min="4" max="4" width="8.5703125" style="299" customWidth="1"/>
    <col min="5" max="5" width="1.85546875" style="299" customWidth="1"/>
    <col min="6" max="6" width="8.42578125" style="299" customWidth="1"/>
    <col min="7" max="7" width="1.85546875" customWidth="1"/>
    <col min="8" max="8" width="8.42578125" customWidth="1"/>
    <col min="9" max="9" width="1.85546875" customWidth="1"/>
    <col min="10" max="10" width="8.42578125" customWidth="1"/>
    <col min="11" max="11" width="1.85546875" customWidth="1"/>
    <col min="13" max="13" width="1.85546875" customWidth="1"/>
    <col min="15" max="15" width="5.85546875" customWidth="1"/>
    <col min="16" max="16" width="2.5703125" customWidth="1"/>
    <col min="17" max="25" width="9.140625" style="499"/>
  </cols>
  <sheetData>
    <row r="1" spans="1:25" ht="15.75" thickBot="1" x14ac:dyDescent="0.3">
      <c r="A1" s="497"/>
      <c r="B1" s="498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9">
        <v>1</v>
      </c>
      <c r="R1" s="499">
        <f t="shared" ref="R1:R20" ca="1" si="0">IF(Q1&lt;=$D$3,RAND(),"")</f>
        <v>0.46589772287773035</v>
      </c>
      <c r="S1" s="499">
        <f t="shared" ref="S1:S20" ca="1" si="1">IF(Q1&lt;=$F$3,RAND(),"")</f>
        <v>0.60408118338319283</v>
      </c>
      <c r="T1" s="499" t="str">
        <f ca="1">IF(Q1&lt;=$H$3,RAND(),"")</f>
        <v/>
      </c>
      <c r="U1" s="499" t="str">
        <f ca="1">IF(Q1&lt;=$J$3,RAND(),"")</f>
        <v/>
      </c>
      <c r="V1" s="499">
        <f t="shared" ref="V1:V15" ca="1" si="2">IF(Q1&lt;=$D$3,RANK(R1,$R$1:$U$100),"")</f>
        <v>24</v>
      </c>
      <c r="W1" s="499">
        <f t="shared" ref="W1:W15" ca="1" si="3">IF(Q1&lt;=$F$3,RANK(S1,$R$1:$U$100),"")</f>
        <v>15</v>
      </c>
      <c r="X1" s="499" t="str">
        <f t="shared" ref="X1:X15" si="4">IF(Q1&lt;=$H$3,RANK(T1,$R$1:$U$100),"")</f>
        <v/>
      </c>
      <c r="Y1" s="499" t="str">
        <f t="shared" ref="Y1:Y15" si="5">IF(Q1&lt;=$J$3,RANK(U1,$R$1:$U$100),"")</f>
        <v/>
      </c>
    </row>
    <row r="2" spans="1:25" ht="15.75" thickBot="1" x14ac:dyDescent="0.3">
      <c r="A2" s="497"/>
      <c r="B2" s="498"/>
      <c r="C2" s="497"/>
      <c r="D2" s="500" t="s">
        <v>308</v>
      </c>
      <c r="E2" s="497"/>
      <c r="F2" s="500" t="s">
        <v>309</v>
      </c>
      <c r="G2" s="497"/>
      <c r="H2" s="500" t="s">
        <v>310</v>
      </c>
      <c r="I2" s="497"/>
      <c r="J2" s="500" t="s">
        <v>311</v>
      </c>
      <c r="K2" s="497"/>
      <c r="L2" s="500" t="s">
        <v>7</v>
      </c>
      <c r="M2" s="497"/>
      <c r="N2" s="500" t="s">
        <v>312</v>
      </c>
      <c r="O2" s="497"/>
      <c r="P2" s="497"/>
      <c r="Q2" s="499">
        <v>2</v>
      </c>
      <c r="R2" s="499">
        <f t="shared" ca="1" si="0"/>
        <v>0.78256659501876358</v>
      </c>
      <c r="S2" s="499">
        <f t="shared" ca="1" si="1"/>
        <v>3.7654768508396663E-2</v>
      </c>
      <c r="T2" s="499" t="str">
        <f t="shared" ref="T2:T65" ca="1" si="6">IF(Q2&lt;=$H$3,RAND(),"")</f>
        <v/>
      </c>
      <c r="U2" s="499" t="str">
        <f t="shared" ref="U2:U65" ca="1" si="7">IF(Q2&lt;=$J$3,RAND(),"")</f>
        <v/>
      </c>
      <c r="V2" s="499">
        <f t="shared" ca="1" si="2"/>
        <v>5</v>
      </c>
      <c r="W2" s="499">
        <f t="shared" ca="1" si="3"/>
        <v>38</v>
      </c>
      <c r="X2" s="499" t="str">
        <f t="shared" si="4"/>
        <v/>
      </c>
      <c r="Y2" s="499" t="str">
        <f t="shared" si="5"/>
        <v/>
      </c>
    </row>
    <row r="3" spans="1:25" ht="15.75" thickBot="1" x14ac:dyDescent="0.3">
      <c r="A3" s="497"/>
      <c r="B3" s="501" t="s">
        <v>313</v>
      </c>
      <c r="C3" s="497"/>
      <c r="D3" s="502">
        <v>20</v>
      </c>
      <c r="E3" s="497"/>
      <c r="F3" s="502">
        <v>20</v>
      </c>
      <c r="G3" s="497"/>
      <c r="H3" s="502"/>
      <c r="I3" s="497"/>
      <c r="J3" s="502"/>
      <c r="K3" s="497"/>
      <c r="L3" s="501">
        <f>D3+F3+H3+J3</f>
        <v>40</v>
      </c>
      <c r="M3" s="497"/>
      <c r="N3" s="501">
        <f>COUNTA(D3,F3,H3,J3)</f>
        <v>2</v>
      </c>
      <c r="O3" s="497"/>
      <c r="P3" s="497"/>
      <c r="Q3" s="499">
        <v>3</v>
      </c>
      <c r="R3" s="499">
        <f t="shared" ca="1" si="0"/>
        <v>0.56915986132809593</v>
      </c>
      <c r="S3" s="499">
        <f t="shared" ca="1" si="1"/>
        <v>0.95718193003116758</v>
      </c>
      <c r="T3" s="499" t="str">
        <f t="shared" ca="1" si="6"/>
        <v/>
      </c>
      <c r="U3" s="499" t="str">
        <f t="shared" ca="1" si="7"/>
        <v/>
      </c>
      <c r="V3" s="499">
        <f t="shared" ca="1" si="2"/>
        <v>16</v>
      </c>
      <c r="W3" s="499">
        <f t="shared" ca="1" si="3"/>
        <v>3</v>
      </c>
      <c r="X3" s="499" t="str">
        <f t="shared" si="4"/>
        <v/>
      </c>
      <c r="Y3" s="499" t="str">
        <f t="shared" si="5"/>
        <v/>
      </c>
    </row>
    <row r="4" spans="1:25" ht="15.75" thickBot="1" x14ac:dyDescent="0.3">
      <c r="A4" s="497"/>
      <c r="B4" s="498"/>
      <c r="C4" s="497"/>
      <c r="D4" s="497"/>
      <c r="E4" s="497"/>
      <c r="F4" s="497"/>
      <c r="G4" s="497"/>
      <c r="H4" s="497"/>
      <c r="I4" s="497"/>
      <c r="J4" s="497"/>
      <c r="K4" s="497"/>
      <c r="L4" s="497"/>
      <c r="M4" s="497"/>
      <c r="N4" s="497"/>
      <c r="O4" s="497"/>
      <c r="P4" s="497"/>
      <c r="Q4" s="499">
        <v>4</v>
      </c>
      <c r="R4" s="499">
        <f t="shared" ca="1" si="0"/>
        <v>0.39297608056371491</v>
      </c>
      <c r="S4" s="499">
        <f t="shared" ca="1" si="1"/>
        <v>0.27962018480331774</v>
      </c>
      <c r="T4" s="499" t="str">
        <f t="shared" ca="1" si="6"/>
        <v/>
      </c>
      <c r="U4" s="499" t="str">
        <f t="shared" ca="1" si="7"/>
        <v/>
      </c>
      <c r="V4" s="499">
        <f t="shared" ca="1" si="2"/>
        <v>27</v>
      </c>
      <c r="W4" s="499">
        <f t="shared" ca="1" si="3"/>
        <v>30</v>
      </c>
      <c r="X4" s="499" t="str">
        <f t="shared" si="4"/>
        <v/>
      </c>
      <c r="Y4" s="499" t="str">
        <f t="shared" si="5"/>
        <v/>
      </c>
    </row>
    <row r="5" spans="1:25" x14ac:dyDescent="0.25">
      <c r="A5" s="497"/>
      <c r="B5" s="503">
        <f>IF(Q1&lt;=MAX($D$3,$F$3,$H$3,$J$3),Q1,"")</f>
        <v>1</v>
      </c>
      <c r="C5" s="497"/>
      <c r="D5" s="504">
        <f ca="1">IF($L$15&lt;=100,IF($D$3&gt;0,IF(B5&lt;=$D$3,SMALL($V$1:$V$100,B5),""),""),"")</f>
        <v>1</v>
      </c>
      <c r="E5" s="497"/>
      <c r="F5" s="504">
        <f ca="1">IF($L$15&lt;=100,IF($F$3&gt;0,IF(B5&lt;=$F$3,SMALL($W$1:$W$100,B5),""),""),"")</f>
        <v>3</v>
      </c>
      <c r="G5" s="497"/>
      <c r="H5" s="504" t="str">
        <f>IF($L$15&lt;=100,IF($H$3&gt;0,IF(B5&lt;=$H$3,SMALL($X$1:$X$100,B5),""),""),"")</f>
        <v/>
      </c>
      <c r="I5" s="505"/>
      <c r="J5" s="504" t="str">
        <f>IF($L$15&lt;=100,IF($J$3&gt;0,IF(B5&lt;=$J$3,SMALL($Y$1:$Y$100,B5),""),""),"")</f>
        <v/>
      </c>
      <c r="K5" s="497"/>
      <c r="L5" s="506" t="s">
        <v>314</v>
      </c>
      <c r="M5" s="507"/>
      <c r="N5" s="507"/>
      <c r="O5" s="508"/>
      <c r="P5" s="497"/>
      <c r="Q5" s="499">
        <v>5</v>
      </c>
      <c r="R5" s="499">
        <f t="shared" ca="1" si="0"/>
        <v>0.67299562473409469</v>
      </c>
      <c r="S5" s="499">
        <f t="shared" ca="1" si="1"/>
        <v>0.11780588584931417</v>
      </c>
      <c r="T5" s="499" t="str">
        <f t="shared" ca="1" si="6"/>
        <v/>
      </c>
      <c r="U5" s="499" t="str">
        <f t="shared" ca="1" si="7"/>
        <v/>
      </c>
      <c r="V5" s="499">
        <f t="shared" ca="1" si="2"/>
        <v>11</v>
      </c>
      <c r="W5" s="499">
        <f t="shared" ca="1" si="3"/>
        <v>33</v>
      </c>
      <c r="X5" s="499" t="str">
        <f t="shared" si="4"/>
        <v/>
      </c>
      <c r="Y5" s="499" t="str">
        <f t="shared" si="5"/>
        <v/>
      </c>
    </row>
    <row r="6" spans="1:25" x14ac:dyDescent="0.25">
      <c r="A6" s="497"/>
      <c r="B6" s="509">
        <f>IF(Q2&lt;=MAX($D$3,$F$3,$H$3,$J$3),Q2,"")</f>
        <v>2</v>
      </c>
      <c r="C6" s="497"/>
      <c r="D6" s="510">
        <f t="shared" ref="D6:D69" ca="1" si="8">IF($L$15&lt;=100,IF($D$3&gt;0,IF(B6&lt;=$D$3,SMALL($V$1:$V$100,B6),""),""),"")</f>
        <v>2</v>
      </c>
      <c r="E6" s="497"/>
      <c r="F6" s="510">
        <f t="shared" ref="F6:F69" ca="1" si="9">IF($L$15&lt;=100,IF($F$3&gt;0,IF(B6&lt;=$F$3,SMALL($W$1:$W$100,B6),""),""),"")</f>
        <v>4</v>
      </c>
      <c r="G6" s="497"/>
      <c r="H6" s="510" t="str">
        <f t="shared" ref="H6:H69" si="10">IF($L$15&lt;=100,IF($H$3&gt;0,IF(B6&lt;=$H$3,SMALL($X$1:$X$100,B6),""),""),"")</f>
        <v/>
      </c>
      <c r="I6" s="505"/>
      <c r="J6" s="510" t="str">
        <f t="shared" ref="J6:J69" si="11">IF($L$15&lt;=100,IF($J$3&gt;0,IF(B6&lt;=$J$3,SMALL($Y$1:$Y$100,B6),""),""),"")</f>
        <v/>
      </c>
      <c r="K6" s="497"/>
      <c r="L6" s="511" t="s">
        <v>315</v>
      </c>
      <c r="M6" s="512"/>
      <c r="N6" s="512"/>
      <c r="O6" s="513"/>
      <c r="P6" s="497"/>
      <c r="Q6" s="499">
        <v>6</v>
      </c>
      <c r="R6" s="499">
        <f t="shared" ca="1" si="0"/>
        <v>0.51856764720137682</v>
      </c>
      <c r="S6" s="499">
        <f t="shared" ca="1" si="1"/>
        <v>0.56360170840794199</v>
      </c>
      <c r="T6" s="499" t="str">
        <f t="shared" ca="1" si="6"/>
        <v/>
      </c>
      <c r="U6" s="499" t="str">
        <f t="shared" ca="1" si="7"/>
        <v/>
      </c>
      <c r="V6" s="499">
        <f t="shared" ca="1" si="2"/>
        <v>20</v>
      </c>
      <c r="W6" s="499">
        <f t="shared" ca="1" si="3"/>
        <v>17</v>
      </c>
      <c r="X6" s="499" t="str">
        <f t="shared" si="4"/>
        <v/>
      </c>
      <c r="Y6" s="499" t="str">
        <f t="shared" si="5"/>
        <v/>
      </c>
    </row>
    <row r="7" spans="1:25" x14ac:dyDescent="0.25">
      <c r="A7" s="497"/>
      <c r="B7" s="509">
        <f t="shared" ref="B7:B70" si="12">IF(Q3&lt;=MAX($D$3,$F$3,$H$3,$J$3),Q3,"")</f>
        <v>3</v>
      </c>
      <c r="C7" s="497"/>
      <c r="D7" s="510">
        <f t="shared" ca="1" si="8"/>
        <v>5</v>
      </c>
      <c r="E7" s="497"/>
      <c r="F7" s="510">
        <f t="shared" ca="1" si="9"/>
        <v>8</v>
      </c>
      <c r="G7" s="497"/>
      <c r="H7" s="510" t="str">
        <f t="shared" si="10"/>
        <v/>
      </c>
      <c r="I7" s="505"/>
      <c r="J7" s="510" t="str">
        <f t="shared" si="11"/>
        <v/>
      </c>
      <c r="K7" s="497"/>
      <c r="L7" s="511" t="s">
        <v>316</v>
      </c>
      <c r="M7" s="512"/>
      <c r="N7" s="512"/>
      <c r="O7" s="513"/>
      <c r="P7" s="497"/>
      <c r="Q7" s="499">
        <v>7</v>
      </c>
      <c r="R7" s="499">
        <f t="shared" ca="1" si="0"/>
        <v>0.46693559406967311</v>
      </c>
      <c r="S7" s="499">
        <f t="shared" ca="1" si="1"/>
        <v>0.62084429464412605</v>
      </c>
      <c r="T7" s="499" t="str">
        <f t="shared" ca="1" si="6"/>
        <v/>
      </c>
      <c r="U7" s="499" t="str">
        <f t="shared" ca="1" si="7"/>
        <v/>
      </c>
      <c r="V7" s="499">
        <f t="shared" ca="1" si="2"/>
        <v>23</v>
      </c>
      <c r="W7" s="499">
        <f t="shared" ca="1" si="3"/>
        <v>13</v>
      </c>
      <c r="X7" s="499" t="str">
        <f t="shared" si="4"/>
        <v/>
      </c>
      <c r="Y7" s="499" t="str">
        <f t="shared" si="5"/>
        <v/>
      </c>
    </row>
    <row r="8" spans="1:25" x14ac:dyDescent="0.25">
      <c r="A8" s="497"/>
      <c r="B8" s="509">
        <f t="shared" si="12"/>
        <v>4</v>
      </c>
      <c r="C8" s="497"/>
      <c r="D8" s="510">
        <f t="shared" ca="1" si="8"/>
        <v>6</v>
      </c>
      <c r="E8" s="497"/>
      <c r="F8" s="510">
        <f t="shared" ca="1" si="9"/>
        <v>9</v>
      </c>
      <c r="G8" s="497"/>
      <c r="H8" s="510" t="str">
        <f t="shared" si="10"/>
        <v/>
      </c>
      <c r="I8" s="505"/>
      <c r="J8" s="510" t="str">
        <f t="shared" si="11"/>
        <v/>
      </c>
      <c r="K8" s="497"/>
      <c r="L8" s="511" t="str">
        <f>CONCATENATE("Serão aleatorizados ",L3)</f>
        <v>Serão aleatorizados 40</v>
      </c>
      <c r="M8" s="512"/>
      <c r="N8" s="512"/>
      <c r="O8" s="513"/>
      <c r="P8" s="497"/>
      <c r="Q8" s="499">
        <v>8</v>
      </c>
      <c r="R8" s="499">
        <f t="shared" ca="1" si="0"/>
        <v>0.25768791571919936</v>
      </c>
      <c r="S8" s="499">
        <f t="shared" ca="1" si="1"/>
        <v>0.40560305912419359</v>
      </c>
      <c r="T8" s="499" t="str">
        <f t="shared" ca="1" si="6"/>
        <v/>
      </c>
      <c r="U8" s="499" t="str">
        <f t="shared" ca="1" si="7"/>
        <v/>
      </c>
      <c r="V8" s="499">
        <f t="shared" ca="1" si="2"/>
        <v>31</v>
      </c>
      <c r="W8" s="499">
        <f t="shared" ca="1" si="3"/>
        <v>26</v>
      </c>
      <c r="X8" s="499" t="str">
        <f t="shared" si="4"/>
        <v/>
      </c>
      <c r="Y8" s="499" t="str">
        <f t="shared" si="5"/>
        <v/>
      </c>
    </row>
    <row r="9" spans="1:25" x14ac:dyDescent="0.25">
      <c r="A9" s="497"/>
      <c r="B9" s="509">
        <f t="shared" si="12"/>
        <v>5</v>
      </c>
      <c r="C9" s="497"/>
      <c r="D9" s="510">
        <f t="shared" ca="1" si="8"/>
        <v>7</v>
      </c>
      <c r="E9" s="497"/>
      <c r="F9" s="510">
        <f t="shared" ca="1" si="9"/>
        <v>10</v>
      </c>
      <c r="G9" s="497"/>
      <c r="H9" s="510" t="str">
        <f t="shared" si="10"/>
        <v/>
      </c>
      <c r="I9" s="505"/>
      <c r="J9" s="510" t="str">
        <f t="shared" si="11"/>
        <v/>
      </c>
      <c r="K9" s="497"/>
      <c r="L9" s="511" t="str">
        <f>CONCATENATE("voluntários em ",N3," grupos")</f>
        <v>voluntários em 2 grupos</v>
      </c>
      <c r="M9" s="512"/>
      <c r="N9" s="512"/>
      <c r="O9" s="513"/>
      <c r="P9" s="497"/>
      <c r="Q9" s="499">
        <v>9</v>
      </c>
      <c r="R9" s="499">
        <f t="shared" ca="1" si="0"/>
        <v>0.31480003705537762</v>
      </c>
      <c r="S9" s="499">
        <f t="shared" ca="1" si="1"/>
        <v>0.71699018036173912</v>
      </c>
      <c r="T9" s="499" t="str">
        <f t="shared" ca="1" si="6"/>
        <v/>
      </c>
      <c r="U9" s="499" t="str">
        <f t="shared" ca="1" si="7"/>
        <v/>
      </c>
      <c r="V9" s="499">
        <f t="shared" ca="1" si="2"/>
        <v>29</v>
      </c>
      <c r="W9" s="499">
        <f t="shared" ca="1" si="3"/>
        <v>8</v>
      </c>
      <c r="X9" s="499" t="str">
        <f t="shared" si="4"/>
        <v/>
      </c>
      <c r="Y9" s="499" t="str">
        <f t="shared" si="5"/>
        <v/>
      </c>
    </row>
    <row r="10" spans="1:25" ht="15.75" thickBot="1" x14ac:dyDescent="0.3">
      <c r="A10" s="497"/>
      <c r="B10" s="509">
        <f t="shared" si="12"/>
        <v>6</v>
      </c>
      <c r="C10" s="497"/>
      <c r="D10" s="510">
        <f t="shared" ca="1" si="8"/>
        <v>11</v>
      </c>
      <c r="E10" s="497"/>
      <c r="F10" s="510">
        <f t="shared" ca="1" si="9"/>
        <v>13</v>
      </c>
      <c r="G10" s="497"/>
      <c r="H10" s="510" t="str">
        <f t="shared" si="10"/>
        <v/>
      </c>
      <c r="I10" s="505"/>
      <c r="J10" s="510" t="str">
        <f t="shared" si="11"/>
        <v/>
      </c>
      <c r="K10" s="497"/>
      <c r="L10" s="514" t="s">
        <v>317</v>
      </c>
      <c r="M10" s="515"/>
      <c r="N10" s="515"/>
      <c r="O10" s="516"/>
      <c r="P10" s="497"/>
      <c r="Q10" s="499">
        <v>10</v>
      </c>
      <c r="R10" s="499">
        <f t="shared" ca="1" si="0"/>
        <v>0.66083800090960088</v>
      </c>
      <c r="S10" s="499">
        <f t="shared" ca="1" si="1"/>
        <v>3.4691123493195364E-2</v>
      </c>
      <c r="T10" s="499" t="str">
        <f t="shared" ca="1" si="6"/>
        <v/>
      </c>
      <c r="U10" s="499" t="str">
        <f t="shared" ca="1" si="7"/>
        <v/>
      </c>
      <c r="V10" s="499">
        <f t="shared" ca="1" si="2"/>
        <v>12</v>
      </c>
      <c r="W10" s="499">
        <f t="shared" ca="1" si="3"/>
        <v>39</v>
      </c>
      <c r="X10" s="499" t="str">
        <f t="shared" si="4"/>
        <v/>
      </c>
      <c r="Y10" s="499" t="str">
        <f t="shared" si="5"/>
        <v/>
      </c>
    </row>
    <row r="11" spans="1:25" ht="15.75" thickBot="1" x14ac:dyDescent="0.3">
      <c r="A11" s="497"/>
      <c r="B11" s="509">
        <f t="shared" si="12"/>
        <v>7</v>
      </c>
      <c r="C11" s="497"/>
      <c r="D11" s="510">
        <f t="shared" ca="1" si="8"/>
        <v>12</v>
      </c>
      <c r="E11" s="497"/>
      <c r="F11" s="510">
        <f t="shared" ca="1" si="9"/>
        <v>14</v>
      </c>
      <c r="G11" s="497"/>
      <c r="H11" s="510" t="str">
        <f t="shared" si="10"/>
        <v/>
      </c>
      <c r="I11" s="505"/>
      <c r="J11" s="510" t="str">
        <f t="shared" si="11"/>
        <v/>
      </c>
      <c r="K11" s="497"/>
      <c r="L11" s="497"/>
      <c r="M11" s="497"/>
      <c r="N11" s="497"/>
      <c r="O11" s="497"/>
      <c r="P11" s="497"/>
      <c r="Q11" s="499">
        <v>11</v>
      </c>
      <c r="R11" s="499">
        <f t="shared" ca="1" si="0"/>
        <v>0.97395962254796342</v>
      </c>
      <c r="S11" s="499">
        <f t="shared" ca="1" si="1"/>
        <v>5.2514679622045035E-2</v>
      </c>
      <c r="T11" s="499" t="str">
        <f t="shared" ca="1" si="6"/>
        <v/>
      </c>
      <c r="U11" s="499" t="str">
        <f t="shared" ca="1" si="7"/>
        <v/>
      </c>
      <c r="V11" s="499">
        <f t="shared" ca="1" si="2"/>
        <v>1</v>
      </c>
      <c r="W11" s="499">
        <f t="shared" ca="1" si="3"/>
        <v>36</v>
      </c>
      <c r="X11" s="499" t="str">
        <f t="shared" si="4"/>
        <v/>
      </c>
      <c r="Y11" s="499" t="str">
        <f t="shared" si="5"/>
        <v/>
      </c>
    </row>
    <row r="12" spans="1:25" x14ac:dyDescent="0.25">
      <c r="A12" s="497"/>
      <c r="B12" s="509">
        <f t="shared" si="12"/>
        <v>8</v>
      </c>
      <c r="C12" s="497"/>
      <c r="D12" s="510">
        <f t="shared" ca="1" si="8"/>
        <v>16</v>
      </c>
      <c r="E12" s="497"/>
      <c r="F12" s="510">
        <f t="shared" ca="1" si="9"/>
        <v>15</v>
      </c>
      <c r="G12" s="497"/>
      <c r="H12" s="510" t="str">
        <f t="shared" si="10"/>
        <v/>
      </c>
      <c r="I12" s="505"/>
      <c r="J12" s="510" t="str">
        <f t="shared" si="11"/>
        <v/>
      </c>
      <c r="K12" s="497"/>
      <c r="L12" s="517" t="str">
        <f>IF(L15&gt;100,"Não são permitidos valores","")</f>
        <v/>
      </c>
      <c r="M12" s="507"/>
      <c r="N12" s="507"/>
      <c r="O12" s="508"/>
      <c r="P12" s="497"/>
      <c r="Q12" s="499">
        <v>12</v>
      </c>
      <c r="R12" s="499">
        <f t="shared" ca="1" si="0"/>
        <v>0.96088422299662934</v>
      </c>
      <c r="S12" s="499">
        <f t="shared" ca="1" si="1"/>
        <v>2.5897762415970194E-2</v>
      </c>
      <c r="T12" s="499" t="str">
        <f t="shared" ca="1" si="6"/>
        <v/>
      </c>
      <c r="U12" s="499" t="str">
        <f t="shared" ca="1" si="7"/>
        <v/>
      </c>
      <c r="V12" s="499">
        <f t="shared" ca="1" si="2"/>
        <v>2</v>
      </c>
      <c r="W12" s="499">
        <f t="shared" ca="1" si="3"/>
        <v>40</v>
      </c>
      <c r="X12" s="499" t="str">
        <f t="shared" si="4"/>
        <v/>
      </c>
      <c r="Y12" s="499" t="str">
        <f t="shared" si="5"/>
        <v/>
      </c>
    </row>
    <row r="13" spans="1:25" ht="15.75" thickBot="1" x14ac:dyDescent="0.3">
      <c r="A13" s="497"/>
      <c r="B13" s="509">
        <f t="shared" si="12"/>
        <v>9</v>
      </c>
      <c r="C13" s="497"/>
      <c r="D13" s="510">
        <f t="shared" ca="1" si="8"/>
        <v>18</v>
      </c>
      <c r="E13" s="497"/>
      <c r="F13" s="510">
        <f t="shared" ca="1" si="9"/>
        <v>17</v>
      </c>
      <c r="G13" s="497"/>
      <c r="H13" s="510" t="str">
        <f t="shared" si="10"/>
        <v/>
      </c>
      <c r="I13" s="497"/>
      <c r="J13" s="510" t="str">
        <f t="shared" si="11"/>
        <v/>
      </c>
      <c r="K13" s="497"/>
      <c r="L13" s="518" t="str">
        <f>IF(MAX(D3,F3,H3,J3)&gt;100,"maiores que 100","")</f>
        <v/>
      </c>
      <c r="M13" s="515"/>
      <c r="N13" s="515"/>
      <c r="O13" s="516"/>
      <c r="P13" s="497"/>
      <c r="Q13" s="499">
        <v>13</v>
      </c>
      <c r="R13" s="499">
        <f t="shared" ca="1" si="0"/>
        <v>0.73152208111209971</v>
      </c>
      <c r="S13" s="499">
        <f t="shared" ca="1" si="1"/>
        <v>0.47682328463939971</v>
      </c>
      <c r="T13" s="499" t="str">
        <f t="shared" ca="1" si="6"/>
        <v/>
      </c>
      <c r="U13" s="499" t="str">
        <f t="shared" ca="1" si="7"/>
        <v/>
      </c>
      <c r="V13" s="499">
        <f t="shared" ca="1" si="2"/>
        <v>7</v>
      </c>
      <c r="W13" s="499">
        <f t="shared" ca="1" si="3"/>
        <v>22</v>
      </c>
      <c r="X13" s="499" t="str">
        <f t="shared" si="4"/>
        <v/>
      </c>
      <c r="Y13" s="499" t="str">
        <f t="shared" si="5"/>
        <v/>
      </c>
    </row>
    <row r="14" spans="1:25" x14ac:dyDescent="0.25">
      <c r="A14" s="497"/>
      <c r="B14" s="509">
        <f t="shared" si="12"/>
        <v>10</v>
      </c>
      <c r="C14" s="497"/>
      <c r="D14" s="510">
        <f t="shared" ca="1" si="8"/>
        <v>19</v>
      </c>
      <c r="E14" s="497"/>
      <c r="F14" s="510">
        <f t="shared" ca="1" si="9"/>
        <v>22</v>
      </c>
      <c r="G14" s="497"/>
      <c r="H14" s="510" t="str">
        <f t="shared" si="10"/>
        <v/>
      </c>
      <c r="I14" s="497"/>
      <c r="J14" s="510" t="str">
        <f t="shared" si="11"/>
        <v/>
      </c>
      <c r="K14" s="497"/>
      <c r="L14" s="497"/>
      <c r="M14" s="497"/>
      <c r="N14" s="497"/>
      <c r="O14" s="497"/>
      <c r="P14" s="497"/>
      <c r="Q14" s="499">
        <v>14</v>
      </c>
      <c r="R14" s="499">
        <f t="shared" ca="1" si="0"/>
        <v>7.5082160645048801E-2</v>
      </c>
      <c r="S14" s="499">
        <f t="shared" ca="1" si="1"/>
        <v>0.78670440453126023</v>
      </c>
      <c r="T14" s="499" t="str">
        <f t="shared" ca="1" si="6"/>
        <v/>
      </c>
      <c r="U14" s="499" t="str">
        <f t="shared" ca="1" si="7"/>
        <v/>
      </c>
      <c r="V14" s="499">
        <f t="shared" ca="1" si="2"/>
        <v>34</v>
      </c>
      <c r="W14" s="499">
        <f t="shared" ca="1" si="3"/>
        <v>4</v>
      </c>
      <c r="X14" s="499" t="str">
        <f t="shared" si="4"/>
        <v/>
      </c>
      <c r="Y14" s="499" t="str">
        <f t="shared" si="5"/>
        <v/>
      </c>
    </row>
    <row r="15" spans="1:25" x14ac:dyDescent="0.25">
      <c r="A15" s="497"/>
      <c r="B15" s="509">
        <f t="shared" si="12"/>
        <v>11</v>
      </c>
      <c r="C15" s="497"/>
      <c r="D15" s="510">
        <f t="shared" ca="1" si="8"/>
        <v>20</v>
      </c>
      <c r="E15" s="497"/>
      <c r="F15" s="510">
        <f t="shared" ca="1" si="9"/>
        <v>26</v>
      </c>
      <c r="G15" s="497"/>
      <c r="H15" s="510" t="str">
        <f t="shared" si="10"/>
        <v/>
      </c>
      <c r="I15" s="497"/>
      <c r="J15" s="510" t="str">
        <f t="shared" si="11"/>
        <v/>
      </c>
      <c r="K15" s="497"/>
      <c r="L15" s="519">
        <f>MAX(D3,F3,H3,J3)</f>
        <v>20</v>
      </c>
      <c r="M15" s="497"/>
      <c r="N15" s="497"/>
      <c r="O15" s="497"/>
      <c r="P15" s="497"/>
      <c r="Q15" s="499">
        <v>15</v>
      </c>
      <c r="R15" s="499">
        <f t="shared" ca="1" si="0"/>
        <v>0.46464676289720896</v>
      </c>
      <c r="S15" s="499">
        <f t="shared" ca="1" si="1"/>
        <v>0.69248638535287443</v>
      </c>
      <c r="T15" s="499" t="str">
        <f t="shared" ca="1" si="6"/>
        <v/>
      </c>
      <c r="U15" s="499" t="str">
        <f t="shared" ca="1" si="7"/>
        <v/>
      </c>
      <c r="V15" s="499">
        <f t="shared" ca="1" si="2"/>
        <v>25</v>
      </c>
      <c r="W15" s="499">
        <f t="shared" ca="1" si="3"/>
        <v>10</v>
      </c>
      <c r="X15" s="499" t="str">
        <f t="shared" si="4"/>
        <v/>
      </c>
      <c r="Y15" s="499" t="str">
        <f t="shared" si="5"/>
        <v/>
      </c>
    </row>
    <row r="16" spans="1:25" x14ac:dyDescent="0.25">
      <c r="A16" s="497"/>
      <c r="B16" s="509">
        <f t="shared" si="12"/>
        <v>12</v>
      </c>
      <c r="C16" s="497"/>
      <c r="D16" s="510">
        <f t="shared" ca="1" si="8"/>
        <v>21</v>
      </c>
      <c r="E16" s="497"/>
      <c r="F16" s="510">
        <f t="shared" ca="1" si="9"/>
        <v>28</v>
      </c>
      <c r="G16" s="497"/>
      <c r="H16" s="510" t="str">
        <f t="shared" si="10"/>
        <v/>
      </c>
      <c r="I16" s="497"/>
      <c r="J16" s="510" t="str">
        <f t="shared" si="11"/>
        <v/>
      </c>
      <c r="K16" s="497"/>
      <c r="L16" s="497"/>
      <c r="M16" s="497"/>
      <c r="N16" s="497"/>
      <c r="O16" s="497"/>
      <c r="P16" s="497"/>
      <c r="Q16" s="499">
        <v>16</v>
      </c>
      <c r="R16" s="499">
        <f t="shared" ca="1" si="0"/>
        <v>0.48376331076378609</v>
      </c>
      <c r="S16" s="499">
        <f t="shared" ca="1" si="1"/>
        <v>6.12585294387471E-2</v>
      </c>
      <c r="T16" s="499" t="str">
        <f t="shared" ca="1" si="6"/>
        <v/>
      </c>
      <c r="U16" s="499" t="str">
        <f t="shared" ca="1" si="7"/>
        <v/>
      </c>
      <c r="V16" s="499">
        <f t="shared" ref="V16:V79" ca="1" si="13">IF(Q16&lt;=$D$3,RANK(R16,$R$1:$U$100),"")</f>
        <v>21</v>
      </c>
      <c r="W16" s="499">
        <f t="shared" ref="W16:W79" ca="1" si="14">IF(Q16&lt;=$F$3,RANK(S16,$R$1:$U$100),"")</f>
        <v>35</v>
      </c>
      <c r="X16" s="499" t="str">
        <f t="shared" ref="X16:X79" si="15">IF(Q16&lt;=$H$3,RANK(T16,$R$1:$U$100),"")</f>
        <v/>
      </c>
      <c r="Y16" s="499" t="str">
        <f t="shared" ref="Y16:Y79" si="16">IF(Q16&lt;=$J$3,RANK(U16,$R$1:$U$100),"")</f>
        <v/>
      </c>
    </row>
    <row r="17" spans="1:25" x14ac:dyDescent="0.25">
      <c r="A17" s="497"/>
      <c r="B17" s="509">
        <f t="shared" si="12"/>
        <v>13</v>
      </c>
      <c r="C17" s="497"/>
      <c r="D17" s="510">
        <f t="shared" ca="1" si="8"/>
        <v>23</v>
      </c>
      <c r="E17" s="497"/>
      <c r="F17" s="510">
        <f t="shared" ca="1" si="9"/>
        <v>30</v>
      </c>
      <c r="G17" s="497"/>
      <c r="H17" s="510" t="str">
        <f t="shared" si="10"/>
        <v/>
      </c>
      <c r="I17" s="497"/>
      <c r="J17" s="510" t="str">
        <f t="shared" si="11"/>
        <v/>
      </c>
      <c r="K17" s="497"/>
      <c r="L17" s="497"/>
      <c r="M17" s="497"/>
      <c r="N17" s="497"/>
      <c r="O17" s="497"/>
      <c r="P17" s="497"/>
      <c r="Q17" s="499">
        <v>17</v>
      </c>
      <c r="R17" s="499">
        <f t="shared" ca="1" si="0"/>
        <v>0.18808392280997244</v>
      </c>
      <c r="S17" s="499">
        <f t="shared" ca="1" si="1"/>
        <v>3.7759310565378734E-2</v>
      </c>
      <c r="T17" s="499" t="str">
        <f t="shared" ca="1" si="6"/>
        <v/>
      </c>
      <c r="U17" s="499" t="str">
        <f t="shared" ca="1" si="7"/>
        <v/>
      </c>
      <c r="V17" s="499">
        <f t="shared" ca="1" si="13"/>
        <v>32</v>
      </c>
      <c r="W17" s="499">
        <f t="shared" ca="1" si="14"/>
        <v>37</v>
      </c>
      <c r="X17" s="499" t="str">
        <f t="shared" si="15"/>
        <v/>
      </c>
      <c r="Y17" s="499" t="str">
        <f t="shared" si="16"/>
        <v/>
      </c>
    </row>
    <row r="18" spans="1:25" x14ac:dyDescent="0.25">
      <c r="A18" s="497"/>
      <c r="B18" s="509">
        <f t="shared" si="12"/>
        <v>14</v>
      </c>
      <c r="C18" s="497"/>
      <c r="D18" s="510">
        <f t="shared" ca="1" si="8"/>
        <v>24</v>
      </c>
      <c r="E18" s="497"/>
      <c r="F18" s="510">
        <f t="shared" ca="1" si="9"/>
        <v>33</v>
      </c>
      <c r="G18" s="497"/>
      <c r="H18" s="510" t="str">
        <f t="shared" si="10"/>
        <v/>
      </c>
      <c r="I18" s="497"/>
      <c r="J18" s="510" t="str">
        <f t="shared" si="11"/>
        <v/>
      </c>
      <c r="K18" s="497"/>
      <c r="L18" s="497"/>
      <c r="M18" s="497"/>
      <c r="N18" s="497"/>
      <c r="O18" s="497"/>
      <c r="P18" s="497"/>
      <c r="Q18" s="499">
        <v>18</v>
      </c>
      <c r="R18" s="499">
        <f t="shared" ca="1" si="0"/>
        <v>0.54525418252581936</v>
      </c>
      <c r="S18" s="499">
        <f t="shared" ca="1" si="1"/>
        <v>0.36282041943998478</v>
      </c>
      <c r="T18" s="499" t="str">
        <f t="shared" ca="1" si="6"/>
        <v/>
      </c>
      <c r="U18" s="499" t="str">
        <f t="shared" ca="1" si="7"/>
        <v/>
      </c>
      <c r="V18" s="499">
        <f t="shared" ca="1" si="13"/>
        <v>18</v>
      </c>
      <c r="W18" s="499">
        <f t="shared" ca="1" si="14"/>
        <v>28</v>
      </c>
      <c r="X18" s="499" t="str">
        <f t="shared" si="15"/>
        <v/>
      </c>
      <c r="Y18" s="499" t="str">
        <f t="shared" si="16"/>
        <v/>
      </c>
    </row>
    <row r="19" spans="1:25" x14ac:dyDescent="0.25">
      <c r="A19" s="497"/>
      <c r="B19" s="509">
        <f t="shared" si="12"/>
        <v>15</v>
      </c>
      <c r="C19" s="497"/>
      <c r="D19" s="510">
        <f t="shared" ca="1" si="8"/>
        <v>25</v>
      </c>
      <c r="E19" s="497"/>
      <c r="F19" s="510">
        <f t="shared" ca="1" si="9"/>
        <v>35</v>
      </c>
      <c r="G19" s="497"/>
      <c r="H19" s="510" t="str">
        <f t="shared" si="10"/>
        <v/>
      </c>
      <c r="I19" s="497"/>
      <c r="J19" s="510" t="str">
        <f t="shared" si="11"/>
        <v/>
      </c>
      <c r="K19" s="497"/>
      <c r="L19" s="497"/>
      <c r="M19" s="497"/>
      <c r="N19" s="497"/>
      <c r="O19" s="497"/>
      <c r="P19" s="497"/>
      <c r="Q19" s="499">
        <v>19</v>
      </c>
      <c r="R19" s="499">
        <f t="shared" ca="1" si="0"/>
        <v>0.75003461031738217</v>
      </c>
      <c r="S19" s="499">
        <f t="shared" ca="1" si="1"/>
        <v>0.60429931242397794</v>
      </c>
      <c r="T19" s="499" t="str">
        <f t="shared" ca="1" si="6"/>
        <v/>
      </c>
      <c r="U19" s="499" t="str">
        <f t="shared" ca="1" si="7"/>
        <v/>
      </c>
      <c r="V19" s="499">
        <f t="shared" ca="1" si="13"/>
        <v>6</v>
      </c>
      <c r="W19" s="499">
        <f t="shared" ca="1" si="14"/>
        <v>14</v>
      </c>
      <c r="X19" s="499" t="str">
        <f t="shared" si="15"/>
        <v/>
      </c>
      <c r="Y19" s="499" t="str">
        <f t="shared" si="16"/>
        <v/>
      </c>
    </row>
    <row r="20" spans="1:25" x14ac:dyDescent="0.25">
      <c r="A20" s="497"/>
      <c r="B20" s="509">
        <f t="shared" si="12"/>
        <v>16</v>
      </c>
      <c r="C20" s="497"/>
      <c r="D20" s="510">
        <f t="shared" ca="1" si="8"/>
        <v>27</v>
      </c>
      <c r="E20" s="497"/>
      <c r="F20" s="510">
        <f t="shared" ca="1" si="9"/>
        <v>36</v>
      </c>
      <c r="G20" s="497"/>
      <c r="H20" s="510" t="str">
        <f t="shared" si="10"/>
        <v/>
      </c>
      <c r="I20" s="497"/>
      <c r="J20" s="510" t="str">
        <f t="shared" si="11"/>
        <v/>
      </c>
      <c r="K20" s="497"/>
      <c r="L20" s="497"/>
      <c r="M20" s="497"/>
      <c r="N20" s="497"/>
      <c r="O20" s="497"/>
      <c r="P20" s="497"/>
      <c r="Q20" s="499">
        <v>20</v>
      </c>
      <c r="R20" s="499">
        <f t="shared" ca="1" si="0"/>
        <v>0.52548558785469923</v>
      </c>
      <c r="S20" s="499">
        <f t="shared" ca="1" si="1"/>
        <v>0.7118785585086097</v>
      </c>
      <c r="T20" s="499" t="str">
        <f t="shared" ca="1" si="6"/>
        <v/>
      </c>
      <c r="U20" s="499" t="str">
        <f t="shared" ca="1" si="7"/>
        <v/>
      </c>
      <c r="V20" s="499">
        <f t="shared" ca="1" si="13"/>
        <v>19</v>
      </c>
      <c r="W20" s="499">
        <f t="shared" ca="1" si="14"/>
        <v>9</v>
      </c>
      <c r="X20" s="499" t="str">
        <f t="shared" si="15"/>
        <v/>
      </c>
      <c r="Y20" s="499" t="str">
        <f t="shared" si="16"/>
        <v/>
      </c>
    </row>
    <row r="21" spans="1:25" x14ac:dyDescent="0.25">
      <c r="A21" s="497"/>
      <c r="B21" s="509">
        <f t="shared" si="12"/>
        <v>17</v>
      </c>
      <c r="C21" s="497"/>
      <c r="D21" s="510">
        <f t="shared" ca="1" si="8"/>
        <v>29</v>
      </c>
      <c r="E21" s="497"/>
      <c r="F21" s="510">
        <f t="shared" ca="1" si="9"/>
        <v>37</v>
      </c>
      <c r="G21" s="497"/>
      <c r="H21" s="510" t="str">
        <f t="shared" si="10"/>
        <v/>
      </c>
      <c r="I21" s="497"/>
      <c r="J21" s="510" t="str">
        <f t="shared" si="11"/>
        <v/>
      </c>
      <c r="K21" s="497"/>
      <c r="L21" s="497"/>
      <c r="M21" s="497"/>
      <c r="N21" s="497"/>
      <c r="O21" s="497"/>
      <c r="P21" s="497"/>
      <c r="Q21" s="499">
        <v>21</v>
      </c>
      <c r="R21" s="499" t="str">
        <f t="shared" ref="R21:R84" ca="1" si="17">IF(Q21&lt;=$D$3,RAND(),"")</f>
        <v/>
      </c>
      <c r="S21" s="499" t="str">
        <f t="shared" ref="S21:S84" ca="1" si="18">IF(Q21&lt;=$F$3,RAND(),"")</f>
        <v/>
      </c>
      <c r="T21" s="499" t="str">
        <f t="shared" ca="1" si="6"/>
        <v/>
      </c>
      <c r="U21" s="499" t="str">
        <f t="shared" ca="1" si="7"/>
        <v/>
      </c>
      <c r="V21" s="499" t="str">
        <f t="shared" si="13"/>
        <v/>
      </c>
      <c r="W21" s="499" t="str">
        <f t="shared" si="14"/>
        <v/>
      </c>
      <c r="X21" s="499" t="str">
        <f t="shared" si="15"/>
        <v/>
      </c>
      <c r="Y21" s="499" t="str">
        <f t="shared" si="16"/>
        <v/>
      </c>
    </row>
    <row r="22" spans="1:25" x14ac:dyDescent="0.25">
      <c r="A22" s="497"/>
      <c r="B22" s="509">
        <f t="shared" si="12"/>
        <v>18</v>
      </c>
      <c r="C22" s="497"/>
      <c r="D22" s="510">
        <f t="shared" ca="1" si="8"/>
        <v>31</v>
      </c>
      <c r="E22" s="497"/>
      <c r="F22" s="510">
        <f t="shared" ca="1" si="9"/>
        <v>38</v>
      </c>
      <c r="G22" s="497"/>
      <c r="H22" s="510" t="str">
        <f t="shared" si="10"/>
        <v/>
      </c>
      <c r="I22" s="497"/>
      <c r="J22" s="510" t="str">
        <f t="shared" si="11"/>
        <v/>
      </c>
      <c r="K22" s="497"/>
      <c r="L22" s="497"/>
      <c r="M22" s="497"/>
      <c r="N22" s="497"/>
      <c r="O22" s="497"/>
      <c r="P22" s="497"/>
      <c r="Q22" s="499">
        <v>22</v>
      </c>
      <c r="R22" s="499" t="str">
        <f t="shared" ca="1" si="17"/>
        <v/>
      </c>
      <c r="S22" s="499" t="str">
        <f t="shared" ca="1" si="18"/>
        <v/>
      </c>
      <c r="T22" s="499" t="str">
        <f t="shared" ca="1" si="6"/>
        <v/>
      </c>
      <c r="U22" s="499" t="str">
        <f t="shared" ca="1" si="7"/>
        <v/>
      </c>
      <c r="V22" s="499" t="str">
        <f t="shared" si="13"/>
        <v/>
      </c>
      <c r="W22" s="499" t="str">
        <f t="shared" si="14"/>
        <v/>
      </c>
      <c r="X22" s="499" t="str">
        <f t="shared" si="15"/>
        <v/>
      </c>
      <c r="Y22" s="499" t="str">
        <f t="shared" si="16"/>
        <v/>
      </c>
    </row>
    <row r="23" spans="1:25" x14ac:dyDescent="0.25">
      <c r="A23" s="497"/>
      <c r="B23" s="509">
        <f t="shared" si="12"/>
        <v>19</v>
      </c>
      <c r="C23" s="497"/>
      <c r="D23" s="510">
        <f t="shared" ca="1" si="8"/>
        <v>32</v>
      </c>
      <c r="E23" s="497"/>
      <c r="F23" s="510">
        <f t="shared" ca="1" si="9"/>
        <v>39</v>
      </c>
      <c r="G23" s="497"/>
      <c r="H23" s="510" t="str">
        <f t="shared" si="10"/>
        <v/>
      </c>
      <c r="I23" s="497"/>
      <c r="J23" s="510" t="str">
        <f t="shared" si="11"/>
        <v/>
      </c>
      <c r="K23" s="497"/>
      <c r="L23" s="497"/>
      <c r="M23" s="497"/>
      <c r="N23" s="497"/>
      <c r="O23" s="497"/>
      <c r="P23" s="497"/>
      <c r="Q23" s="499">
        <v>23</v>
      </c>
      <c r="R23" s="499" t="str">
        <f t="shared" ca="1" si="17"/>
        <v/>
      </c>
      <c r="S23" s="499" t="str">
        <f t="shared" ca="1" si="18"/>
        <v/>
      </c>
      <c r="T23" s="499" t="str">
        <f t="shared" ca="1" si="6"/>
        <v/>
      </c>
      <c r="U23" s="499" t="str">
        <f t="shared" ca="1" si="7"/>
        <v/>
      </c>
      <c r="V23" s="499" t="str">
        <f t="shared" si="13"/>
        <v/>
      </c>
      <c r="W23" s="499" t="str">
        <f t="shared" si="14"/>
        <v/>
      </c>
      <c r="X23" s="499" t="str">
        <f t="shared" si="15"/>
        <v/>
      </c>
      <c r="Y23" s="499" t="str">
        <f t="shared" si="16"/>
        <v/>
      </c>
    </row>
    <row r="24" spans="1:25" x14ac:dyDescent="0.25">
      <c r="A24" s="497"/>
      <c r="B24" s="509">
        <f t="shared" si="12"/>
        <v>20</v>
      </c>
      <c r="C24" s="497"/>
      <c r="D24" s="510">
        <f t="shared" ca="1" si="8"/>
        <v>34</v>
      </c>
      <c r="E24" s="497"/>
      <c r="F24" s="510">
        <f t="shared" ca="1" si="9"/>
        <v>40</v>
      </c>
      <c r="G24" s="497"/>
      <c r="H24" s="510" t="str">
        <f t="shared" si="10"/>
        <v/>
      </c>
      <c r="I24" s="497"/>
      <c r="J24" s="510" t="str">
        <f t="shared" si="11"/>
        <v/>
      </c>
      <c r="K24" s="497"/>
      <c r="L24" s="497"/>
      <c r="M24" s="497"/>
      <c r="N24" s="497"/>
      <c r="O24" s="497"/>
      <c r="P24" s="497"/>
      <c r="Q24" s="499">
        <v>24</v>
      </c>
      <c r="R24" s="499" t="str">
        <f t="shared" ca="1" si="17"/>
        <v/>
      </c>
      <c r="S24" s="499" t="str">
        <f t="shared" ca="1" si="18"/>
        <v/>
      </c>
      <c r="T24" s="499" t="str">
        <f t="shared" ca="1" si="6"/>
        <v/>
      </c>
      <c r="U24" s="499" t="str">
        <f t="shared" ca="1" si="7"/>
        <v/>
      </c>
      <c r="V24" s="499" t="str">
        <f t="shared" si="13"/>
        <v/>
      </c>
      <c r="W24" s="499" t="str">
        <f t="shared" si="14"/>
        <v/>
      </c>
      <c r="X24" s="499" t="str">
        <f t="shared" si="15"/>
        <v/>
      </c>
      <c r="Y24" s="499" t="str">
        <f t="shared" si="16"/>
        <v/>
      </c>
    </row>
    <row r="25" spans="1:25" x14ac:dyDescent="0.25">
      <c r="A25" s="497"/>
      <c r="B25" s="509" t="str">
        <f t="shared" si="12"/>
        <v/>
      </c>
      <c r="C25" s="497"/>
      <c r="D25" s="510" t="str">
        <f t="shared" si="8"/>
        <v/>
      </c>
      <c r="E25" s="497"/>
      <c r="F25" s="510" t="str">
        <f t="shared" si="9"/>
        <v/>
      </c>
      <c r="G25" s="497"/>
      <c r="H25" s="510" t="str">
        <f t="shared" si="10"/>
        <v/>
      </c>
      <c r="I25" s="497"/>
      <c r="J25" s="510" t="str">
        <f t="shared" si="11"/>
        <v/>
      </c>
      <c r="K25" s="497"/>
      <c r="L25" s="497"/>
      <c r="M25" s="497"/>
      <c r="N25" s="497"/>
      <c r="O25" s="497"/>
      <c r="P25" s="497"/>
      <c r="Q25" s="499">
        <v>25</v>
      </c>
      <c r="R25" s="499" t="str">
        <f t="shared" ca="1" si="17"/>
        <v/>
      </c>
      <c r="S25" s="499" t="str">
        <f t="shared" ca="1" si="18"/>
        <v/>
      </c>
      <c r="T25" s="499" t="str">
        <f t="shared" ca="1" si="6"/>
        <v/>
      </c>
      <c r="U25" s="499" t="str">
        <f t="shared" ca="1" si="7"/>
        <v/>
      </c>
      <c r="V25" s="499" t="str">
        <f t="shared" si="13"/>
        <v/>
      </c>
      <c r="W25" s="499" t="str">
        <f t="shared" si="14"/>
        <v/>
      </c>
      <c r="X25" s="499" t="str">
        <f t="shared" si="15"/>
        <v/>
      </c>
      <c r="Y25" s="499" t="str">
        <f t="shared" si="16"/>
        <v/>
      </c>
    </row>
    <row r="26" spans="1:25" x14ac:dyDescent="0.25">
      <c r="A26" s="497"/>
      <c r="B26" s="509" t="str">
        <f t="shared" si="12"/>
        <v/>
      </c>
      <c r="C26" s="497"/>
      <c r="D26" s="510" t="str">
        <f t="shared" si="8"/>
        <v/>
      </c>
      <c r="E26" s="497"/>
      <c r="F26" s="510" t="str">
        <f t="shared" si="9"/>
        <v/>
      </c>
      <c r="G26" s="497"/>
      <c r="H26" s="510" t="str">
        <f t="shared" si="10"/>
        <v/>
      </c>
      <c r="I26" s="497"/>
      <c r="J26" s="510" t="str">
        <f t="shared" si="11"/>
        <v/>
      </c>
      <c r="K26" s="497"/>
      <c r="L26" s="497"/>
      <c r="M26" s="497"/>
      <c r="N26" s="497"/>
      <c r="O26" s="497"/>
      <c r="P26" s="497"/>
      <c r="Q26" s="499">
        <v>26</v>
      </c>
      <c r="R26" s="499" t="str">
        <f t="shared" ca="1" si="17"/>
        <v/>
      </c>
      <c r="S26" s="499" t="str">
        <f t="shared" ca="1" si="18"/>
        <v/>
      </c>
      <c r="T26" s="499" t="str">
        <f t="shared" ca="1" si="6"/>
        <v/>
      </c>
      <c r="U26" s="499" t="str">
        <f t="shared" ca="1" si="7"/>
        <v/>
      </c>
      <c r="V26" s="499" t="str">
        <f t="shared" si="13"/>
        <v/>
      </c>
      <c r="W26" s="499" t="str">
        <f t="shared" si="14"/>
        <v/>
      </c>
      <c r="X26" s="499" t="str">
        <f t="shared" si="15"/>
        <v/>
      </c>
      <c r="Y26" s="499" t="str">
        <f t="shared" si="16"/>
        <v/>
      </c>
    </row>
    <row r="27" spans="1:25" x14ac:dyDescent="0.25">
      <c r="A27" s="497"/>
      <c r="B27" s="509" t="str">
        <f t="shared" si="12"/>
        <v/>
      </c>
      <c r="C27" s="497"/>
      <c r="D27" s="510" t="str">
        <f t="shared" si="8"/>
        <v/>
      </c>
      <c r="E27" s="497"/>
      <c r="F27" s="510" t="str">
        <f t="shared" si="9"/>
        <v/>
      </c>
      <c r="G27" s="497"/>
      <c r="H27" s="510" t="str">
        <f t="shared" si="10"/>
        <v/>
      </c>
      <c r="I27" s="497"/>
      <c r="J27" s="510" t="str">
        <f t="shared" si="11"/>
        <v/>
      </c>
      <c r="K27" s="497"/>
      <c r="L27" s="497"/>
      <c r="M27" s="497"/>
      <c r="N27" s="497"/>
      <c r="O27" s="497"/>
      <c r="P27" s="497"/>
      <c r="Q27" s="499">
        <v>27</v>
      </c>
      <c r="R27" s="499" t="str">
        <f t="shared" ca="1" si="17"/>
        <v/>
      </c>
      <c r="S27" s="499" t="str">
        <f t="shared" ca="1" si="18"/>
        <v/>
      </c>
      <c r="T27" s="499" t="str">
        <f t="shared" ca="1" si="6"/>
        <v/>
      </c>
      <c r="U27" s="499" t="str">
        <f t="shared" ca="1" si="7"/>
        <v/>
      </c>
      <c r="V27" s="499" t="str">
        <f t="shared" si="13"/>
        <v/>
      </c>
      <c r="W27" s="499" t="str">
        <f t="shared" si="14"/>
        <v/>
      </c>
      <c r="X27" s="499" t="str">
        <f t="shared" si="15"/>
        <v/>
      </c>
      <c r="Y27" s="499" t="str">
        <f t="shared" si="16"/>
        <v/>
      </c>
    </row>
    <row r="28" spans="1:25" x14ac:dyDescent="0.25">
      <c r="A28" s="497"/>
      <c r="B28" s="509" t="str">
        <f t="shared" si="12"/>
        <v/>
      </c>
      <c r="C28" s="497"/>
      <c r="D28" s="510" t="str">
        <f t="shared" si="8"/>
        <v/>
      </c>
      <c r="E28" s="497"/>
      <c r="F28" s="510" t="str">
        <f t="shared" si="9"/>
        <v/>
      </c>
      <c r="G28" s="497"/>
      <c r="H28" s="510" t="str">
        <f t="shared" si="10"/>
        <v/>
      </c>
      <c r="I28" s="497"/>
      <c r="J28" s="510" t="str">
        <f t="shared" si="11"/>
        <v/>
      </c>
      <c r="K28" s="497"/>
      <c r="L28" s="497"/>
      <c r="M28" s="497"/>
      <c r="N28" s="497"/>
      <c r="O28" s="497"/>
      <c r="P28" s="497"/>
      <c r="Q28" s="499">
        <v>28</v>
      </c>
      <c r="R28" s="499" t="str">
        <f t="shared" ca="1" si="17"/>
        <v/>
      </c>
      <c r="S28" s="499" t="str">
        <f t="shared" ca="1" si="18"/>
        <v/>
      </c>
      <c r="T28" s="499" t="str">
        <f t="shared" ca="1" si="6"/>
        <v/>
      </c>
      <c r="U28" s="499" t="str">
        <f t="shared" ca="1" si="7"/>
        <v/>
      </c>
      <c r="V28" s="499" t="str">
        <f t="shared" si="13"/>
        <v/>
      </c>
      <c r="W28" s="499" t="str">
        <f t="shared" si="14"/>
        <v/>
      </c>
      <c r="X28" s="499" t="str">
        <f t="shared" si="15"/>
        <v/>
      </c>
      <c r="Y28" s="499" t="str">
        <f t="shared" si="16"/>
        <v/>
      </c>
    </row>
    <row r="29" spans="1:25" x14ac:dyDescent="0.25">
      <c r="A29" s="497"/>
      <c r="B29" s="509" t="str">
        <f t="shared" si="12"/>
        <v/>
      </c>
      <c r="C29" s="497"/>
      <c r="D29" s="510" t="str">
        <f t="shared" si="8"/>
        <v/>
      </c>
      <c r="E29" s="497"/>
      <c r="F29" s="510" t="str">
        <f t="shared" si="9"/>
        <v/>
      </c>
      <c r="G29" s="497"/>
      <c r="H29" s="510" t="str">
        <f t="shared" si="10"/>
        <v/>
      </c>
      <c r="I29" s="497"/>
      <c r="J29" s="510" t="str">
        <f t="shared" si="11"/>
        <v/>
      </c>
      <c r="K29" s="497"/>
      <c r="L29" s="497"/>
      <c r="M29" s="497"/>
      <c r="N29" s="497"/>
      <c r="O29" s="497"/>
      <c r="P29" s="497"/>
      <c r="Q29" s="499">
        <v>29</v>
      </c>
      <c r="R29" s="499" t="str">
        <f t="shared" ca="1" si="17"/>
        <v/>
      </c>
      <c r="S29" s="499" t="str">
        <f t="shared" ca="1" si="18"/>
        <v/>
      </c>
      <c r="T29" s="499" t="str">
        <f t="shared" ca="1" si="6"/>
        <v/>
      </c>
      <c r="U29" s="499" t="str">
        <f t="shared" ca="1" si="7"/>
        <v/>
      </c>
      <c r="V29" s="499" t="str">
        <f t="shared" si="13"/>
        <v/>
      </c>
      <c r="W29" s="499" t="str">
        <f t="shared" si="14"/>
        <v/>
      </c>
      <c r="X29" s="499" t="str">
        <f t="shared" si="15"/>
        <v/>
      </c>
      <c r="Y29" s="499" t="str">
        <f t="shared" si="16"/>
        <v/>
      </c>
    </row>
    <row r="30" spans="1:25" x14ac:dyDescent="0.25">
      <c r="A30" s="497"/>
      <c r="B30" s="509" t="str">
        <f t="shared" si="12"/>
        <v/>
      </c>
      <c r="C30" s="497"/>
      <c r="D30" s="510" t="str">
        <f t="shared" si="8"/>
        <v/>
      </c>
      <c r="E30" s="497"/>
      <c r="F30" s="510" t="str">
        <f t="shared" si="9"/>
        <v/>
      </c>
      <c r="G30" s="497"/>
      <c r="H30" s="510" t="str">
        <f t="shared" si="10"/>
        <v/>
      </c>
      <c r="I30" s="497"/>
      <c r="J30" s="510" t="str">
        <f t="shared" si="11"/>
        <v/>
      </c>
      <c r="K30" s="497"/>
      <c r="L30" s="497"/>
      <c r="M30" s="497"/>
      <c r="N30" s="497"/>
      <c r="O30" s="497"/>
      <c r="P30" s="497"/>
      <c r="Q30" s="499">
        <v>30</v>
      </c>
      <c r="R30" s="499" t="str">
        <f t="shared" ca="1" si="17"/>
        <v/>
      </c>
      <c r="S30" s="499" t="str">
        <f t="shared" ca="1" si="18"/>
        <v/>
      </c>
      <c r="T30" s="499" t="str">
        <f t="shared" ca="1" si="6"/>
        <v/>
      </c>
      <c r="U30" s="499" t="str">
        <f t="shared" ca="1" si="7"/>
        <v/>
      </c>
      <c r="V30" s="499" t="str">
        <f t="shared" si="13"/>
        <v/>
      </c>
      <c r="W30" s="499" t="str">
        <f t="shared" si="14"/>
        <v/>
      </c>
      <c r="X30" s="499" t="str">
        <f t="shared" si="15"/>
        <v/>
      </c>
      <c r="Y30" s="499" t="str">
        <f t="shared" si="16"/>
        <v/>
      </c>
    </row>
    <row r="31" spans="1:25" x14ac:dyDescent="0.25">
      <c r="A31" s="497"/>
      <c r="B31" s="509" t="str">
        <f t="shared" si="12"/>
        <v/>
      </c>
      <c r="C31" s="497"/>
      <c r="D31" s="510" t="str">
        <f t="shared" si="8"/>
        <v/>
      </c>
      <c r="E31" s="497"/>
      <c r="F31" s="510" t="str">
        <f t="shared" si="9"/>
        <v/>
      </c>
      <c r="G31" s="497"/>
      <c r="H31" s="510" t="str">
        <f t="shared" si="10"/>
        <v/>
      </c>
      <c r="I31" s="497"/>
      <c r="J31" s="510" t="str">
        <f t="shared" si="11"/>
        <v/>
      </c>
      <c r="K31" s="497"/>
      <c r="L31" s="497"/>
      <c r="M31" s="497"/>
      <c r="N31" s="497"/>
      <c r="O31" s="497"/>
      <c r="P31" s="497"/>
      <c r="Q31" s="499">
        <v>31</v>
      </c>
      <c r="R31" s="499" t="str">
        <f t="shared" ca="1" si="17"/>
        <v/>
      </c>
      <c r="S31" s="499" t="str">
        <f t="shared" ca="1" si="18"/>
        <v/>
      </c>
      <c r="T31" s="499" t="str">
        <f t="shared" ca="1" si="6"/>
        <v/>
      </c>
      <c r="U31" s="499" t="str">
        <f t="shared" ca="1" si="7"/>
        <v/>
      </c>
      <c r="V31" s="499" t="str">
        <f t="shared" si="13"/>
        <v/>
      </c>
      <c r="W31" s="499" t="str">
        <f t="shared" si="14"/>
        <v/>
      </c>
      <c r="X31" s="499" t="str">
        <f t="shared" si="15"/>
        <v/>
      </c>
      <c r="Y31" s="499" t="str">
        <f t="shared" si="16"/>
        <v/>
      </c>
    </row>
    <row r="32" spans="1:25" x14ac:dyDescent="0.25">
      <c r="A32" s="497"/>
      <c r="B32" s="509" t="str">
        <f t="shared" si="12"/>
        <v/>
      </c>
      <c r="C32" s="497"/>
      <c r="D32" s="510" t="str">
        <f t="shared" si="8"/>
        <v/>
      </c>
      <c r="E32" s="497"/>
      <c r="F32" s="510" t="str">
        <f t="shared" si="9"/>
        <v/>
      </c>
      <c r="G32" s="497"/>
      <c r="H32" s="510" t="str">
        <f t="shared" si="10"/>
        <v/>
      </c>
      <c r="I32" s="497"/>
      <c r="J32" s="510" t="str">
        <f t="shared" si="11"/>
        <v/>
      </c>
      <c r="K32" s="497"/>
      <c r="L32" s="497"/>
      <c r="M32" s="497"/>
      <c r="N32" s="497"/>
      <c r="O32" s="497"/>
      <c r="P32" s="497"/>
      <c r="Q32" s="499">
        <v>32</v>
      </c>
      <c r="R32" s="499" t="str">
        <f t="shared" ca="1" si="17"/>
        <v/>
      </c>
      <c r="S32" s="499" t="str">
        <f t="shared" ca="1" si="18"/>
        <v/>
      </c>
      <c r="T32" s="499" t="str">
        <f t="shared" ca="1" si="6"/>
        <v/>
      </c>
      <c r="U32" s="499" t="str">
        <f t="shared" ca="1" si="7"/>
        <v/>
      </c>
      <c r="V32" s="499" t="str">
        <f t="shared" si="13"/>
        <v/>
      </c>
      <c r="W32" s="499" t="str">
        <f t="shared" si="14"/>
        <v/>
      </c>
      <c r="X32" s="499" t="str">
        <f t="shared" si="15"/>
        <v/>
      </c>
      <c r="Y32" s="499" t="str">
        <f t="shared" si="16"/>
        <v/>
      </c>
    </row>
    <row r="33" spans="1:25" x14ac:dyDescent="0.25">
      <c r="A33" s="497"/>
      <c r="B33" s="509" t="str">
        <f t="shared" si="12"/>
        <v/>
      </c>
      <c r="C33" s="497"/>
      <c r="D33" s="510" t="str">
        <f t="shared" si="8"/>
        <v/>
      </c>
      <c r="E33" s="497"/>
      <c r="F33" s="510" t="str">
        <f t="shared" si="9"/>
        <v/>
      </c>
      <c r="G33" s="497"/>
      <c r="H33" s="510" t="str">
        <f t="shared" si="10"/>
        <v/>
      </c>
      <c r="I33" s="497"/>
      <c r="J33" s="510" t="str">
        <f t="shared" si="11"/>
        <v/>
      </c>
      <c r="K33" s="497"/>
      <c r="L33" s="497"/>
      <c r="M33" s="497"/>
      <c r="N33" s="497"/>
      <c r="O33" s="497"/>
      <c r="P33" s="497"/>
      <c r="Q33" s="499">
        <v>33</v>
      </c>
      <c r="R33" s="499" t="str">
        <f t="shared" ca="1" si="17"/>
        <v/>
      </c>
      <c r="S33" s="499" t="str">
        <f t="shared" ca="1" si="18"/>
        <v/>
      </c>
      <c r="T33" s="499" t="str">
        <f t="shared" ca="1" si="6"/>
        <v/>
      </c>
      <c r="U33" s="499" t="str">
        <f t="shared" ca="1" si="7"/>
        <v/>
      </c>
      <c r="V33" s="499" t="str">
        <f t="shared" si="13"/>
        <v/>
      </c>
      <c r="W33" s="499" t="str">
        <f t="shared" si="14"/>
        <v/>
      </c>
      <c r="X33" s="499" t="str">
        <f t="shared" si="15"/>
        <v/>
      </c>
      <c r="Y33" s="499" t="str">
        <f t="shared" si="16"/>
        <v/>
      </c>
    </row>
    <row r="34" spans="1:25" x14ac:dyDescent="0.25">
      <c r="A34" s="497"/>
      <c r="B34" s="509" t="str">
        <f t="shared" si="12"/>
        <v/>
      </c>
      <c r="C34" s="497"/>
      <c r="D34" s="510" t="str">
        <f t="shared" si="8"/>
        <v/>
      </c>
      <c r="E34" s="497"/>
      <c r="F34" s="510" t="str">
        <f t="shared" si="9"/>
        <v/>
      </c>
      <c r="G34" s="497"/>
      <c r="H34" s="510" t="str">
        <f t="shared" si="10"/>
        <v/>
      </c>
      <c r="I34" s="497"/>
      <c r="J34" s="510" t="str">
        <f t="shared" si="11"/>
        <v/>
      </c>
      <c r="K34" s="497"/>
      <c r="L34" s="497"/>
      <c r="M34" s="497"/>
      <c r="N34" s="497"/>
      <c r="O34" s="497"/>
      <c r="P34" s="497"/>
      <c r="Q34" s="499">
        <v>34</v>
      </c>
      <c r="R34" s="499" t="str">
        <f t="shared" ca="1" si="17"/>
        <v/>
      </c>
      <c r="S34" s="499" t="str">
        <f t="shared" ca="1" si="18"/>
        <v/>
      </c>
      <c r="T34" s="499" t="str">
        <f t="shared" ca="1" si="6"/>
        <v/>
      </c>
      <c r="U34" s="499" t="str">
        <f t="shared" ca="1" si="7"/>
        <v/>
      </c>
      <c r="V34" s="499" t="str">
        <f t="shared" si="13"/>
        <v/>
      </c>
      <c r="W34" s="499" t="str">
        <f t="shared" si="14"/>
        <v/>
      </c>
      <c r="X34" s="499" t="str">
        <f t="shared" si="15"/>
        <v/>
      </c>
      <c r="Y34" s="499" t="str">
        <f t="shared" si="16"/>
        <v/>
      </c>
    </row>
    <row r="35" spans="1:25" x14ac:dyDescent="0.25">
      <c r="A35" s="497"/>
      <c r="B35" s="509" t="str">
        <f t="shared" si="12"/>
        <v/>
      </c>
      <c r="C35" s="497"/>
      <c r="D35" s="510" t="str">
        <f t="shared" si="8"/>
        <v/>
      </c>
      <c r="E35" s="497"/>
      <c r="F35" s="510" t="str">
        <f t="shared" si="9"/>
        <v/>
      </c>
      <c r="G35" s="497"/>
      <c r="H35" s="510" t="str">
        <f t="shared" si="10"/>
        <v/>
      </c>
      <c r="I35" s="497"/>
      <c r="J35" s="510" t="str">
        <f t="shared" si="11"/>
        <v/>
      </c>
      <c r="K35" s="497"/>
      <c r="L35" s="497"/>
      <c r="M35" s="497"/>
      <c r="N35" s="497"/>
      <c r="O35" s="497"/>
      <c r="P35" s="497"/>
      <c r="Q35" s="499">
        <v>35</v>
      </c>
      <c r="R35" s="499" t="str">
        <f t="shared" ca="1" si="17"/>
        <v/>
      </c>
      <c r="S35" s="499" t="str">
        <f t="shared" ca="1" si="18"/>
        <v/>
      </c>
      <c r="T35" s="499" t="str">
        <f t="shared" ca="1" si="6"/>
        <v/>
      </c>
      <c r="U35" s="499" t="str">
        <f t="shared" ca="1" si="7"/>
        <v/>
      </c>
      <c r="V35" s="499" t="str">
        <f t="shared" si="13"/>
        <v/>
      </c>
      <c r="W35" s="499" t="str">
        <f t="shared" si="14"/>
        <v/>
      </c>
      <c r="X35" s="499" t="str">
        <f t="shared" si="15"/>
        <v/>
      </c>
      <c r="Y35" s="499" t="str">
        <f t="shared" si="16"/>
        <v/>
      </c>
    </row>
    <row r="36" spans="1:25" x14ac:dyDescent="0.25">
      <c r="A36" s="497"/>
      <c r="B36" s="509" t="str">
        <f t="shared" si="12"/>
        <v/>
      </c>
      <c r="C36" s="497"/>
      <c r="D36" s="510" t="str">
        <f t="shared" si="8"/>
        <v/>
      </c>
      <c r="E36" s="497"/>
      <c r="F36" s="510" t="str">
        <f t="shared" si="9"/>
        <v/>
      </c>
      <c r="G36" s="497"/>
      <c r="H36" s="510" t="str">
        <f t="shared" si="10"/>
        <v/>
      </c>
      <c r="I36" s="497"/>
      <c r="J36" s="510" t="str">
        <f t="shared" si="11"/>
        <v/>
      </c>
      <c r="K36" s="497"/>
      <c r="L36" s="497"/>
      <c r="M36" s="497"/>
      <c r="N36" s="497"/>
      <c r="O36" s="497"/>
      <c r="P36" s="497"/>
      <c r="Q36" s="499">
        <v>36</v>
      </c>
      <c r="R36" s="499" t="str">
        <f t="shared" ca="1" si="17"/>
        <v/>
      </c>
      <c r="S36" s="499" t="str">
        <f t="shared" ca="1" si="18"/>
        <v/>
      </c>
      <c r="T36" s="499" t="str">
        <f t="shared" ca="1" si="6"/>
        <v/>
      </c>
      <c r="U36" s="499" t="str">
        <f t="shared" ca="1" si="7"/>
        <v/>
      </c>
      <c r="V36" s="499" t="str">
        <f t="shared" si="13"/>
        <v/>
      </c>
      <c r="W36" s="499" t="str">
        <f t="shared" si="14"/>
        <v/>
      </c>
      <c r="X36" s="499" t="str">
        <f t="shared" si="15"/>
        <v/>
      </c>
      <c r="Y36" s="499" t="str">
        <f t="shared" si="16"/>
        <v/>
      </c>
    </row>
    <row r="37" spans="1:25" x14ac:dyDescent="0.25">
      <c r="A37" s="497"/>
      <c r="B37" s="509" t="str">
        <f t="shared" si="12"/>
        <v/>
      </c>
      <c r="C37" s="497"/>
      <c r="D37" s="510" t="str">
        <f t="shared" si="8"/>
        <v/>
      </c>
      <c r="E37" s="497"/>
      <c r="F37" s="510" t="str">
        <f t="shared" si="9"/>
        <v/>
      </c>
      <c r="G37" s="497"/>
      <c r="H37" s="510" t="str">
        <f t="shared" si="10"/>
        <v/>
      </c>
      <c r="I37" s="497"/>
      <c r="J37" s="510" t="str">
        <f t="shared" si="11"/>
        <v/>
      </c>
      <c r="K37" s="497"/>
      <c r="L37" s="497"/>
      <c r="M37" s="497"/>
      <c r="N37" s="497"/>
      <c r="O37" s="497"/>
      <c r="P37" s="497"/>
      <c r="Q37" s="499">
        <v>37</v>
      </c>
      <c r="R37" s="499" t="str">
        <f t="shared" ca="1" si="17"/>
        <v/>
      </c>
      <c r="S37" s="499" t="str">
        <f t="shared" ca="1" si="18"/>
        <v/>
      </c>
      <c r="T37" s="499" t="str">
        <f t="shared" ca="1" si="6"/>
        <v/>
      </c>
      <c r="U37" s="499" t="str">
        <f t="shared" ca="1" si="7"/>
        <v/>
      </c>
      <c r="V37" s="499" t="str">
        <f t="shared" si="13"/>
        <v/>
      </c>
      <c r="W37" s="499" t="str">
        <f t="shared" si="14"/>
        <v/>
      </c>
      <c r="X37" s="499" t="str">
        <f t="shared" si="15"/>
        <v/>
      </c>
      <c r="Y37" s="499" t="str">
        <f t="shared" si="16"/>
        <v/>
      </c>
    </row>
    <row r="38" spans="1:25" x14ac:dyDescent="0.25">
      <c r="A38" s="497"/>
      <c r="B38" s="509" t="str">
        <f t="shared" si="12"/>
        <v/>
      </c>
      <c r="C38" s="497"/>
      <c r="D38" s="510" t="str">
        <f t="shared" si="8"/>
        <v/>
      </c>
      <c r="E38" s="497"/>
      <c r="F38" s="510" t="str">
        <f t="shared" si="9"/>
        <v/>
      </c>
      <c r="G38" s="497"/>
      <c r="H38" s="510" t="str">
        <f t="shared" si="10"/>
        <v/>
      </c>
      <c r="I38" s="497"/>
      <c r="J38" s="510" t="str">
        <f t="shared" si="11"/>
        <v/>
      </c>
      <c r="K38" s="497"/>
      <c r="L38" s="497"/>
      <c r="M38" s="497"/>
      <c r="N38" s="497"/>
      <c r="O38" s="497"/>
      <c r="P38" s="497"/>
      <c r="Q38" s="499">
        <v>38</v>
      </c>
      <c r="R38" s="499" t="str">
        <f t="shared" ca="1" si="17"/>
        <v/>
      </c>
      <c r="S38" s="499" t="str">
        <f t="shared" ca="1" si="18"/>
        <v/>
      </c>
      <c r="T38" s="499" t="str">
        <f t="shared" ca="1" si="6"/>
        <v/>
      </c>
      <c r="U38" s="499" t="str">
        <f t="shared" ca="1" si="7"/>
        <v/>
      </c>
      <c r="V38" s="499" t="str">
        <f t="shared" si="13"/>
        <v/>
      </c>
      <c r="W38" s="499" t="str">
        <f t="shared" si="14"/>
        <v/>
      </c>
      <c r="X38" s="499" t="str">
        <f t="shared" si="15"/>
        <v/>
      </c>
      <c r="Y38" s="499" t="str">
        <f t="shared" si="16"/>
        <v/>
      </c>
    </row>
    <row r="39" spans="1:25" x14ac:dyDescent="0.25">
      <c r="A39" s="497"/>
      <c r="B39" s="509" t="str">
        <f t="shared" si="12"/>
        <v/>
      </c>
      <c r="C39" s="497"/>
      <c r="D39" s="510" t="str">
        <f t="shared" si="8"/>
        <v/>
      </c>
      <c r="E39" s="497"/>
      <c r="F39" s="510" t="str">
        <f t="shared" si="9"/>
        <v/>
      </c>
      <c r="G39" s="497"/>
      <c r="H39" s="510" t="str">
        <f t="shared" si="10"/>
        <v/>
      </c>
      <c r="I39" s="497"/>
      <c r="J39" s="510" t="str">
        <f t="shared" si="11"/>
        <v/>
      </c>
      <c r="K39" s="497"/>
      <c r="L39" s="497"/>
      <c r="M39" s="497"/>
      <c r="N39" s="497"/>
      <c r="O39" s="497"/>
      <c r="P39" s="497"/>
      <c r="Q39" s="499">
        <v>39</v>
      </c>
      <c r="R39" s="499" t="str">
        <f t="shared" ca="1" si="17"/>
        <v/>
      </c>
      <c r="S39" s="499" t="str">
        <f t="shared" ca="1" si="18"/>
        <v/>
      </c>
      <c r="T39" s="499" t="str">
        <f t="shared" ca="1" si="6"/>
        <v/>
      </c>
      <c r="U39" s="499" t="str">
        <f t="shared" ca="1" si="7"/>
        <v/>
      </c>
      <c r="V39" s="499" t="str">
        <f t="shared" si="13"/>
        <v/>
      </c>
      <c r="W39" s="499" t="str">
        <f t="shared" si="14"/>
        <v/>
      </c>
      <c r="X39" s="499" t="str">
        <f t="shared" si="15"/>
        <v/>
      </c>
      <c r="Y39" s="499" t="str">
        <f t="shared" si="16"/>
        <v/>
      </c>
    </row>
    <row r="40" spans="1:25" x14ac:dyDescent="0.25">
      <c r="A40" s="497"/>
      <c r="B40" s="509" t="str">
        <f t="shared" si="12"/>
        <v/>
      </c>
      <c r="C40" s="497"/>
      <c r="D40" s="510" t="str">
        <f t="shared" si="8"/>
        <v/>
      </c>
      <c r="E40" s="497"/>
      <c r="F40" s="510" t="str">
        <f t="shared" si="9"/>
        <v/>
      </c>
      <c r="G40" s="497"/>
      <c r="H40" s="510" t="str">
        <f t="shared" si="10"/>
        <v/>
      </c>
      <c r="I40" s="497"/>
      <c r="J40" s="510" t="str">
        <f t="shared" si="11"/>
        <v/>
      </c>
      <c r="K40" s="497"/>
      <c r="L40" s="497"/>
      <c r="M40" s="497"/>
      <c r="N40" s="497"/>
      <c r="O40" s="497"/>
      <c r="P40" s="497"/>
      <c r="Q40" s="499">
        <v>40</v>
      </c>
      <c r="R40" s="499" t="str">
        <f t="shared" ca="1" si="17"/>
        <v/>
      </c>
      <c r="S40" s="499" t="str">
        <f t="shared" ca="1" si="18"/>
        <v/>
      </c>
      <c r="T40" s="499" t="str">
        <f t="shared" ca="1" si="6"/>
        <v/>
      </c>
      <c r="U40" s="499" t="str">
        <f t="shared" ca="1" si="7"/>
        <v/>
      </c>
      <c r="V40" s="499" t="str">
        <f t="shared" si="13"/>
        <v/>
      </c>
      <c r="W40" s="499" t="str">
        <f t="shared" si="14"/>
        <v/>
      </c>
      <c r="X40" s="499" t="str">
        <f t="shared" si="15"/>
        <v/>
      </c>
      <c r="Y40" s="499" t="str">
        <f t="shared" si="16"/>
        <v/>
      </c>
    </row>
    <row r="41" spans="1:25" x14ac:dyDescent="0.25">
      <c r="A41" s="497"/>
      <c r="B41" s="509" t="str">
        <f t="shared" si="12"/>
        <v/>
      </c>
      <c r="C41" s="497"/>
      <c r="D41" s="510" t="str">
        <f t="shared" si="8"/>
        <v/>
      </c>
      <c r="E41" s="497"/>
      <c r="F41" s="510" t="str">
        <f t="shared" si="9"/>
        <v/>
      </c>
      <c r="G41" s="497"/>
      <c r="H41" s="510" t="str">
        <f t="shared" si="10"/>
        <v/>
      </c>
      <c r="I41" s="497"/>
      <c r="J41" s="510" t="str">
        <f t="shared" si="11"/>
        <v/>
      </c>
      <c r="K41" s="497"/>
      <c r="L41" s="497"/>
      <c r="M41" s="497"/>
      <c r="N41" s="497"/>
      <c r="O41" s="497"/>
      <c r="P41" s="497"/>
      <c r="Q41" s="499">
        <v>41</v>
      </c>
      <c r="R41" s="499" t="str">
        <f t="shared" ca="1" si="17"/>
        <v/>
      </c>
      <c r="S41" s="499" t="str">
        <f t="shared" ca="1" si="18"/>
        <v/>
      </c>
      <c r="T41" s="499" t="str">
        <f t="shared" ca="1" si="6"/>
        <v/>
      </c>
      <c r="U41" s="499" t="str">
        <f t="shared" ca="1" si="7"/>
        <v/>
      </c>
      <c r="V41" s="499" t="str">
        <f t="shared" si="13"/>
        <v/>
      </c>
      <c r="W41" s="499" t="str">
        <f t="shared" si="14"/>
        <v/>
      </c>
      <c r="X41" s="499" t="str">
        <f t="shared" si="15"/>
        <v/>
      </c>
      <c r="Y41" s="499" t="str">
        <f t="shared" si="16"/>
        <v/>
      </c>
    </row>
    <row r="42" spans="1:25" x14ac:dyDescent="0.25">
      <c r="A42" s="497"/>
      <c r="B42" s="509" t="str">
        <f t="shared" si="12"/>
        <v/>
      </c>
      <c r="C42" s="497"/>
      <c r="D42" s="510" t="str">
        <f t="shared" si="8"/>
        <v/>
      </c>
      <c r="E42" s="497"/>
      <c r="F42" s="510" t="str">
        <f t="shared" si="9"/>
        <v/>
      </c>
      <c r="G42" s="497"/>
      <c r="H42" s="510" t="str">
        <f t="shared" si="10"/>
        <v/>
      </c>
      <c r="I42" s="497"/>
      <c r="J42" s="510" t="str">
        <f t="shared" si="11"/>
        <v/>
      </c>
      <c r="K42" s="497"/>
      <c r="L42" s="497"/>
      <c r="M42" s="497"/>
      <c r="N42" s="497"/>
      <c r="O42" s="497"/>
      <c r="P42" s="497"/>
      <c r="Q42" s="499">
        <v>42</v>
      </c>
      <c r="R42" s="499" t="str">
        <f t="shared" ca="1" si="17"/>
        <v/>
      </c>
      <c r="S42" s="499" t="str">
        <f t="shared" ca="1" si="18"/>
        <v/>
      </c>
      <c r="T42" s="499" t="str">
        <f t="shared" ca="1" si="6"/>
        <v/>
      </c>
      <c r="U42" s="499" t="str">
        <f t="shared" ca="1" si="7"/>
        <v/>
      </c>
      <c r="V42" s="499" t="str">
        <f t="shared" si="13"/>
        <v/>
      </c>
      <c r="W42" s="499" t="str">
        <f t="shared" si="14"/>
        <v/>
      </c>
      <c r="X42" s="499" t="str">
        <f t="shared" si="15"/>
        <v/>
      </c>
      <c r="Y42" s="499" t="str">
        <f t="shared" si="16"/>
        <v/>
      </c>
    </row>
    <row r="43" spans="1:25" x14ac:dyDescent="0.25">
      <c r="A43" s="497"/>
      <c r="B43" s="509" t="str">
        <f t="shared" si="12"/>
        <v/>
      </c>
      <c r="C43" s="497"/>
      <c r="D43" s="510" t="str">
        <f t="shared" si="8"/>
        <v/>
      </c>
      <c r="E43" s="497"/>
      <c r="F43" s="510" t="str">
        <f t="shared" si="9"/>
        <v/>
      </c>
      <c r="G43" s="497"/>
      <c r="H43" s="510" t="str">
        <f t="shared" si="10"/>
        <v/>
      </c>
      <c r="I43" s="497"/>
      <c r="J43" s="510" t="str">
        <f t="shared" si="11"/>
        <v/>
      </c>
      <c r="K43" s="497"/>
      <c r="L43" s="497"/>
      <c r="M43" s="497"/>
      <c r="N43" s="497"/>
      <c r="O43" s="497"/>
      <c r="P43" s="497"/>
      <c r="Q43" s="499">
        <v>43</v>
      </c>
      <c r="R43" s="499" t="str">
        <f t="shared" ca="1" si="17"/>
        <v/>
      </c>
      <c r="S43" s="499" t="str">
        <f t="shared" ca="1" si="18"/>
        <v/>
      </c>
      <c r="T43" s="499" t="str">
        <f t="shared" ca="1" si="6"/>
        <v/>
      </c>
      <c r="U43" s="499" t="str">
        <f t="shared" ca="1" si="7"/>
        <v/>
      </c>
      <c r="V43" s="499" t="str">
        <f t="shared" si="13"/>
        <v/>
      </c>
      <c r="W43" s="499" t="str">
        <f t="shared" si="14"/>
        <v/>
      </c>
      <c r="X43" s="499" t="str">
        <f t="shared" si="15"/>
        <v/>
      </c>
      <c r="Y43" s="499" t="str">
        <f t="shared" si="16"/>
        <v/>
      </c>
    </row>
    <row r="44" spans="1:25" x14ac:dyDescent="0.25">
      <c r="A44" s="497"/>
      <c r="B44" s="509" t="str">
        <f t="shared" si="12"/>
        <v/>
      </c>
      <c r="C44" s="497"/>
      <c r="D44" s="510" t="str">
        <f t="shared" si="8"/>
        <v/>
      </c>
      <c r="E44" s="497"/>
      <c r="F44" s="510" t="str">
        <f t="shared" si="9"/>
        <v/>
      </c>
      <c r="G44" s="497"/>
      <c r="H44" s="510" t="str">
        <f t="shared" si="10"/>
        <v/>
      </c>
      <c r="I44" s="497"/>
      <c r="J44" s="510" t="str">
        <f t="shared" si="11"/>
        <v/>
      </c>
      <c r="K44" s="497"/>
      <c r="L44" s="497"/>
      <c r="M44" s="497"/>
      <c r="N44" s="497"/>
      <c r="O44" s="497"/>
      <c r="P44" s="497"/>
      <c r="Q44" s="499">
        <v>44</v>
      </c>
      <c r="R44" s="499" t="str">
        <f t="shared" ca="1" si="17"/>
        <v/>
      </c>
      <c r="S44" s="499" t="str">
        <f t="shared" ca="1" si="18"/>
        <v/>
      </c>
      <c r="T44" s="499" t="str">
        <f t="shared" ca="1" si="6"/>
        <v/>
      </c>
      <c r="U44" s="499" t="str">
        <f t="shared" ca="1" si="7"/>
        <v/>
      </c>
      <c r="V44" s="499" t="str">
        <f t="shared" si="13"/>
        <v/>
      </c>
      <c r="W44" s="499" t="str">
        <f t="shared" si="14"/>
        <v/>
      </c>
      <c r="X44" s="499" t="str">
        <f t="shared" si="15"/>
        <v/>
      </c>
      <c r="Y44" s="499" t="str">
        <f t="shared" si="16"/>
        <v/>
      </c>
    </row>
    <row r="45" spans="1:25" x14ac:dyDescent="0.25">
      <c r="A45" s="497"/>
      <c r="B45" s="509" t="str">
        <f t="shared" si="12"/>
        <v/>
      </c>
      <c r="C45" s="497"/>
      <c r="D45" s="510" t="str">
        <f t="shared" si="8"/>
        <v/>
      </c>
      <c r="E45" s="497"/>
      <c r="F45" s="510" t="str">
        <f t="shared" si="9"/>
        <v/>
      </c>
      <c r="G45" s="497"/>
      <c r="H45" s="510" t="str">
        <f t="shared" si="10"/>
        <v/>
      </c>
      <c r="I45" s="497"/>
      <c r="J45" s="510" t="str">
        <f t="shared" si="11"/>
        <v/>
      </c>
      <c r="K45" s="497"/>
      <c r="L45" s="497"/>
      <c r="M45" s="497"/>
      <c r="N45" s="497"/>
      <c r="O45" s="497"/>
      <c r="P45" s="497"/>
      <c r="Q45" s="499">
        <v>45</v>
      </c>
      <c r="R45" s="499" t="str">
        <f t="shared" ca="1" si="17"/>
        <v/>
      </c>
      <c r="S45" s="499" t="str">
        <f t="shared" ca="1" si="18"/>
        <v/>
      </c>
      <c r="T45" s="499" t="str">
        <f t="shared" ca="1" si="6"/>
        <v/>
      </c>
      <c r="U45" s="499" t="str">
        <f t="shared" ca="1" si="7"/>
        <v/>
      </c>
      <c r="V45" s="499" t="str">
        <f t="shared" si="13"/>
        <v/>
      </c>
      <c r="W45" s="499" t="str">
        <f t="shared" si="14"/>
        <v/>
      </c>
      <c r="X45" s="499" t="str">
        <f t="shared" si="15"/>
        <v/>
      </c>
      <c r="Y45" s="499" t="str">
        <f t="shared" si="16"/>
        <v/>
      </c>
    </row>
    <row r="46" spans="1:25" x14ac:dyDescent="0.25">
      <c r="A46" s="497"/>
      <c r="B46" s="509" t="str">
        <f t="shared" si="12"/>
        <v/>
      </c>
      <c r="C46" s="497"/>
      <c r="D46" s="510" t="str">
        <f t="shared" si="8"/>
        <v/>
      </c>
      <c r="E46" s="497"/>
      <c r="F46" s="510" t="str">
        <f t="shared" si="9"/>
        <v/>
      </c>
      <c r="G46" s="497"/>
      <c r="H46" s="510" t="str">
        <f t="shared" si="10"/>
        <v/>
      </c>
      <c r="I46" s="497"/>
      <c r="J46" s="510" t="str">
        <f t="shared" si="11"/>
        <v/>
      </c>
      <c r="K46" s="497"/>
      <c r="L46" s="497"/>
      <c r="M46" s="497"/>
      <c r="N46" s="497"/>
      <c r="O46" s="497"/>
      <c r="P46" s="497"/>
      <c r="Q46" s="499">
        <v>46</v>
      </c>
      <c r="R46" s="499" t="str">
        <f t="shared" ca="1" si="17"/>
        <v/>
      </c>
      <c r="S46" s="499" t="str">
        <f t="shared" ca="1" si="18"/>
        <v/>
      </c>
      <c r="T46" s="499" t="str">
        <f t="shared" ca="1" si="6"/>
        <v/>
      </c>
      <c r="U46" s="499" t="str">
        <f t="shared" ca="1" si="7"/>
        <v/>
      </c>
      <c r="V46" s="499" t="str">
        <f t="shared" si="13"/>
        <v/>
      </c>
      <c r="W46" s="499" t="str">
        <f t="shared" si="14"/>
        <v/>
      </c>
      <c r="X46" s="499" t="str">
        <f t="shared" si="15"/>
        <v/>
      </c>
      <c r="Y46" s="499" t="str">
        <f t="shared" si="16"/>
        <v/>
      </c>
    </row>
    <row r="47" spans="1:25" x14ac:dyDescent="0.25">
      <c r="A47" s="497"/>
      <c r="B47" s="509" t="str">
        <f t="shared" si="12"/>
        <v/>
      </c>
      <c r="C47" s="497"/>
      <c r="D47" s="510" t="str">
        <f t="shared" si="8"/>
        <v/>
      </c>
      <c r="E47" s="497"/>
      <c r="F47" s="510" t="str">
        <f t="shared" si="9"/>
        <v/>
      </c>
      <c r="G47" s="497"/>
      <c r="H47" s="510" t="str">
        <f t="shared" si="10"/>
        <v/>
      </c>
      <c r="I47" s="497"/>
      <c r="J47" s="510" t="str">
        <f t="shared" si="11"/>
        <v/>
      </c>
      <c r="K47" s="497"/>
      <c r="L47" s="497"/>
      <c r="M47" s="497"/>
      <c r="N47" s="497"/>
      <c r="O47" s="497"/>
      <c r="P47" s="497"/>
      <c r="Q47" s="499">
        <v>47</v>
      </c>
      <c r="R47" s="499" t="str">
        <f t="shared" ca="1" si="17"/>
        <v/>
      </c>
      <c r="S47" s="499" t="str">
        <f t="shared" ca="1" si="18"/>
        <v/>
      </c>
      <c r="T47" s="499" t="str">
        <f t="shared" ca="1" si="6"/>
        <v/>
      </c>
      <c r="U47" s="499" t="str">
        <f t="shared" ca="1" si="7"/>
        <v/>
      </c>
      <c r="V47" s="499" t="str">
        <f t="shared" si="13"/>
        <v/>
      </c>
      <c r="W47" s="499" t="str">
        <f t="shared" si="14"/>
        <v/>
      </c>
      <c r="X47" s="499" t="str">
        <f t="shared" si="15"/>
        <v/>
      </c>
      <c r="Y47" s="499" t="str">
        <f t="shared" si="16"/>
        <v/>
      </c>
    </row>
    <row r="48" spans="1:25" x14ac:dyDescent="0.25">
      <c r="A48" s="497"/>
      <c r="B48" s="509" t="str">
        <f t="shared" si="12"/>
        <v/>
      </c>
      <c r="C48" s="497"/>
      <c r="D48" s="510" t="str">
        <f t="shared" si="8"/>
        <v/>
      </c>
      <c r="E48" s="497"/>
      <c r="F48" s="510" t="str">
        <f t="shared" si="9"/>
        <v/>
      </c>
      <c r="G48" s="497"/>
      <c r="H48" s="510" t="str">
        <f t="shared" si="10"/>
        <v/>
      </c>
      <c r="I48" s="497"/>
      <c r="J48" s="510" t="str">
        <f t="shared" si="11"/>
        <v/>
      </c>
      <c r="K48" s="497"/>
      <c r="L48" s="497"/>
      <c r="M48" s="497"/>
      <c r="N48" s="497"/>
      <c r="O48" s="497"/>
      <c r="P48" s="497"/>
      <c r="Q48" s="499">
        <v>48</v>
      </c>
      <c r="R48" s="499" t="str">
        <f t="shared" ca="1" si="17"/>
        <v/>
      </c>
      <c r="S48" s="499" t="str">
        <f t="shared" ca="1" si="18"/>
        <v/>
      </c>
      <c r="T48" s="499" t="str">
        <f t="shared" ca="1" si="6"/>
        <v/>
      </c>
      <c r="U48" s="499" t="str">
        <f t="shared" ca="1" si="7"/>
        <v/>
      </c>
      <c r="V48" s="499" t="str">
        <f t="shared" si="13"/>
        <v/>
      </c>
      <c r="W48" s="499" t="str">
        <f t="shared" si="14"/>
        <v/>
      </c>
      <c r="X48" s="499" t="str">
        <f t="shared" si="15"/>
        <v/>
      </c>
      <c r="Y48" s="499" t="str">
        <f t="shared" si="16"/>
        <v/>
      </c>
    </row>
    <row r="49" spans="1:25" x14ac:dyDescent="0.25">
      <c r="A49" s="497"/>
      <c r="B49" s="509" t="str">
        <f t="shared" si="12"/>
        <v/>
      </c>
      <c r="C49" s="497"/>
      <c r="D49" s="510" t="str">
        <f t="shared" si="8"/>
        <v/>
      </c>
      <c r="E49" s="497"/>
      <c r="F49" s="510" t="str">
        <f t="shared" si="9"/>
        <v/>
      </c>
      <c r="G49" s="497"/>
      <c r="H49" s="510" t="str">
        <f t="shared" si="10"/>
        <v/>
      </c>
      <c r="I49" s="497"/>
      <c r="J49" s="510" t="str">
        <f t="shared" si="11"/>
        <v/>
      </c>
      <c r="K49" s="497"/>
      <c r="L49" s="497"/>
      <c r="M49" s="497"/>
      <c r="N49" s="497"/>
      <c r="O49" s="497"/>
      <c r="P49" s="497"/>
      <c r="Q49" s="499">
        <v>49</v>
      </c>
      <c r="R49" s="499" t="str">
        <f t="shared" ca="1" si="17"/>
        <v/>
      </c>
      <c r="S49" s="499" t="str">
        <f t="shared" ca="1" si="18"/>
        <v/>
      </c>
      <c r="T49" s="499" t="str">
        <f t="shared" ca="1" si="6"/>
        <v/>
      </c>
      <c r="U49" s="499" t="str">
        <f t="shared" ca="1" si="7"/>
        <v/>
      </c>
      <c r="V49" s="499" t="str">
        <f t="shared" si="13"/>
        <v/>
      </c>
      <c r="W49" s="499" t="str">
        <f t="shared" si="14"/>
        <v/>
      </c>
      <c r="X49" s="499" t="str">
        <f t="shared" si="15"/>
        <v/>
      </c>
      <c r="Y49" s="499" t="str">
        <f t="shared" si="16"/>
        <v/>
      </c>
    </row>
    <row r="50" spans="1:25" x14ac:dyDescent="0.25">
      <c r="A50" s="497"/>
      <c r="B50" s="509" t="str">
        <f t="shared" si="12"/>
        <v/>
      </c>
      <c r="C50" s="497"/>
      <c r="D50" s="510" t="str">
        <f t="shared" si="8"/>
        <v/>
      </c>
      <c r="E50" s="497"/>
      <c r="F50" s="510" t="str">
        <f t="shared" si="9"/>
        <v/>
      </c>
      <c r="G50" s="497"/>
      <c r="H50" s="510" t="str">
        <f t="shared" si="10"/>
        <v/>
      </c>
      <c r="I50" s="497"/>
      <c r="J50" s="510" t="str">
        <f t="shared" si="11"/>
        <v/>
      </c>
      <c r="K50" s="497"/>
      <c r="L50" s="497"/>
      <c r="M50" s="497"/>
      <c r="N50" s="497"/>
      <c r="O50" s="497"/>
      <c r="P50" s="497"/>
      <c r="Q50" s="499">
        <v>50</v>
      </c>
      <c r="R50" s="499" t="str">
        <f t="shared" ca="1" si="17"/>
        <v/>
      </c>
      <c r="S50" s="499" t="str">
        <f t="shared" ca="1" si="18"/>
        <v/>
      </c>
      <c r="T50" s="499" t="str">
        <f t="shared" ca="1" si="6"/>
        <v/>
      </c>
      <c r="U50" s="499" t="str">
        <f t="shared" ca="1" si="7"/>
        <v/>
      </c>
      <c r="V50" s="499" t="str">
        <f t="shared" si="13"/>
        <v/>
      </c>
      <c r="W50" s="499" t="str">
        <f t="shared" si="14"/>
        <v/>
      </c>
      <c r="X50" s="499" t="str">
        <f t="shared" si="15"/>
        <v/>
      </c>
      <c r="Y50" s="499" t="str">
        <f t="shared" si="16"/>
        <v/>
      </c>
    </row>
    <row r="51" spans="1:25" x14ac:dyDescent="0.25">
      <c r="A51" s="497"/>
      <c r="B51" s="509" t="str">
        <f t="shared" si="12"/>
        <v/>
      </c>
      <c r="C51" s="497"/>
      <c r="D51" s="510" t="str">
        <f t="shared" si="8"/>
        <v/>
      </c>
      <c r="E51" s="497"/>
      <c r="F51" s="510" t="str">
        <f t="shared" si="9"/>
        <v/>
      </c>
      <c r="G51" s="497"/>
      <c r="H51" s="510" t="str">
        <f t="shared" si="10"/>
        <v/>
      </c>
      <c r="I51" s="497"/>
      <c r="J51" s="510" t="str">
        <f t="shared" si="11"/>
        <v/>
      </c>
      <c r="K51" s="497"/>
      <c r="L51" s="497"/>
      <c r="M51" s="497"/>
      <c r="N51" s="497"/>
      <c r="O51" s="497"/>
      <c r="P51" s="497"/>
      <c r="Q51" s="499">
        <v>51</v>
      </c>
      <c r="R51" s="499" t="str">
        <f t="shared" ca="1" si="17"/>
        <v/>
      </c>
      <c r="S51" s="499" t="str">
        <f t="shared" ca="1" si="18"/>
        <v/>
      </c>
      <c r="T51" s="499" t="str">
        <f t="shared" ca="1" si="6"/>
        <v/>
      </c>
      <c r="U51" s="499" t="str">
        <f t="shared" ca="1" si="7"/>
        <v/>
      </c>
      <c r="V51" s="499" t="str">
        <f t="shared" si="13"/>
        <v/>
      </c>
      <c r="W51" s="499" t="str">
        <f t="shared" si="14"/>
        <v/>
      </c>
      <c r="X51" s="499" t="str">
        <f t="shared" si="15"/>
        <v/>
      </c>
      <c r="Y51" s="499" t="str">
        <f t="shared" si="16"/>
        <v/>
      </c>
    </row>
    <row r="52" spans="1:25" x14ac:dyDescent="0.25">
      <c r="A52" s="497"/>
      <c r="B52" s="509" t="str">
        <f t="shared" si="12"/>
        <v/>
      </c>
      <c r="C52" s="497"/>
      <c r="D52" s="510" t="str">
        <f t="shared" si="8"/>
        <v/>
      </c>
      <c r="E52" s="497"/>
      <c r="F52" s="510" t="str">
        <f t="shared" si="9"/>
        <v/>
      </c>
      <c r="G52" s="497"/>
      <c r="H52" s="510" t="str">
        <f t="shared" si="10"/>
        <v/>
      </c>
      <c r="I52" s="497"/>
      <c r="J52" s="510" t="str">
        <f t="shared" si="11"/>
        <v/>
      </c>
      <c r="K52" s="497"/>
      <c r="L52" s="497"/>
      <c r="M52" s="497"/>
      <c r="N52" s="497"/>
      <c r="O52" s="497"/>
      <c r="P52" s="497"/>
      <c r="Q52" s="499">
        <v>52</v>
      </c>
      <c r="R52" s="499" t="str">
        <f t="shared" ca="1" si="17"/>
        <v/>
      </c>
      <c r="S52" s="499" t="str">
        <f t="shared" ca="1" si="18"/>
        <v/>
      </c>
      <c r="T52" s="499" t="str">
        <f t="shared" ca="1" si="6"/>
        <v/>
      </c>
      <c r="U52" s="499" t="str">
        <f t="shared" ca="1" si="7"/>
        <v/>
      </c>
      <c r="V52" s="499" t="str">
        <f t="shared" si="13"/>
        <v/>
      </c>
      <c r="W52" s="499" t="str">
        <f t="shared" si="14"/>
        <v/>
      </c>
      <c r="X52" s="499" t="str">
        <f t="shared" si="15"/>
        <v/>
      </c>
      <c r="Y52" s="499" t="str">
        <f t="shared" si="16"/>
        <v/>
      </c>
    </row>
    <row r="53" spans="1:25" x14ac:dyDescent="0.25">
      <c r="A53" s="497"/>
      <c r="B53" s="509" t="str">
        <f t="shared" si="12"/>
        <v/>
      </c>
      <c r="C53" s="497"/>
      <c r="D53" s="510" t="str">
        <f t="shared" si="8"/>
        <v/>
      </c>
      <c r="E53" s="497"/>
      <c r="F53" s="510" t="str">
        <f t="shared" si="9"/>
        <v/>
      </c>
      <c r="G53" s="497"/>
      <c r="H53" s="510" t="str">
        <f t="shared" si="10"/>
        <v/>
      </c>
      <c r="I53" s="497"/>
      <c r="J53" s="510" t="str">
        <f t="shared" si="11"/>
        <v/>
      </c>
      <c r="K53" s="497"/>
      <c r="L53" s="497"/>
      <c r="M53" s="497"/>
      <c r="N53" s="497"/>
      <c r="O53" s="497"/>
      <c r="P53" s="497"/>
      <c r="Q53" s="499">
        <v>53</v>
      </c>
      <c r="R53" s="499" t="str">
        <f t="shared" ca="1" si="17"/>
        <v/>
      </c>
      <c r="S53" s="499" t="str">
        <f t="shared" ca="1" si="18"/>
        <v/>
      </c>
      <c r="T53" s="499" t="str">
        <f t="shared" ca="1" si="6"/>
        <v/>
      </c>
      <c r="U53" s="499" t="str">
        <f t="shared" ca="1" si="7"/>
        <v/>
      </c>
      <c r="V53" s="499" t="str">
        <f t="shared" si="13"/>
        <v/>
      </c>
      <c r="W53" s="499" t="str">
        <f t="shared" si="14"/>
        <v/>
      </c>
      <c r="X53" s="499" t="str">
        <f t="shared" si="15"/>
        <v/>
      </c>
      <c r="Y53" s="499" t="str">
        <f t="shared" si="16"/>
        <v/>
      </c>
    </row>
    <row r="54" spans="1:25" x14ac:dyDescent="0.25">
      <c r="A54" s="497"/>
      <c r="B54" s="509" t="str">
        <f t="shared" si="12"/>
        <v/>
      </c>
      <c r="C54" s="497"/>
      <c r="D54" s="510" t="str">
        <f t="shared" si="8"/>
        <v/>
      </c>
      <c r="E54" s="497"/>
      <c r="F54" s="510" t="str">
        <f t="shared" si="9"/>
        <v/>
      </c>
      <c r="G54" s="497"/>
      <c r="H54" s="510" t="str">
        <f t="shared" si="10"/>
        <v/>
      </c>
      <c r="I54" s="497"/>
      <c r="J54" s="510" t="str">
        <f t="shared" si="11"/>
        <v/>
      </c>
      <c r="K54" s="497"/>
      <c r="L54" s="497"/>
      <c r="M54" s="497"/>
      <c r="N54" s="497"/>
      <c r="O54" s="497"/>
      <c r="P54" s="497"/>
      <c r="Q54" s="499">
        <v>54</v>
      </c>
      <c r="R54" s="499" t="str">
        <f t="shared" ca="1" si="17"/>
        <v/>
      </c>
      <c r="S54" s="499" t="str">
        <f t="shared" ca="1" si="18"/>
        <v/>
      </c>
      <c r="T54" s="499" t="str">
        <f t="shared" ca="1" si="6"/>
        <v/>
      </c>
      <c r="U54" s="499" t="str">
        <f t="shared" ca="1" si="7"/>
        <v/>
      </c>
      <c r="V54" s="499" t="str">
        <f t="shared" si="13"/>
        <v/>
      </c>
      <c r="W54" s="499" t="str">
        <f t="shared" si="14"/>
        <v/>
      </c>
      <c r="X54" s="499" t="str">
        <f t="shared" si="15"/>
        <v/>
      </c>
      <c r="Y54" s="499" t="str">
        <f t="shared" si="16"/>
        <v/>
      </c>
    </row>
    <row r="55" spans="1:25" x14ac:dyDescent="0.25">
      <c r="A55" s="497"/>
      <c r="B55" s="509" t="str">
        <f t="shared" si="12"/>
        <v/>
      </c>
      <c r="C55" s="497"/>
      <c r="D55" s="510" t="str">
        <f t="shared" si="8"/>
        <v/>
      </c>
      <c r="E55" s="497"/>
      <c r="F55" s="510" t="str">
        <f t="shared" si="9"/>
        <v/>
      </c>
      <c r="G55" s="497"/>
      <c r="H55" s="510" t="str">
        <f t="shared" si="10"/>
        <v/>
      </c>
      <c r="I55" s="497"/>
      <c r="J55" s="510" t="str">
        <f t="shared" si="11"/>
        <v/>
      </c>
      <c r="K55" s="497"/>
      <c r="L55" s="497"/>
      <c r="M55" s="497"/>
      <c r="N55" s="497"/>
      <c r="O55" s="497"/>
      <c r="P55" s="497"/>
      <c r="Q55" s="499">
        <v>55</v>
      </c>
      <c r="R55" s="499" t="str">
        <f t="shared" ca="1" si="17"/>
        <v/>
      </c>
      <c r="S55" s="499" t="str">
        <f t="shared" ca="1" si="18"/>
        <v/>
      </c>
      <c r="T55" s="499" t="str">
        <f t="shared" ca="1" si="6"/>
        <v/>
      </c>
      <c r="U55" s="499" t="str">
        <f t="shared" ca="1" si="7"/>
        <v/>
      </c>
      <c r="V55" s="499" t="str">
        <f t="shared" si="13"/>
        <v/>
      </c>
      <c r="W55" s="499" t="str">
        <f t="shared" si="14"/>
        <v/>
      </c>
      <c r="X55" s="499" t="str">
        <f t="shared" si="15"/>
        <v/>
      </c>
      <c r="Y55" s="499" t="str">
        <f t="shared" si="16"/>
        <v/>
      </c>
    </row>
    <row r="56" spans="1:25" x14ac:dyDescent="0.25">
      <c r="A56" s="497"/>
      <c r="B56" s="509" t="str">
        <f t="shared" si="12"/>
        <v/>
      </c>
      <c r="C56" s="497"/>
      <c r="D56" s="510" t="str">
        <f t="shared" si="8"/>
        <v/>
      </c>
      <c r="E56" s="497"/>
      <c r="F56" s="510" t="str">
        <f t="shared" si="9"/>
        <v/>
      </c>
      <c r="G56" s="497"/>
      <c r="H56" s="510" t="str">
        <f t="shared" si="10"/>
        <v/>
      </c>
      <c r="I56" s="497"/>
      <c r="J56" s="510" t="str">
        <f t="shared" si="11"/>
        <v/>
      </c>
      <c r="K56" s="497"/>
      <c r="L56" s="497"/>
      <c r="M56" s="497"/>
      <c r="N56" s="497"/>
      <c r="O56" s="497"/>
      <c r="P56" s="497"/>
      <c r="Q56" s="499">
        <v>56</v>
      </c>
      <c r="R56" s="499" t="str">
        <f t="shared" ca="1" si="17"/>
        <v/>
      </c>
      <c r="S56" s="499" t="str">
        <f t="shared" ca="1" si="18"/>
        <v/>
      </c>
      <c r="T56" s="499" t="str">
        <f t="shared" ca="1" si="6"/>
        <v/>
      </c>
      <c r="U56" s="499" t="str">
        <f t="shared" ca="1" si="7"/>
        <v/>
      </c>
      <c r="V56" s="499" t="str">
        <f t="shared" si="13"/>
        <v/>
      </c>
      <c r="W56" s="499" t="str">
        <f t="shared" si="14"/>
        <v/>
      </c>
      <c r="X56" s="499" t="str">
        <f t="shared" si="15"/>
        <v/>
      </c>
      <c r="Y56" s="499" t="str">
        <f t="shared" si="16"/>
        <v/>
      </c>
    </row>
    <row r="57" spans="1:25" x14ac:dyDescent="0.25">
      <c r="A57" s="497"/>
      <c r="B57" s="509" t="str">
        <f t="shared" si="12"/>
        <v/>
      </c>
      <c r="C57" s="497"/>
      <c r="D57" s="510" t="str">
        <f t="shared" si="8"/>
        <v/>
      </c>
      <c r="E57" s="497"/>
      <c r="F57" s="510" t="str">
        <f t="shared" si="9"/>
        <v/>
      </c>
      <c r="G57" s="497"/>
      <c r="H57" s="510" t="str">
        <f t="shared" si="10"/>
        <v/>
      </c>
      <c r="I57" s="497"/>
      <c r="J57" s="510" t="str">
        <f t="shared" si="11"/>
        <v/>
      </c>
      <c r="K57" s="497"/>
      <c r="L57" s="497"/>
      <c r="M57" s="497"/>
      <c r="N57" s="497"/>
      <c r="O57" s="497"/>
      <c r="P57" s="497"/>
      <c r="Q57" s="499">
        <v>57</v>
      </c>
      <c r="R57" s="499" t="str">
        <f t="shared" ca="1" si="17"/>
        <v/>
      </c>
      <c r="S57" s="499" t="str">
        <f t="shared" ca="1" si="18"/>
        <v/>
      </c>
      <c r="T57" s="499" t="str">
        <f t="shared" ca="1" si="6"/>
        <v/>
      </c>
      <c r="U57" s="499" t="str">
        <f t="shared" ca="1" si="7"/>
        <v/>
      </c>
      <c r="V57" s="499" t="str">
        <f t="shared" si="13"/>
        <v/>
      </c>
      <c r="W57" s="499" t="str">
        <f t="shared" si="14"/>
        <v/>
      </c>
      <c r="X57" s="499" t="str">
        <f t="shared" si="15"/>
        <v/>
      </c>
      <c r="Y57" s="499" t="str">
        <f t="shared" si="16"/>
        <v/>
      </c>
    </row>
    <row r="58" spans="1:25" x14ac:dyDescent="0.25">
      <c r="A58" s="497"/>
      <c r="B58" s="509" t="str">
        <f t="shared" si="12"/>
        <v/>
      </c>
      <c r="C58" s="497"/>
      <c r="D58" s="510" t="str">
        <f t="shared" si="8"/>
        <v/>
      </c>
      <c r="E58" s="497"/>
      <c r="F58" s="510" t="str">
        <f t="shared" si="9"/>
        <v/>
      </c>
      <c r="G58" s="497"/>
      <c r="H58" s="510" t="str">
        <f t="shared" si="10"/>
        <v/>
      </c>
      <c r="I58" s="497"/>
      <c r="J58" s="510" t="str">
        <f t="shared" si="11"/>
        <v/>
      </c>
      <c r="K58" s="497"/>
      <c r="L58" s="497"/>
      <c r="M58" s="497"/>
      <c r="N58" s="497"/>
      <c r="O58" s="497"/>
      <c r="P58" s="497"/>
      <c r="Q58" s="499">
        <v>58</v>
      </c>
      <c r="R58" s="499" t="str">
        <f t="shared" ca="1" si="17"/>
        <v/>
      </c>
      <c r="S58" s="499" t="str">
        <f t="shared" ca="1" si="18"/>
        <v/>
      </c>
      <c r="T58" s="499" t="str">
        <f t="shared" ca="1" si="6"/>
        <v/>
      </c>
      <c r="U58" s="499" t="str">
        <f t="shared" ca="1" si="7"/>
        <v/>
      </c>
      <c r="V58" s="499" t="str">
        <f t="shared" si="13"/>
        <v/>
      </c>
      <c r="W58" s="499" t="str">
        <f t="shared" si="14"/>
        <v/>
      </c>
      <c r="X58" s="499" t="str">
        <f t="shared" si="15"/>
        <v/>
      </c>
      <c r="Y58" s="499" t="str">
        <f t="shared" si="16"/>
        <v/>
      </c>
    </row>
    <row r="59" spans="1:25" x14ac:dyDescent="0.25">
      <c r="A59" s="497"/>
      <c r="B59" s="509" t="str">
        <f t="shared" si="12"/>
        <v/>
      </c>
      <c r="C59" s="497"/>
      <c r="D59" s="510" t="str">
        <f t="shared" si="8"/>
        <v/>
      </c>
      <c r="E59" s="497"/>
      <c r="F59" s="510" t="str">
        <f t="shared" si="9"/>
        <v/>
      </c>
      <c r="G59" s="497"/>
      <c r="H59" s="510" t="str">
        <f t="shared" si="10"/>
        <v/>
      </c>
      <c r="I59" s="497"/>
      <c r="J59" s="510" t="str">
        <f t="shared" si="11"/>
        <v/>
      </c>
      <c r="K59" s="497"/>
      <c r="L59" s="497"/>
      <c r="M59" s="497"/>
      <c r="N59" s="497"/>
      <c r="O59" s="497"/>
      <c r="P59" s="497"/>
      <c r="Q59" s="499">
        <v>59</v>
      </c>
      <c r="R59" s="499" t="str">
        <f t="shared" ca="1" si="17"/>
        <v/>
      </c>
      <c r="S59" s="499" t="str">
        <f t="shared" ca="1" si="18"/>
        <v/>
      </c>
      <c r="T59" s="499" t="str">
        <f t="shared" ca="1" si="6"/>
        <v/>
      </c>
      <c r="U59" s="499" t="str">
        <f t="shared" ca="1" si="7"/>
        <v/>
      </c>
      <c r="V59" s="499" t="str">
        <f t="shared" si="13"/>
        <v/>
      </c>
      <c r="W59" s="499" t="str">
        <f t="shared" si="14"/>
        <v/>
      </c>
      <c r="X59" s="499" t="str">
        <f t="shared" si="15"/>
        <v/>
      </c>
      <c r="Y59" s="499" t="str">
        <f t="shared" si="16"/>
        <v/>
      </c>
    </row>
    <row r="60" spans="1:25" x14ac:dyDescent="0.25">
      <c r="A60" s="497"/>
      <c r="B60" s="509" t="str">
        <f t="shared" si="12"/>
        <v/>
      </c>
      <c r="C60" s="497"/>
      <c r="D60" s="510" t="str">
        <f t="shared" si="8"/>
        <v/>
      </c>
      <c r="E60" s="497"/>
      <c r="F60" s="510" t="str">
        <f t="shared" si="9"/>
        <v/>
      </c>
      <c r="G60" s="497"/>
      <c r="H60" s="510" t="str">
        <f t="shared" si="10"/>
        <v/>
      </c>
      <c r="I60" s="497"/>
      <c r="J60" s="510" t="str">
        <f t="shared" si="11"/>
        <v/>
      </c>
      <c r="K60" s="497"/>
      <c r="L60" s="497"/>
      <c r="M60" s="497"/>
      <c r="N60" s="497"/>
      <c r="O60" s="497"/>
      <c r="P60" s="497"/>
      <c r="Q60" s="499">
        <v>60</v>
      </c>
      <c r="R60" s="499" t="str">
        <f t="shared" ca="1" si="17"/>
        <v/>
      </c>
      <c r="S60" s="499" t="str">
        <f t="shared" ca="1" si="18"/>
        <v/>
      </c>
      <c r="T60" s="499" t="str">
        <f t="shared" ca="1" si="6"/>
        <v/>
      </c>
      <c r="U60" s="499" t="str">
        <f t="shared" ca="1" si="7"/>
        <v/>
      </c>
      <c r="V60" s="499" t="str">
        <f t="shared" si="13"/>
        <v/>
      </c>
      <c r="W60" s="499" t="str">
        <f t="shared" si="14"/>
        <v/>
      </c>
      <c r="X60" s="499" t="str">
        <f t="shared" si="15"/>
        <v/>
      </c>
      <c r="Y60" s="499" t="str">
        <f t="shared" si="16"/>
        <v/>
      </c>
    </row>
    <row r="61" spans="1:25" x14ac:dyDescent="0.25">
      <c r="A61" s="497"/>
      <c r="B61" s="509" t="str">
        <f t="shared" si="12"/>
        <v/>
      </c>
      <c r="C61" s="497"/>
      <c r="D61" s="510" t="str">
        <f t="shared" si="8"/>
        <v/>
      </c>
      <c r="E61" s="497"/>
      <c r="F61" s="510" t="str">
        <f t="shared" si="9"/>
        <v/>
      </c>
      <c r="G61" s="497"/>
      <c r="H61" s="510" t="str">
        <f t="shared" si="10"/>
        <v/>
      </c>
      <c r="I61" s="497"/>
      <c r="J61" s="510" t="str">
        <f t="shared" si="11"/>
        <v/>
      </c>
      <c r="K61" s="497"/>
      <c r="L61" s="497"/>
      <c r="M61" s="497"/>
      <c r="N61" s="497"/>
      <c r="O61" s="497"/>
      <c r="P61" s="497"/>
      <c r="Q61" s="499">
        <v>61</v>
      </c>
      <c r="R61" s="499" t="str">
        <f t="shared" ca="1" si="17"/>
        <v/>
      </c>
      <c r="S61" s="499" t="str">
        <f t="shared" ca="1" si="18"/>
        <v/>
      </c>
      <c r="T61" s="499" t="str">
        <f t="shared" ca="1" si="6"/>
        <v/>
      </c>
      <c r="U61" s="499" t="str">
        <f t="shared" ca="1" si="7"/>
        <v/>
      </c>
      <c r="V61" s="499" t="str">
        <f t="shared" si="13"/>
        <v/>
      </c>
      <c r="W61" s="499" t="str">
        <f t="shared" si="14"/>
        <v/>
      </c>
      <c r="X61" s="499" t="str">
        <f t="shared" si="15"/>
        <v/>
      </c>
      <c r="Y61" s="499" t="str">
        <f t="shared" si="16"/>
        <v/>
      </c>
    </row>
    <row r="62" spans="1:25" x14ac:dyDescent="0.25">
      <c r="A62" s="497"/>
      <c r="B62" s="509" t="str">
        <f t="shared" si="12"/>
        <v/>
      </c>
      <c r="C62" s="497"/>
      <c r="D62" s="510" t="str">
        <f t="shared" si="8"/>
        <v/>
      </c>
      <c r="E62" s="497"/>
      <c r="F62" s="510" t="str">
        <f t="shared" si="9"/>
        <v/>
      </c>
      <c r="G62" s="497"/>
      <c r="H62" s="510" t="str">
        <f t="shared" si="10"/>
        <v/>
      </c>
      <c r="I62" s="497"/>
      <c r="J62" s="510" t="str">
        <f t="shared" si="11"/>
        <v/>
      </c>
      <c r="K62" s="497"/>
      <c r="L62" s="497"/>
      <c r="M62" s="497"/>
      <c r="N62" s="497"/>
      <c r="O62" s="497"/>
      <c r="P62" s="497"/>
      <c r="Q62" s="499">
        <v>62</v>
      </c>
      <c r="R62" s="499" t="str">
        <f t="shared" ca="1" si="17"/>
        <v/>
      </c>
      <c r="S62" s="499" t="str">
        <f t="shared" ca="1" si="18"/>
        <v/>
      </c>
      <c r="T62" s="499" t="str">
        <f t="shared" ca="1" si="6"/>
        <v/>
      </c>
      <c r="U62" s="499" t="str">
        <f t="shared" ca="1" si="7"/>
        <v/>
      </c>
      <c r="V62" s="499" t="str">
        <f t="shared" si="13"/>
        <v/>
      </c>
      <c r="W62" s="499" t="str">
        <f t="shared" si="14"/>
        <v/>
      </c>
      <c r="X62" s="499" t="str">
        <f t="shared" si="15"/>
        <v/>
      </c>
      <c r="Y62" s="499" t="str">
        <f t="shared" si="16"/>
        <v/>
      </c>
    </row>
    <row r="63" spans="1:25" x14ac:dyDescent="0.25">
      <c r="A63" s="497"/>
      <c r="B63" s="509" t="str">
        <f t="shared" si="12"/>
        <v/>
      </c>
      <c r="C63" s="497"/>
      <c r="D63" s="510" t="str">
        <f t="shared" si="8"/>
        <v/>
      </c>
      <c r="E63" s="497"/>
      <c r="F63" s="510" t="str">
        <f t="shared" si="9"/>
        <v/>
      </c>
      <c r="G63" s="497"/>
      <c r="H63" s="510" t="str">
        <f t="shared" si="10"/>
        <v/>
      </c>
      <c r="I63" s="497"/>
      <c r="J63" s="510" t="str">
        <f t="shared" si="11"/>
        <v/>
      </c>
      <c r="K63" s="497"/>
      <c r="L63" s="497"/>
      <c r="M63" s="497"/>
      <c r="N63" s="497"/>
      <c r="O63" s="497"/>
      <c r="P63" s="497"/>
      <c r="Q63" s="499">
        <v>63</v>
      </c>
      <c r="R63" s="499" t="str">
        <f t="shared" ca="1" si="17"/>
        <v/>
      </c>
      <c r="S63" s="499" t="str">
        <f t="shared" ca="1" si="18"/>
        <v/>
      </c>
      <c r="T63" s="499" t="str">
        <f t="shared" ca="1" si="6"/>
        <v/>
      </c>
      <c r="U63" s="499" t="str">
        <f t="shared" ca="1" si="7"/>
        <v/>
      </c>
      <c r="V63" s="499" t="str">
        <f t="shared" si="13"/>
        <v/>
      </c>
      <c r="W63" s="499" t="str">
        <f t="shared" si="14"/>
        <v/>
      </c>
      <c r="X63" s="499" t="str">
        <f t="shared" si="15"/>
        <v/>
      </c>
      <c r="Y63" s="499" t="str">
        <f t="shared" si="16"/>
        <v/>
      </c>
    </row>
    <row r="64" spans="1:25" x14ac:dyDescent="0.25">
      <c r="A64" s="497"/>
      <c r="B64" s="509" t="str">
        <f t="shared" si="12"/>
        <v/>
      </c>
      <c r="C64" s="497"/>
      <c r="D64" s="510" t="str">
        <f t="shared" si="8"/>
        <v/>
      </c>
      <c r="E64" s="497"/>
      <c r="F64" s="510" t="str">
        <f t="shared" si="9"/>
        <v/>
      </c>
      <c r="G64" s="497"/>
      <c r="H64" s="510" t="str">
        <f t="shared" si="10"/>
        <v/>
      </c>
      <c r="I64" s="497"/>
      <c r="J64" s="510" t="str">
        <f t="shared" si="11"/>
        <v/>
      </c>
      <c r="K64" s="497"/>
      <c r="L64" s="497"/>
      <c r="M64" s="497"/>
      <c r="N64" s="497"/>
      <c r="O64" s="497"/>
      <c r="P64" s="497"/>
      <c r="Q64" s="499">
        <v>64</v>
      </c>
      <c r="R64" s="499" t="str">
        <f t="shared" ca="1" si="17"/>
        <v/>
      </c>
      <c r="S64" s="499" t="str">
        <f t="shared" ca="1" si="18"/>
        <v/>
      </c>
      <c r="T64" s="499" t="str">
        <f t="shared" ca="1" si="6"/>
        <v/>
      </c>
      <c r="U64" s="499" t="str">
        <f t="shared" ca="1" si="7"/>
        <v/>
      </c>
      <c r="V64" s="499" t="str">
        <f t="shared" si="13"/>
        <v/>
      </c>
      <c r="W64" s="499" t="str">
        <f t="shared" si="14"/>
        <v/>
      </c>
      <c r="X64" s="499" t="str">
        <f t="shared" si="15"/>
        <v/>
      </c>
      <c r="Y64" s="499" t="str">
        <f t="shared" si="16"/>
        <v/>
      </c>
    </row>
    <row r="65" spans="1:25" x14ac:dyDescent="0.25">
      <c r="A65" s="497"/>
      <c r="B65" s="509" t="str">
        <f t="shared" si="12"/>
        <v/>
      </c>
      <c r="C65" s="497"/>
      <c r="D65" s="510" t="str">
        <f t="shared" si="8"/>
        <v/>
      </c>
      <c r="E65" s="497"/>
      <c r="F65" s="510" t="str">
        <f t="shared" si="9"/>
        <v/>
      </c>
      <c r="G65" s="497"/>
      <c r="H65" s="510" t="str">
        <f t="shared" si="10"/>
        <v/>
      </c>
      <c r="I65" s="497"/>
      <c r="J65" s="510" t="str">
        <f t="shared" si="11"/>
        <v/>
      </c>
      <c r="K65" s="497"/>
      <c r="L65" s="497"/>
      <c r="M65" s="497"/>
      <c r="N65" s="497"/>
      <c r="O65" s="497"/>
      <c r="P65" s="497"/>
      <c r="Q65" s="499">
        <v>65</v>
      </c>
      <c r="R65" s="499" t="str">
        <f t="shared" ca="1" si="17"/>
        <v/>
      </c>
      <c r="S65" s="499" t="str">
        <f t="shared" ca="1" si="18"/>
        <v/>
      </c>
      <c r="T65" s="499" t="str">
        <f t="shared" ca="1" si="6"/>
        <v/>
      </c>
      <c r="U65" s="499" t="str">
        <f t="shared" ca="1" si="7"/>
        <v/>
      </c>
      <c r="V65" s="499" t="str">
        <f t="shared" si="13"/>
        <v/>
      </c>
      <c r="W65" s="499" t="str">
        <f t="shared" si="14"/>
        <v/>
      </c>
      <c r="X65" s="499" t="str">
        <f t="shared" si="15"/>
        <v/>
      </c>
      <c r="Y65" s="499" t="str">
        <f t="shared" si="16"/>
        <v/>
      </c>
    </row>
    <row r="66" spans="1:25" x14ac:dyDescent="0.25">
      <c r="A66" s="497"/>
      <c r="B66" s="509" t="str">
        <f t="shared" si="12"/>
        <v/>
      </c>
      <c r="C66" s="497"/>
      <c r="D66" s="510" t="str">
        <f t="shared" si="8"/>
        <v/>
      </c>
      <c r="E66" s="497"/>
      <c r="F66" s="510" t="str">
        <f t="shared" si="9"/>
        <v/>
      </c>
      <c r="G66" s="497"/>
      <c r="H66" s="510" t="str">
        <f t="shared" si="10"/>
        <v/>
      </c>
      <c r="I66" s="497"/>
      <c r="J66" s="510" t="str">
        <f t="shared" si="11"/>
        <v/>
      </c>
      <c r="K66" s="497"/>
      <c r="L66" s="497"/>
      <c r="M66" s="497"/>
      <c r="N66" s="497"/>
      <c r="O66" s="497"/>
      <c r="P66" s="497"/>
      <c r="Q66" s="499">
        <v>66</v>
      </c>
      <c r="R66" s="499" t="str">
        <f t="shared" ca="1" si="17"/>
        <v/>
      </c>
      <c r="S66" s="499" t="str">
        <f t="shared" ca="1" si="18"/>
        <v/>
      </c>
      <c r="T66" s="499" t="str">
        <f t="shared" ref="T66:T100" ca="1" si="19">IF(Q66&lt;=$H$3,RAND(),"")</f>
        <v/>
      </c>
      <c r="U66" s="499" t="str">
        <f t="shared" ref="U66:U100" ca="1" si="20">IF(Q66&lt;=$J$3,RAND(),"")</f>
        <v/>
      </c>
      <c r="V66" s="499" t="str">
        <f t="shared" si="13"/>
        <v/>
      </c>
      <c r="W66" s="499" t="str">
        <f t="shared" si="14"/>
        <v/>
      </c>
      <c r="X66" s="499" t="str">
        <f t="shared" si="15"/>
        <v/>
      </c>
      <c r="Y66" s="499" t="str">
        <f t="shared" si="16"/>
        <v/>
      </c>
    </row>
    <row r="67" spans="1:25" x14ac:dyDescent="0.25">
      <c r="A67" s="497"/>
      <c r="B67" s="509" t="str">
        <f t="shared" si="12"/>
        <v/>
      </c>
      <c r="C67" s="497"/>
      <c r="D67" s="510" t="str">
        <f t="shared" si="8"/>
        <v/>
      </c>
      <c r="E67" s="497"/>
      <c r="F67" s="510" t="str">
        <f t="shared" si="9"/>
        <v/>
      </c>
      <c r="G67" s="497"/>
      <c r="H67" s="510" t="str">
        <f t="shared" si="10"/>
        <v/>
      </c>
      <c r="I67" s="497"/>
      <c r="J67" s="510" t="str">
        <f t="shared" si="11"/>
        <v/>
      </c>
      <c r="K67" s="497"/>
      <c r="L67" s="497"/>
      <c r="M67" s="497"/>
      <c r="N67" s="497"/>
      <c r="O67" s="497"/>
      <c r="P67" s="497"/>
      <c r="Q67" s="499">
        <v>67</v>
      </c>
      <c r="R67" s="499" t="str">
        <f t="shared" ca="1" si="17"/>
        <v/>
      </c>
      <c r="S67" s="499" t="str">
        <f t="shared" ca="1" si="18"/>
        <v/>
      </c>
      <c r="T67" s="499" t="str">
        <f t="shared" ca="1" si="19"/>
        <v/>
      </c>
      <c r="U67" s="499" t="str">
        <f t="shared" ca="1" si="20"/>
        <v/>
      </c>
      <c r="V67" s="499" t="str">
        <f t="shared" si="13"/>
        <v/>
      </c>
      <c r="W67" s="499" t="str">
        <f t="shared" si="14"/>
        <v/>
      </c>
      <c r="X67" s="499" t="str">
        <f t="shared" si="15"/>
        <v/>
      </c>
      <c r="Y67" s="499" t="str">
        <f t="shared" si="16"/>
        <v/>
      </c>
    </row>
    <row r="68" spans="1:25" x14ac:dyDescent="0.25">
      <c r="A68" s="497"/>
      <c r="B68" s="509" t="str">
        <f t="shared" si="12"/>
        <v/>
      </c>
      <c r="C68" s="497"/>
      <c r="D68" s="510" t="str">
        <f t="shared" si="8"/>
        <v/>
      </c>
      <c r="E68" s="497"/>
      <c r="F68" s="510" t="str">
        <f t="shared" si="9"/>
        <v/>
      </c>
      <c r="G68" s="497"/>
      <c r="H68" s="510" t="str">
        <f t="shared" si="10"/>
        <v/>
      </c>
      <c r="I68" s="497"/>
      <c r="J68" s="510" t="str">
        <f t="shared" si="11"/>
        <v/>
      </c>
      <c r="K68" s="497"/>
      <c r="L68" s="497"/>
      <c r="M68" s="497"/>
      <c r="N68" s="497"/>
      <c r="O68" s="497"/>
      <c r="P68" s="497"/>
      <c r="Q68" s="499">
        <v>68</v>
      </c>
      <c r="R68" s="499" t="str">
        <f t="shared" ca="1" si="17"/>
        <v/>
      </c>
      <c r="S68" s="499" t="str">
        <f t="shared" ca="1" si="18"/>
        <v/>
      </c>
      <c r="T68" s="499" t="str">
        <f t="shared" ca="1" si="19"/>
        <v/>
      </c>
      <c r="U68" s="499" t="str">
        <f t="shared" ca="1" si="20"/>
        <v/>
      </c>
      <c r="V68" s="499" t="str">
        <f t="shared" si="13"/>
        <v/>
      </c>
      <c r="W68" s="499" t="str">
        <f t="shared" si="14"/>
        <v/>
      </c>
      <c r="X68" s="499" t="str">
        <f t="shared" si="15"/>
        <v/>
      </c>
      <c r="Y68" s="499" t="str">
        <f t="shared" si="16"/>
        <v/>
      </c>
    </row>
    <row r="69" spans="1:25" x14ac:dyDescent="0.25">
      <c r="A69" s="497"/>
      <c r="B69" s="509" t="str">
        <f t="shared" si="12"/>
        <v/>
      </c>
      <c r="C69" s="497"/>
      <c r="D69" s="510" t="str">
        <f t="shared" si="8"/>
        <v/>
      </c>
      <c r="E69" s="497"/>
      <c r="F69" s="510" t="str">
        <f t="shared" si="9"/>
        <v/>
      </c>
      <c r="G69" s="497"/>
      <c r="H69" s="510" t="str">
        <f t="shared" si="10"/>
        <v/>
      </c>
      <c r="I69" s="497"/>
      <c r="J69" s="510" t="str">
        <f t="shared" si="11"/>
        <v/>
      </c>
      <c r="K69" s="497"/>
      <c r="L69" s="497"/>
      <c r="M69" s="497"/>
      <c r="N69" s="497"/>
      <c r="O69" s="497"/>
      <c r="P69" s="497"/>
      <c r="Q69" s="499">
        <v>69</v>
      </c>
      <c r="R69" s="499" t="str">
        <f t="shared" ca="1" si="17"/>
        <v/>
      </c>
      <c r="S69" s="499" t="str">
        <f t="shared" ca="1" si="18"/>
        <v/>
      </c>
      <c r="T69" s="499" t="str">
        <f t="shared" ca="1" si="19"/>
        <v/>
      </c>
      <c r="U69" s="499" t="str">
        <f t="shared" ca="1" si="20"/>
        <v/>
      </c>
      <c r="V69" s="499" t="str">
        <f t="shared" si="13"/>
        <v/>
      </c>
      <c r="W69" s="499" t="str">
        <f t="shared" si="14"/>
        <v/>
      </c>
      <c r="X69" s="499" t="str">
        <f t="shared" si="15"/>
        <v/>
      </c>
      <c r="Y69" s="499" t="str">
        <f t="shared" si="16"/>
        <v/>
      </c>
    </row>
    <row r="70" spans="1:25" x14ac:dyDescent="0.25">
      <c r="A70" s="497"/>
      <c r="B70" s="509" t="str">
        <f t="shared" si="12"/>
        <v/>
      </c>
      <c r="C70" s="497"/>
      <c r="D70" s="510" t="str">
        <f t="shared" ref="D70:D104" si="21">IF($L$15&lt;=100,IF($D$3&gt;0,IF(B70&lt;=$D$3,SMALL($V$1:$V$100,B70),""),""),"")</f>
        <v/>
      </c>
      <c r="E70" s="497"/>
      <c r="F70" s="510" t="str">
        <f t="shared" ref="F70:F104" si="22">IF($L$15&lt;=100,IF($F$3&gt;0,IF(B70&lt;=$F$3,SMALL($W$1:$W$100,B70),""),""),"")</f>
        <v/>
      </c>
      <c r="G70" s="497"/>
      <c r="H70" s="510" t="str">
        <f t="shared" ref="H70:H104" si="23">IF($L$15&lt;=100,IF($H$3&gt;0,IF(B70&lt;=$H$3,SMALL($X$1:$X$100,B70),""),""),"")</f>
        <v/>
      </c>
      <c r="I70" s="497"/>
      <c r="J70" s="510" t="str">
        <f t="shared" ref="J70:J104" si="24">IF($L$15&lt;=100,IF($J$3&gt;0,IF(B70&lt;=$J$3,SMALL($Y$1:$Y$100,B70),""),""),"")</f>
        <v/>
      </c>
      <c r="K70" s="497"/>
      <c r="L70" s="497"/>
      <c r="M70" s="497"/>
      <c r="N70" s="497"/>
      <c r="O70" s="497"/>
      <c r="P70" s="497"/>
      <c r="Q70" s="499">
        <v>70</v>
      </c>
      <c r="R70" s="499" t="str">
        <f t="shared" ca="1" si="17"/>
        <v/>
      </c>
      <c r="S70" s="499" t="str">
        <f t="shared" ca="1" si="18"/>
        <v/>
      </c>
      <c r="T70" s="499" t="str">
        <f t="shared" ca="1" si="19"/>
        <v/>
      </c>
      <c r="U70" s="499" t="str">
        <f t="shared" ca="1" si="20"/>
        <v/>
      </c>
      <c r="V70" s="499" t="str">
        <f t="shared" si="13"/>
        <v/>
      </c>
      <c r="W70" s="499" t="str">
        <f t="shared" si="14"/>
        <v/>
      </c>
      <c r="X70" s="499" t="str">
        <f t="shared" si="15"/>
        <v/>
      </c>
      <c r="Y70" s="499" t="str">
        <f t="shared" si="16"/>
        <v/>
      </c>
    </row>
    <row r="71" spans="1:25" x14ac:dyDescent="0.25">
      <c r="A71" s="497"/>
      <c r="B71" s="509" t="str">
        <f t="shared" ref="B71:B104" si="25">IF(Q67&lt;=MAX($D$3,$F$3,$H$3,$J$3),Q67,"")</f>
        <v/>
      </c>
      <c r="C71" s="497"/>
      <c r="D71" s="510" t="str">
        <f t="shared" si="21"/>
        <v/>
      </c>
      <c r="E71" s="497"/>
      <c r="F71" s="510" t="str">
        <f t="shared" si="22"/>
        <v/>
      </c>
      <c r="G71" s="497"/>
      <c r="H71" s="510" t="str">
        <f t="shared" si="23"/>
        <v/>
      </c>
      <c r="I71" s="497"/>
      <c r="J71" s="510" t="str">
        <f t="shared" si="24"/>
        <v/>
      </c>
      <c r="K71" s="497"/>
      <c r="L71" s="497"/>
      <c r="M71" s="497"/>
      <c r="N71" s="497"/>
      <c r="O71" s="497"/>
      <c r="P71" s="497"/>
      <c r="Q71" s="499">
        <v>71</v>
      </c>
      <c r="R71" s="499" t="str">
        <f t="shared" ca="1" si="17"/>
        <v/>
      </c>
      <c r="S71" s="499" t="str">
        <f t="shared" ca="1" si="18"/>
        <v/>
      </c>
      <c r="T71" s="499" t="str">
        <f t="shared" ca="1" si="19"/>
        <v/>
      </c>
      <c r="U71" s="499" t="str">
        <f t="shared" ca="1" si="20"/>
        <v/>
      </c>
      <c r="V71" s="499" t="str">
        <f t="shared" si="13"/>
        <v/>
      </c>
      <c r="W71" s="499" t="str">
        <f t="shared" si="14"/>
        <v/>
      </c>
      <c r="X71" s="499" t="str">
        <f t="shared" si="15"/>
        <v/>
      </c>
      <c r="Y71" s="499" t="str">
        <f t="shared" si="16"/>
        <v/>
      </c>
    </row>
    <row r="72" spans="1:25" x14ac:dyDescent="0.25">
      <c r="A72" s="497"/>
      <c r="B72" s="509" t="str">
        <f t="shared" si="25"/>
        <v/>
      </c>
      <c r="C72" s="497"/>
      <c r="D72" s="510" t="str">
        <f t="shared" si="21"/>
        <v/>
      </c>
      <c r="E72" s="497"/>
      <c r="F72" s="510" t="str">
        <f t="shared" si="22"/>
        <v/>
      </c>
      <c r="G72" s="497"/>
      <c r="H72" s="510" t="str">
        <f t="shared" si="23"/>
        <v/>
      </c>
      <c r="I72" s="497"/>
      <c r="J72" s="510" t="str">
        <f t="shared" si="24"/>
        <v/>
      </c>
      <c r="K72" s="497"/>
      <c r="L72" s="497"/>
      <c r="M72" s="497"/>
      <c r="N72" s="497"/>
      <c r="O72" s="497"/>
      <c r="P72" s="497"/>
      <c r="Q72" s="499">
        <v>72</v>
      </c>
      <c r="R72" s="499" t="str">
        <f t="shared" ca="1" si="17"/>
        <v/>
      </c>
      <c r="S72" s="499" t="str">
        <f t="shared" ca="1" si="18"/>
        <v/>
      </c>
      <c r="T72" s="499" t="str">
        <f t="shared" ca="1" si="19"/>
        <v/>
      </c>
      <c r="U72" s="499" t="str">
        <f t="shared" ca="1" si="20"/>
        <v/>
      </c>
      <c r="V72" s="499" t="str">
        <f t="shared" si="13"/>
        <v/>
      </c>
      <c r="W72" s="499" t="str">
        <f t="shared" si="14"/>
        <v/>
      </c>
      <c r="X72" s="499" t="str">
        <f t="shared" si="15"/>
        <v/>
      </c>
      <c r="Y72" s="499" t="str">
        <f t="shared" si="16"/>
        <v/>
      </c>
    </row>
    <row r="73" spans="1:25" x14ac:dyDescent="0.25">
      <c r="A73" s="497"/>
      <c r="B73" s="509" t="str">
        <f t="shared" si="25"/>
        <v/>
      </c>
      <c r="C73" s="497"/>
      <c r="D73" s="510" t="str">
        <f t="shared" si="21"/>
        <v/>
      </c>
      <c r="E73" s="497"/>
      <c r="F73" s="510" t="str">
        <f t="shared" si="22"/>
        <v/>
      </c>
      <c r="G73" s="497"/>
      <c r="H73" s="510" t="str">
        <f t="shared" si="23"/>
        <v/>
      </c>
      <c r="I73" s="497"/>
      <c r="J73" s="510" t="str">
        <f t="shared" si="24"/>
        <v/>
      </c>
      <c r="K73" s="497"/>
      <c r="L73" s="497"/>
      <c r="M73" s="497"/>
      <c r="N73" s="497"/>
      <c r="O73" s="497"/>
      <c r="P73" s="497"/>
      <c r="Q73" s="499">
        <v>73</v>
      </c>
      <c r="R73" s="499" t="str">
        <f t="shared" ca="1" si="17"/>
        <v/>
      </c>
      <c r="S73" s="499" t="str">
        <f t="shared" ca="1" si="18"/>
        <v/>
      </c>
      <c r="T73" s="499" t="str">
        <f t="shared" ca="1" si="19"/>
        <v/>
      </c>
      <c r="U73" s="499" t="str">
        <f t="shared" ca="1" si="20"/>
        <v/>
      </c>
      <c r="V73" s="499" t="str">
        <f t="shared" si="13"/>
        <v/>
      </c>
      <c r="W73" s="499" t="str">
        <f t="shared" si="14"/>
        <v/>
      </c>
      <c r="X73" s="499" t="str">
        <f t="shared" si="15"/>
        <v/>
      </c>
      <c r="Y73" s="499" t="str">
        <f t="shared" si="16"/>
        <v/>
      </c>
    </row>
    <row r="74" spans="1:25" x14ac:dyDescent="0.25">
      <c r="A74" s="497"/>
      <c r="B74" s="509" t="str">
        <f t="shared" si="25"/>
        <v/>
      </c>
      <c r="C74" s="497"/>
      <c r="D74" s="510" t="str">
        <f t="shared" si="21"/>
        <v/>
      </c>
      <c r="E74" s="497"/>
      <c r="F74" s="510" t="str">
        <f t="shared" si="22"/>
        <v/>
      </c>
      <c r="G74" s="497"/>
      <c r="H74" s="510" t="str">
        <f t="shared" si="23"/>
        <v/>
      </c>
      <c r="I74" s="497"/>
      <c r="J74" s="510" t="str">
        <f t="shared" si="24"/>
        <v/>
      </c>
      <c r="K74" s="497"/>
      <c r="L74" s="497"/>
      <c r="M74" s="497"/>
      <c r="N74" s="497"/>
      <c r="O74" s="497"/>
      <c r="P74" s="497"/>
      <c r="Q74" s="499">
        <v>74</v>
      </c>
      <c r="R74" s="499" t="str">
        <f t="shared" ca="1" si="17"/>
        <v/>
      </c>
      <c r="S74" s="499" t="str">
        <f t="shared" ca="1" si="18"/>
        <v/>
      </c>
      <c r="T74" s="499" t="str">
        <f t="shared" ca="1" si="19"/>
        <v/>
      </c>
      <c r="U74" s="499" t="str">
        <f t="shared" ca="1" si="20"/>
        <v/>
      </c>
      <c r="V74" s="499" t="str">
        <f t="shared" si="13"/>
        <v/>
      </c>
      <c r="W74" s="499" t="str">
        <f t="shared" si="14"/>
        <v/>
      </c>
      <c r="X74" s="499" t="str">
        <f t="shared" si="15"/>
        <v/>
      </c>
      <c r="Y74" s="499" t="str">
        <f t="shared" si="16"/>
        <v/>
      </c>
    </row>
    <row r="75" spans="1:25" x14ac:dyDescent="0.25">
      <c r="A75" s="497"/>
      <c r="B75" s="509" t="str">
        <f t="shared" si="25"/>
        <v/>
      </c>
      <c r="C75" s="497"/>
      <c r="D75" s="510" t="str">
        <f t="shared" si="21"/>
        <v/>
      </c>
      <c r="E75" s="497"/>
      <c r="F75" s="510" t="str">
        <f t="shared" si="22"/>
        <v/>
      </c>
      <c r="G75" s="497"/>
      <c r="H75" s="510" t="str">
        <f t="shared" si="23"/>
        <v/>
      </c>
      <c r="I75" s="497"/>
      <c r="J75" s="510" t="str">
        <f t="shared" si="24"/>
        <v/>
      </c>
      <c r="K75" s="497"/>
      <c r="L75" s="497"/>
      <c r="M75" s="497"/>
      <c r="N75" s="497"/>
      <c r="O75" s="497"/>
      <c r="P75" s="497"/>
      <c r="Q75" s="499">
        <v>75</v>
      </c>
      <c r="R75" s="499" t="str">
        <f t="shared" ca="1" si="17"/>
        <v/>
      </c>
      <c r="S75" s="499" t="str">
        <f t="shared" ca="1" si="18"/>
        <v/>
      </c>
      <c r="T75" s="499" t="str">
        <f t="shared" ca="1" si="19"/>
        <v/>
      </c>
      <c r="U75" s="499" t="str">
        <f t="shared" ca="1" si="20"/>
        <v/>
      </c>
      <c r="V75" s="499" t="str">
        <f t="shared" si="13"/>
        <v/>
      </c>
      <c r="W75" s="499" t="str">
        <f t="shared" si="14"/>
        <v/>
      </c>
      <c r="X75" s="499" t="str">
        <f t="shared" si="15"/>
        <v/>
      </c>
      <c r="Y75" s="499" t="str">
        <f t="shared" si="16"/>
        <v/>
      </c>
    </row>
    <row r="76" spans="1:25" x14ac:dyDescent="0.25">
      <c r="A76" s="497"/>
      <c r="B76" s="509" t="str">
        <f t="shared" si="25"/>
        <v/>
      </c>
      <c r="C76" s="497"/>
      <c r="D76" s="510" t="str">
        <f t="shared" si="21"/>
        <v/>
      </c>
      <c r="E76" s="497"/>
      <c r="F76" s="510" t="str">
        <f t="shared" si="22"/>
        <v/>
      </c>
      <c r="G76" s="497"/>
      <c r="H76" s="510" t="str">
        <f t="shared" si="23"/>
        <v/>
      </c>
      <c r="I76" s="497"/>
      <c r="J76" s="510" t="str">
        <f t="shared" si="24"/>
        <v/>
      </c>
      <c r="K76" s="497"/>
      <c r="L76" s="497"/>
      <c r="M76" s="497"/>
      <c r="N76" s="497"/>
      <c r="O76" s="497"/>
      <c r="P76" s="497"/>
      <c r="Q76" s="499">
        <v>76</v>
      </c>
      <c r="R76" s="499" t="str">
        <f t="shared" ca="1" si="17"/>
        <v/>
      </c>
      <c r="S76" s="499" t="str">
        <f t="shared" ca="1" si="18"/>
        <v/>
      </c>
      <c r="T76" s="499" t="str">
        <f t="shared" ca="1" si="19"/>
        <v/>
      </c>
      <c r="U76" s="499" t="str">
        <f t="shared" ca="1" si="20"/>
        <v/>
      </c>
      <c r="V76" s="499" t="str">
        <f t="shared" si="13"/>
        <v/>
      </c>
      <c r="W76" s="499" t="str">
        <f t="shared" si="14"/>
        <v/>
      </c>
      <c r="X76" s="499" t="str">
        <f t="shared" si="15"/>
        <v/>
      </c>
      <c r="Y76" s="499" t="str">
        <f t="shared" si="16"/>
        <v/>
      </c>
    </row>
    <row r="77" spans="1:25" x14ac:dyDescent="0.25">
      <c r="A77" s="497"/>
      <c r="B77" s="509" t="str">
        <f t="shared" si="25"/>
        <v/>
      </c>
      <c r="C77" s="497"/>
      <c r="D77" s="510" t="str">
        <f t="shared" si="21"/>
        <v/>
      </c>
      <c r="E77" s="497"/>
      <c r="F77" s="510" t="str">
        <f t="shared" si="22"/>
        <v/>
      </c>
      <c r="G77" s="497"/>
      <c r="H77" s="510" t="str">
        <f t="shared" si="23"/>
        <v/>
      </c>
      <c r="I77" s="497"/>
      <c r="J77" s="510" t="str">
        <f t="shared" si="24"/>
        <v/>
      </c>
      <c r="K77" s="497"/>
      <c r="L77" s="497"/>
      <c r="M77" s="497"/>
      <c r="N77" s="497"/>
      <c r="O77" s="497"/>
      <c r="P77" s="497"/>
      <c r="Q77" s="499">
        <v>77</v>
      </c>
      <c r="R77" s="499" t="str">
        <f t="shared" ca="1" si="17"/>
        <v/>
      </c>
      <c r="S77" s="499" t="str">
        <f t="shared" ca="1" si="18"/>
        <v/>
      </c>
      <c r="T77" s="499" t="str">
        <f t="shared" ca="1" si="19"/>
        <v/>
      </c>
      <c r="U77" s="499" t="str">
        <f t="shared" ca="1" si="20"/>
        <v/>
      </c>
      <c r="V77" s="499" t="str">
        <f t="shared" si="13"/>
        <v/>
      </c>
      <c r="W77" s="499" t="str">
        <f t="shared" si="14"/>
        <v/>
      </c>
      <c r="X77" s="499" t="str">
        <f t="shared" si="15"/>
        <v/>
      </c>
      <c r="Y77" s="499" t="str">
        <f t="shared" si="16"/>
        <v/>
      </c>
    </row>
    <row r="78" spans="1:25" x14ac:dyDescent="0.25">
      <c r="A78" s="497"/>
      <c r="B78" s="509" t="str">
        <f t="shared" si="25"/>
        <v/>
      </c>
      <c r="C78" s="497"/>
      <c r="D78" s="510" t="str">
        <f t="shared" si="21"/>
        <v/>
      </c>
      <c r="E78" s="497"/>
      <c r="F78" s="510" t="str">
        <f t="shared" si="22"/>
        <v/>
      </c>
      <c r="G78" s="497"/>
      <c r="H78" s="510" t="str">
        <f t="shared" si="23"/>
        <v/>
      </c>
      <c r="I78" s="497"/>
      <c r="J78" s="510" t="str">
        <f t="shared" si="24"/>
        <v/>
      </c>
      <c r="K78" s="497"/>
      <c r="L78" s="497"/>
      <c r="M78" s="497"/>
      <c r="N78" s="497"/>
      <c r="O78" s="497"/>
      <c r="P78" s="497"/>
      <c r="Q78" s="499">
        <v>78</v>
      </c>
      <c r="R78" s="499" t="str">
        <f t="shared" ca="1" si="17"/>
        <v/>
      </c>
      <c r="S78" s="499" t="str">
        <f t="shared" ca="1" si="18"/>
        <v/>
      </c>
      <c r="T78" s="499" t="str">
        <f t="shared" ca="1" si="19"/>
        <v/>
      </c>
      <c r="U78" s="499" t="str">
        <f t="shared" ca="1" si="20"/>
        <v/>
      </c>
      <c r="V78" s="499" t="str">
        <f t="shared" si="13"/>
        <v/>
      </c>
      <c r="W78" s="499" t="str">
        <f t="shared" si="14"/>
        <v/>
      </c>
      <c r="X78" s="499" t="str">
        <f t="shared" si="15"/>
        <v/>
      </c>
      <c r="Y78" s="499" t="str">
        <f t="shared" si="16"/>
        <v/>
      </c>
    </row>
    <row r="79" spans="1:25" x14ac:dyDescent="0.25">
      <c r="A79" s="497"/>
      <c r="B79" s="509" t="str">
        <f t="shared" si="25"/>
        <v/>
      </c>
      <c r="C79" s="497"/>
      <c r="D79" s="510" t="str">
        <f t="shared" si="21"/>
        <v/>
      </c>
      <c r="E79" s="497"/>
      <c r="F79" s="510" t="str">
        <f t="shared" si="22"/>
        <v/>
      </c>
      <c r="G79" s="497"/>
      <c r="H79" s="510" t="str">
        <f t="shared" si="23"/>
        <v/>
      </c>
      <c r="I79" s="497"/>
      <c r="J79" s="510" t="str">
        <f t="shared" si="24"/>
        <v/>
      </c>
      <c r="K79" s="497"/>
      <c r="L79" s="497"/>
      <c r="M79" s="497"/>
      <c r="N79" s="497"/>
      <c r="O79" s="497"/>
      <c r="P79" s="497"/>
      <c r="Q79" s="499">
        <v>79</v>
      </c>
      <c r="R79" s="499" t="str">
        <f t="shared" ca="1" si="17"/>
        <v/>
      </c>
      <c r="S79" s="499" t="str">
        <f t="shared" ca="1" si="18"/>
        <v/>
      </c>
      <c r="T79" s="499" t="str">
        <f t="shared" ca="1" si="19"/>
        <v/>
      </c>
      <c r="U79" s="499" t="str">
        <f t="shared" ca="1" si="20"/>
        <v/>
      </c>
      <c r="V79" s="499" t="str">
        <f t="shared" si="13"/>
        <v/>
      </c>
      <c r="W79" s="499" t="str">
        <f t="shared" si="14"/>
        <v/>
      </c>
      <c r="X79" s="499" t="str">
        <f t="shared" si="15"/>
        <v/>
      </c>
      <c r="Y79" s="499" t="str">
        <f t="shared" si="16"/>
        <v/>
      </c>
    </row>
    <row r="80" spans="1:25" x14ac:dyDescent="0.25">
      <c r="A80" s="497"/>
      <c r="B80" s="509" t="str">
        <f t="shared" si="25"/>
        <v/>
      </c>
      <c r="C80" s="497"/>
      <c r="D80" s="510" t="str">
        <f t="shared" si="21"/>
        <v/>
      </c>
      <c r="E80" s="497"/>
      <c r="F80" s="510" t="str">
        <f t="shared" si="22"/>
        <v/>
      </c>
      <c r="G80" s="497"/>
      <c r="H80" s="510" t="str">
        <f t="shared" si="23"/>
        <v/>
      </c>
      <c r="I80" s="497"/>
      <c r="J80" s="510" t="str">
        <f t="shared" si="24"/>
        <v/>
      </c>
      <c r="K80" s="497"/>
      <c r="L80" s="497"/>
      <c r="M80" s="497"/>
      <c r="N80" s="497"/>
      <c r="O80" s="497"/>
      <c r="P80" s="497"/>
      <c r="Q80" s="499">
        <v>80</v>
      </c>
      <c r="R80" s="499" t="str">
        <f t="shared" ca="1" si="17"/>
        <v/>
      </c>
      <c r="S80" s="499" t="str">
        <f t="shared" ca="1" si="18"/>
        <v/>
      </c>
      <c r="T80" s="499" t="str">
        <f t="shared" ca="1" si="19"/>
        <v/>
      </c>
      <c r="U80" s="499" t="str">
        <f t="shared" ca="1" si="20"/>
        <v/>
      </c>
      <c r="V80" s="499" t="str">
        <f t="shared" ref="V80:V100" si="26">IF(Q80&lt;=$D$3,RANK(R80,$R$1:$U$100),"")</f>
        <v/>
      </c>
      <c r="W80" s="499" t="str">
        <f t="shared" ref="W80:W100" si="27">IF(Q80&lt;=$F$3,RANK(S80,$R$1:$U$100),"")</f>
        <v/>
      </c>
      <c r="X80" s="499" t="str">
        <f t="shared" ref="X80:X100" si="28">IF(Q80&lt;=$H$3,RANK(T80,$R$1:$U$100),"")</f>
        <v/>
      </c>
      <c r="Y80" s="499" t="str">
        <f t="shared" ref="Y80:Y100" si="29">IF(Q80&lt;=$J$3,RANK(U80,$R$1:$U$100),"")</f>
        <v/>
      </c>
    </row>
    <row r="81" spans="1:25" x14ac:dyDescent="0.25">
      <c r="A81" s="497"/>
      <c r="B81" s="509" t="str">
        <f t="shared" si="25"/>
        <v/>
      </c>
      <c r="C81" s="497"/>
      <c r="D81" s="510" t="str">
        <f t="shared" si="21"/>
        <v/>
      </c>
      <c r="E81" s="497"/>
      <c r="F81" s="510" t="str">
        <f t="shared" si="22"/>
        <v/>
      </c>
      <c r="G81" s="497"/>
      <c r="H81" s="510" t="str">
        <f t="shared" si="23"/>
        <v/>
      </c>
      <c r="I81" s="497"/>
      <c r="J81" s="510" t="str">
        <f t="shared" si="24"/>
        <v/>
      </c>
      <c r="K81" s="497"/>
      <c r="L81" s="497"/>
      <c r="M81" s="497"/>
      <c r="N81" s="497"/>
      <c r="O81" s="497"/>
      <c r="P81" s="497"/>
      <c r="Q81" s="499">
        <v>81</v>
      </c>
      <c r="R81" s="499" t="str">
        <f t="shared" ca="1" si="17"/>
        <v/>
      </c>
      <c r="S81" s="499" t="str">
        <f t="shared" ca="1" si="18"/>
        <v/>
      </c>
      <c r="T81" s="499" t="str">
        <f t="shared" ca="1" si="19"/>
        <v/>
      </c>
      <c r="U81" s="499" t="str">
        <f t="shared" ca="1" si="20"/>
        <v/>
      </c>
      <c r="V81" s="499" t="str">
        <f t="shared" si="26"/>
        <v/>
      </c>
      <c r="W81" s="499" t="str">
        <f t="shared" si="27"/>
        <v/>
      </c>
      <c r="X81" s="499" t="str">
        <f t="shared" si="28"/>
        <v/>
      </c>
      <c r="Y81" s="499" t="str">
        <f t="shared" si="29"/>
        <v/>
      </c>
    </row>
    <row r="82" spans="1:25" x14ac:dyDescent="0.25">
      <c r="A82" s="497"/>
      <c r="B82" s="509" t="str">
        <f t="shared" si="25"/>
        <v/>
      </c>
      <c r="C82" s="497"/>
      <c r="D82" s="510" t="str">
        <f t="shared" si="21"/>
        <v/>
      </c>
      <c r="E82" s="497"/>
      <c r="F82" s="510" t="str">
        <f t="shared" si="22"/>
        <v/>
      </c>
      <c r="G82" s="497"/>
      <c r="H82" s="510" t="str">
        <f t="shared" si="23"/>
        <v/>
      </c>
      <c r="I82" s="497"/>
      <c r="J82" s="510" t="str">
        <f t="shared" si="24"/>
        <v/>
      </c>
      <c r="K82" s="497"/>
      <c r="L82" s="497"/>
      <c r="M82" s="497"/>
      <c r="N82" s="497"/>
      <c r="O82" s="497"/>
      <c r="P82" s="497"/>
      <c r="Q82" s="499">
        <v>82</v>
      </c>
      <c r="R82" s="499" t="str">
        <f t="shared" ca="1" si="17"/>
        <v/>
      </c>
      <c r="S82" s="499" t="str">
        <f t="shared" ca="1" si="18"/>
        <v/>
      </c>
      <c r="T82" s="499" t="str">
        <f t="shared" ca="1" si="19"/>
        <v/>
      </c>
      <c r="U82" s="499" t="str">
        <f t="shared" ca="1" si="20"/>
        <v/>
      </c>
      <c r="V82" s="499" t="str">
        <f t="shared" si="26"/>
        <v/>
      </c>
      <c r="W82" s="499" t="str">
        <f t="shared" si="27"/>
        <v/>
      </c>
      <c r="X82" s="499" t="str">
        <f t="shared" si="28"/>
        <v/>
      </c>
      <c r="Y82" s="499" t="str">
        <f t="shared" si="29"/>
        <v/>
      </c>
    </row>
    <row r="83" spans="1:25" x14ac:dyDescent="0.25">
      <c r="A83" s="497"/>
      <c r="B83" s="509" t="str">
        <f t="shared" si="25"/>
        <v/>
      </c>
      <c r="C83" s="497"/>
      <c r="D83" s="510" t="str">
        <f t="shared" si="21"/>
        <v/>
      </c>
      <c r="E83" s="497"/>
      <c r="F83" s="510" t="str">
        <f t="shared" si="22"/>
        <v/>
      </c>
      <c r="G83" s="497"/>
      <c r="H83" s="510" t="str">
        <f t="shared" si="23"/>
        <v/>
      </c>
      <c r="I83" s="497"/>
      <c r="J83" s="510" t="str">
        <f t="shared" si="24"/>
        <v/>
      </c>
      <c r="K83" s="497"/>
      <c r="L83" s="497"/>
      <c r="M83" s="497"/>
      <c r="N83" s="497"/>
      <c r="O83" s="497"/>
      <c r="P83" s="497"/>
      <c r="Q83" s="499">
        <v>83</v>
      </c>
      <c r="R83" s="499" t="str">
        <f t="shared" ca="1" si="17"/>
        <v/>
      </c>
      <c r="S83" s="499" t="str">
        <f t="shared" ca="1" si="18"/>
        <v/>
      </c>
      <c r="T83" s="499" t="str">
        <f t="shared" ca="1" si="19"/>
        <v/>
      </c>
      <c r="U83" s="499" t="str">
        <f t="shared" ca="1" si="20"/>
        <v/>
      </c>
      <c r="V83" s="499" t="str">
        <f t="shared" si="26"/>
        <v/>
      </c>
      <c r="W83" s="499" t="str">
        <f t="shared" si="27"/>
        <v/>
      </c>
      <c r="X83" s="499" t="str">
        <f t="shared" si="28"/>
        <v/>
      </c>
      <c r="Y83" s="499" t="str">
        <f t="shared" si="29"/>
        <v/>
      </c>
    </row>
    <row r="84" spans="1:25" x14ac:dyDescent="0.25">
      <c r="A84" s="497"/>
      <c r="B84" s="509" t="str">
        <f t="shared" si="25"/>
        <v/>
      </c>
      <c r="C84" s="497"/>
      <c r="D84" s="510" t="str">
        <f t="shared" si="21"/>
        <v/>
      </c>
      <c r="E84" s="497"/>
      <c r="F84" s="510" t="str">
        <f t="shared" si="22"/>
        <v/>
      </c>
      <c r="G84" s="497"/>
      <c r="H84" s="510" t="str">
        <f t="shared" si="23"/>
        <v/>
      </c>
      <c r="I84" s="497"/>
      <c r="J84" s="510" t="str">
        <f t="shared" si="24"/>
        <v/>
      </c>
      <c r="K84" s="497"/>
      <c r="L84" s="497"/>
      <c r="M84" s="497"/>
      <c r="N84" s="497"/>
      <c r="O84" s="497"/>
      <c r="P84" s="497"/>
      <c r="Q84" s="499">
        <v>84</v>
      </c>
      <c r="R84" s="499" t="str">
        <f t="shared" ca="1" si="17"/>
        <v/>
      </c>
      <c r="S84" s="499" t="str">
        <f t="shared" ca="1" si="18"/>
        <v/>
      </c>
      <c r="T84" s="499" t="str">
        <f t="shared" ca="1" si="19"/>
        <v/>
      </c>
      <c r="U84" s="499" t="str">
        <f t="shared" ca="1" si="20"/>
        <v/>
      </c>
      <c r="V84" s="499" t="str">
        <f t="shared" si="26"/>
        <v/>
      </c>
      <c r="W84" s="499" t="str">
        <f t="shared" si="27"/>
        <v/>
      </c>
      <c r="X84" s="499" t="str">
        <f t="shared" si="28"/>
        <v/>
      </c>
      <c r="Y84" s="499" t="str">
        <f t="shared" si="29"/>
        <v/>
      </c>
    </row>
    <row r="85" spans="1:25" x14ac:dyDescent="0.25">
      <c r="A85" s="497"/>
      <c r="B85" s="509" t="str">
        <f t="shared" si="25"/>
        <v/>
      </c>
      <c r="C85" s="497"/>
      <c r="D85" s="510" t="str">
        <f t="shared" si="21"/>
        <v/>
      </c>
      <c r="E85" s="497"/>
      <c r="F85" s="510" t="str">
        <f t="shared" si="22"/>
        <v/>
      </c>
      <c r="G85" s="497"/>
      <c r="H85" s="510" t="str">
        <f t="shared" si="23"/>
        <v/>
      </c>
      <c r="I85" s="497"/>
      <c r="J85" s="510" t="str">
        <f t="shared" si="24"/>
        <v/>
      </c>
      <c r="K85" s="497"/>
      <c r="L85" s="497"/>
      <c r="M85" s="497"/>
      <c r="N85" s="497"/>
      <c r="O85" s="497"/>
      <c r="P85" s="497"/>
      <c r="Q85" s="499">
        <v>85</v>
      </c>
      <c r="R85" s="499" t="str">
        <f t="shared" ref="R85:R100" ca="1" si="30">IF(Q85&lt;=$D$3,RAND(),"")</f>
        <v/>
      </c>
      <c r="S85" s="499" t="str">
        <f t="shared" ref="S85:S100" ca="1" si="31">IF(Q85&lt;=$F$3,RAND(),"")</f>
        <v/>
      </c>
      <c r="T85" s="499" t="str">
        <f t="shared" ca="1" si="19"/>
        <v/>
      </c>
      <c r="U85" s="499" t="str">
        <f t="shared" ca="1" si="20"/>
        <v/>
      </c>
      <c r="V85" s="499" t="str">
        <f t="shared" si="26"/>
        <v/>
      </c>
      <c r="W85" s="499" t="str">
        <f t="shared" si="27"/>
        <v/>
      </c>
      <c r="X85" s="499" t="str">
        <f t="shared" si="28"/>
        <v/>
      </c>
      <c r="Y85" s="499" t="str">
        <f t="shared" si="29"/>
        <v/>
      </c>
    </row>
    <row r="86" spans="1:25" x14ac:dyDescent="0.25">
      <c r="A86" s="497"/>
      <c r="B86" s="509" t="str">
        <f t="shared" si="25"/>
        <v/>
      </c>
      <c r="C86" s="497"/>
      <c r="D86" s="510" t="str">
        <f t="shared" si="21"/>
        <v/>
      </c>
      <c r="E86" s="497"/>
      <c r="F86" s="510" t="str">
        <f t="shared" si="22"/>
        <v/>
      </c>
      <c r="G86" s="497"/>
      <c r="H86" s="510" t="str">
        <f t="shared" si="23"/>
        <v/>
      </c>
      <c r="I86" s="497"/>
      <c r="J86" s="510" t="str">
        <f t="shared" si="24"/>
        <v/>
      </c>
      <c r="K86" s="497"/>
      <c r="L86" s="497"/>
      <c r="M86" s="497"/>
      <c r="N86" s="497"/>
      <c r="O86" s="497"/>
      <c r="P86" s="497"/>
      <c r="Q86" s="499">
        <v>86</v>
      </c>
      <c r="R86" s="499" t="str">
        <f t="shared" ca="1" si="30"/>
        <v/>
      </c>
      <c r="S86" s="499" t="str">
        <f t="shared" ca="1" si="31"/>
        <v/>
      </c>
      <c r="T86" s="499" t="str">
        <f t="shared" ca="1" si="19"/>
        <v/>
      </c>
      <c r="U86" s="499" t="str">
        <f t="shared" ca="1" si="20"/>
        <v/>
      </c>
      <c r="V86" s="499" t="str">
        <f t="shared" si="26"/>
        <v/>
      </c>
      <c r="W86" s="499" t="str">
        <f t="shared" si="27"/>
        <v/>
      </c>
      <c r="X86" s="499" t="str">
        <f t="shared" si="28"/>
        <v/>
      </c>
      <c r="Y86" s="499" t="str">
        <f t="shared" si="29"/>
        <v/>
      </c>
    </row>
    <row r="87" spans="1:25" x14ac:dyDescent="0.25">
      <c r="A87" s="497"/>
      <c r="B87" s="509" t="str">
        <f t="shared" si="25"/>
        <v/>
      </c>
      <c r="C87" s="497"/>
      <c r="D87" s="510" t="str">
        <f t="shared" si="21"/>
        <v/>
      </c>
      <c r="E87" s="497"/>
      <c r="F87" s="510" t="str">
        <f t="shared" si="22"/>
        <v/>
      </c>
      <c r="G87" s="497"/>
      <c r="H87" s="510" t="str">
        <f t="shared" si="23"/>
        <v/>
      </c>
      <c r="I87" s="497"/>
      <c r="J87" s="510" t="str">
        <f t="shared" si="24"/>
        <v/>
      </c>
      <c r="K87" s="497"/>
      <c r="L87" s="497"/>
      <c r="M87" s="497"/>
      <c r="N87" s="497"/>
      <c r="O87" s="497"/>
      <c r="P87" s="497"/>
      <c r="Q87" s="499">
        <v>87</v>
      </c>
      <c r="R87" s="499" t="str">
        <f t="shared" ca="1" si="30"/>
        <v/>
      </c>
      <c r="S87" s="499" t="str">
        <f t="shared" ca="1" si="31"/>
        <v/>
      </c>
      <c r="T87" s="499" t="str">
        <f t="shared" ca="1" si="19"/>
        <v/>
      </c>
      <c r="U87" s="499" t="str">
        <f t="shared" ca="1" si="20"/>
        <v/>
      </c>
      <c r="V87" s="499" t="str">
        <f t="shared" si="26"/>
        <v/>
      </c>
      <c r="W87" s="499" t="str">
        <f t="shared" si="27"/>
        <v/>
      </c>
      <c r="X87" s="499" t="str">
        <f t="shared" si="28"/>
        <v/>
      </c>
      <c r="Y87" s="499" t="str">
        <f t="shared" si="29"/>
        <v/>
      </c>
    </row>
    <row r="88" spans="1:25" x14ac:dyDescent="0.25">
      <c r="A88" s="497"/>
      <c r="B88" s="509" t="str">
        <f t="shared" si="25"/>
        <v/>
      </c>
      <c r="C88" s="497"/>
      <c r="D88" s="510" t="str">
        <f t="shared" si="21"/>
        <v/>
      </c>
      <c r="E88" s="497"/>
      <c r="F88" s="510" t="str">
        <f t="shared" si="22"/>
        <v/>
      </c>
      <c r="G88" s="497"/>
      <c r="H88" s="510" t="str">
        <f t="shared" si="23"/>
        <v/>
      </c>
      <c r="I88" s="497"/>
      <c r="J88" s="510" t="str">
        <f t="shared" si="24"/>
        <v/>
      </c>
      <c r="K88" s="497"/>
      <c r="L88" s="497"/>
      <c r="M88" s="497"/>
      <c r="N88" s="497"/>
      <c r="O88" s="497"/>
      <c r="P88" s="497"/>
      <c r="Q88" s="499">
        <v>88</v>
      </c>
      <c r="R88" s="499" t="str">
        <f t="shared" ca="1" si="30"/>
        <v/>
      </c>
      <c r="S88" s="499" t="str">
        <f t="shared" ca="1" si="31"/>
        <v/>
      </c>
      <c r="T88" s="499" t="str">
        <f t="shared" ca="1" si="19"/>
        <v/>
      </c>
      <c r="U88" s="499" t="str">
        <f t="shared" ca="1" si="20"/>
        <v/>
      </c>
      <c r="V88" s="499" t="str">
        <f t="shared" si="26"/>
        <v/>
      </c>
      <c r="W88" s="499" t="str">
        <f t="shared" si="27"/>
        <v/>
      </c>
      <c r="X88" s="499" t="str">
        <f t="shared" si="28"/>
        <v/>
      </c>
      <c r="Y88" s="499" t="str">
        <f t="shared" si="29"/>
        <v/>
      </c>
    </row>
    <row r="89" spans="1:25" x14ac:dyDescent="0.25">
      <c r="A89" s="497"/>
      <c r="B89" s="509" t="str">
        <f t="shared" si="25"/>
        <v/>
      </c>
      <c r="C89" s="497"/>
      <c r="D89" s="510" t="str">
        <f t="shared" si="21"/>
        <v/>
      </c>
      <c r="E89" s="497"/>
      <c r="F89" s="510" t="str">
        <f t="shared" si="22"/>
        <v/>
      </c>
      <c r="G89" s="497"/>
      <c r="H89" s="510" t="str">
        <f t="shared" si="23"/>
        <v/>
      </c>
      <c r="I89" s="497"/>
      <c r="J89" s="510" t="str">
        <f t="shared" si="24"/>
        <v/>
      </c>
      <c r="K89" s="497"/>
      <c r="L89" s="497"/>
      <c r="M89" s="497"/>
      <c r="N89" s="497"/>
      <c r="O89" s="497"/>
      <c r="P89" s="497"/>
      <c r="Q89" s="499">
        <v>89</v>
      </c>
      <c r="R89" s="499" t="str">
        <f t="shared" ca="1" si="30"/>
        <v/>
      </c>
      <c r="S89" s="499" t="str">
        <f t="shared" ca="1" si="31"/>
        <v/>
      </c>
      <c r="T89" s="499" t="str">
        <f t="shared" ca="1" si="19"/>
        <v/>
      </c>
      <c r="U89" s="499" t="str">
        <f t="shared" ca="1" si="20"/>
        <v/>
      </c>
      <c r="V89" s="499" t="str">
        <f t="shared" si="26"/>
        <v/>
      </c>
      <c r="W89" s="499" t="str">
        <f t="shared" si="27"/>
        <v/>
      </c>
      <c r="X89" s="499" t="str">
        <f t="shared" si="28"/>
        <v/>
      </c>
      <c r="Y89" s="499" t="str">
        <f t="shared" si="29"/>
        <v/>
      </c>
    </row>
    <row r="90" spans="1:25" x14ac:dyDescent="0.25">
      <c r="A90" s="497"/>
      <c r="B90" s="509" t="str">
        <f t="shared" si="25"/>
        <v/>
      </c>
      <c r="C90" s="497"/>
      <c r="D90" s="510" t="str">
        <f t="shared" si="21"/>
        <v/>
      </c>
      <c r="E90" s="497"/>
      <c r="F90" s="510" t="str">
        <f t="shared" si="22"/>
        <v/>
      </c>
      <c r="G90" s="497"/>
      <c r="H90" s="510" t="str">
        <f t="shared" si="23"/>
        <v/>
      </c>
      <c r="I90" s="497"/>
      <c r="J90" s="510" t="str">
        <f t="shared" si="24"/>
        <v/>
      </c>
      <c r="K90" s="497"/>
      <c r="L90" s="497"/>
      <c r="M90" s="497"/>
      <c r="N90" s="497"/>
      <c r="O90" s="497"/>
      <c r="P90" s="497"/>
      <c r="Q90" s="499">
        <v>90</v>
      </c>
      <c r="R90" s="499" t="str">
        <f t="shared" ca="1" si="30"/>
        <v/>
      </c>
      <c r="S90" s="499" t="str">
        <f t="shared" ca="1" si="31"/>
        <v/>
      </c>
      <c r="T90" s="499" t="str">
        <f t="shared" ca="1" si="19"/>
        <v/>
      </c>
      <c r="U90" s="499" t="str">
        <f t="shared" ca="1" si="20"/>
        <v/>
      </c>
      <c r="V90" s="499" t="str">
        <f t="shared" si="26"/>
        <v/>
      </c>
      <c r="W90" s="499" t="str">
        <f t="shared" si="27"/>
        <v/>
      </c>
      <c r="X90" s="499" t="str">
        <f t="shared" si="28"/>
        <v/>
      </c>
      <c r="Y90" s="499" t="str">
        <f t="shared" si="29"/>
        <v/>
      </c>
    </row>
    <row r="91" spans="1:25" x14ac:dyDescent="0.25">
      <c r="A91" s="497"/>
      <c r="B91" s="509" t="str">
        <f t="shared" si="25"/>
        <v/>
      </c>
      <c r="C91" s="497"/>
      <c r="D91" s="510" t="str">
        <f t="shared" si="21"/>
        <v/>
      </c>
      <c r="E91" s="497"/>
      <c r="F91" s="510" t="str">
        <f t="shared" si="22"/>
        <v/>
      </c>
      <c r="G91" s="497"/>
      <c r="H91" s="510" t="str">
        <f t="shared" si="23"/>
        <v/>
      </c>
      <c r="I91" s="497"/>
      <c r="J91" s="510" t="str">
        <f t="shared" si="24"/>
        <v/>
      </c>
      <c r="K91" s="497"/>
      <c r="L91" s="497"/>
      <c r="M91" s="497"/>
      <c r="N91" s="497"/>
      <c r="O91" s="497"/>
      <c r="P91" s="497"/>
      <c r="Q91" s="499">
        <v>91</v>
      </c>
      <c r="R91" s="499" t="str">
        <f t="shared" ca="1" si="30"/>
        <v/>
      </c>
      <c r="S91" s="499" t="str">
        <f t="shared" ca="1" si="31"/>
        <v/>
      </c>
      <c r="T91" s="499" t="str">
        <f t="shared" ca="1" si="19"/>
        <v/>
      </c>
      <c r="U91" s="499" t="str">
        <f t="shared" ca="1" si="20"/>
        <v/>
      </c>
      <c r="V91" s="499" t="str">
        <f t="shared" si="26"/>
        <v/>
      </c>
      <c r="W91" s="499" t="str">
        <f t="shared" si="27"/>
        <v/>
      </c>
      <c r="X91" s="499" t="str">
        <f t="shared" si="28"/>
        <v/>
      </c>
      <c r="Y91" s="499" t="str">
        <f t="shared" si="29"/>
        <v/>
      </c>
    </row>
    <row r="92" spans="1:25" x14ac:dyDescent="0.25">
      <c r="A92" s="497"/>
      <c r="B92" s="509" t="str">
        <f t="shared" si="25"/>
        <v/>
      </c>
      <c r="C92" s="497"/>
      <c r="D92" s="510" t="str">
        <f t="shared" si="21"/>
        <v/>
      </c>
      <c r="E92" s="497"/>
      <c r="F92" s="510" t="str">
        <f t="shared" si="22"/>
        <v/>
      </c>
      <c r="G92" s="497"/>
      <c r="H92" s="510" t="str">
        <f t="shared" si="23"/>
        <v/>
      </c>
      <c r="I92" s="497"/>
      <c r="J92" s="510" t="str">
        <f t="shared" si="24"/>
        <v/>
      </c>
      <c r="K92" s="497"/>
      <c r="L92" s="497"/>
      <c r="M92" s="497"/>
      <c r="N92" s="497"/>
      <c r="O92" s="497"/>
      <c r="P92" s="497"/>
      <c r="Q92" s="499">
        <v>92</v>
      </c>
      <c r="R92" s="499" t="str">
        <f t="shared" ca="1" si="30"/>
        <v/>
      </c>
      <c r="S92" s="499" t="str">
        <f t="shared" ca="1" si="31"/>
        <v/>
      </c>
      <c r="T92" s="499" t="str">
        <f t="shared" ca="1" si="19"/>
        <v/>
      </c>
      <c r="U92" s="499" t="str">
        <f t="shared" ca="1" si="20"/>
        <v/>
      </c>
      <c r="V92" s="499" t="str">
        <f t="shared" si="26"/>
        <v/>
      </c>
      <c r="W92" s="499" t="str">
        <f t="shared" si="27"/>
        <v/>
      </c>
      <c r="X92" s="499" t="str">
        <f t="shared" si="28"/>
        <v/>
      </c>
      <c r="Y92" s="499" t="str">
        <f t="shared" si="29"/>
        <v/>
      </c>
    </row>
    <row r="93" spans="1:25" x14ac:dyDescent="0.25">
      <c r="A93" s="497"/>
      <c r="B93" s="509" t="str">
        <f t="shared" si="25"/>
        <v/>
      </c>
      <c r="C93" s="497"/>
      <c r="D93" s="510" t="str">
        <f t="shared" si="21"/>
        <v/>
      </c>
      <c r="E93" s="497"/>
      <c r="F93" s="510" t="str">
        <f t="shared" si="22"/>
        <v/>
      </c>
      <c r="G93" s="497"/>
      <c r="H93" s="510" t="str">
        <f t="shared" si="23"/>
        <v/>
      </c>
      <c r="I93" s="497"/>
      <c r="J93" s="510" t="str">
        <f t="shared" si="24"/>
        <v/>
      </c>
      <c r="K93" s="497"/>
      <c r="L93" s="497"/>
      <c r="M93" s="497"/>
      <c r="N93" s="497"/>
      <c r="O93" s="497"/>
      <c r="P93" s="497"/>
      <c r="Q93" s="499">
        <v>93</v>
      </c>
      <c r="R93" s="499" t="str">
        <f t="shared" ca="1" si="30"/>
        <v/>
      </c>
      <c r="S93" s="499" t="str">
        <f t="shared" ca="1" si="31"/>
        <v/>
      </c>
      <c r="T93" s="499" t="str">
        <f t="shared" ca="1" si="19"/>
        <v/>
      </c>
      <c r="U93" s="499" t="str">
        <f t="shared" ca="1" si="20"/>
        <v/>
      </c>
      <c r="V93" s="499" t="str">
        <f t="shared" si="26"/>
        <v/>
      </c>
      <c r="W93" s="499" t="str">
        <f t="shared" si="27"/>
        <v/>
      </c>
      <c r="X93" s="499" t="str">
        <f t="shared" si="28"/>
        <v/>
      </c>
      <c r="Y93" s="499" t="str">
        <f t="shared" si="29"/>
        <v/>
      </c>
    </row>
    <row r="94" spans="1:25" x14ac:dyDescent="0.25">
      <c r="A94" s="497"/>
      <c r="B94" s="509" t="str">
        <f t="shared" si="25"/>
        <v/>
      </c>
      <c r="C94" s="497"/>
      <c r="D94" s="510" t="str">
        <f t="shared" si="21"/>
        <v/>
      </c>
      <c r="E94" s="497"/>
      <c r="F94" s="510" t="str">
        <f t="shared" si="22"/>
        <v/>
      </c>
      <c r="G94" s="497"/>
      <c r="H94" s="510" t="str">
        <f t="shared" si="23"/>
        <v/>
      </c>
      <c r="I94" s="497"/>
      <c r="J94" s="510" t="str">
        <f t="shared" si="24"/>
        <v/>
      </c>
      <c r="K94" s="497"/>
      <c r="L94" s="497"/>
      <c r="M94" s="497"/>
      <c r="N94" s="497"/>
      <c r="O94" s="497"/>
      <c r="P94" s="497"/>
      <c r="Q94" s="499">
        <v>94</v>
      </c>
      <c r="R94" s="499" t="str">
        <f t="shared" ca="1" si="30"/>
        <v/>
      </c>
      <c r="S94" s="499" t="str">
        <f t="shared" ca="1" si="31"/>
        <v/>
      </c>
      <c r="T94" s="499" t="str">
        <f t="shared" ca="1" si="19"/>
        <v/>
      </c>
      <c r="U94" s="499" t="str">
        <f t="shared" ca="1" si="20"/>
        <v/>
      </c>
      <c r="V94" s="499" t="str">
        <f t="shared" si="26"/>
        <v/>
      </c>
      <c r="W94" s="499" t="str">
        <f t="shared" si="27"/>
        <v/>
      </c>
      <c r="X94" s="499" t="str">
        <f t="shared" si="28"/>
        <v/>
      </c>
      <c r="Y94" s="499" t="str">
        <f t="shared" si="29"/>
        <v/>
      </c>
    </row>
    <row r="95" spans="1:25" x14ac:dyDescent="0.25">
      <c r="A95" s="497"/>
      <c r="B95" s="509" t="str">
        <f t="shared" si="25"/>
        <v/>
      </c>
      <c r="C95" s="497"/>
      <c r="D95" s="510" t="str">
        <f t="shared" si="21"/>
        <v/>
      </c>
      <c r="E95" s="497"/>
      <c r="F95" s="510" t="str">
        <f t="shared" si="22"/>
        <v/>
      </c>
      <c r="G95" s="497"/>
      <c r="H95" s="510" t="str">
        <f t="shared" si="23"/>
        <v/>
      </c>
      <c r="I95" s="497"/>
      <c r="J95" s="510" t="str">
        <f t="shared" si="24"/>
        <v/>
      </c>
      <c r="K95" s="497"/>
      <c r="L95" s="497"/>
      <c r="M95" s="497"/>
      <c r="N95" s="497"/>
      <c r="O95" s="497"/>
      <c r="P95" s="497"/>
      <c r="Q95" s="499">
        <v>95</v>
      </c>
      <c r="R95" s="499" t="str">
        <f t="shared" ca="1" si="30"/>
        <v/>
      </c>
      <c r="S95" s="499" t="str">
        <f t="shared" ca="1" si="31"/>
        <v/>
      </c>
      <c r="T95" s="499" t="str">
        <f t="shared" ca="1" si="19"/>
        <v/>
      </c>
      <c r="U95" s="499" t="str">
        <f t="shared" ca="1" si="20"/>
        <v/>
      </c>
      <c r="V95" s="499" t="str">
        <f t="shared" si="26"/>
        <v/>
      </c>
      <c r="W95" s="499" t="str">
        <f t="shared" si="27"/>
        <v/>
      </c>
      <c r="X95" s="499" t="str">
        <f t="shared" si="28"/>
        <v/>
      </c>
      <c r="Y95" s="499" t="str">
        <f t="shared" si="29"/>
        <v/>
      </c>
    </row>
    <row r="96" spans="1:25" x14ac:dyDescent="0.25">
      <c r="A96" s="497"/>
      <c r="B96" s="509" t="str">
        <f t="shared" si="25"/>
        <v/>
      </c>
      <c r="C96" s="497"/>
      <c r="D96" s="510" t="str">
        <f t="shared" si="21"/>
        <v/>
      </c>
      <c r="E96" s="497"/>
      <c r="F96" s="510" t="str">
        <f t="shared" si="22"/>
        <v/>
      </c>
      <c r="G96" s="497"/>
      <c r="H96" s="510" t="str">
        <f t="shared" si="23"/>
        <v/>
      </c>
      <c r="I96" s="497"/>
      <c r="J96" s="510" t="str">
        <f t="shared" si="24"/>
        <v/>
      </c>
      <c r="K96" s="497"/>
      <c r="L96" s="497"/>
      <c r="M96" s="497"/>
      <c r="N96" s="497"/>
      <c r="O96" s="497"/>
      <c r="P96" s="497"/>
      <c r="Q96" s="499">
        <v>96</v>
      </c>
      <c r="R96" s="499" t="str">
        <f t="shared" ca="1" si="30"/>
        <v/>
      </c>
      <c r="S96" s="499" t="str">
        <f t="shared" ca="1" si="31"/>
        <v/>
      </c>
      <c r="T96" s="499" t="str">
        <f t="shared" ca="1" si="19"/>
        <v/>
      </c>
      <c r="U96" s="499" t="str">
        <f t="shared" ca="1" si="20"/>
        <v/>
      </c>
      <c r="V96" s="499" t="str">
        <f t="shared" si="26"/>
        <v/>
      </c>
      <c r="W96" s="499" t="str">
        <f t="shared" si="27"/>
        <v/>
      </c>
      <c r="X96" s="499" t="str">
        <f t="shared" si="28"/>
        <v/>
      </c>
      <c r="Y96" s="499" t="str">
        <f t="shared" si="29"/>
        <v/>
      </c>
    </row>
    <row r="97" spans="1:25" x14ac:dyDescent="0.25">
      <c r="A97" s="497"/>
      <c r="B97" s="509" t="str">
        <f t="shared" si="25"/>
        <v/>
      </c>
      <c r="C97" s="497"/>
      <c r="D97" s="510" t="str">
        <f t="shared" si="21"/>
        <v/>
      </c>
      <c r="E97" s="497"/>
      <c r="F97" s="510" t="str">
        <f t="shared" si="22"/>
        <v/>
      </c>
      <c r="G97" s="497"/>
      <c r="H97" s="510" t="str">
        <f t="shared" si="23"/>
        <v/>
      </c>
      <c r="I97" s="497"/>
      <c r="J97" s="510" t="str">
        <f t="shared" si="24"/>
        <v/>
      </c>
      <c r="K97" s="497"/>
      <c r="L97" s="497"/>
      <c r="M97" s="497"/>
      <c r="N97" s="497"/>
      <c r="O97" s="497"/>
      <c r="P97" s="497"/>
      <c r="Q97" s="499">
        <v>97</v>
      </c>
      <c r="R97" s="499" t="str">
        <f t="shared" ca="1" si="30"/>
        <v/>
      </c>
      <c r="S97" s="499" t="str">
        <f t="shared" ca="1" si="31"/>
        <v/>
      </c>
      <c r="T97" s="499" t="str">
        <f t="shared" ca="1" si="19"/>
        <v/>
      </c>
      <c r="U97" s="499" t="str">
        <f t="shared" ca="1" si="20"/>
        <v/>
      </c>
      <c r="V97" s="499" t="str">
        <f t="shared" si="26"/>
        <v/>
      </c>
      <c r="W97" s="499" t="str">
        <f t="shared" si="27"/>
        <v/>
      </c>
      <c r="X97" s="499" t="str">
        <f t="shared" si="28"/>
        <v/>
      </c>
      <c r="Y97" s="499" t="str">
        <f t="shared" si="29"/>
        <v/>
      </c>
    </row>
    <row r="98" spans="1:25" x14ac:dyDescent="0.25">
      <c r="A98" s="497"/>
      <c r="B98" s="509" t="str">
        <f t="shared" si="25"/>
        <v/>
      </c>
      <c r="C98" s="497"/>
      <c r="D98" s="510" t="str">
        <f t="shared" si="21"/>
        <v/>
      </c>
      <c r="E98" s="497"/>
      <c r="F98" s="510" t="str">
        <f t="shared" si="22"/>
        <v/>
      </c>
      <c r="G98" s="497"/>
      <c r="H98" s="510" t="str">
        <f t="shared" si="23"/>
        <v/>
      </c>
      <c r="I98" s="497"/>
      <c r="J98" s="510" t="str">
        <f t="shared" si="24"/>
        <v/>
      </c>
      <c r="K98" s="497"/>
      <c r="L98" s="497"/>
      <c r="M98" s="497"/>
      <c r="N98" s="497"/>
      <c r="O98" s="497"/>
      <c r="P98" s="497"/>
      <c r="Q98" s="499">
        <v>98</v>
      </c>
      <c r="R98" s="499" t="str">
        <f t="shared" ca="1" si="30"/>
        <v/>
      </c>
      <c r="S98" s="499" t="str">
        <f t="shared" ca="1" si="31"/>
        <v/>
      </c>
      <c r="T98" s="499" t="str">
        <f t="shared" ca="1" si="19"/>
        <v/>
      </c>
      <c r="U98" s="499" t="str">
        <f t="shared" ca="1" si="20"/>
        <v/>
      </c>
      <c r="V98" s="499" t="str">
        <f t="shared" si="26"/>
        <v/>
      </c>
      <c r="W98" s="499" t="str">
        <f t="shared" si="27"/>
        <v/>
      </c>
      <c r="X98" s="499" t="str">
        <f t="shared" si="28"/>
        <v/>
      </c>
      <c r="Y98" s="499" t="str">
        <f t="shared" si="29"/>
        <v/>
      </c>
    </row>
    <row r="99" spans="1:25" x14ac:dyDescent="0.25">
      <c r="A99" s="497"/>
      <c r="B99" s="509" t="str">
        <f t="shared" si="25"/>
        <v/>
      </c>
      <c r="C99" s="497"/>
      <c r="D99" s="510" t="str">
        <f t="shared" si="21"/>
        <v/>
      </c>
      <c r="E99" s="497"/>
      <c r="F99" s="510" t="str">
        <f t="shared" si="22"/>
        <v/>
      </c>
      <c r="G99" s="497"/>
      <c r="H99" s="510" t="str">
        <f t="shared" si="23"/>
        <v/>
      </c>
      <c r="I99" s="497"/>
      <c r="J99" s="510" t="str">
        <f t="shared" si="24"/>
        <v/>
      </c>
      <c r="K99" s="497"/>
      <c r="L99" s="497"/>
      <c r="M99" s="497"/>
      <c r="N99" s="497"/>
      <c r="O99" s="497"/>
      <c r="P99" s="497"/>
      <c r="Q99" s="499">
        <v>99</v>
      </c>
      <c r="R99" s="499" t="str">
        <f t="shared" ca="1" si="30"/>
        <v/>
      </c>
      <c r="S99" s="499" t="str">
        <f t="shared" ca="1" si="31"/>
        <v/>
      </c>
      <c r="T99" s="499" t="str">
        <f t="shared" ca="1" si="19"/>
        <v/>
      </c>
      <c r="U99" s="499" t="str">
        <f t="shared" ca="1" si="20"/>
        <v/>
      </c>
      <c r="V99" s="499" t="str">
        <f t="shared" si="26"/>
        <v/>
      </c>
      <c r="W99" s="499" t="str">
        <f t="shared" si="27"/>
        <v/>
      </c>
      <c r="X99" s="499" t="str">
        <f t="shared" si="28"/>
        <v/>
      </c>
      <c r="Y99" s="499" t="str">
        <f t="shared" si="29"/>
        <v/>
      </c>
    </row>
    <row r="100" spans="1:25" x14ac:dyDescent="0.25">
      <c r="A100" s="497"/>
      <c r="B100" s="509" t="str">
        <f t="shared" si="25"/>
        <v/>
      </c>
      <c r="C100" s="497"/>
      <c r="D100" s="510" t="str">
        <f t="shared" si="21"/>
        <v/>
      </c>
      <c r="E100" s="497"/>
      <c r="F100" s="510" t="str">
        <f t="shared" si="22"/>
        <v/>
      </c>
      <c r="G100" s="497"/>
      <c r="H100" s="510" t="str">
        <f t="shared" si="23"/>
        <v/>
      </c>
      <c r="I100" s="497"/>
      <c r="J100" s="510" t="str">
        <f t="shared" si="24"/>
        <v/>
      </c>
      <c r="K100" s="497"/>
      <c r="L100" s="497"/>
      <c r="M100" s="497"/>
      <c r="N100" s="497"/>
      <c r="O100" s="497"/>
      <c r="P100" s="497"/>
      <c r="Q100" s="499">
        <v>100</v>
      </c>
      <c r="R100" s="499" t="str">
        <f t="shared" ca="1" si="30"/>
        <v/>
      </c>
      <c r="S100" s="499" t="str">
        <f t="shared" ca="1" si="31"/>
        <v/>
      </c>
      <c r="T100" s="499" t="str">
        <f t="shared" ca="1" si="19"/>
        <v/>
      </c>
      <c r="U100" s="499" t="str">
        <f t="shared" ca="1" si="20"/>
        <v/>
      </c>
      <c r="V100" s="499" t="str">
        <f t="shared" si="26"/>
        <v/>
      </c>
      <c r="W100" s="499" t="str">
        <f t="shared" si="27"/>
        <v/>
      </c>
      <c r="X100" s="499" t="str">
        <f t="shared" si="28"/>
        <v/>
      </c>
      <c r="Y100" s="499" t="str">
        <f t="shared" si="29"/>
        <v/>
      </c>
    </row>
    <row r="101" spans="1:25" x14ac:dyDescent="0.25">
      <c r="A101" s="497"/>
      <c r="B101" s="509" t="str">
        <f t="shared" si="25"/>
        <v/>
      </c>
      <c r="C101" s="497"/>
      <c r="D101" s="510" t="str">
        <f t="shared" si="21"/>
        <v/>
      </c>
      <c r="E101" s="497"/>
      <c r="F101" s="510" t="str">
        <f t="shared" si="22"/>
        <v/>
      </c>
      <c r="G101" s="497"/>
      <c r="H101" s="510" t="str">
        <f t="shared" si="23"/>
        <v/>
      </c>
      <c r="I101" s="497"/>
      <c r="J101" s="510" t="str">
        <f t="shared" si="24"/>
        <v/>
      </c>
      <c r="K101" s="497"/>
      <c r="L101" s="497"/>
      <c r="M101" s="497"/>
      <c r="N101" s="497"/>
      <c r="O101" s="497"/>
      <c r="P101" s="497"/>
    </row>
    <row r="102" spans="1:25" x14ac:dyDescent="0.25">
      <c r="A102" s="497"/>
      <c r="B102" s="509" t="str">
        <f t="shared" si="25"/>
        <v/>
      </c>
      <c r="C102" s="497"/>
      <c r="D102" s="510" t="str">
        <f t="shared" si="21"/>
        <v/>
      </c>
      <c r="E102" s="497"/>
      <c r="F102" s="510" t="str">
        <f t="shared" si="22"/>
        <v/>
      </c>
      <c r="G102" s="497"/>
      <c r="H102" s="510" t="str">
        <f t="shared" si="23"/>
        <v/>
      </c>
      <c r="I102" s="497"/>
      <c r="J102" s="510" t="str">
        <f t="shared" si="24"/>
        <v/>
      </c>
      <c r="K102" s="497"/>
      <c r="L102" s="497"/>
      <c r="M102" s="497"/>
      <c r="N102" s="497"/>
      <c r="O102" s="497"/>
      <c r="P102" s="497"/>
    </row>
    <row r="103" spans="1:25" x14ac:dyDescent="0.25">
      <c r="A103" s="497"/>
      <c r="B103" s="509" t="str">
        <f t="shared" si="25"/>
        <v/>
      </c>
      <c r="C103" s="497"/>
      <c r="D103" s="510" t="str">
        <f t="shared" si="21"/>
        <v/>
      </c>
      <c r="E103" s="497"/>
      <c r="F103" s="510" t="str">
        <f t="shared" si="22"/>
        <v/>
      </c>
      <c r="G103" s="497"/>
      <c r="H103" s="510" t="str">
        <f t="shared" si="23"/>
        <v/>
      </c>
      <c r="I103" s="497"/>
      <c r="J103" s="510" t="str">
        <f t="shared" si="24"/>
        <v/>
      </c>
      <c r="K103" s="497"/>
      <c r="L103" s="497"/>
      <c r="M103" s="497"/>
      <c r="N103" s="497"/>
      <c r="O103" s="497"/>
      <c r="P103" s="497"/>
    </row>
    <row r="104" spans="1:25" ht="15.75" thickBot="1" x14ac:dyDescent="0.3">
      <c r="A104" s="497"/>
      <c r="B104" s="520" t="str">
        <f t="shared" si="25"/>
        <v/>
      </c>
      <c r="C104" s="497"/>
      <c r="D104" s="521" t="str">
        <f t="shared" si="21"/>
        <v/>
      </c>
      <c r="E104" s="497"/>
      <c r="F104" s="521" t="str">
        <f t="shared" si="22"/>
        <v/>
      </c>
      <c r="G104" s="497"/>
      <c r="H104" s="521" t="str">
        <f t="shared" si="23"/>
        <v/>
      </c>
      <c r="I104" s="497"/>
      <c r="J104" s="521" t="str">
        <f t="shared" si="24"/>
        <v/>
      </c>
      <c r="K104" s="497"/>
      <c r="L104" s="497"/>
      <c r="M104" s="497"/>
      <c r="N104" s="497"/>
      <c r="O104" s="497"/>
      <c r="P104" s="497"/>
    </row>
    <row r="105" spans="1:25" x14ac:dyDescent="0.25">
      <c r="A105" s="497"/>
      <c r="B105" s="497"/>
      <c r="C105" s="497"/>
      <c r="D105" s="497"/>
      <c r="E105" s="497"/>
      <c r="F105" s="497"/>
      <c r="G105" s="497"/>
      <c r="H105" s="497"/>
      <c r="I105" s="497"/>
      <c r="J105" s="497"/>
      <c r="K105" s="497"/>
      <c r="L105" s="497"/>
      <c r="M105" s="497"/>
      <c r="N105" s="497"/>
      <c r="O105" s="497"/>
      <c r="P105" s="497"/>
    </row>
    <row r="106" spans="1:25" x14ac:dyDescent="0.25">
      <c r="F106" s="522"/>
    </row>
    <row r="107" spans="1:25" x14ac:dyDescent="0.25">
      <c r="F107" s="522"/>
    </row>
  </sheetData>
  <sheetProtection password="EA44" sheet="1" objects="1" scenarios="1" selectLockedCells="1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I42"/>
  <sheetViews>
    <sheetView showRowColHeaders="0" workbookViewId="0">
      <selection activeCell="F6" sqref="F6"/>
    </sheetView>
  </sheetViews>
  <sheetFormatPr defaultRowHeight="12.75" x14ac:dyDescent="0.2"/>
  <cols>
    <col min="1" max="1" width="4.5703125" customWidth="1"/>
    <col min="2" max="2" width="9.7109375" customWidth="1"/>
    <col min="9" max="9" width="5" customWidth="1"/>
  </cols>
  <sheetData>
    <row r="1" spans="1:9" ht="9" customHeight="1" thickBot="1" x14ac:dyDescent="0.25">
      <c r="A1" s="26"/>
      <c r="B1" s="26"/>
      <c r="C1" s="26"/>
      <c r="D1" s="26"/>
      <c r="E1" s="26"/>
      <c r="F1" s="26"/>
      <c r="G1" s="26"/>
      <c r="H1" s="26"/>
      <c r="I1" s="26"/>
    </row>
    <row r="2" spans="1:9" ht="13.5" thickBot="1" x14ac:dyDescent="0.25">
      <c r="A2" s="26"/>
      <c r="B2" s="43" t="s">
        <v>37</v>
      </c>
      <c r="C2" s="44"/>
      <c r="D2" s="44"/>
      <c r="E2" s="44"/>
      <c r="F2" s="44"/>
      <c r="G2" s="45"/>
      <c r="H2" s="26"/>
      <c r="I2" s="26"/>
    </row>
    <row r="3" spans="1:9" ht="13.5" thickBot="1" x14ac:dyDescent="0.25">
      <c r="A3" s="26"/>
      <c r="B3" s="26"/>
      <c r="C3" s="26"/>
      <c r="D3" s="26"/>
      <c r="E3" s="26"/>
      <c r="F3" s="26"/>
      <c r="G3" s="26"/>
      <c r="H3" s="26"/>
      <c r="I3" s="26"/>
    </row>
    <row r="4" spans="1:9" ht="13.5" thickBot="1" x14ac:dyDescent="0.25">
      <c r="A4" s="26"/>
      <c r="B4" s="43" t="s">
        <v>48</v>
      </c>
      <c r="C4" s="44"/>
      <c r="D4" s="45"/>
      <c r="E4" s="45"/>
      <c r="F4" s="65">
        <f>(F9+F6*F8)/(1+F6)</f>
        <v>0.41053333333333336</v>
      </c>
      <c r="G4" s="26"/>
      <c r="H4" s="26"/>
      <c r="I4" s="26"/>
    </row>
    <row r="5" spans="1:9" ht="13.5" thickBot="1" x14ac:dyDescent="0.25">
      <c r="A5" s="26"/>
      <c r="B5" s="26"/>
      <c r="C5" s="26"/>
      <c r="D5" s="26"/>
      <c r="E5" s="26"/>
      <c r="F5" s="26"/>
      <c r="G5" s="26"/>
      <c r="H5" s="26"/>
      <c r="I5" s="26"/>
    </row>
    <row r="6" spans="1:9" ht="13.5" thickBot="1" x14ac:dyDescent="0.25">
      <c r="A6" s="26"/>
      <c r="B6" s="67" t="s">
        <v>49</v>
      </c>
      <c r="C6" s="68"/>
      <c r="D6" s="68"/>
      <c r="E6" s="69" t="s">
        <v>50</v>
      </c>
      <c r="F6" s="73">
        <v>2</v>
      </c>
      <c r="G6" s="26"/>
      <c r="H6" s="26"/>
      <c r="I6" s="26"/>
    </row>
    <row r="7" spans="1:9" ht="9" customHeight="1" thickBot="1" x14ac:dyDescent="0.25">
      <c r="A7" s="26"/>
      <c r="B7" s="26"/>
      <c r="C7" s="26"/>
      <c r="D7" s="26"/>
      <c r="E7" s="26"/>
      <c r="F7" s="26"/>
      <c r="G7" s="26"/>
      <c r="H7" s="26"/>
      <c r="I7" s="26"/>
    </row>
    <row r="8" spans="1:9" x14ac:dyDescent="0.2">
      <c r="A8" s="26"/>
      <c r="B8" s="1" t="s">
        <v>38</v>
      </c>
      <c r="C8" s="22"/>
      <c r="D8" s="22"/>
      <c r="E8" s="22"/>
      <c r="F8" s="47">
        <v>0.3</v>
      </c>
      <c r="G8" s="59" t="str">
        <f>IF(F8&lt;=1,IF(F8&lt;0,"Insira um número entre 0 e 1",""),"Insira um número entre 0 e 1")</f>
        <v/>
      </c>
      <c r="H8" s="26"/>
      <c r="I8" s="26"/>
    </row>
    <row r="9" spans="1:9" ht="13.5" thickBot="1" x14ac:dyDescent="0.25">
      <c r="A9" s="26"/>
      <c r="B9" s="3" t="s">
        <v>39</v>
      </c>
      <c r="C9" s="54"/>
      <c r="D9" s="54"/>
      <c r="E9" s="54"/>
      <c r="F9" s="49">
        <v>0.63160000000000005</v>
      </c>
      <c r="G9" s="59" t="str">
        <f>IF(F9&lt;=1,IF(F9&lt;0,"Insira um número entre 0 e 1",""),"Insira um número entre 0 e 1")</f>
        <v/>
      </c>
      <c r="H9" s="26"/>
      <c r="I9" s="26"/>
    </row>
    <row r="10" spans="1:9" ht="10.5" customHeight="1" thickBot="1" x14ac:dyDescent="0.25">
      <c r="A10" s="26"/>
      <c r="B10" s="26"/>
      <c r="C10" s="26"/>
      <c r="D10" s="26"/>
      <c r="E10" s="26"/>
      <c r="F10" s="26"/>
      <c r="G10" s="26"/>
      <c r="H10" s="26"/>
      <c r="I10" s="26"/>
    </row>
    <row r="11" spans="1:9" ht="13.5" thickBot="1" x14ac:dyDescent="0.25">
      <c r="A11" s="26"/>
      <c r="B11" s="70" t="s">
        <v>5</v>
      </c>
      <c r="C11" s="26"/>
      <c r="D11" s="26"/>
      <c r="E11" s="26"/>
      <c r="F11" s="26"/>
      <c r="G11" s="26"/>
      <c r="H11" s="26"/>
      <c r="I11" s="26"/>
    </row>
    <row r="12" spans="1:9" ht="13.5" thickBot="1" x14ac:dyDescent="0.25">
      <c r="A12" s="26"/>
      <c r="B12" s="61"/>
      <c r="C12" s="39"/>
      <c r="D12" s="39"/>
      <c r="E12" s="62" t="s">
        <v>46</v>
      </c>
      <c r="F12" s="39"/>
      <c r="G12" s="39"/>
      <c r="H12" s="39"/>
      <c r="I12" s="26"/>
    </row>
    <row r="13" spans="1:9" ht="13.5" thickBot="1" x14ac:dyDescent="0.25">
      <c r="A13" s="26"/>
      <c r="B13" s="66" t="s">
        <v>43</v>
      </c>
      <c r="C13" s="39">
        <v>1E-3</v>
      </c>
      <c r="D13" s="64">
        <v>0.01</v>
      </c>
      <c r="E13" s="64">
        <v>0.02</v>
      </c>
      <c r="F13" s="64">
        <v>0.05</v>
      </c>
      <c r="G13" s="64">
        <v>0.1</v>
      </c>
      <c r="H13" s="71">
        <v>0.15</v>
      </c>
      <c r="I13" s="26"/>
    </row>
    <row r="14" spans="1:9" x14ac:dyDescent="0.2">
      <c r="A14" s="26"/>
      <c r="B14" s="61">
        <v>1E-3</v>
      </c>
      <c r="C14" s="61">
        <f>ROUNDUP((1+1/$F$6)*$F$4*(1-$F$4)*(NORMSINV(1-C$13/2)+NORMSINV(1-$B14))*(NORMSINV(1-C$13/2)+NORMSINV(1-$B14))/(($F$8-$F$9)*($F$8-$F$9)),0)</f>
        <v>135</v>
      </c>
      <c r="D14" s="61">
        <f t="shared" ref="D14:H20" si="0">ROUNDUP((1+1/$F$6)*$F$4*(1-$F$4)*(NORMSINV(1-D$13/2)+NORMSINV(1-$B14))*(NORMSINV(1-D$13/2)+NORMSINV(1-$B14))/(($F$8-$F$9)*($F$8-$F$9)),0)</f>
        <v>106</v>
      </c>
      <c r="E14" s="61">
        <f t="shared" si="0"/>
        <v>97</v>
      </c>
      <c r="F14" s="61">
        <f t="shared" si="0"/>
        <v>85</v>
      </c>
      <c r="G14" s="61">
        <f t="shared" si="0"/>
        <v>75</v>
      </c>
      <c r="H14" s="61">
        <f t="shared" si="0"/>
        <v>68</v>
      </c>
      <c r="I14" s="26"/>
    </row>
    <row r="15" spans="1:9" x14ac:dyDescent="0.2">
      <c r="A15" s="26"/>
      <c r="B15" s="63">
        <v>0.01</v>
      </c>
      <c r="C15" s="61">
        <f t="shared" ref="C15:C20" si="1">ROUNDUP((1+1/$F$6)*$F$4*(1-$F$4)*(NORMSINV(1-C$13/2)+NORMSINV(1-$B15))*(NORMSINV(1-C$13/2)+NORMSINV(1-$B15))/(($F$8-$F$9)*($F$8-$F$9)),0)</f>
        <v>105</v>
      </c>
      <c r="D15" s="61">
        <f t="shared" si="0"/>
        <v>80</v>
      </c>
      <c r="E15" s="61">
        <f t="shared" si="0"/>
        <v>72</v>
      </c>
      <c r="F15" s="61">
        <f t="shared" si="0"/>
        <v>61</v>
      </c>
      <c r="G15" s="61">
        <f t="shared" si="0"/>
        <v>53</v>
      </c>
      <c r="H15" s="61">
        <f t="shared" si="0"/>
        <v>47</v>
      </c>
      <c r="I15" s="26"/>
    </row>
    <row r="16" spans="1:9" x14ac:dyDescent="0.2">
      <c r="A16" s="26"/>
      <c r="B16" s="63">
        <v>0.02</v>
      </c>
      <c r="C16" s="61">
        <f t="shared" si="1"/>
        <v>95</v>
      </c>
      <c r="D16" s="61">
        <f t="shared" si="0"/>
        <v>71</v>
      </c>
      <c r="E16" s="61">
        <f t="shared" si="0"/>
        <v>64</v>
      </c>
      <c r="F16" s="61">
        <f t="shared" si="0"/>
        <v>54</v>
      </c>
      <c r="G16" s="61">
        <f t="shared" si="0"/>
        <v>46</v>
      </c>
      <c r="H16" s="61">
        <f t="shared" si="0"/>
        <v>41</v>
      </c>
      <c r="I16" s="26"/>
    </row>
    <row r="17" spans="1:9" x14ac:dyDescent="0.2">
      <c r="A17" s="26"/>
      <c r="B17" s="63">
        <v>0.05</v>
      </c>
      <c r="C17" s="61">
        <f t="shared" si="1"/>
        <v>81</v>
      </c>
      <c r="D17" s="61">
        <f t="shared" si="0"/>
        <v>59</v>
      </c>
      <c r="E17" s="61">
        <f t="shared" si="0"/>
        <v>53</v>
      </c>
      <c r="F17" s="61">
        <f t="shared" si="0"/>
        <v>43</v>
      </c>
      <c r="G17" s="61">
        <f t="shared" si="0"/>
        <v>36</v>
      </c>
      <c r="H17" s="61">
        <f t="shared" si="0"/>
        <v>32</v>
      </c>
      <c r="I17" s="26"/>
    </row>
    <row r="18" spans="1:9" x14ac:dyDescent="0.2">
      <c r="A18" s="26"/>
      <c r="B18" s="63">
        <v>0.1</v>
      </c>
      <c r="C18" s="61">
        <f t="shared" si="1"/>
        <v>70</v>
      </c>
      <c r="D18" s="61">
        <f t="shared" si="0"/>
        <v>50</v>
      </c>
      <c r="E18" s="61">
        <f t="shared" si="0"/>
        <v>43</v>
      </c>
      <c r="F18" s="61">
        <f t="shared" si="0"/>
        <v>35</v>
      </c>
      <c r="G18" s="61">
        <f t="shared" si="0"/>
        <v>29</v>
      </c>
      <c r="H18" s="61">
        <f t="shared" si="0"/>
        <v>25</v>
      </c>
      <c r="I18" s="26"/>
    </row>
    <row r="19" spans="1:9" x14ac:dyDescent="0.2">
      <c r="A19" s="26"/>
      <c r="B19" s="63">
        <v>0.2</v>
      </c>
      <c r="C19" s="61">
        <f t="shared" si="1"/>
        <v>57</v>
      </c>
      <c r="D19" s="61">
        <f t="shared" si="0"/>
        <v>39</v>
      </c>
      <c r="E19" s="61">
        <f t="shared" si="0"/>
        <v>34</v>
      </c>
      <c r="F19" s="61">
        <f t="shared" si="0"/>
        <v>26</v>
      </c>
      <c r="G19" s="61">
        <f t="shared" si="0"/>
        <v>21</v>
      </c>
      <c r="H19" s="61">
        <f t="shared" si="0"/>
        <v>18</v>
      </c>
      <c r="I19" s="26"/>
    </row>
    <row r="20" spans="1:9" x14ac:dyDescent="0.2">
      <c r="A20" s="26"/>
      <c r="B20" s="72">
        <v>0.25</v>
      </c>
      <c r="C20" s="61">
        <f t="shared" si="1"/>
        <v>52</v>
      </c>
      <c r="D20" s="61">
        <f t="shared" si="0"/>
        <v>35</v>
      </c>
      <c r="E20" s="61">
        <f t="shared" si="0"/>
        <v>30</v>
      </c>
      <c r="F20" s="61">
        <f t="shared" si="0"/>
        <v>23</v>
      </c>
      <c r="G20" s="61">
        <f t="shared" si="0"/>
        <v>18</v>
      </c>
      <c r="H20" s="61">
        <f t="shared" si="0"/>
        <v>15</v>
      </c>
      <c r="I20" s="26"/>
    </row>
    <row r="21" spans="1:9" ht="10.5" customHeight="1" thickBot="1" x14ac:dyDescent="0.25">
      <c r="A21" s="26"/>
      <c r="B21" s="26"/>
      <c r="C21" s="26"/>
      <c r="D21" s="26"/>
      <c r="E21" s="26"/>
      <c r="F21" s="26"/>
      <c r="G21" s="26"/>
      <c r="H21" s="26"/>
      <c r="I21" s="26"/>
    </row>
    <row r="22" spans="1:9" ht="13.5" thickBot="1" x14ac:dyDescent="0.25">
      <c r="A22" s="26"/>
      <c r="B22" s="70" t="s">
        <v>6</v>
      </c>
      <c r="C22" s="61"/>
      <c r="D22" s="61"/>
      <c r="E22" s="61"/>
      <c r="F22" s="61"/>
      <c r="G22" s="61"/>
      <c r="H22" s="61"/>
      <c r="I22" s="26"/>
    </row>
    <row r="23" spans="1:9" ht="13.5" thickBot="1" x14ac:dyDescent="0.25">
      <c r="A23" s="26"/>
      <c r="B23" s="61"/>
      <c r="C23" s="39"/>
      <c r="D23" s="39"/>
      <c r="E23" s="62" t="s">
        <v>46</v>
      </c>
      <c r="F23" s="39"/>
      <c r="G23" s="39"/>
      <c r="H23" s="39"/>
      <c r="I23" s="26"/>
    </row>
    <row r="24" spans="1:9" ht="13.5" thickBot="1" x14ac:dyDescent="0.25">
      <c r="A24" s="26"/>
      <c r="B24" s="66" t="s">
        <v>43</v>
      </c>
      <c r="C24" s="39">
        <v>1E-3</v>
      </c>
      <c r="D24" s="64">
        <v>0.01</v>
      </c>
      <c r="E24" s="64">
        <v>0.02</v>
      </c>
      <c r="F24" s="64">
        <v>0.05</v>
      </c>
      <c r="G24" s="64">
        <v>0.1</v>
      </c>
      <c r="H24" s="39">
        <f>H13</f>
        <v>0.15</v>
      </c>
      <c r="I24" s="26"/>
    </row>
    <row r="25" spans="1:9" x14ac:dyDescent="0.2">
      <c r="A25" s="26"/>
      <c r="B25" s="61">
        <v>1E-3</v>
      </c>
      <c r="C25" s="61">
        <f t="shared" ref="C25:H29" si="2">C14*$F$6</f>
        <v>270</v>
      </c>
      <c r="D25" s="61">
        <f t="shared" si="2"/>
        <v>212</v>
      </c>
      <c r="E25" s="61">
        <f t="shared" si="2"/>
        <v>194</v>
      </c>
      <c r="F25" s="61">
        <f t="shared" si="2"/>
        <v>170</v>
      </c>
      <c r="G25" s="61">
        <f t="shared" si="2"/>
        <v>150</v>
      </c>
      <c r="H25" s="61">
        <f t="shared" si="2"/>
        <v>136</v>
      </c>
      <c r="I25" s="26"/>
    </row>
    <row r="26" spans="1:9" x14ac:dyDescent="0.2">
      <c r="A26" s="26"/>
      <c r="B26" s="63">
        <v>0.01</v>
      </c>
      <c r="C26" s="61">
        <f t="shared" si="2"/>
        <v>210</v>
      </c>
      <c r="D26" s="61">
        <f t="shared" si="2"/>
        <v>160</v>
      </c>
      <c r="E26" s="61">
        <f t="shared" si="2"/>
        <v>144</v>
      </c>
      <c r="F26" s="61">
        <f t="shared" si="2"/>
        <v>122</v>
      </c>
      <c r="G26" s="61">
        <f t="shared" si="2"/>
        <v>106</v>
      </c>
      <c r="H26" s="61">
        <f t="shared" si="2"/>
        <v>94</v>
      </c>
      <c r="I26" s="26"/>
    </row>
    <row r="27" spans="1:9" x14ac:dyDescent="0.2">
      <c r="A27" s="26"/>
      <c r="B27" s="63">
        <v>0.02</v>
      </c>
      <c r="C27" s="61">
        <f t="shared" si="2"/>
        <v>190</v>
      </c>
      <c r="D27" s="61">
        <f t="shared" si="2"/>
        <v>142</v>
      </c>
      <c r="E27" s="61">
        <f t="shared" si="2"/>
        <v>128</v>
      </c>
      <c r="F27" s="61">
        <f t="shared" si="2"/>
        <v>108</v>
      </c>
      <c r="G27" s="61">
        <f t="shared" si="2"/>
        <v>92</v>
      </c>
      <c r="H27" s="61">
        <f t="shared" si="2"/>
        <v>82</v>
      </c>
      <c r="I27" s="26"/>
    </row>
    <row r="28" spans="1:9" x14ac:dyDescent="0.2">
      <c r="A28" s="26"/>
      <c r="B28" s="63">
        <v>0.05</v>
      </c>
      <c r="C28" s="61">
        <f t="shared" si="2"/>
        <v>162</v>
      </c>
      <c r="D28" s="61">
        <f t="shared" si="2"/>
        <v>118</v>
      </c>
      <c r="E28" s="61">
        <f t="shared" si="2"/>
        <v>106</v>
      </c>
      <c r="F28" s="61">
        <f t="shared" si="2"/>
        <v>86</v>
      </c>
      <c r="G28" s="61">
        <f t="shared" si="2"/>
        <v>72</v>
      </c>
      <c r="H28" s="61">
        <f t="shared" si="2"/>
        <v>64</v>
      </c>
      <c r="I28" s="26"/>
    </row>
    <row r="29" spans="1:9" x14ac:dyDescent="0.2">
      <c r="A29" s="26"/>
      <c r="B29" s="63">
        <v>0.1</v>
      </c>
      <c r="C29" s="61">
        <f t="shared" si="2"/>
        <v>140</v>
      </c>
      <c r="D29" s="61">
        <f t="shared" si="2"/>
        <v>100</v>
      </c>
      <c r="E29" s="61">
        <f t="shared" si="2"/>
        <v>86</v>
      </c>
      <c r="F29" s="61">
        <f t="shared" si="2"/>
        <v>70</v>
      </c>
      <c r="G29" s="61">
        <f t="shared" si="2"/>
        <v>58</v>
      </c>
      <c r="H29" s="61">
        <f t="shared" si="2"/>
        <v>50</v>
      </c>
      <c r="I29" s="26"/>
    </row>
    <row r="30" spans="1:9" x14ac:dyDescent="0.2">
      <c r="A30" s="26"/>
      <c r="B30" s="63">
        <v>0.2</v>
      </c>
      <c r="C30" s="61">
        <f t="shared" ref="C30:H30" si="3">C19*$F$6</f>
        <v>114</v>
      </c>
      <c r="D30" s="61">
        <f t="shared" si="3"/>
        <v>78</v>
      </c>
      <c r="E30" s="61">
        <f t="shared" si="3"/>
        <v>68</v>
      </c>
      <c r="F30" s="61">
        <f t="shared" si="3"/>
        <v>52</v>
      </c>
      <c r="G30" s="61">
        <f t="shared" si="3"/>
        <v>42</v>
      </c>
      <c r="H30" s="61">
        <f t="shared" si="3"/>
        <v>36</v>
      </c>
      <c r="I30" s="26"/>
    </row>
    <row r="31" spans="1:9" x14ac:dyDescent="0.2">
      <c r="A31" s="26"/>
      <c r="B31" s="61">
        <f>B20</f>
        <v>0.25</v>
      </c>
      <c r="C31" s="61">
        <f t="shared" ref="C31:H31" si="4">C20*$F$6</f>
        <v>104</v>
      </c>
      <c r="D31" s="61">
        <f t="shared" si="4"/>
        <v>70</v>
      </c>
      <c r="E31" s="61">
        <f t="shared" si="4"/>
        <v>60</v>
      </c>
      <c r="F31" s="61">
        <f t="shared" si="4"/>
        <v>46</v>
      </c>
      <c r="G31" s="61">
        <f t="shared" si="4"/>
        <v>36</v>
      </c>
      <c r="H31" s="61">
        <f t="shared" si="4"/>
        <v>30</v>
      </c>
      <c r="I31" s="26"/>
    </row>
    <row r="32" spans="1:9" ht="13.5" thickBot="1" x14ac:dyDescent="0.25">
      <c r="A32" s="26"/>
      <c r="B32" s="26"/>
      <c r="C32" s="26"/>
      <c r="D32" s="26"/>
      <c r="E32" s="26"/>
      <c r="F32" s="26"/>
      <c r="G32" s="26"/>
      <c r="H32" s="26"/>
      <c r="I32" s="26"/>
    </row>
    <row r="33" spans="1:9" x14ac:dyDescent="0.2">
      <c r="A33" s="26"/>
      <c r="B33" s="10" t="s">
        <v>40</v>
      </c>
      <c r="C33" s="38"/>
      <c r="D33" s="38"/>
      <c r="E33" s="38"/>
      <c r="F33" s="38"/>
      <c r="G33" s="38"/>
      <c r="H33" s="4"/>
      <c r="I33" s="26"/>
    </row>
    <row r="34" spans="1:9" x14ac:dyDescent="0.2">
      <c r="A34" s="26"/>
      <c r="B34" s="56" t="s">
        <v>41</v>
      </c>
      <c r="C34" s="57"/>
      <c r="D34" s="57"/>
      <c r="E34" s="57"/>
      <c r="F34" s="57"/>
      <c r="G34" s="57"/>
      <c r="H34" s="11"/>
      <c r="I34" s="26"/>
    </row>
    <row r="35" spans="1:9" ht="13.5" thickBot="1" x14ac:dyDescent="0.25">
      <c r="A35" s="26"/>
      <c r="B35" s="58" t="s">
        <v>51</v>
      </c>
      <c r="C35" s="39"/>
      <c r="D35" s="39"/>
      <c r="E35" s="39"/>
      <c r="F35" s="39"/>
      <c r="G35" s="39"/>
      <c r="H35" s="5"/>
      <c r="I35" s="26"/>
    </row>
    <row r="36" spans="1:9" x14ac:dyDescent="0.2">
      <c r="A36" s="26"/>
      <c r="B36" s="26"/>
      <c r="C36" s="26"/>
      <c r="D36" s="26"/>
      <c r="E36" s="26"/>
      <c r="F36" s="26"/>
      <c r="G36" s="26"/>
      <c r="H36" s="26"/>
      <c r="I36" s="26"/>
    </row>
    <row r="37" spans="1:9" x14ac:dyDescent="0.2">
      <c r="A37" s="26"/>
      <c r="B37" s="26"/>
      <c r="C37" s="26"/>
      <c r="D37" s="26"/>
      <c r="E37" s="26"/>
      <c r="F37" s="26"/>
      <c r="G37" s="26"/>
      <c r="H37" s="26"/>
      <c r="I37" s="26"/>
    </row>
    <row r="38" spans="1:9" x14ac:dyDescent="0.2">
      <c r="A38" s="26"/>
      <c r="B38" s="26"/>
      <c r="C38" s="26"/>
      <c r="D38" s="26"/>
      <c r="E38" s="26"/>
      <c r="F38" s="26"/>
      <c r="G38" s="26"/>
      <c r="H38" s="26"/>
      <c r="I38" s="26"/>
    </row>
    <row r="39" spans="1:9" x14ac:dyDescent="0.2">
      <c r="A39" s="26"/>
      <c r="B39" s="26"/>
      <c r="C39" s="26"/>
      <c r="D39" s="26"/>
      <c r="E39" s="26"/>
      <c r="F39" s="26"/>
      <c r="G39" s="26"/>
      <c r="H39" s="26"/>
      <c r="I39" s="26"/>
    </row>
    <row r="40" spans="1:9" x14ac:dyDescent="0.2">
      <c r="A40" s="26"/>
      <c r="B40" s="26"/>
      <c r="C40" s="26"/>
      <c r="D40" s="26"/>
      <c r="E40" s="26"/>
      <c r="F40" s="26"/>
      <c r="G40" s="26"/>
      <c r="H40" s="26"/>
      <c r="I40" s="26"/>
    </row>
    <row r="41" spans="1:9" x14ac:dyDescent="0.2">
      <c r="A41" s="26"/>
      <c r="B41" s="26"/>
      <c r="C41" s="26"/>
      <c r="D41" s="26"/>
      <c r="E41" s="26"/>
      <c r="F41" s="26"/>
      <c r="G41" s="26"/>
      <c r="H41" s="26"/>
      <c r="I41" s="26"/>
    </row>
    <row r="42" spans="1:9" x14ac:dyDescent="0.2">
      <c r="A42" s="26"/>
      <c r="B42" s="26"/>
      <c r="C42" s="26"/>
      <c r="D42" s="26"/>
      <c r="E42" s="26"/>
      <c r="F42" s="26"/>
      <c r="G42" s="26"/>
      <c r="H42" s="26"/>
      <c r="I42" s="26"/>
    </row>
  </sheetData>
  <sheetProtection password="EA44" sheet="1" objects="1" scenarios="1" selectLockedCells="1"/>
  <phoneticPr fontId="4" type="noConversion"/>
  <pageMargins left="0.78740157499999996" right="0.78740157499999996" top="0.984251969" bottom="0.984251969" header="0.49212598499999999" footer="0.49212598499999999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I25"/>
  <sheetViews>
    <sheetView showRowColHeaders="0" workbookViewId="0">
      <selection activeCell="D12" sqref="D12"/>
    </sheetView>
  </sheetViews>
  <sheetFormatPr defaultRowHeight="12.75" x14ac:dyDescent="0.2"/>
  <cols>
    <col min="1" max="1" width="5.5703125" customWidth="1"/>
    <col min="2" max="2" width="9.7109375" customWidth="1"/>
    <col min="3" max="3" width="10" customWidth="1"/>
    <col min="4" max="5" width="9.42578125" customWidth="1"/>
    <col min="7" max="7" width="8.85546875" customWidth="1"/>
    <col min="9" max="9" width="3.7109375" customWidth="1"/>
  </cols>
  <sheetData>
    <row r="1" spans="1:9" ht="13.5" thickBot="1" x14ac:dyDescent="0.25">
      <c r="A1" s="26"/>
      <c r="B1" s="26"/>
      <c r="C1" s="26"/>
      <c r="D1" s="26"/>
      <c r="E1" s="26"/>
      <c r="F1" s="26"/>
      <c r="G1" s="26"/>
      <c r="H1" s="26"/>
      <c r="I1" s="26"/>
    </row>
    <row r="2" spans="1:9" x14ac:dyDescent="0.2">
      <c r="A2" s="26"/>
      <c r="B2" s="10" t="s">
        <v>156</v>
      </c>
      <c r="C2" s="38"/>
      <c r="D2" s="38"/>
      <c r="E2" s="4"/>
      <c r="F2" s="26"/>
      <c r="G2" s="26"/>
      <c r="H2" s="26"/>
      <c r="I2" s="26"/>
    </row>
    <row r="3" spans="1:9" x14ac:dyDescent="0.2">
      <c r="A3" s="26"/>
      <c r="B3" s="56" t="s">
        <v>157</v>
      </c>
      <c r="C3" s="57"/>
      <c r="D3" s="57"/>
      <c r="E3" s="11"/>
      <c r="F3" s="26"/>
      <c r="G3" s="26"/>
      <c r="H3" s="26"/>
      <c r="I3" s="26"/>
    </row>
    <row r="4" spans="1:9" x14ac:dyDescent="0.2">
      <c r="A4" s="26"/>
      <c r="B4" s="56" t="s">
        <v>158</v>
      </c>
      <c r="C4" s="57"/>
      <c r="D4" s="57"/>
      <c r="E4" s="11"/>
      <c r="F4" s="26"/>
      <c r="G4" s="26"/>
      <c r="H4" s="26"/>
      <c r="I4" s="26"/>
    </row>
    <row r="5" spans="1:9" ht="13.5" thickBot="1" x14ac:dyDescent="0.25">
      <c r="A5" s="26"/>
      <c r="B5" s="58" t="s">
        <v>168</v>
      </c>
      <c r="C5" s="39"/>
      <c r="D5" s="39"/>
      <c r="E5" s="5"/>
      <c r="F5" s="26"/>
      <c r="G5" s="26"/>
      <c r="H5" s="26"/>
      <c r="I5" s="26"/>
    </row>
    <row r="6" spans="1:9" ht="13.5" thickBot="1" x14ac:dyDescent="0.25">
      <c r="A6" s="26"/>
      <c r="B6" s="26"/>
      <c r="C6" s="26"/>
      <c r="D6" s="26"/>
      <c r="E6" s="26"/>
      <c r="F6" s="26"/>
      <c r="G6" s="26"/>
      <c r="H6" s="26"/>
      <c r="I6" s="26"/>
    </row>
    <row r="7" spans="1:9" x14ac:dyDescent="0.2">
      <c r="A7" s="26"/>
      <c r="B7" s="216" t="s">
        <v>159</v>
      </c>
      <c r="C7" s="38"/>
      <c r="D7" s="38"/>
      <c r="E7" s="38"/>
      <c r="F7" s="38"/>
      <c r="G7" s="4"/>
      <c r="H7" s="26"/>
      <c r="I7" s="26"/>
    </row>
    <row r="8" spans="1:9" x14ac:dyDescent="0.2">
      <c r="A8" s="26"/>
      <c r="B8" s="217" t="s">
        <v>160</v>
      </c>
      <c r="C8" s="57"/>
      <c r="D8" s="57"/>
      <c r="E8" s="57"/>
      <c r="F8" s="57"/>
      <c r="G8" s="11"/>
      <c r="H8" s="26"/>
      <c r="I8" s="26"/>
    </row>
    <row r="9" spans="1:9" ht="13.5" thickBot="1" x14ac:dyDescent="0.25">
      <c r="A9" s="26"/>
      <c r="B9" s="218" t="s">
        <v>161</v>
      </c>
      <c r="C9" s="39"/>
      <c r="D9" s="39"/>
      <c r="E9" s="39"/>
      <c r="F9" s="39"/>
      <c r="G9" s="5"/>
      <c r="H9" s="26"/>
      <c r="I9" s="26"/>
    </row>
    <row r="10" spans="1:9" ht="13.5" thickBot="1" x14ac:dyDescent="0.25">
      <c r="A10" s="26"/>
      <c r="B10" s="26"/>
      <c r="C10" s="26"/>
      <c r="D10" s="26"/>
      <c r="E10" s="26"/>
      <c r="F10" s="26"/>
      <c r="G10" s="26"/>
      <c r="H10" s="26"/>
      <c r="I10" s="26"/>
    </row>
    <row r="11" spans="1:9" x14ac:dyDescent="0.2">
      <c r="A11" s="26"/>
      <c r="B11" s="1" t="s">
        <v>162</v>
      </c>
      <c r="C11" s="22"/>
      <c r="D11" s="47">
        <v>0.3</v>
      </c>
      <c r="E11" s="526" t="str">
        <f>IF(D11&gt;=1,"Insira um número entre 0 e 1",IF(D11&lt;0,"Insira um número entre 0 e 1",""))</f>
        <v/>
      </c>
      <c r="F11" s="26"/>
      <c r="G11" s="26"/>
      <c r="H11" s="26"/>
      <c r="I11" s="26"/>
    </row>
    <row r="12" spans="1:9" x14ac:dyDescent="0.2">
      <c r="A12" s="26"/>
      <c r="B12" s="36" t="s">
        <v>163</v>
      </c>
      <c r="C12" s="219"/>
      <c r="D12" s="51">
        <v>2</v>
      </c>
      <c r="E12" s="26"/>
      <c r="F12" s="26"/>
      <c r="G12" s="26"/>
      <c r="H12" s="26"/>
      <c r="I12" s="26"/>
    </row>
    <row r="13" spans="1:9" x14ac:dyDescent="0.2">
      <c r="A13" s="26"/>
      <c r="B13" s="2" t="s">
        <v>164</v>
      </c>
      <c r="C13" s="16"/>
      <c r="D13" s="212">
        <v>0.5</v>
      </c>
      <c r="E13" s="26"/>
      <c r="F13" s="26"/>
      <c r="G13" s="26"/>
      <c r="H13" s="26"/>
      <c r="I13" s="26"/>
    </row>
    <row r="14" spans="1:9" ht="13.5" thickBot="1" x14ac:dyDescent="0.25">
      <c r="A14" s="26"/>
      <c r="B14" s="3" t="s">
        <v>165</v>
      </c>
      <c r="C14" s="54"/>
      <c r="D14" s="84">
        <v>0.95</v>
      </c>
      <c r="E14" s="26"/>
      <c r="F14" s="26"/>
      <c r="G14" s="26"/>
      <c r="H14" s="26"/>
      <c r="I14" s="26"/>
    </row>
    <row r="15" spans="1:9" ht="13.5" thickBot="1" x14ac:dyDescent="0.25">
      <c r="A15" s="26"/>
      <c r="B15" s="26"/>
      <c r="C15" s="26"/>
      <c r="D15" s="26"/>
      <c r="E15" s="26"/>
      <c r="F15" s="26"/>
      <c r="G15" s="26"/>
      <c r="H15" s="26"/>
      <c r="I15" s="26"/>
    </row>
    <row r="16" spans="1:9" ht="13.5" thickBot="1" x14ac:dyDescent="0.25">
      <c r="A16" s="26"/>
      <c r="B16" s="67" t="s">
        <v>166</v>
      </c>
      <c r="C16" s="68"/>
      <c r="D16" s="220">
        <f>D11*D12/(D11*D12+(1-D11))</f>
        <v>0.46153846153846156</v>
      </c>
      <c r="E16" s="26"/>
      <c r="F16" s="26"/>
      <c r="G16" s="26"/>
      <c r="H16" s="26"/>
      <c r="I16" s="26"/>
    </row>
    <row r="17" spans="1:9" ht="13.5" thickBot="1" x14ac:dyDescent="0.25">
      <c r="A17" s="26"/>
      <c r="B17" s="26"/>
      <c r="C17" s="26"/>
      <c r="D17" s="26"/>
      <c r="E17" s="26"/>
      <c r="F17" s="26"/>
      <c r="G17" s="26"/>
      <c r="H17" s="26"/>
      <c r="I17" s="26"/>
    </row>
    <row r="18" spans="1:9" ht="13.5" thickBot="1" x14ac:dyDescent="0.25">
      <c r="A18" s="26"/>
      <c r="B18" s="221" t="s">
        <v>167</v>
      </c>
      <c r="C18" s="68"/>
      <c r="D18" s="285">
        <f>IF(D11&lt;1,ROUNDUP(NORMSINV((1+D14)/2)*NORMSINV((1+D14)/2)*(1/(D11*(1-D11))+1/(D16*(1-D16)))/(LN(1-D13)*LN(1-D13)),0),"ERRO")</f>
        <v>71</v>
      </c>
      <c r="E18" s="26"/>
      <c r="F18" s="26"/>
      <c r="G18" s="26"/>
      <c r="H18" s="26"/>
      <c r="I18" s="26"/>
    </row>
    <row r="19" spans="1:9" x14ac:dyDescent="0.2">
      <c r="A19" s="26"/>
      <c r="B19" s="26"/>
      <c r="C19" s="26"/>
      <c r="D19" s="26"/>
      <c r="E19" s="26"/>
      <c r="F19" s="26"/>
      <c r="G19" s="26"/>
      <c r="H19" s="26"/>
      <c r="I19" s="26"/>
    </row>
    <row r="20" spans="1:9" x14ac:dyDescent="0.2">
      <c r="A20" s="26"/>
      <c r="B20" s="26"/>
      <c r="C20" s="26"/>
      <c r="D20" s="26"/>
      <c r="E20" s="26"/>
      <c r="F20" s="26"/>
      <c r="G20" s="26"/>
      <c r="H20" s="26"/>
      <c r="I20" s="26"/>
    </row>
    <row r="21" spans="1:9" ht="13.5" thickBot="1" x14ac:dyDescent="0.25">
      <c r="A21" s="26"/>
      <c r="B21" s="26"/>
      <c r="C21" s="26"/>
      <c r="D21" s="26"/>
      <c r="E21" s="26"/>
      <c r="F21" s="26"/>
      <c r="G21" s="26"/>
      <c r="H21" s="26"/>
      <c r="I21" s="26"/>
    </row>
    <row r="22" spans="1:9" x14ac:dyDescent="0.2">
      <c r="A22" s="26"/>
      <c r="B22" s="10" t="s">
        <v>40</v>
      </c>
      <c r="C22" s="38"/>
      <c r="D22" s="38"/>
      <c r="E22" s="38"/>
      <c r="F22" s="38"/>
      <c r="G22" s="38"/>
      <c r="H22" s="4"/>
      <c r="I22" s="26"/>
    </row>
    <row r="23" spans="1:9" x14ac:dyDescent="0.2">
      <c r="A23" s="26"/>
      <c r="B23" s="56" t="s">
        <v>232</v>
      </c>
      <c r="C23" s="57"/>
      <c r="D23" s="57"/>
      <c r="E23" s="57"/>
      <c r="F23" s="57"/>
      <c r="G23" s="57"/>
      <c r="H23" s="11"/>
      <c r="I23" s="26"/>
    </row>
    <row r="24" spans="1:9" ht="13.5" thickBot="1" x14ac:dyDescent="0.25">
      <c r="A24" s="26"/>
      <c r="B24" s="58" t="s">
        <v>233</v>
      </c>
      <c r="C24" s="39"/>
      <c r="D24" s="39"/>
      <c r="E24" s="39"/>
      <c r="F24" s="39"/>
      <c r="G24" s="39"/>
      <c r="H24" s="5"/>
      <c r="I24" s="26"/>
    </row>
    <row r="25" spans="1:9" x14ac:dyDescent="0.2">
      <c r="A25" s="26"/>
      <c r="B25" s="26"/>
      <c r="C25" s="26"/>
      <c r="D25" s="26"/>
      <c r="E25" s="26"/>
      <c r="F25" s="26"/>
      <c r="G25" s="26"/>
      <c r="H25" s="26"/>
      <c r="I25" s="26"/>
    </row>
  </sheetData>
  <sheetProtection password="EA44" sheet="1" objects="1" scenarios="1" selectLockedCells="1"/>
  <phoneticPr fontId="4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L30"/>
  <sheetViews>
    <sheetView showRowColHeaders="0" workbookViewId="0">
      <selection activeCell="F3" sqref="F3"/>
    </sheetView>
  </sheetViews>
  <sheetFormatPr defaultRowHeight="12.75" x14ac:dyDescent="0.2"/>
  <cols>
    <col min="1" max="1" width="5.7109375" customWidth="1"/>
    <col min="2" max="2" width="13" customWidth="1"/>
    <col min="3" max="4" width="10.28515625" customWidth="1"/>
    <col min="5" max="5" width="6.140625" customWidth="1"/>
    <col min="6" max="6" width="16.140625" customWidth="1"/>
    <col min="7" max="7" width="16" customWidth="1"/>
    <col min="9" max="12" width="9.140625" style="30"/>
  </cols>
  <sheetData>
    <row r="1" spans="1:12" ht="13.5" thickBot="1" x14ac:dyDescent="0.25">
      <c r="A1" s="26"/>
      <c r="B1" s="26"/>
      <c r="C1" s="26"/>
      <c r="D1" s="26"/>
      <c r="E1" s="26"/>
      <c r="F1" s="26"/>
      <c r="G1" s="26"/>
      <c r="H1" s="26"/>
      <c r="I1" s="26"/>
    </row>
    <row r="2" spans="1:12" ht="13.5" thickBot="1" x14ac:dyDescent="0.25">
      <c r="A2" s="26"/>
      <c r="B2" s="149" t="s">
        <v>318</v>
      </c>
      <c r="C2" s="44"/>
      <c r="D2" s="45"/>
      <c r="E2" s="26"/>
      <c r="F2" s="26"/>
      <c r="G2" s="26"/>
      <c r="H2" s="26"/>
      <c r="I2" s="26"/>
    </row>
    <row r="3" spans="1:12" ht="13.5" thickBot="1" x14ac:dyDescent="0.25">
      <c r="A3" s="26"/>
      <c r="B3" s="26"/>
      <c r="C3" s="26"/>
      <c r="D3" s="26"/>
      <c r="E3" s="26"/>
      <c r="F3" s="26"/>
      <c r="G3" s="26"/>
      <c r="H3" s="26"/>
      <c r="I3" s="26"/>
      <c r="J3" s="33"/>
      <c r="K3" s="33"/>
      <c r="L3" s="33"/>
    </row>
    <row r="4" spans="1:12" x14ac:dyDescent="0.2">
      <c r="A4" s="26"/>
      <c r="B4" s="26"/>
      <c r="C4" s="625" t="s">
        <v>30</v>
      </c>
      <c r="D4" s="626"/>
      <c r="E4" s="26"/>
      <c r="F4" s="26"/>
      <c r="G4" s="26"/>
      <c r="H4" s="26"/>
      <c r="I4" s="26"/>
      <c r="J4" s="33"/>
      <c r="K4" s="33"/>
      <c r="L4" s="33"/>
    </row>
    <row r="5" spans="1:12" ht="13.5" thickBot="1" x14ac:dyDescent="0.25">
      <c r="A5" s="26"/>
      <c r="B5" s="26"/>
      <c r="C5" s="627" t="s">
        <v>31</v>
      </c>
      <c r="D5" s="628"/>
      <c r="E5" s="26"/>
      <c r="F5" s="26"/>
      <c r="G5" s="26"/>
      <c r="H5" s="26"/>
      <c r="I5" s="26"/>
      <c r="J5" s="33"/>
      <c r="K5" s="33"/>
      <c r="L5" s="33"/>
    </row>
    <row r="6" spans="1:12" x14ac:dyDescent="0.2">
      <c r="A6" s="26"/>
      <c r="B6" s="26"/>
      <c r="C6" s="26"/>
      <c r="D6" s="26"/>
      <c r="E6" s="26"/>
      <c r="F6" s="26"/>
      <c r="G6" s="26"/>
      <c r="H6" s="26"/>
      <c r="I6" s="26"/>
      <c r="J6" s="33"/>
      <c r="K6" s="33"/>
      <c r="L6" s="33"/>
    </row>
    <row r="7" spans="1:12" ht="13.5" thickBot="1" x14ac:dyDescent="0.25">
      <c r="A7" s="26"/>
      <c r="B7" s="26"/>
      <c r="C7" s="27" t="s">
        <v>28</v>
      </c>
      <c r="D7" s="27" t="s">
        <v>29</v>
      </c>
      <c r="E7" s="27" t="s">
        <v>4</v>
      </c>
      <c r="F7" s="26"/>
      <c r="G7" s="26"/>
      <c r="H7" s="26"/>
      <c r="I7" s="26"/>
      <c r="J7" s="33">
        <f>C10/D10</f>
        <v>2.9714285714285715</v>
      </c>
      <c r="K7" s="34">
        <f>1/J7</f>
        <v>0.33653846153846151</v>
      </c>
      <c r="L7" s="33"/>
    </row>
    <row r="8" spans="1:12" x14ac:dyDescent="0.2">
      <c r="A8" s="26"/>
      <c r="B8" s="28" t="s">
        <v>2</v>
      </c>
      <c r="C8" s="46">
        <v>4</v>
      </c>
      <c r="D8" s="47">
        <v>12</v>
      </c>
      <c r="E8" s="26">
        <f>SUM(C8:D8)</f>
        <v>16</v>
      </c>
      <c r="F8" s="26"/>
      <c r="G8" s="26"/>
      <c r="H8" s="26"/>
      <c r="I8" s="26"/>
      <c r="J8" s="33">
        <f>INT(J7)</f>
        <v>2</v>
      </c>
      <c r="K8" s="33">
        <f>INT(K7)</f>
        <v>0</v>
      </c>
      <c r="L8" s="33"/>
    </row>
    <row r="9" spans="1:12" ht="13.5" thickBot="1" x14ac:dyDescent="0.25">
      <c r="A9" s="26"/>
      <c r="B9" s="28" t="s">
        <v>3</v>
      </c>
      <c r="C9" s="48">
        <v>100</v>
      </c>
      <c r="D9" s="49">
        <v>23</v>
      </c>
      <c r="E9" s="26">
        <f>SUM(C9:D9)</f>
        <v>123</v>
      </c>
      <c r="F9" s="26"/>
      <c r="G9" s="26"/>
      <c r="H9" s="26"/>
      <c r="I9" s="26"/>
      <c r="J9" s="35" t="str">
        <f>IF(J7=J8,IF(J7&gt;=1,CONCATENATE(J7," : 1"),"erro"),IF(1/J7=K8,IF(K7&gt;=1,CONCATENATE("1 : ",K8),"erro"),CONCATENATE("1 : ",ROUND(K7,2))))</f>
        <v>1 : 0,34</v>
      </c>
      <c r="K9" s="33"/>
      <c r="L9" s="33"/>
    </row>
    <row r="10" spans="1:12" x14ac:dyDescent="0.2">
      <c r="A10" s="26"/>
      <c r="B10" s="28" t="s">
        <v>4</v>
      </c>
      <c r="C10" s="26">
        <f>SUM(C8:C9)</f>
        <v>104</v>
      </c>
      <c r="D10" s="26">
        <f>SUM(D8:D9)</f>
        <v>35</v>
      </c>
      <c r="E10" s="26">
        <f>SUM(C10:D10)</f>
        <v>139</v>
      </c>
      <c r="F10" s="26"/>
      <c r="G10" s="26"/>
      <c r="H10" s="26"/>
      <c r="I10" s="26"/>
      <c r="J10" s="35" t="str">
        <f>IF(J7&gt;=1,CONCATENATE(ROUND(J7,2)," : 1"),CONCATENATE("1 : ",ROUND(K7,2)))</f>
        <v>2,97 : 1</v>
      </c>
      <c r="K10" s="33"/>
      <c r="L10" s="33"/>
    </row>
    <row r="11" spans="1:12" x14ac:dyDescent="0.2">
      <c r="A11" s="26"/>
      <c r="B11" s="26"/>
      <c r="C11" s="26"/>
      <c r="D11" s="26"/>
      <c r="E11" s="26"/>
      <c r="F11" s="26"/>
      <c r="G11" s="26"/>
      <c r="H11" s="26"/>
      <c r="I11" s="26"/>
      <c r="J11" s="33"/>
      <c r="K11" s="33"/>
      <c r="L11" s="33"/>
    </row>
    <row r="12" spans="1:12" x14ac:dyDescent="0.2">
      <c r="A12" s="26"/>
      <c r="B12" s="26"/>
      <c r="C12" s="26"/>
      <c r="D12" s="26"/>
      <c r="E12" s="26"/>
      <c r="F12" s="26"/>
      <c r="G12" s="26"/>
      <c r="H12" s="26"/>
      <c r="I12" s="26"/>
      <c r="J12" s="33"/>
      <c r="K12" s="33"/>
      <c r="L12" s="33"/>
    </row>
    <row r="13" spans="1:12" ht="13.5" thickBot="1" x14ac:dyDescent="0.25">
      <c r="A13" s="26"/>
      <c r="B13" s="26"/>
      <c r="C13" s="52" t="s">
        <v>36</v>
      </c>
      <c r="D13" s="624" t="str">
        <f>CONCATENATE("IC ",100*D25,"%")</f>
        <v>IC 95%</v>
      </c>
      <c r="E13" s="624"/>
      <c r="F13" s="26"/>
      <c r="G13" s="26"/>
      <c r="H13" s="26"/>
      <c r="I13" s="26"/>
      <c r="J13" s="33"/>
      <c r="K13" s="33"/>
      <c r="L13" s="33"/>
    </row>
    <row r="14" spans="1:12" x14ac:dyDescent="0.2">
      <c r="A14" s="26"/>
      <c r="B14" s="28" t="s">
        <v>2</v>
      </c>
      <c r="C14" s="6">
        <f>C8/E8</f>
        <v>0.25</v>
      </c>
      <c r="D14" s="629" t="str">
        <f>CONCATENATE("( ",ROUND(100*J14,1),"% ; ",ROUND(100*K14,1),"% )")</f>
        <v>( 8,3% ; 52,6% )</v>
      </c>
      <c r="E14" s="630"/>
      <c r="F14" s="26"/>
      <c r="G14" s="31" t="s">
        <v>22</v>
      </c>
      <c r="H14" s="26"/>
      <c r="I14" s="26"/>
      <c r="J14" s="41">
        <f>((2*E8*C14+J25*J25-1)-J25*SQRT(J25*J25-(2+(1/E8))+4*C14*(E8*(1-C14)+1)))/(2*(E8+J25*J25))</f>
        <v>8.3327759989653041E-2</v>
      </c>
      <c r="K14" s="41">
        <f>((2*E8*C14+J25*J25+1)+J25*SQRT(J25*J25+(2-(1/E8))+4*C14*(E8*(1-C14)-1)))/(2*(E8+J25*J25))</f>
        <v>0.52591617519019829</v>
      </c>
      <c r="L14" s="33"/>
    </row>
    <row r="15" spans="1:12" ht="13.5" thickBot="1" x14ac:dyDescent="0.25">
      <c r="A15" s="26"/>
      <c r="B15" s="28" t="s">
        <v>3</v>
      </c>
      <c r="C15" s="8">
        <f>C9/E9</f>
        <v>0.81300813008130079</v>
      </c>
      <c r="D15" s="631" t="str">
        <f>CONCATENATE("( ",ROUND(100*J15,1),"% ; ",ROUND(100*K15,1),"% )")</f>
        <v>( 73,1% ; 87,5% )</v>
      </c>
      <c r="E15" s="632"/>
      <c r="F15" s="26"/>
      <c r="G15" s="31" t="s">
        <v>23</v>
      </c>
      <c r="H15" s="26"/>
      <c r="I15" s="26"/>
      <c r="J15" s="41">
        <f>((2*E9*C15+J25*J25-1)-J25*SQRT(J25*J25-(2+(1/E9))+4*C15*(E9*(1-C15)+1)))/(2*(E9+J25*J25))</f>
        <v>0.73053373571353253</v>
      </c>
      <c r="K15" s="41">
        <f>((2*E9*C15+J25*J25+1)+J25*SQRT(J25*J25+(2-(1/E9))+4*C15*(E9*(1-C15)-1)))/(2*(E9+J25*J25))</f>
        <v>0.87543238256252009</v>
      </c>
      <c r="L15" s="33"/>
    </row>
    <row r="16" spans="1:12" x14ac:dyDescent="0.2">
      <c r="A16" s="26"/>
      <c r="B16" s="28" t="s">
        <v>4</v>
      </c>
      <c r="C16" s="40">
        <f>C10/E10</f>
        <v>0.74820143884892087</v>
      </c>
      <c r="D16" s="622" t="str">
        <f>CONCATENATE("( ",ROUND(100*J16,1),"% ; ",ROUND(100*K16,1),"% )")</f>
        <v>( 66,6% ; 81,6% )</v>
      </c>
      <c r="E16" s="623"/>
      <c r="F16" s="26"/>
      <c r="G16" s="32" t="s">
        <v>25</v>
      </c>
      <c r="H16" s="26"/>
      <c r="I16" s="26"/>
      <c r="J16" s="41">
        <f>((2*E10*C16+J25*J25-1)-J25*SQRT(J25*J25-(2+(1/E10))+4*C16*(E10*(1-C16)+1)))/(2*(E10+J25*J25))</f>
        <v>0.66621031693836752</v>
      </c>
      <c r="K16" s="41">
        <f>((2*E10*C16+J25*J25+1)+J25*SQRT(J25*J25+(2-(1/E10))+4*C16*(E10*(1-C16)-1)))/(2*(E10+J25*J25))</f>
        <v>0.81618905528206609</v>
      </c>
      <c r="L16" s="33"/>
    </row>
    <row r="17" spans="1:12" ht="13.5" thickBot="1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33"/>
      <c r="K17" s="33"/>
      <c r="L17" s="33"/>
    </row>
    <row r="18" spans="1:12" x14ac:dyDescent="0.2">
      <c r="A18" s="26"/>
      <c r="B18" s="1" t="s">
        <v>33</v>
      </c>
      <c r="C18" s="21">
        <f>C14/C15</f>
        <v>0.3075</v>
      </c>
      <c r="D18" s="26"/>
      <c r="E18" s="42"/>
      <c r="F18" s="42"/>
      <c r="G18" s="42"/>
      <c r="H18" s="42"/>
      <c r="I18" s="42"/>
      <c r="J18" s="33"/>
      <c r="K18" s="33"/>
      <c r="L18" s="33"/>
    </row>
    <row r="19" spans="1:12" ht="13.5" thickBot="1" x14ac:dyDescent="0.25">
      <c r="A19" s="26"/>
      <c r="B19" s="3" t="s">
        <v>34</v>
      </c>
      <c r="C19" s="15">
        <f>1/C18</f>
        <v>3.2520325203252032</v>
      </c>
      <c r="D19" s="26"/>
      <c r="E19" s="42"/>
      <c r="F19" s="42"/>
      <c r="G19" s="42"/>
      <c r="H19" s="42"/>
      <c r="I19" s="42"/>
      <c r="J19" s="33"/>
      <c r="K19" s="33"/>
      <c r="L19" s="33"/>
    </row>
    <row r="20" spans="1:12" ht="13.5" thickBot="1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33"/>
      <c r="K20" s="33"/>
      <c r="L20" s="33"/>
    </row>
    <row r="21" spans="1:12" x14ac:dyDescent="0.2">
      <c r="A21" s="26"/>
      <c r="B21" s="1" t="s">
        <v>35</v>
      </c>
      <c r="C21" s="22"/>
      <c r="D21" s="22"/>
      <c r="E21" s="22"/>
      <c r="F21" s="21">
        <f>LN(C18)</f>
        <v>-1.1792801917355644</v>
      </c>
      <c r="G21" s="26"/>
      <c r="H21" s="26"/>
      <c r="I21" s="26"/>
      <c r="J21" s="33"/>
      <c r="K21" s="33"/>
      <c r="L21" s="33"/>
    </row>
    <row r="22" spans="1:12" x14ac:dyDescent="0.2">
      <c r="A22" s="26"/>
      <c r="B22" s="2" t="s">
        <v>19</v>
      </c>
      <c r="C22" s="16"/>
      <c r="D22" s="16"/>
      <c r="E22" s="16"/>
      <c r="F22" s="23">
        <f>SQRT(1/C8-1/E8+1/C9-1/E9)</f>
        <v>0.43516654133697713</v>
      </c>
      <c r="G22" s="26"/>
      <c r="H22" s="26"/>
      <c r="I22" s="26"/>
      <c r="J22" s="33">
        <f>EXP(F21-J25*F22)</f>
        <v>0.13104808788696534</v>
      </c>
      <c r="K22" s="33"/>
      <c r="L22" s="33"/>
    </row>
    <row r="23" spans="1:12" x14ac:dyDescent="0.2">
      <c r="A23" s="26"/>
      <c r="B23" s="2" t="s">
        <v>20</v>
      </c>
      <c r="C23" s="16"/>
      <c r="D23" s="16"/>
      <c r="E23" s="16"/>
      <c r="F23" s="50">
        <v>0.95</v>
      </c>
      <c r="G23" s="26"/>
      <c r="H23" s="26"/>
      <c r="I23" s="26"/>
      <c r="J23" s="33">
        <f>EXP(F21+J25*F22)</f>
        <v>0.72153857049451109</v>
      </c>
      <c r="K23" s="33"/>
      <c r="L23" s="33"/>
    </row>
    <row r="24" spans="1:12" x14ac:dyDescent="0.2">
      <c r="A24" s="26"/>
      <c r="B24" s="2" t="s">
        <v>47</v>
      </c>
      <c r="C24" s="16"/>
      <c r="D24" s="16"/>
      <c r="E24" s="16"/>
      <c r="F24" s="37">
        <f>C18</f>
        <v>0.3075</v>
      </c>
      <c r="G24" s="26"/>
      <c r="H24" s="26"/>
      <c r="I24" s="26"/>
      <c r="J24" s="33"/>
      <c r="K24" s="33"/>
      <c r="L24" s="33"/>
    </row>
    <row r="25" spans="1:12" ht="13.5" thickBot="1" x14ac:dyDescent="0.25">
      <c r="A25" s="26"/>
      <c r="B25" s="3" t="s">
        <v>21</v>
      </c>
      <c r="C25" s="24"/>
      <c r="D25" s="25">
        <f>F23</f>
        <v>0.95</v>
      </c>
      <c r="E25" s="25"/>
      <c r="F25" s="17" t="str">
        <f>CONCATENATE("( ",ROUND(J22,2)," ; ",ROUND(J23,2)," )")</f>
        <v>( 0,13 ; 0,72 )</v>
      </c>
      <c r="G25" s="26"/>
      <c r="H25" s="26"/>
      <c r="I25" s="26"/>
      <c r="J25" s="33">
        <f>NORMSINV((1+F23)/2)</f>
        <v>1.9599639845400536</v>
      </c>
      <c r="K25" s="33"/>
      <c r="L25" s="33"/>
    </row>
    <row r="26" spans="1:12" ht="13.5" thickBot="1" x14ac:dyDescent="0.25">
      <c r="A26" s="26"/>
      <c r="B26" s="26"/>
      <c r="C26" s="26"/>
      <c r="D26" s="26"/>
      <c r="E26" s="26"/>
      <c r="F26" s="26"/>
      <c r="G26" s="26"/>
      <c r="H26" s="26"/>
      <c r="I26" s="26"/>
      <c r="J26" s="33"/>
      <c r="K26" s="33"/>
      <c r="L26" s="33"/>
    </row>
    <row r="27" spans="1:12" x14ac:dyDescent="0.2">
      <c r="A27" s="26"/>
      <c r="B27" s="10" t="s">
        <v>26</v>
      </c>
      <c r="C27" s="38"/>
      <c r="D27" s="38"/>
      <c r="E27" s="38"/>
      <c r="F27" s="4"/>
      <c r="G27" s="26"/>
      <c r="H27" s="26"/>
      <c r="I27" s="26"/>
      <c r="J27" s="33"/>
      <c r="K27" s="33"/>
    </row>
    <row r="28" spans="1:12" ht="13.5" thickBot="1" x14ac:dyDescent="0.25">
      <c r="A28" s="26"/>
      <c r="B28" s="12" t="s">
        <v>27</v>
      </c>
      <c r="C28" s="39"/>
      <c r="D28" s="39"/>
      <c r="E28" s="39"/>
      <c r="F28" s="5"/>
      <c r="G28" s="26"/>
      <c r="H28" s="26"/>
      <c r="I28" s="26"/>
      <c r="J28" s="33"/>
      <c r="K28" s="33"/>
    </row>
    <row r="29" spans="1:12" x14ac:dyDescent="0.2">
      <c r="A29" s="26"/>
      <c r="B29" s="26"/>
      <c r="C29" s="26"/>
      <c r="D29" s="26"/>
      <c r="E29" s="26"/>
      <c r="F29" s="26"/>
      <c r="G29" s="26"/>
      <c r="H29" s="26"/>
      <c r="I29" s="26"/>
    </row>
    <row r="30" spans="1:12" x14ac:dyDescent="0.2">
      <c r="A30" s="26"/>
      <c r="B30" s="26"/>
      <c r="C30" s="26"/>
      <c r="D30" s="26"/>
      <c r="E30" s="26"/>
      <c r="F30" s="26"/>
      <c r="G30" s="26"/>
      <c r="H30" s="26"/>
      <c r="I30" s="26"/>
    </row>
  </sheetData>
  <sheetProtection password="EA44" sheet="1" objects="1" scenarios="1" selectLockedCells="1"/>
  <mergeCells count="6">
    <mergeCell ref="D16:E16"/>
    <mergeCell ref="D13:E13"/>
    <mergeCell ref="C4:D4"/>
    <mergeCell ref="C5:D5"/>
    <mergeCell ref="D14:E14"/>
    <mergeCell ref="D15:E15"/>
  </mergeCells>
  <phoneticPr fontId="4" type="noConversion"/>
  <pageMargins left="0.47" right="0.49" top="0.984251969" bottom="0.984251969" header="0.49212598499999999" footer="0.49212598499999999"/>
  <pageSetup orientation="portrait" horizontalDpi="200" verticalDpi="200" copies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/>
  <dimension ref="A1:N33"/>
  <sheetViews>
    <sheetView showRowColHeaders="0" workbookViewId="0">
      <selection activeCell="F3" sqref="F3"/>
    </sheetView>
  </sheetViews>
  <sheetFormatPr defaultRowHeight="12.75" x14ac:dyDescent="0.2"/>
  <cols>
    <col min="1" max="1" width="5.85546875" customWidth="1"/>
  </cols>
  <sheetData>
    <row r="1" spans="1:14" ht="13.5" thickBo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.5" thickBot="1" x14ac:dyDescent="0.25">
      <c r="A2" s="26"/>
      <c r="B2" s="43" t="s">
        <v>64</v>
      </c>
      <c r="C2" s="44"/>
      <c r="D2" s="44"/>
      <c r="E2" s="44"/>
      <c r="F2" s="44"/>
      <c r="G2" s="45"/>
      <c r="H2" s="26"/>
      <c r="I2" s="26"/>
      <c r="J2" s="26"/>
      <c r="K2" s="26"/>
      <c r="L2" s="26"/>
      <c r="M2" s="26"/>
      <c r="N2" s="26"/>
    </row>
    <row r="3" spans="1:14" ht="13.5" thickBo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.5" thickBot="1" x14ac:dyDescent="0.25">
      <c r="A4" s="26"/>
      <c r="B4" s="43" t="s">
        <v>151</v>
      </c>
      <c r="C4" s="44"/>
      <c r="D4" s="44"/>
      <c r="E4" s="44"/>
      <c r="F4" s="45"/>
      <c r="G4" s="26"/>
      <c r="H4" s="26"/>
      <c r="I4" s="43" t="s">
        <v>153</v>
      </c>
      <c r="J4" s="44"/>
      <c r="K4" s="44"/>
      <c r="L4" s="44"/>
      <c r="M4" s="45"/>
      <c r="N4" s="26"/>
    </row>
    <row r="5" spans="1:14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6"/>
      <c r="B6" s="1" t="s">
        <v>66</v>
      </c>
      <c r="C6" s="77"/>
      <c r="D6" s="77"/>
      <c r="E6" s="77"/>
      <c r="F6" s="47">
        <v>0.35</v>
      </c>
      <c r="G6" s="26"/>
      <c r="H6" s="26"/>
      <c r="I6" s="1" t="s">
        <v>66</v>
      </c>
      <c r="J6" s="77"/>
      <c r="K6" s="77"/>
      <c r="L6" s="77"/>
      <c r="M6" s="47">
        <v>0.5</v>
      </c>
      <c r="N6" s="26"/>
    </row>
    <row r="7" spans="1:14" x14ac:dyDescent="0.2">
      <c r="A7" s="26"/>
      <c r="B7" s="2" t="s">
        <v>71</v>
      </c>
      <c r="C7" s="60"/>
      <c r="D7" s="60"/>
      <c r="E7" s="60"/>
      <c r="F7" s="51">
        <v>0.05</v>
      </c>
      <c r="G7" s="26"/>
      <c r="H7" s="26"/>
      <c r="I7" s="2" t="s">
        <v>154</v>
      </c>
      <c r="J7" s="60"/>
      <c r="K7" s="60"/>
      <c r="L7" s="60"/>
      <c r="M7" s="212">
        <v>0.02</v>
      </c>
      <c r="N7" s="26"/>
    </row>
    <row r="8" spans="1:14" ht="13.5" thickBot="1" x14ac:dyDescent="0.25">
      <c r="A8" s="26"/>
      <c r="B8" s="3" t="s">
        <v>67</v>
      </c>
      <c r="C8" s="24"/>
      <c r="D8" s="24"/>
      <c r="E8" s="24"/>
      <c r="F8" s="84">
        <v>0.95</v>
      </c>
      <c r="G8" s="26"/>
      <c r="H8" s="26"/>
      <c r="I8" s="3" t="s">
        <v>67</v>
      </c>
      <c r="J8" s="24"/>
      <c r="K8" s="24"/>
      <c r="L8" s="24"/>
      <c r="M8" s="84">
        <v>0.95</v>
      </c>
      <c r="N8" s="26"/>
    </row>
    <row r="9" spans="1:14" ht="13.5" thickBot="1" x14ac:dyDescent="0.2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4" ht="13.5" thickBot="1" x14ac:dyDescent="0.25">
      <c r="A10" s="26"/>
      <c r="B10" s="78" t="s">
        <v>68</v>
      </c>
      <c r="C10" s="53">
        <f>ROUNDUP(NORMSINV((1+F8)/2)^2*F6*(1-F6)/(F7*F7),0)</f>
        <v>350</v>
      </c>
      <c r="D10" s="26"/>
      <c r="E10" s="26"/>
      <c r="F10" s="26"/>
      <c r="G10" s="26"/>
      <c r="H10" s="26"/>
      <c r="I10" s="78" t="s">
        <v>68</v>
      </c>
      <c r="J10" s="53">
        <f>ROUNDUP(NORMSINV((1+M8)/2)^2*(1-M6)/(M7*M7*M6),0)</f>
        <v>9604</v>
      </c>
      <c r="K10" s="26"/>
      <c r="L10" s="26"/>
      <c r="M10" s="26"/>
      <c r="N10" s="26"/>
    </row>
    <row r="11" spans="1:14" x14ac:dyDescent="0.2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14" x14ac:dyDescent="0.2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14" x14ac:dyDescent="0.2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4" ht="13.5" thickBot="1" x14ac:dyDescent="0.25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4" ht="13.5" thickBot="1" x14ac:dyDescent="0.25">
      <c r="A15" s="26"/>
      <c r="B15" s="43" t="s">
        <v>152</v>
      </c>
      <c r="C15" s="44"/>
      <c r="D15" s="44"/>
      <c r="E15" s="44"/>
      <c r="F15" s="45"/>
      <c r="G15" s="26"/>
      <c r="H15" s="26"/>
      <c r="I15" s="43" t="s">
        <v>155</v>
      </c>
      <c r="J15" s="44"/>
      <c r="K15" s="44"/>
      <c r="L15" s="44"/>
      <c r="M15" s="45"/>
      <c r="N15" s="26"/>
    </row>
    <row r="16" spans="1:14" ht="13.5" thickBot="1" x14ac:dyDescent="0.2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4" x14ac:dyDescent="0.2">
      <c r="A17" s="26"/>
      <c r="B17" s="1" t="s">
        <v>66</v>
      </c>
      <c r="C17" s="77"/>
      <c r="D17" s="77"/>
      <c r="E17" s="77"/>
      <c r="F17" s="47">
        <v>0.35</v>
      </c>
      <c r="G17" s="26"/>
      <c r="H17" s="26"/>
      <c r="I17" s="1" t="s">
        <v>66</v>
      </c>
      <c r="J17" s="77"/>
      <c r="K17" s="77"/>
      <c r="L17" s="77"/>
      <c r="M17" s="47">
        <v>7.0000000000000007E-2</v>
      </c>
      <c r="N17" s="26"/>
    </row>
    <row r="18" spans="1:14" x14ac:dyDescent="0.2">
      <c r="A18" s="26"/>
      <c r="B18" s="2" t="s">
        <v>71</v>
      </c>
      <c r="C18" s="60"/>
      <c r="D18" s="60"/>
      <c r="E18" s="60"/>
      <c r="F18" s="51">
        <v>0.05</v>
      </c>
      <c r="G18" s="26"/>
      <c r="H18" s="26"/>
      <c r="I18" s="2" t="s">
        <v>154</v>
      </c>
      <c r="J18" s="60"/>
      <c r="K18" s="60"/>
      <c r="L18" s="60"/>
      <c r="M18" s="212">
        <v>0.2</v>
      </c>
      <c r="N18" s="26"/>
    </row>
    <row r="19" spans="1:14" x14ac:dyDescent="0.2">
      <c r="A19" s="26"/>
      <c r="B19" s="2" t="s">
        <v>70</v>
      </c>
      <c r="C19" s="60"/>
      <c r="D19" s="60"/>
      <c r="E19" s="60"/>
      <c r="F19" s="51">
        <v>1200</v>
      </c>
      <c r="G19" s="26"/>
      <c r="H19" s="26"/>
      <c r="I19" s="2" t="s">
        <v>70</v>
      </c>
      <c r="J19" s="60"/>
      <c r="K19" s="60"/>
      <c r="L19" s="60"/>
      <c r="M19" s="51">
        <v>8454</v>
      </c>
      <c r="N19" s="26"/>
    </row>
    <row r="20" spans="1:14" ht="13.5" thickBot="1" x14ac:dyDescent="0.25">
      <c r="A20" s="26"/>
      <c r="B20" s="3" t="s">
        <v>67</v>
      </c>
      <c r="C20" s="24"/>
      <c r="D20" s="24"/>
      <c r="E20" s="24"/>
      <c r="F20" s="84">
        <v>0.95</v>
      </c>
      <c r="G20" s="26"/>
      <c r="H20" s="26"/>
      <c r="I20" s="3" t="s">
        <v>67</v>
      </c>
      <c r="J20" s="24"/>
      <c r="K20" s="24"/>
      <c r="L20" s="24"/>
      <c r="M20" s="84">
        <v>0.95</v>
      </c>
      <c r="N20" s="26"/>
    </row>
    <row r="21" spans="1:14" ht="13.5" thickBot="1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spans="1:14" ht="13.5" thickBot="1" x14ac:dyDescent="0.25">
      <c r="A22" s="26"/>
      <c r="B22" s="78" t="s">
        <v>68</v>
      </c>
      <c r="C22" s="53">
        <f>ROUNDUP(NORMSINV((1+F20)/2)^2*F19*F17*(1-F17)/(F18*F18*(F19-1)+NORMSINV((1+F20)/2)^2*F17*(1-F17)),0)</f>
        <v>271</v>
      </c>
      <c r="D22" s="26"/>
      <c r="E22" s="26"/>
      <c r="F22" s="26"/>
      <c r="G22" s="26"/>
      <c r="H22" s="26"/>
      <c r="I22" s="78" t="s">
        <v>68</v>
      </c>
      <c r="J22" s="53">
        <f>ROUNDUP(NORMSINV((1+M20)/2)^2*M19*(1-M17)/(M18*M18*M17*(M19-1)+NORMSINV((1+M20)/2)^2*(1-M17)),0)</f>
        <v>1109</v>
      </c>
      <c r="K22" s="26"/>
      <c r="L22" s="26"/>
      <c r="M22" s="26"/>
      <c r="N22" s="26"/>
    </row>
    <row r="23" spans="1:14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</row>
    <row r="24" spans="1:14" x14ac:dyDescent="0.2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</row>
    <row r="25" spans="1:14" x14ac:dyDescent="0.2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</row>
    <row r="26" spans="1:14" x14ac:dyDescent="0.2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</row>
    <row r="27" spans="1:14" x14ac:dyDescent="0.2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</row>
    <row r="28" spans="1:14" x14ac:dyDescent="0.2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</row>
    <row r="29" spans="1:14" x14ac:dyDescent="0.2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</row>
    <row r="30" spans="1:14" x14ac:dyDescent="0.2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1" spans="1:14" x14ac:dyDescent="0.2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</row>
    <row r="32" spans="1:14" x14ac:dyDescent="0.2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</row>
    <row r="33" spans="1:14" x14ac:dyDescent="0.2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</row>
  </sheetData>
  <sheetProtection password="EA44" sheet="1" objects="1" scenarios="1" selectLockedCells="1"/>
  <phoneticPr fontId="4" type="noConversion"/>
  <pageMargins left="0.78740157499999996" right="0.78740157499999996" top="0.984251969" bottom="0.984251969" header="0.49212598499999999" footer="0.49212598499999999"/>
  <pageSetup orientation="portrait" horizontalDpi="200" verticalDpi="2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3076" r:id="rId4">
          <objectPr defaultSize="0" autoPict="0" r:id="rId5">
            <anchor moveWithCells="1">
              <from>
                <xdr:col>4</xdr:col>
                <xdr:colOff>0</xdr:colOff>
                <xdr:row>8</xdr:row>
                <xdr:rowOff>161925</xdr:rowOff>
              </from>
              <to>
                <xdr:col>5</xdr:col>
                <xdr:colOff>600075</xdr:colOff>
                <xdr:row>11</xdr:row>
                <xdr:rowOff>152400</xdr:rowOff>
              </to>
            </anchor>
          </objectPr>
        </oleObject>
      </mc:Choice>
      <mc:Fallback>
        <oleObject progId="Equation.3" shapeId="3076" r:id="rId4"/>
      </mc:Fallback>
    </mc:AlternateContent>
    <mc:AlternateContent xmlns:mc="http://schemas.openxmlformats.org/markup-compatibility/2006">
      <mc:Choice Requires="x14">
        <oleObject progId="Equation.3" shapeId="3077" r:id="rId6">
          <objectPr defaultSize="0" autoPict="0" r:id="rId7">
            <anchor moveWithCells="1">
              <from>
                <xdr:col>3</xdr:col>
                <xdr:colOff>133350</xdr:colOff>
                <xdr:row>20</xdr:row>
                <xdr:rowOff>152400</xdr:rowOff>
              </from>
              <to>
                <xdr:col>6</xdr:col>
                <xdr:colOff>304800</xdr:colOff>
                <xdr:row>24</xdr:row>
                <xdr:rowOff>38100</xdr:rowOff>
              </to>
            </anchor>
          </objectPr>
        </oleObject>
      </mc:Choice>
      <mc:Fallback>
        <oleObject progId="Equation.3" shapeId="3077" r:id="rId6"/>
      </mc:Fallback>
    </mc:AlternateContent>
    <mc:AlternateContent xmlns:mc="http://schemas.openxmlformats.org/markup-compatibility/2006">
      <mc:Choice Requires="x14">
        <oleObject progId="Equation.3" shapeId="3080" r:id="rId8">
          <objectPr defaultSize="0" autoPict="0" r:id="rId9">
            <anchor moveWithCells="1">
              <from>
                <xdr:col>10</xdr:col>
                <xdr:colOff>523875</xdr:colOff>
                <xdr:row>9</xdr:row>
                <xdr:rowOff>0</xdr:rowOff>
              </from>
              <to>
                <xdr:col>13</xdr:col>
                <xdr:colOff>0</xdr:colOff>
                <xdr:row>12</xdr:row>
                <xdr:rowOff>28575</xdr:rowOff>
              </to>
            </anchor>
          </objectPr>
        </oleObject>
      </mc:Choice>
      <mc:Fallback>
        <oleObject progId="Equation.3" shapeId="3080" r:id="rId8"/>
      </mc:Fallback>
    </mc:AlternateContent>
    <mc:AlternateContent xmlns:mc="http://schemas.openxmlformats.org/markup-compatibility/2006">
      <mc:Choice Requires="x14">
        <oleObject progId="Equation.3" shapeId="3081" r:id="rId10">
          <objectPr defaultSize="0" autoPict="0" r:id="rId11">
            <anchor moveWithCells="1">
              <from>
                <xdr:col>10</xdr:col>
                <xdr:colOff>123825</xdr:colOff>
                <xdr:row>20</xdr:row>
                <xdr:rowOff>142875</xdr:rowOff>
              </from>
              <to>
                <xdr:col>13</xdr:col>
                <xdr:colOff>304800</xdr:colOff>
                <xdr:row>24</xdr:row>
                <xdr:rowOff>38100</xdr:rowOff>
              </to>
            </anchor>
          </objectPr>
        </oleObject>
      </mc:Choice>
      <mc:Fallback>
        <oleObject progId="Equation.3" shapeId="3081" r:id="rId10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7"/>
  <dimension ref="A1:I24"/>
  <sheetViews>
    <sheetView showRowColHeaders="0" workbookViewId="0">
      <selection activeCell="F3" sqref="F3"/>
    </sheetView>
  </sheetViews>
  <sheetFormatPr defaultRowHeight="12.75" x14ac:dyDescent="0.2"/>
  <cols>
    <col min="1" max="1" width="5.85546875" customWidth="1"/>
  </cols>
  <sheetData>
    <row r="1" spans="1:9" ht="13.5" thickBot="1" x14ac:dyDescent="0.25">
      <c r="A1" s="26"/>
      <c r="B1" s="26"/>
      <c r="C1" s="26"/>
      <c r="D1" s="26"/>
      <c r="E1" s="26"/>
      <c r="F1" s="26"/>
      <c r="G1" s="26"/>
      <c r="H1" s="26"/>
      <c r="I1" s="26"/>
    </row>
    <row r="2" spans="1:9" ht="13.5" thickBot="1" x14ac:dyDescent="0.25">
      <c r="A2" s="26"/>
      <c r="B2" s="43" t="s">
        <v>72</v>
      </c>
      <c r="C2" s="44"/>
      <c r="D2" s="44"/>
      <c r="E2" s="44"/>
      <c r="F2" s="44"/>
      <c r="G2" s="45"/>
      <c r="H2" s="26"/>
      <c r="I2" s="26"/>
    </row>
    <row r="3" spans="1:9" ht="13.5" thickBot="1" x14ac:dyDescent="0.25">
      <c r="A3" s="26"/>
      <c r="B3" s="26"/>
      <c r="C3" s="26"/>
      <c r="D3" s="26"/>
      <c r="E3" s="26"/>
      <c r="F3" s="26"/>
      <c r="G3" s="26"/>
      <c r="H3" s="26"/>
      <c r="I3" s="26"/>
    </row>
    <row r="4" spans="1:9" ht="13.5" thickBot="1" x14ac:dyDescent="0.25">
      <c r="A4" s="26"/>
      <c r="B4" s="43" t="s">
        <v>65</v>
      </c>
      <c r="C4" s="44"/>
      <c r="D4" s="44"/>
      <c r="E4" s="44"/>
      <c r="F4" s="45"/>
      <c r="G4" s="26"/>
      <c r="H4" s="26"/>
      <c r="I4" s="26"/>
    </row>
    <row r="5" spans="1:9" ht="13.5" thickBot="1" x14ac:dyDescent="0.25">
      <c r="A5" s="26"/>
      <c r="B5" s="26"/>
      <c r="C5" s="26"/>
      <c r="D5" s="26"/>
      <c r="E5" s="26"/>
      <c r="F5" s="26"/>
      <c r="G5" s="26"/>
      <c r="H5" s="26"/>
      <c r="I5" s="26"/>
    </row>
    <row r="6" spans="1:9" x14ac:dyDescent="0.2">
      <c r="A6" s="26"/>
      <c r="B6" s="1" t="s">
        <v>73</v>
      </c>
      <c r="C6" s="77"/>
      <c r="D6" s="77"/>
      <c r="E6" s="77"/>
      <c r="F6" s="47">
        <v>4</v>
      </c>
      <c r="G6" s="26"/>
      <c r="H6" s="26"/>
      <c r="I6" s="26"/>
    </row>
    <row r="7" spans="1:9" x14ac:dyDescent="0.2">
      <c r="A7" s="26"/>
      <c r="B7" s="2" t="s">
        <v>71</v>
      </c>
      <c r="C7" s="60"/>
      <c r="D7" s="60"/>
      <c r="E7" s="60"/>
      <c r="F7" s="51">
        <v>0.5</v>
      </c>
      <c r="G7" s="26"/>
      <c r="H7" s="26"/>
      <c r="I7" s="26"/>
    </row>
    <row r="8" spans="1:9" ht="13.5" thickBot="1" x14ac:dyDescent="0.25">
      <c r="A8" s="26"/>
      <c r="B8" s="3" t="s">
        <v>67</v>
      </c>
      <c r="C8" s="24"/>
      <c r="D8" s="24"/>
      <c r="E8" s="24"/>
      <c r="F8" s="84">
        <v>0.95</v>
      </c>
      <c r="G8" s="26"/>
      <c r="H8" s="26"/>
      <c r="I8" s="26"/>
    </row>
    <row r="9" spans="1:9" ht="13.5" thickBot="1" x14ac:dyDescent="0.25">
      <c r="A9" s="26"/>
      <c r="B9" s="26"/>
      <c r="C9" s="26"/>
      <c r="D9" s="26"/>
      <c r="E9" s="26"/>
      <c r="F9" s="26"/>
      <c r="G9" s="26"/>
      <c r="H9" s="26"/>
      <c r="I9" s="26"/>
    </row>
    <row r="10" spans="1:9" ht="13.5" thickBot="1" x14ac:dyDescent="0.25">
      <c r="A10" s="26"/>
      <c r="B10" s="78" t="s">
        <v>68</v>
      </c>
      <c r="C10" s="53">
        <f>ROUNDUP((NORMSINV((1+F8)/2)^2*F6*F6)/(F7*F7),0)</f>
        <v>246</v>
      </c>
      <c r="D10" s="26"/>
      <c r="E10" s="26"/>
      <c r="F10" s="26"/>
      <c r="G10" s="26"/>
      <c r="H10" s="26"/>
      <c r="I10" s="26"/>
    </row>
    <row r="11" spans="1:9" x14ac:dyDescent="0.2">
      <c r="A11" s="26"/>
      <c r="B11" s="26"/>
      <c r="C11" s="26"/>
      <c r="D11" s="26"/>
      <c r="E11" s="26"/>
      <c r="F11" s="26"/>
      <c r="G11" s="26"/>
      <c r="H11" s="26"/>
      <c r="I11" s="26"/>
    </row>
    <row r="12" spans="1:9" x14ac:dyDescent="0.2">
      <c r="A12" s="26"/>
      <c r="B12" s="26"/>
      <c r="C12" s="26"/>
      <c r="D12" s="26"/>
      <c r="E12" s="26"/>
      <c r="F12" s="26"/>
      <c r="G12" s="26"/>
      <c r="H12" s="26"/>
      <c r="I12" s="26"/>
    </row>
    <row r="13" spans="1:9" ht="13.5" thickBot="1" x14ac:dyDescent="0.25">
      <c r="A13" s="26"/>
      <c r="B13" s="26"/>
      <c r="C13" s="26"/>
      <c r="D13" s="26"/>
      <c r="E13" s="26"/>
      <c r="F13" s="26"/>
      <c r="G13" s="26"/>
      <c r="H13" s="26"/>
      <c r="I13" s="26"/>
    </row>
    <row r="14" spans="1:9" ht="13.5" thickBot="1" x14ac:dyDescent="0.25">
      <c r="A14" s="26"/>
      <c r="B14" s="43" t="s">
        <v>69</v>
      </c>
      <c r="C14" s="44"/>
      <c r="D14" s="44"/>
      <c r="E14" s="44"/>
      <c r="F14" s="45"/>
      <c r="G14" s="26"/>
      <c r="H14" s="26"/>
      <c r="I14" s="26"/>
    </row>
    <row r="15" spans="1:9" ht="13.5" thickBot="1" x14ac:dyDescent="0.25">
      <c r="A15" s="26"/>
      <c r="B15" s="26"/>
      <c r="C15" s="26"/>
      <c r="D15" s="26"/>
      <c r="E15" s="26"/>
      <c r="F15" s="26"/>
      <c r="G15" s="26"/>
      <c r="H15" s="26"/>
      <c r="I15" s="26"/>
    </row>
    <row r="16" spans="1:9" x14ac:dyDescent="0.2">
      <c r="A16" s="26"/>
      <c r="B16" s="1" t="s">
        <v>73</v>
      </c>
      <c r="C16" s="77"/>
      <c r="D16" s="77"/>
      <c r="E16" s="77"/>
      <c r="F16" s="47">
        <v>4</v>
      </c>
      <c r="G16" s="26"/>
      <c r="H16" s="26"/>
      <c r="I16" s="26"/>
    </row>
    <row r="17" spans="1:9" x14ac:dyDescent="0.2">
      <c r="A17" s="26"/>
      <c r="B17" s="2" t="s">
        <v>71</v>
      </c>
      <c r="C17" s="60"/>
      <c r="D17" s="60"/>
      <c r="E17" s="60"/>
      <c r="F17" s="51">
        <v>0.5</v>
      </c>
      <c r="G17" s="26"/>
      <c r="H17" s="26"/>
      <c r="I17" s="26"/>
    </row>
    <row r="18" spans="1:9" x14ac:dyDescent="0.2">
      <c r="A18" s="26"/>
      <c r="B18" s="2" t="s">
        <v>70</v>
      </c>
      <c r="C18" s="60"/>
      <c r="D18" s="60"/>
      <c r="E18" s="60"/>
      <c r="F18" s="51">
        <v>1800</v>
      </c>
      <c r="G18" s="26"/>
      <c r="H18" s="26"/>
      <c r="I18" s="26"/>
    </row>
    <row r="19" spans="1:9" ht="13.5" thickBot="1" x14ac:dyDescent="0.25">
      <c r="A19" s="26"/>
      <c r="B19" s="3" t="s">
        <v>67</v>
      </c>
      <c r="C19" s="24"/>
      <c r="D19" s="24"/>
      <c r="E19" s="24"/>
      <c r="F19" s="84">
        <v>0.95</v>
      </c>
      <c r="G19" s="26"/>
      <c r="H19" s="26"/>
      <c r="I19" s="26"/>
    </row>
    <row r="20" spans="1:9" ht="13.5" thickBot="1" x14ac:dyDescent="0.25">
      <c r="A20" s="26"/>
      <c r="B20" s="26"/>
      <c r="C20" s="26"/>
      <c r="D20" s="26"/>
      <c r="E20" s="26"/>
      <c r="F20" s="26"/>
      <c r="G20" s="26"/>
      <c r="H20" s="26"/>
      <c r="I20" s="26"/>
    </row>
    <row r="21" spans="1:9" ht="13.5" thickBot="1" x14ac:dyDescent="0.25">
      <c r="A21" s="26"/>
      <c r="B21" s="78" t="s">
        <v>68</v>
      </c>
      <c r="C21" s="53">
        <f>ROUNDUP(NORMSINV((1+F19)/2)^2*F18*F16*F16/(F17*F17*(F18-1)+NORMSINV((1+F19)/2)^2*F16*F16),0)</f>
        <v>217</v>
      </c>
      <c r="D21" s="26"/>
      <c r="E21" s="26"/>
      <c r="F21" s="26"/>
      <c r="G21" s="26"/>
      <c r="H21" s="26"/>
      <c r="I21" s="26"/>
    </row>
    <row r="22" spans="1:9" x14ac:dyDescent="0.2">
      <c r="A22" s="26"/>
      <c r="B22" s="26"/>
      <c r="C22" s="26"/>
      <c r="D22" s="26"/>
      <c r="E22" s="26"/>
      <c r="F22" s="26"/>
      <c r="G22" s="26"/>
      <c r="H22" s="26"/>
      <c r="I22" s="26"/>
    </row>
    <row r="23" spans="1:9" x14ac:dyDescent="0.2">
      <c r="A23" s="26"/>
      <c r="B23" s="26"/>
      <c r="C23" s="26"/>
      <c r="D23" s="26"/>
      <c r="E23" s="26"/>
      <c r="F23" s="26"/>
      <c r="G23" s="26"/>
      <c r="H23" s="26"/>
      <c r="I23" s="26"/>
    </row>
    <row r="24" spans="1:9" x14ac:dyDescent="0.2">
      <c r="A24" s="26"/>
      <c r="B24" s="26"/>
      <c r="C24" s="26"/>
      <c r="D24" s="26"/>
      <c r="E24" s="26"/>
      <c r="F24" s="26"/>
      <c r="G24" s="26"/>
      <c r="H24" s="26"/>
      <c r="I24" s="26"/>
    </row>
  </sheetData>
  <sheetProtection password="EA44" sheet="1" objects="1" scenarios="1" selectLockedCells="1"/>
  <phoneticPr fontId="4" type="noConversion"/>
  <pageMargins left="0.78740157499999996" right="0.78740157499999996" top="0.984251969" bottom="0.984251969" header="0.49212598499999999" footer="0.49212598499999999"/>
  <pageSetup orientation="portrait" horizontalDpi="200" verticalDpi="200" copies="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4097" r:id="rId4">
          <objectPr defaultSize="0" autoPict="0" r:id="rId5">
            <anchor moveWithCells="1">
              <from>
                <xdr:col>3</xdr:col>
                <xdr:colOff>590550</xdr:colOff>
                <xdr:row>8</xdr:row>
                <xdr:rowOff>142875</xdr:rowOff>
              </from>
              <to>
                <xdr:col>5</xdr:col>
                <xdr:colOff>466725</xdr:colOff>
                <xdr:row>11</xdr:row>
                <xdr:rowOff>114300</xdr:rowOff>
              </to>
            </anchor>
          </objectPr>
        </oleObject>
      </mc:Choice>
      <mc:Fallback>
        <oleObject progId="Equation.3" shapeId="4097" r:id="rId4"/>
      </mc:Fallback>
    </mc:AlternateContent>
    <mc:AlternateContent xmlns:mc="http://schemas.openxmlformats.org/markup-compatibility/2006">
      <mc:Choice Requires="x14">
        <oleObject progId="Equation.3" shapeId="4098" r:id="rId6">
          <objectPr defaultSize="0" autoPict="0" r:id="rId7">
            <anchor moveWithCells="1">
              <from>
                <xdr:col>3</xdr:col>
                <xdr:colOff>190500</xdr:colOff>
                <xdr:row>19</xdr:row>
                <xdr:rowOff>142875</xdr:rowOff>
              </from>
              <to>
                <xdr:col>5</xdr:col>
                <xdr:colOff>581025</xdr:colOff>
                <xdr:row>23</xdr:row>
                <xdr:rowOff>19050</xdr:rowOff>
              </to>
            </anchor>
          </objectPr>
        </oleObject>
      </mc:Choice>
      <mc:Fallback>
        <oleObject progId="Equation.3" shapeId="4098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S37"/>
  <sheetViews>
    <sheetView workbookViewId="0">
      <selection activeCell="F3" sqref="F3"/>
    </sheetView>
  </sheetViews>
  <sheetFormatPr defaultRowHeight="12.75" x14ac:dyDescent="0.2"/>
  <cols>
    <col min="1" max="1" width="5.42578125" customWidth="1"/>
    <col min="2" max="2" width="11.5703125" customWidth="1"/>
    <col min="3" max="3" width="12.140625" customWidth="1"/>
    <col min="4" max="4" width="13.5703125" customWidth="1"/>
    <col min="5" max="5" width="1.85546875" customWidth="1"/>
    <col min="6" max="8" width="10.85546875" customWidth="1"/>
    <col min="9" max="9" width="1.42578125" customWidth="1"/>
    <col min="10" max="12" width="11" customWidth="1"/>
    <col min="13" max="13" width="5.140625" customWidth="1"/>
    <col min="14" max="16" width="10.140625" bestFit="1" customWidth="1"/>
    <col min="17" max="17" width="10" bestFit="1" customWidth="1"/>
    <col min="18" max="18" width="9.28515625" bestFit="1" customWidth="1"/>
  </cols>
  <sheetData>
    <row r="1" spans="1:19" ht="13.5" thickBo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23"/>
      <c r="O1" s="223"/>
      <c r="P1" s="223"/>
      <c r="Q1" s="223"/>
      <c r="R1" s="223"/>
      <c r="S1" s="223"/>
    </row>
    <row r="2" spans="1:19" ht="13.5" thickBot="1" x14ac:dyDescent="0.25">
      <c r="A2" s="26"/>
      <c r="B2" s="43" t="s">
        <v>174</v>
      </c>
      <c r="C2" s="44"/>
      <c r="D2" s="44"/>
      <c r="E2" s="44"/>
      <c r="F2" s="44"/>
      <c r="G2" s="44"/>
      <c r="H2" s="44"/>
      <c r="I2" s="44"/>
      <c r="J2" s="45"/>
      <c r="K2" s="26"/>
      <c r="L2" s="26"/>
      <c r="M2" s="26"/>
      <c r="N2" s="223"/>
      <c r="O2" s="223"/>
      <c r="P2" s="223"/>
      <c r="Q2" s="223"/>
      <c r="R2" s="223"/>
      <c r="S2" s="223"/>
    </row>
    <row r="3" spans="1:19" ht="13.5" thickBo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23"/>
      <c r="O3" s="223"/>
      <c r="P3" s="223"/>
      <c r="Q3" s="223"/>
      <c r="R3" s="223"/>
      <c r="S3" s="223"/>
    </row>
    <row r="4" spans="1:19" x14ac:dyDescent="0.2">
      <c r="A4" s="26"/>
      <c r="B4" s="1" t="s">
        <v>175</v>
      </c>
      <c r="C4" s="77"/>
      <c r="D4" s="4">
        <f>COUNTA(C10:C29)</f>
        <v>5</v>
      </c>
      <c r="E4" s="26"/>
      <c r="F4" s="224"/>
      <c r="G4" s="224"/>
      <c r="H4" s="224"/>
      <c r="I4" s="26"/>
      <c r="J4" s="26"/>
      <c r="K4" s="26"/>
      <c r="L4" s="26"/>
      <c r="M4" s="26"/>
      <c r="N4" s="223"/>
      <c r="O4" s="223"/>
      <c r="P4" s="223"/>
      <c r="Q4" s="223"/>
      <c r="R4" s="223"/>
      <c r="S4" s="223"/>
    </row>
    <row r="5" spans="1:19" x14ac:dyDescent="0.2">
      <c r="A5" s="26"/>
      <c r="B5" s="2" t="s">
        <v>67</v>
      </c>
      <c r="C5" s="60"/>
      <c r="D5" s="225">
        <v>0.95</v>
      </c>
      <c r="E5" s="26"/>
      <c r="F5" s="65">
        <f>NORMSINV((1+D5)/2)</f>
        <v>1.9599639845400536</v>
      </c>
      <c r="G5" s="224"/>
      <c r="H5" s="224"/>
      <c r="I5" s="26"/>
      <c r="J5" s="26"/>
      <c r="K5" s="26"/>
      <c r="L5" s="26"/>
      <c r="M5" s="26"/>
      <c r="N5" s="223"/>
      <c r="O5" s="223"/>
      <c r="P5" s="223"/>
      <c r="Q5" s="223"/>
      <c r="R5" s="223"/>
      <c r="S5" s="223"/>
    </row>
    <row r="6" spans="1:19" ht="13.5" thickBot="1" x14ac:dyDescent="0.25">
      <c r="A6" s="26"/>
      <c r="B6" s="3" t="s">
        <v>176</v>
      </c>
      <c r="C6" s="24"/>
      <c r="D6" s="226">
        <v>2</v>
      </c>
      <c r="E6" s="26"/>
      <c r="F6" s="65">
        <f>C30*C30*D6*D6/(F5*F5)</f>
        <v>2501653.7853355259</v>
      </c>
      <c r="G6" s="224"/>
      <c r="H6" s="224"/>
      <c r="I6" s="26"/>
      <c r="J6" s="26"/>
      <c r="K6" s="26"/>
      <c r="L6" s="26"/>
      <c r="M6" s="26"/>
      <c r="N6" s="223"/>
      <c r="O6" s="223"/>
      <c r="P6" s="223"/>
      <c r="Q6" s="223"/>
      <c r="R6" s="223"/>
      <c r="S6" s="223"/>
    </row>
    <row r="7" spans="1:19" ht="13.5" thickBo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23"/>
      <c r="O7" s="223"/>
      <c r="P7" s="223"/>
      <c r="Q7" s="223"/>
      <c r="R7" s="223"/>
      <c r="S7" s="223"/>
    </row>
    <row r="8" spans="1:19" x14ac:dyDescent="0.2">
      <c r="A8" s="26"/>
      <c r="B8" s="216"/>
      <c r="C8" s="227" t="s">
        <v>177</v>
      </c>
      <c r="D8" s="213" t="s">
        <v>178</v>
      </c>
      <c r="E8" s="26"/>
      <c r="F8" s="216"/>
      <c r="G8" s="228" t="s">
        <v>179</v>
      </c>
      <c r="H8" s="4"/>
      <c r="I8" s="26"/>
      <c r="J8" s="216"/>
      <c r="K8" s="229" t="s">
        <v>180</v>
      </c>
      <c r="L8" s="4"/>
      <c r="M8" s="42"/>
      <c r="N8" s="33"/>
      <c r="O8" s="223"/>
      <c r="P8" s="223"/>
      <c r="Q8" s="223"/>
      <c r="R8" s="223"/>
      <c r="S8" s="223"/>
    </row>
    <row r="9" spans="1:19" ht="13.5" thickBot="1" x14ac:dyDescent="0.25">
      <c r="A9" s="26"/>
      <c r="B9" s="214" t="s">
        <v>181</v>
      </c>
      <c r="C9" s="62" t="s">
        <v>182</v>
      </c>
      <c r="D9" s="215" t="s">
        <v>183</v>
      </c>
      <c r="E9" s="26"/>
      <c r="F9" s="230" t="s">
        <v>184</v>
      </c>
      <c r="G9" s="66" t="s">
        <v>185</v>
      </c>
      <c r="H9" s="17" t="s">
        <v>186</v>
      </c>
      <c r="I9" s="26"/>
      <c r="J9" s="230" t="s">
        <v>184</v>
      </c>
      <c r="K9" s="66" t="s">
        <v>185</v>
      </c>
      <c r="L9" s="17" t="s">
        <v>186</v>
      </c>
      <c r="M9" s="231"/>
      <c r="N9" s="33"/>
      <c r="O9" s="232" t="s">
        <v>184</v>
      </c>
      <c r="P9" s="232" t="s">
        <v>185</v>
      </c>
      <c r="Q9" s="232" t="s">
        <v>186</v>
      </c>
      <c r="R9" s="223"/>
      <c r="S9" s="223"/>
    </row>
    <row r="10" spans="1:19" x14ac:dyDescent="0.2">
      <c r="A10" s="26"/>
      <c r="B10" s="233">
        <v>1</v>
      </c>
      <c r="C10" s="234">
        <v>250</v>
      </c>
      <c r="D10" s="235">
        <v>40</v>
      </c>
      <c r="E10" s="26"/>
      <c r="F10" s="236">
        <f>IF(C10&gt;0,1/$D$4,"")</f>
        <v>0.2</v>
      </c>
      <c r="G10" s="237">
        <f>IF(C10&gt;0,C10/$C$30,"")</f>
        <v>0.16129032258064516</v>
      </c>
      <c r="H10" s="238">
        <f t="shared" ref="H10:H29" si="0">IF(C10&gt;0,IF(D10&gt;0,N10/$N$30,"DP??"),"")</f>
        <v>0.16129032258064516</v>
      </c>
      <c r="I10" s="26"/>
      <c r="J10" s="239">
        <f t="shared" ref="J10:J29" si="1">IF(C10&gt;0,ROUNDUP($J$34*F10,0),"")</f>
        <v>160</v>
      </c>
      <c r="K10" s="240">
        <f t="shared" ref="K10:K29" si="2">IF(C10&gt;0,ROUNDUP($K$34*G10,0),"")</f>
        <v>125</v>
      </c>
      <c r="L10" s="241">
        <f t="shared" ref="L10:L29" si="3">IF(C10&gt;0,IF(D10&gt;0,ROUNDUP($L$34*H10,0),"DP??"),"")</f>
        <v>125</v>
      </c>
      <c r="M10" s="231"/>
      <c r="N10" s="33">
        <f t="shared" ref="N10:N29" si="4">C10*D10</f>
        <v>10000</v>
      </c>
      <c r="O10" s="223">
        <f t="shared" ref="O10:O29" si="5">IF(C10&gt;0,(1/F10)*C10*C10*D10*D10,0)</f>
        <v>500000000</v>
      </c>
      <c r="P10" s="223">
        <f t="shared" ref="P10:P29" si="6">IF(C10&gt;0,(1/G10)*C10*C10*D10*D10,0)</f>
        <v>620000000</v>
      </c>
      <c r="Q10" s="223">
        <f t="shared" ref="Q10:Q29" si="7">IF(C10&gt;0,(1/H10)*C10*C10*D10*D10,0)</f>
        <v>620000000</v>
      </c>
      <c r="R10" s="223">
        <f t="shared" ref="R10:R29" si="8">C10*D10*D10</f>
        <v>400000</v>
      </c>
      <c r="S10" s="223"/>
    </row>
    <row r="11" spans="1:19" x14ac:dyDescent="0.2">
      <c r="A11" s="26"/>
      <c r="B11" s="233">
        <v>2</v>
      </c>
      <c r="C11" s="234">
        <v>250</v>
      </c>
      <c r="D11" s="235">
        <v>40</v>
      </c>
      <c r="E11" s="26"/>
      <c r="F11" s="236">
        <f>IF(C11&gt;0,1/$D$4,"")</f>
        <v>0.2</v>
      </c>
      <c r="G11" s="242">
        <f>IF(C11&gt;0,C11/$C$30,"")</f>
        <v>0.16129032258064516</v>
      </c>
      <c r="H11" s="238">
        <f t="shared" si="0"/>
        <v>0.16129032258064516</v>
      </c>
      <c r="I11" s="26"/>
      <c r="J11" s="239">
        <f t="shared" si="1"/>
        <v>160</v>
      </c>
      <c r="K11" s="240">
        <f t="shared" si="2"/>
        <v>125</v>
      </c>
      <c r="L11" s="241">
        <f t="shared" si="3"/>
        <v>125</v>
      </c>
      <c r="M11" s="231"/>
      <c r="N11" s="33">
        <f t="shared" si="4"/>
        <v>10000</v>
      </c>
      <c r="O11" s="223">
        <f t="shared" si="5"/>
        <v>500000000</v>
      </c>
      <c r="P11" s="223">
        <f t="shared" si="6"/>
        <v>620000000</v>
      </c>
      <c r="Q11" s="223">
        <f t="shared" si="7"/>
        <v>620000000</v>
      </c>
      <c r="R11" s="223">
        <f t="shared" si="8"/>
        <v>400000</v>
      </c>
      <c r="S11" s="223"/>
    </row>
    <row r="12" spans="1:19" x14ac:dyDescent="0.2">
      <c r="A12" s="26"/>
      <c r="B12" s="233">
        <v>3</v>
      </c>
      <c r="C12" s="234">
        <v>300</v>
      </c>
      <c r="D12" s="235">
        <v>40</v>
      </c>
      <c r="E12" s="26"/>
      <c r="F12" s="236">
        <f>IF(C12&gt;0,1/$D$4,"")</f>
        <v>0.2</v>
      </c>
      <c r="G12" s="242">
        <f>IF(C12&gt;0,C12/$C$30,"")</f>
        <v>0.19354838709677419</v>
      </c>
      <c r="H12" s="238">
        <f t="shared" si="0"/>
        <v>0.19354838709677419</v>
      </c>
      <c r="I12" s="26"/>
      <c r="J12" s="239">
        <f t="shared" si="1"/>
        <v>160</v>
      </c>
      <c r="K12" s="240">
        <f t="shared" si="2"/>
        <v>150</v>
      </c>
      <c r="L12" s="241">
        <f t="shared" si="3"/>
        <v>150</v>
      </c>
      <c r="M12" s="231"/>
      <c r="N12" s="33">
        <f t="shared" si="4"/>
        <v>12000</v>
      </c>
      <c r="O12" s="223">
        <f t="shared" si="5"/>
        <v>720000000</v>
      </c>
      <c r="P12" s="223">
        <f t="shared" si="6"/>
        <v>744000000</v>
      </c>
      <c r="Q12" s="223">
        <f t="shared" si="7"/>
        <v>744000000</v>
      </c>
      <c r="R12" s="223">
        <f t="shared" si="8"/>
        <v>480000</v>
      </c>
      <c r="S12" s="223"/>
    </row>
    <row r="13" spans="1:19" x14ac:dyDescent="0.2">
      <c r="A13" s="26"/>
      <c r="B13" s="233">
        <v>4</v>
      </c>
      <c r="C13" s="234">
        <v>400</v>
      </c>
      <c r="D13" s="235">
        <v>40</v>
      </c>
      <c r="E13" s="26"/>
      <c r="F13" s="236">
        <f>IF(C13&gt;0,1/$D$4,"")</f>
        <v>0.2</v>
      </c>
      <c r="G13" s="242">
        <f>IF(C13&gt;0,C13/$C$30,"")</f>
        <v>0.25806451612903225</v>
      </c>
      <c r="H13" s="238">
        <f t="shared" si="0"/>
        <v>0.25806451612903225</v>
      </c>
      <c r="I13" s="26"/>
      <c r="J13" s="239">
        <f t="shared" si="1"/>
        <v>160</v>
      </c>
      <c r="K13" s="240">
        <f t="shared" si="2"/>
        <v>200</v>
      </c>
      <c r="L13" s="241">
        <f t="shared" si="3"/>
        <v>200</v>
      </c>
      <c r="M13" s="231"/>
      <c r="N13" s="33">
        <f t="shared" si="4"/>
        <v>16000</v>
      </c>
      <c r="O13" s="223">
        <f t="shared" si="5"/>
        <v>1280000000</v>
      </c>
      <c r="P13" s="223">
        <f t="shared" si="6"/>
        <v>992000000</v>
      </c>
      <c r="Q13" s="223">
        <f t="shared" si="7"/>
        <v>992000000</v>
      </c>
      <c r="R13" s="223">
        <f t="shared" si="8"/>
        <v>640000</v>
      </c>
      <c r="S13" s="223"/>
    </row>
    <row r="14" spans="1:19" x14ac:dyDescent="0.2">
      <c r="A14" s="26"/>
      <c r="B14" s="233">
        <v>5</v>
      </c>
      <c r="C14" s="234">
        <v>350</v>
      </c>
      <c r="D14" s="235">
        <v>40</v>
      </c>
      <c r="E14" s="26"/>
      <c r="F14" s="236">
        <f>IF(C14&gt;0,1/$D$4,"")</f>
        <v>0.2</v>
      </c>
      <c r="G14" s="242">
        <f>IF(C14&gt;0,C14/$C$30,"")</f>
        <v>0.22580645161290322</v>
      </c>
      <c r="H14" s="238">
        <f t="shared" si="0"/>
        <v>0.22580645161290322</v>
      </c>
      <c r="I14" s="26"/>
      <c r="J14" s="239">
        <f t="shared" si="1"/>
        <v>160</v>
      </c>
      <c r="K14" s="240">
        <f t="shared" si="2"/>
        <v>175</v>
      </c>
      <c r="L14" s="241">
        <f t="shared" si="3"/>
        <v>175</v>
      </c>
      <c r="M14" s="231"/>
      <c r="N14" s="33">
        <f t="shared" si="4"/>
        <v>14000</v>
      </c>
      <c r="O14" s="223">
        <f t="shared" si="5"/>
        <v>980000000</v>
      </c>
      <c r="P14" s="223">
        <f t="shared" si="6"/>
        <v>868000000</v>
      </c>
      <c r="Q14" s="223">
        <f t="shared" si="7"/>
        <v>868000000</v>
      </c>
      <c r="R14" s="223">
        <f t="shared" si="8"/>
        <v>560000</v>
      </c>
      <c r="S14" s="223"/>
    </row>
    <row r="15" spans="1:19" x14ac:dyDescent="0.2">
      <c r="A15" s="26"/>
      <c r="B15" s="233">
        <v>6</v>
      </c>
      <c r="C15" s="234"/>
      <c r="D15" s="235"/>
      <c r="E15" s="26"/>
      <c r="F15" s="236" t="str">
        <f t="shared" ref="F15:F29" si="9">IF(C15&gt;0,1/$D$4,"")</f>
        <v/>
      </c>
      <c r="G15" s="242" t="str">
        <f t="shared" ref="G15:G29" si="10">IF(C15&gt;0,C15/$C$30,"")</f>
        <v/>
      </c>
      <c r="H15" s="238" t="str">
        <f t="shared" si="0"/>
        <v/>
      </c>
      <c r="I15" s="26"/>
      <c r="J15" s="239" t="str">
        <f t="shared" si="1"/>
        <v/>
      </c>
      <c r="K15" s="240" t="str">
        <f t="shared" si="2"/>
        <v/>
      </c>
      <c r="L15" s="241" t="str">
        <f t="shared" si="3"/>
        <v/>
      </c>
      <c r="M15" s="231"/>
      <c r="N15" s="33">
        <f t="shared" si="4"/>
        <v>0</v>
      </c>
      <c r="O15" s="223">
        <f t="shared" si="5"/>
        <v>0</v>
      </c>
      <c r="P15" s="223">
        <f t="shared" si="6"/>
        <v>0</v>
      </c>
      <c r="Q15" s="223">
        <f t="shared" si="7"/>
        <v>0</v>
      </c>
      <c r="R15" s="223">
        <f t="shared" si="8"/>
        <v>0</v>
      </c>
      <c r="S15" s="223"/>
    </row>
    <row r="16" spans="1:19" x14ac:dyDescent="0.2">
      <c r="A16" s="26"/>
      <c r="B16" s="233">
        <v>7</v>
      </c>
      <c r="C16" s="234"/>
      <c r="D16" s="235"/>
      <c r="E16" s="26"/>
      <c r="F16" s="236" t="str">
        <f t="shared" si="9"/>
        <v/>
      </c>
      <c r="G16" s="242" t="str">
        <f t="shared" si="10"/>
        <v/>
      </c>
      <c r="H16" s="238" t="str">
        <f t="shared" si="0"/>
        <v/>
      </c>
      <c r="I16" s="26"/>
      <c r="J16" s="239" t="str">
        <f t="shared" si="1"/>
        <v/>
      </c>
      <c r="K16" s="240" t="str">
        <f t="shared" si="2"/>
        <v/>
      </c>
      <c r="L16" s="241" t="str">
        <f t="shared" si="3"/>
        <v/>
      </c>
      <c r="M16" s="231"/>
      <c r="N16" s="33">
        <f t="shared" si="4"/>
        <v>0</v>
      </c>
      <c r="O16" s="223">
        <f t="shared" si="5"/>
        <v>0</v>
      </c>
      <c r="P16" s="223">
        <f t="shared" si="6"/>
        <v>0</v>
      </c>
      <c r="Q16" s="223">
        <f t="shared" si="7"/>
        <v>0</v>
      </c>
      <c r="R16" s="223">
        <f t="shared" si="8"/>
        <v>0</v>
      </c>
      <c r="S16" s="223"/>
    </row>
    <row r="17" spans="1:19" x14ac:dyDescent="0.2">
      <c r="A17" s="26"/>
      <c r="B17" s="233">
        <v>8</v>
      </c>
      <c r="C17" s="234"/>
      <c r="D17" s="235"/>
      <c r="E17" s="26"/>
      <c r="F17" s="243" t="str">
        <f t="shared" si="9"/>
        <v/>
      </c>
      <c r="G17" s="242" t="str">
        <f t="shared" si="10"/>
        <v/>
      </c>
      <c r="H17" s="238" t="str">
        <f t="shared" si="0"/>
        <v/>
      </c>
      <c r="I17" s="26"/>
      <c r="J17" s="239" t="str">
        <f t="shared" si="1"/>
        <v/>
      </c>
      <c r="K17" s="240" t="str">
        <f t="shared" si="2"/>
        <v/>
      </c>
      <c r="L17" s="241" t="str">
        <f t="shared" si="3"/>
        <v/>
      </c>
      <c r="M17" s="231"/>
      <c r="N17" s="33">
        <f t="shared" si="4"/>
        <v>0</v>
      </c>
      <c r="O17" s="223">
        <f t="shared" si="5"/>
        <v>0</v>
      </c>
      <c r="P17" s="223">
        <f t="shared" si="6"/>
        <v>0</v>
      </c>
      <c r="Q17" s="223">
        <f t="shared" si="7"/>
        <v>0</v>
      </c>
      <c r="R17" s="223">
        <f t="shared" si="8"/>
        <v>0</v>
      </c>
      <c r="S17" s="223"/>
    </row>
    <row r="18" spans="1:19" x14ac:dyDescent="0.2">
      <c r="A18" s="26"/>
      <c r="B18" s="233">
        <v>9</v>
      </c>
      <c r="C18" s="234"/>
      <c r="D18" s="235"/>
      <c r="E18" s="26"/>
      <c r="F18" s="243" t="str">
        <f t="shared" si="9"/>
        <v/>
      </c>
      <c r="G18" s="242" t="str">
        <f t="shared" si="10"/>
        <v/>
      </c>
      <c r="H18" s="238" t="str">
        <f t="shared" si="0"/>
        <v/>
      </c>
      <c r="I18" s="26"/>
      <c r="J18" s="239" t="str">
        <f t="shared" si="1"/>
        <v/>
      </c>
      <c r="K18" s="240" t="str">
        <f t="shared" si="2"/>
        <v/>
      </c>
      <c r="L18" s="241" t="str">
        <f t="shared" si="3"/>
        <v/>
      </c>
      <c r="M18" s="231"/>
      <c r="N18" s="33">
        <f t="shared" si="4"/>
        <v>0</v>
      </c>
      <c r="O18" s="223">
        <f t="shared" si="5"/>
        <v>0</v>
      </c>
      <c r="P18" s="223">
        <f t="shared" si="6"/>
        <v>0</v>
      </c>
      <c r="Q18" s="223">
        <f t="shared" si="7"/>
        <v>0</v>
      </c>
      <c r="R18" s="223">
        <f t="shared" si="8"/>
        <v>0</v>
      </c>
      <c r="S18" s="223"/>
    </row>
    <row r="19" spans="1:19" x14ac:dyDescent="0.2">
      <c r="A19" s="26"/>
      <c r="B19" s="233">
        <v>10</v>
      </c>
      <c r="C19" s="234"/>
      <c r="D19" s="235"/>
      <c r="E19" s="26"/>
      <c r="F19" s="243" t="str">
        <f t="shared" si="9"/>
        <v/>
      </c>
      <c r="G19" s="242" t="str">
        <f t="shared" si="10"/>
        <v/>
      </c>
      <c r="H19" s="238" t="str">
        <f t="shared" si="0"/>
        <v/>
      </c>
      <c r="I19" s="26"/>
      <c r="J19" s="239" t="str">
        <f t="shared" si="1"/>
        <v/>
      </c>
      <c r="K19" s="240" t="str">
        <f t="shared" si="2"/>
        <v/>
      </c>
      <c r="L19" s="241" t="str">
        <f t="shared" si="3"/>
        <v/>
      </c>
      <c r="M19" s="231"/>
      <c r="N19" s="33">
        <f t="shared" si="4"/>
        <v>0</v>
      </c>
      <c r="O19" s="223">
        <f t="shared" si="5"/>
        <v>0</v>
      </c>
      <c r="P19" s="223">
        <f t="shared" si="6"/>
        <v>0</v>
      </c>
      <c r="Q19" s="223">
        <f t="shared" si="7"/>
        <v>0</v>
      </c>
      <c r="R19" s="223">
        <f t="shared" si="8"/>
        <v>0</v>
      </c>
      <c r="S19" s="223"/>
    </row>
    <row r="20" spans="1:19" x14ac:dyDescent="0.2">
      <c r="A20" s="26"/>
      <c r="B20" s="233">
        <v>11</v>
      </c>
      <c r="C20" s="234"/>
      <c r="D20" s="235"/>
      <c r="E20" s="26"/>
      <c r="F20" s="243" t="str">
        <f t="shared" si="9"/>
        <v/>
      </c>
      <c r="G20" s="242" t="str">
        <f t="shared" si="10"/>
        <v/>
      </c>
      <c r="H20" s="238" t="str">
        <f t="shared" si="0"/>
        <v/>
      </c>
      <c r="I20" s="26"/>
      <c r="J20" s="239" t="str">
        <f t="shared" si="1"/>
        <v/>
      </c>
      <c r="K20" s="240" t="str">
        <f t="shared" si="2"/>
        <v/>
      </c>
      <c r="L20" s="241" t="str">
        <f t="shared" si="3"/>
        <v/>
      </c>
      <c r="M20" s="231"/>
      <c r="N20" s="33">
        <f t="shared" si="4"/>
        <v>0</v>
      </c>
      <c r="O20" s="223">
        <f t="shared" si="5"/>
        <v>0</v>
      </c>
      <c r="P20" s="223">
        <f t="shared" si="6"/>
        <v>0</v>
      </c>
      <c r="Q20" s="223">
        <f t="shared" si="7"/>
        <v>0</v>
      </c>
      <c r="R20" s="223">
        <f t="shared" si="8"/>
        <v>0</v>
      </c>
      <c r="S20" s="223"/>
    </row>
    <row r="21" spans="1:19" x14ac:dyDescent="0.2">
      <c r="A21" s="26"/>
      <c r="B21" s="233">
        <v>12</v>
      </c>
      <c r="C21" s="234"/>
      <c r="D21" s="235"/>
      <c r="E21" s="26"/>
      <c r="F21" s="243" t="str">
        <f t="shared" si="9"/>
        <v/>
      </c>
      <c r="G21" s="242" t="str">
        <f t="shared" si="10"/>
        <v/>
      </c>
      <c r="H21" s="238" t="str">
        <f t="shared" si="0"/>
        <v/>
      </c>
      <c r="I21" s="26"/>
      <c r="J21" s="239" t="str">
        <f t="shared" si="1"/>
        <v/>
      </c>
      <c r="K21" s="240" t="str">
        <f t="shared" si="2"/>
        <v/>
      </c>
      <c r="L21" s="241" t="str">
        <f t="shared" si="3"/>
        <v/>
      </c>
      <c r="M21" s="231"/>
      <c r="N21" s="33">
        <f t="shared" si="4"/>
        <v>0</v>
      </c>
      <c r="O21" s="223">
        <f t="shared" si="5"/>
        <v>0</v>
      </c>
      <c r="P21" s="223">
        <f t="shared" si="6"/>
        <v>0</v>
      </c>
      <c r="Q21" s="223">
        <f t="shared" si="7"/>
        <v>0</v>
      </c>
      <c r="R21" s="223">
        <f t="shared" si="8"/>
        <v>0</v>
      </c>
      <c r="S21" s="223"/>
    </row>
    <row r="22" spans="1:19" x14ac:dyDescent="0.2">
      <c r="A22" s="26"/>
      <c r="B22" s="233">
        <v>13</v>
      </c>
      <c r="C22" s="234"/>
      <c r="D22" s="235"/>
      <c r="E22" s="26"/>
      <c r="F22" s="243" t="str">
        <f t="shared" si="9"/>
        <v/>
      </c>
      <c r="G22" s="242" t="str">
        <f t="shared" si="10"/>
        <v/>
      </c>
      <c r="H22" s="238" t="str">
        <f t="shared" si="0"/>
        <v/>
      </c>
      <c r="I22" s="26"/>
      <c r="J22" s="239" t="str">
        <f t="shared" si="1"/>
        <v/>
      </c>
      <c r="K22" s="240" t="str">
        <f t="shared" si="2"/>
        <v/>
      </c>
      <c r="L22" s="241" t="str">
        <f t="shared" si="3"/>
        <v/>
      </c>
      <c r="M22" s="231"/>
      <c r="N22" s="33">
        <f t="shared" si="4"/>
        <v>0</v>
      </c>
      <c r="O22" s="223">
        <f t="shared" si="5"/>
        <v>0</v>
      </c>
      <c r="P22" s="223">
        <f t="shared" si="6"/>
        <v>0</v>
      </c>
      <c r="Q22" s="223">
        <f t="shared" si="7"/>
        <v>0</v>
      </c>
      <c r="R22" s="223">
        <f t="shared" si="8"/>
        <v>0</v>
      </c>
      <c r="S22" s="223"/>
    </row>
    <row r="23" spans="1:19" x14ac:dyDescent="0.2">
      <c r="A23" s="26"/>
      <c r="B23" s="233">
        <v>14</v>
      </c>
      <c r="C23" s="234"/>
      <c r="D23" s="235"/>
      <c r="E23" s="26"/>
      <c r="F23" s="243" t="str">
        <f t="shared" si="9"/>
        <v/>
      </c>
      <c r="G23" s="242" t="str">
        <f t="shared" si="10"/>
        <v/>
      </c>
      <c r="H23" s="238" t="str">
        <f t="shared" si="0"/>
        <v/>
      </c>
      <c r="I23" s="26"/>
      <c r="J23" s="239" t="str">
        <f t="shared" si="1"/>
        <v/>
      </c>
      <c r="K23" s="240" t="str">
        <f t="shared" si="2"/>
        <v/>
      </c>
      <c r="L23" s="241" t="str">
        <f t="shared" si="3"/>
        <v/>
      </c>
      <c r="M23" s="231"/>
      <c r="N23" s="33">
        <f t="shared" si="4"/>
        <v>0</v>
      </c>
      <c r="O23" s="223">
        <f t="shared" si="5"/>
        <v>0</v>
      </c>
      <c r="P23" s="223">
        <f t="shared" si="6"/>
        <v>0</v>
      </c>
      <c r="Q23" s="223">
        <f t="shared" si="7"/>
        <v>0</v>
      </c>
      <c r="R23" s="223">
        <f t="shared" si="8"/>
        <v>0</v>
      </c>
      <c r="S23" s="223"/>
    </row>
    <row r="24" spans="1:19" x14ac:dyDescent="0.2">
      <c r="A24" s="26"/>
      <c r="B24" s="233">
        <v>15</v>
      </c>
      <c r="C24" s="234"/>
      <c r="D24" s="235"/>
      <c r="E24" s="26"/>
      <c r="F24" s="243" t="str">
        <f t="shared" si="9"/>
        <v/>
      </c>
      <c r="G24" s="242" t="str">
        <f t="shared" si="10"/>
        <v/>
      </c>
      <c r="H24" s="238" t="str">
        <f t="shared" si="0"/>
        <v/>
      </c>
      <c r="I24" s="26"/>
      <c r="J24" s="239" t="str">
        <f t="shared" si="1"/>
        <v/>
      </c>
      <c r="K24" s="240" t="str">
        <f t="shared" si="2"/>
        <v/>
      </c>
      <c r="L24" s="241" t="str">
        <f t="shared" si="3"/>
        <v/>
      </c>
      <c r="M24" s="231"/>
      <c r="N24" s="33">
        <f t="shared" si="4"/>
        <v>0</v>
      </c>
      <c r="O24" s="223">
        <f t="shared" si="5"/>
        <v>0</v>
      </c>
      <c r="P24" s="223">
        <f t="shared" si="6"/>
        <v>0</v>
      </c>
      <c r="Q24" s="223">
        <f t="shared" si="7"/>
        <v>0</v>
      </c>
      <c r="R24" s="223">
        <f t="shared" si="8"/>
        <v>0</v>
      </c>
      <c r="S24" s="223"/>
    </row>
    <row r="25" spans="1:19" x14ac:dyDescent="0.2">
      <c r="A25" s="26"/>
      <c r="B25" s="233">
        <v>16</v>
      </c>
      <c r="C25" s="234"/>
      <c r="D25" s="235"/>
      <c r="E25" s="26"/>
      <c r="F25" s="243" t="str">
        <f t="shared" si="9"/>
        <v/>
      </c>
      <c r="G25" s="242" t="str">
        <f t="shared" si="10"/>
        <v/>
      </c>
      <c r="H25" s="238" t="str">
        <f t="shared" si="0"/>
        <v/>
      </c>
      <c r="I25" s="26"/>
      <c r="J25" s="239" t="str">
        <f t="shared" si="1"/>
        <v/>
      </c>
      <c r="K25" s="240" t="str">
        <f t="shared" si="2"/>
        <v/>
      </c>
      <c r="L25" s="241" t="str">
        <f t="shared" si="3"/>
        <v/>
      </c>
      <c r="M25" s="231"/>
      <c r="N25" s="33">
        <f t="shared" si="4"/>
        <v>0</v>
      </c>
      <c r="O25" s="223">
        <f t="shared" si="5"/>
        <v>0</v>
      </c>
      <c r="P25" s="223">
        <f t="shared" si="6"/>
        <v>0</v>
      </c>
      <c r="Q25" s="223">
        <f t="shared" si="7"/>
        <v>0</v>
      </c>
      <c r="R25" s="223">
        <f t="shared" si="8"/>
        <v>0</v>
      </c>
      <c r="S25" s="223"/>
    </row>
    <row r="26" spans="1:19" x14ac:dyDescent="0.2">
      <c r="A26" s="26"/>
      <c r="B26" s="233">
        <v>17</v>
      </c>
      <c r="C26" s="234"/>
      <c r="D26" s="235"/>
      <c r="E26" s="26"/>
      <c r="F26" s="243" t="str">
        <f t="shared" si="9"/>
        <v/>
      </c>
      <c r="G26" s="242" t="str">
        <f t="shared" si="10"/>
        <v/>
      </c>
      <c r="H26" s="238" t="str">
        <f t="shared" si="0"/>
        <v/>
      </c>
      <c r="I26" s="26"/>
      <c r="J26" s="239" t="str">
        <f t="shared" si="1"/>
        <v/>
      </c>
      <c r="K26" s="240" t="str">
        <f t="shared" si="2"/>
        <v/>
      </c>
      <c r="L26" s="241" t="str">
        <f t="shared" si="3"/>
        <v/>
      </c>
      <c r="M26" s="231"/>
      <c r="N26" s="33">
        <f t="shared" si="4"/>
        <v>0</v>
      </c>
      <c r="O26" s="223">
        <f t="shared" si="5"/>
        <v>0</v>
      </c>
      <c r="P26" s="223">
        <f t="shared" si="6"/>
        <v>0</v>
      </c>
      <c r="Q26" s="223">
        <f t="shared" si="7"/>
        <v>0</v>
      </c>
      <c r="R26" s="223">
        <f t="shared" si="8"/>
        <v>0</v>
      </c>
      <c r="S26" s="223"/>
    </row>
    <row r="27" spans="1:19" x14ac:dyDescent="0.2">
      <c r="A27" s="26"/>
      <c r="B27" s="233">
        <v>18</v>
      </c>
      <c r="C27" s="234"/>
      <c r="D27" s="235"/>
      <c r="E27" s="26"/>
      <c r="F27" s="243" t="str">
        <f t="shared" si="9"/>
        <v/>
      </c>
      <c r="G27" s="242" t="str">
        <f t="shared" si="10"/>
        <v/>
      </c>
      <c r="H27" s="238" t="str">
        <f t="shared" si="0"/>
        <v/>
      </c>
      <c r="I27" s="26"/>
      <c r="J27" s="239" t="str">
        <f t="shared" si="1"/>
        <v/>
      </c>
      <c r="K27" s="240" t="str">
        <f t="shared" si="2"/>
        <v/>
      </c>
      <c r="L27" s="241" t="str">
        <f t="shared" si="3"/>
        <v/>
      </c>
      <c r="M27" s="231"/>
      <c r="N27" s="33">
        <f t="shared" si="4"/>
        <v>0</v>
      </c>
      <c r="O27" s="223">
        <f t="shared" si="5"/>
        <v>0</v>
      </c>
      <c r="P27" s="223">
        <f t="shared" si="6"/>
        <v>0</v>
      </c>
      <c r="Q27" s="223">
        <f t="shared" si="7"/>
        <v>0</v>
      </c>
      <c r="R27" s="223">
        <f t="shared" si="8"/>
        <v>0</v>
      </c>
      <c r="S27" s="223"/>
    </row>
    <row r="28" spans="1:19" x14ac:dyDescent="0.2">
      <c r="A28" s="26"/>
      <c r="B28" s="233">
        <v>19</v>
      </c>
      <c r="C28" s="234"/>
      <c r="D28" s="235"/>
      <c r="E28" s="26"/>
      <c r="F28" s="243" t="str">
        <f t="shared" si="9"/>
        <v/>
      </c>
      <c r="G28" s="242" t="str">
        <f t="shared" si="10"/>
        <v/>
      </c>
      <c r="H28" s="238" t="str">
        <f t="shared" si="0"/>
        <v/>
      </c>
      <c r="I28" s="26"/>
      <c r="J28" s="239" t="str">
        <f t="shared" si="1"/>
        <v/>
      </c>
      <c r="K28" s="240" t="str">
        <f t="shared" si="2"/>
        <v/>
      </c>
      <c r="L28" s="241" t="str">
        <f t="shared" si="3"/>
        <v/>
      </c>
      <c r="M28" s="231"/>
      <c r="N28" s="33">
        <f t="shared" si="4"/>
        <v>0</v>
      </c>
      <c r="O28" s="223">
        <f t="shared" si="5"/>
        <v>0</v>
      </c>
      <c r="P28" s="223">
        <f t="shared" si="6"/>
        <v>0</v>
      </c>
      <c r="Q28" s="223">
        <f t="shared" si="7"/>
        <v>0</v>
      </c>
      <c r="R28" s="223">
        <f t="shared" si="8"/>
        <v>0</v>
      </c>
      <c r="S28" s="223"/>
    </row>
    <row r="29" spans="1:19" ht="13.5" thickBot="1" x14ac:dyDescent="0.25">
      <c r="A29" s="26"/>
      <c r="B29" s="233">
        <v>20</v>
      </c>
      <c r="C29" s="234"/>
      <c r="D29" s="235"/>
      <c r="E29" s="26"/>
      <c r="F29" s="243" t="str">
        <f t="shared" si="9"/>
        <v/>
      </c>
      <c r="G29" s="242" t="str">
        <f t="shared" si="10"/>
        <v/>
      </c>
      <c r="H29" s="238" t="str">
        <f t="shared" si="0"/>
        <v/>
      </c>
      <c r="I29" s="26"/>
      <c r="J29" s="239" t="str">
        <f t="shared" si="1"/>
        <v/>
      </c>
      <c r="K29" s="240" t="str">
        <f t="shared" si="2"/>
        <v/>
      </c>
      <c r="L29" s="241" t="str">
        <f t="shared" si="3"/>
        <v/>
      </c>
      <c r="M29" s="231"/>
      <c r="N29" s="33">
        <f t="shared" si="4"/>
        <v>0</v>
      </c>
      <c r="O29" s="223">
        <f t="shared" si="5"/>
        <v>0</v>
      </c>
      <c r="P29" s="223">
        <f t="shared" si="6"/>
        <v>0</v>
      </c>
      <c r="Q29" s="223">
        <f t="shared" si="7"/>
        <v>0</v>
      </c>
      <c r="R29" s="223">
        <f t="shared" si="8"/>
        <v>0</v>
      </c>
      <c r="S29" s="223"/>
    </row>
    <row r="30" spans="1:19" ht="13.5" thickBot="1" x14ac:dyDescent="0.25">
      <c r="A30" s="26"/>
      <c r="B30" s="244" t="s">
        <v>7</v>
      </c>
      <c r="C30" s="245">
        <f>SUM(C10:C29)</f>
        <v>1550</v>
      </c>
      <c r="D30" s="246"/>
      <c r="E30" s="26"/>
      <c r="F30" s="247">
        <f>SUM(F10:F29)</f>
        <v>1</v>
      </c>
      <c r="G30" s="248">
        <f>SUM(G10:G29)</f>
        <v>1</v>
      </c>
      <c r="H30" s="249">
        <f>SUM(H10:H29)</f>
        <v>1</v>
      </c>
      <c r="I30" s="26"/>
      <c r="J30" s="250">
        <f>SUM(J10:J29)</f>
        <v>800</v>
      </c>
      <c r="K30" s="251">
        <f>SUM(K10:K29)</f>
        <v>775</v>
      </c>
      <c r="L30" s="252">
        <f>SUM(L10:L29)</f>
        <v>775</v>
      </c>
      <c r="M30" s="253"/>
      <c r="N30" s="33">
        <f>SUM(N10:N29)</f>
        <v>62000</v>
      </c>
      <c r="O30" s="223">
        <f>SUM(O10:O29)</f>
        <v>3980000000</v>
      </c>
      <c r="P30" s="223">
        <f>SUM(P10:P29)</f>
        <v>3844000000</v>
      </c>
      <c r="Q30" s="223">
        <f>SUM(Q10:Q29)</f>
        <v>3844000000</v>
      </c>
      <c r="R30" s="223">
        <f>SUM(R10:R29)</f>
        <v>2480000</v>
      </c>
      <c r="S30" s="223"/>
    </row>
    <row r="31" spans="1:19" ht="13.5" thickBo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53"/>
      <c r="K31" s="253"/>
      <c r="L31" s="253"/>
      <c r="M31" s="224"/>
      <c r="N31" s="33"/>
      <c r="O31" s="223"/>
      <c r="P31" s="223"/>
      <c r="Q31" s="223"/>
      <c r="R31" s="223"/>
      <c r="S31" s="223"/>
    </row>
    <row r="32" spans="1:19" x14ac:dyDescent="0.2">
      <c r="A32" s="26"/>
      <c r="B32" s="10" t="s">
        <v>119</v>
      </c>
      <c r="C32" s="38"/>
      <c r="D32" s="38"/>
      <c r="E32" s="38"/>
      <c r="F32" s="38"/>
      <c r="G32" s="38"/>
      <c r="H32" s="38"/>
      <c r="I32" s="38"/>
      <c r="J32" s="254"/>
      <c r="K32" s="253"/>
      <c r="L32" s="253"/>
      <c r="M32" s="26"/>
      <c r="N32" s="223"/>
      <c r="O32" s="223"/>
      <c r="P32" s="223"/>
      <c r="Q32" s="223"/>
      <c r="R32" s="223"/>
      <c r="S32" s="223"/>
    </row>
    <row r="33" spans="1:19" ht="13.5" thickBot="1" x14ac:dyDescent="0.25">
      <c r="A33" s="26"/>
      <c r="B33" s="58" t="s">
        <v>187</v>
      </c>
      <c r="C33" s="39"/>
      <c r="D33" s="39"/>
      <c r="E33" s="39"/>
      <c r="F33" s="39"/>
      <c r="G33" s="39"/>
      <c r="H33" s="39"/>
      <c r="I33" s="39"/>
      <c r="J33" s="255"/>
      <c r="K33" s="253"/>
      <c r="L33" s="253"/>
      <c r="M33" s="26"/>
      <c r="N33" s="223"/>
      <c r="O33" s="223"/>
      <c r="P33" s="223"/>
      <c r="Q33" s="223"/>
      <c r="R33" s="223"/>
      <c r="S33" s="223"/>
    </row>
    <row r="34" spans="1:19" x14ac:dyDescent="0.2">
      <c r="A34" s="65"/>
      <c r="B34" s="65"/>
      <c r="C34" s="65"/>
      <c r="D34" s="65"/>
      <c r="E34" s="65"/>
      <c r="F34" s="65"/>
      <c r="G34" s="65"/>
      <c r="H34" s="65"/>
      <c r="I34" s="65"/>
      <c r="J34" s="65">
        <f>O30/($F$6+$R$30)</f>
        <v>798.93147366360745</v>
      </c>
      <c r="K34" s="65">
        <f>P30/($F$6+$R$30)</f>
        <v>771.63130270424801</v>
      </c>
      <c r="L34" s="65">
        <f>Q30/($F$6+$R$30)</f>
        <v>771.63130270424801</v>
      </c>
      <c r="M34" s="65"/>
    </row>
    <row r="35" spans="1:19" x14ac:dyDescent="0.2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</row>
    <row r="36" spans="1:19" x14ac:dyDescent="0.2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</row>
    <row r="37" spans="1:19" x14ac:dyDescent="0.2">
      <c r="J37" s="33"/>
      <c r="K37" s="33"/>
      <c r="L37" s="33"/>
    </row>
  </sheetData>
  <sheetProtection password="EA44" sheet="1" objects="1" scenarios="1" selectLockedCells="1"/>
  <phoneticPr fontId="4" type="noConversion"/>
  <pageMargins left="0.78740157499999996" right="0.78740157499999996" top="0.984251969" bottom="0.984251969" header="0.49212598499999999" footer="0.49212598499999999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S37"/>
  <sheetViews>
    <sheetView showRowColHeaders="0" workbookViewId="0">
      <selection activeCell="D10" sqref="D10"/>
    </sheetView>
  </sheetViews>
  <sheetFormatPr defaultRowHeight="12.75" x14ac:dyDescent="0.2"/>
  <cols>
    <col min="1" max="1" width="5.42578125" customWidth="1"/>
    <col min="2" max="2" width="11.5703125" customWidth="1"/>
    <col min="3" max="3" width="12.140625" customWidth="1"/>
    <col min="4" max="4" width="13.5703125" customWidth="1"/>
    <col min="5" max="5" width="1.85546875" customWidth="1"/>
    <col min="6" max="8" width="10.85546875" customWidth="1"/>
    <col min="9" max="9" width="1.42578125" customWidth="1"/>
    <col min="10" max="12" width="11" customWidth="1"/>
    <col min="13" max="13" width="5.140625" customWidth="1"/>
    <col min="14" max="16" width="10.140625" style="257" bestFit="1" customWidth="1"/>
    <col min="17" max="17" width="10" style="257" bestFit="1" customWidth="1"/>
    <col min="18" max="18" width="9.28515625" style="257" bestFit="1" customWidth="1"/>
    <col min="19" max="19" width="9.140625" style="257"/>
  </cols>
  <sheetData>
    <row r="1" spans="1:19" ht="13.5" thickBo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23"/>
      <c r="O1" s="223"/>
      <c r="P1" s="223"/>
      <c r="Q1" s="223"/>
      <c r="R1" s="223"/>
      <c r="S1" s="223"/>
    </row>
    <row r="2" spans="1:19" ht="13.5" thickBot="1" x14ac:dyDescent="0.25">
      <c r="A2" s="26"/>
      <c r="B2" s="43" t="s">
        <v>188</v>
      </c>
      <c r="C2" s="44"/>
      <c r="D2" s="44"/>
      <c r="E2" s="44"/>
      <c r="F2" s="44"/>
      <c r="G2" s="44"/>
      <c r="H2" s="44"/>
      <c r="I2" s="44"/>
      <c r="J2" s="45"/>
      <c r="K2" s="26"/>
      <c r="L2" s="26"/>
      <c r="M2" s="26"/>
      <c r="N2" s="223"/>
      <c r="O2" s="223"/>
      <c r="P2" s="223"/>
      <c r="Q2" s="223"/>
      <c r="R2" s="223"/>
      <c r="S2" s="223"/>
    </row>
    <row r="3" spans="1:19" ht="13.5" thickBo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23"/>
      <c r="O3" s="223"/>
      <c r="P3" s="223"/>
      <c r="Q3" s="223"/>
      <c r="R3" s="223"/>
      <c r="S3" s="223"/>
    </row>
    <row r="4" spans="1:19" x14ac:dyDescent="0.2">
      <c r="A4" s="26"/>
      <c r="B4" s="1" t="s">
        <v>175</v>
      </c>
      <c r="C4" s="77"/>
      <c r="D4" s="4">
        <f>COUNTA(C10:C29)</f>
        <v>12</v>
      </c>
      <c r="E4" s="26"/>
      <c r="F4" s="26"/>
      <c r="G4" s="26"/>
      <c r="H4" s="26"/>
      <c r="I4" s="224"/>
      <c r="J4" s="224"/>
      <c r="K4" s="224"/>
      <c r="L4" s="26"/>
      <c r="M4" s="26"/>
      <c r="N4" s="223"/>
      <c r="O4" s="223"/>
      <c r="P4" s="223"/>
      <c r="Q4" s="223"/>
      <c r="R4" s="223"/>
      <c r="S4" s="223"/>
    </row>
    <row r="5" spans="1:19" x14ac:dyDescent="0.2">
      <c r="A5" s="26"/>
      <c r="B5" s="2" t="s">
        <v>67</v>
      </c>
      <c r="C5" s="60"/>
      <c r="D5" s="225">
        <v>0.95</v>
      </c>
      <c r="E5" s="26"/>
      <c r="F5" s="26"/>
      <c r="G5" s="26"/>
      <c r="H5" s="26"/>
      <c r="I5" s="65">
        <f>NORMSINV((1+D5)/2)</f>
        <v>1.9599639845400536</v>
      </c>
      <c r="J5" s="224"/>
      <c r="K5" s="224"/>
      <c r="L5" s="26"/>
      <c r="M5" s="26"/>
      <c r="N5" s="223"/>
      <c r="O5" s="223"/>
      <c r="P5" s="223"/>
      <c r="Q5" s="223"/>
      <c r="R5" s="223"/>
      <c r="S5" s="223"/>
    </row>
    <row r="6" spans="1:19" ht="13.5" thickBot="1" x14ac:dyDescent="0.25">
      <c r="A6" s="26"/>
      <c r="B6" s="3" t="s">
        <v>176</v>
      </c>
      <c r="C6" s="24"/>
      <c r="D6" s="370">
        <v>0.03</v>
      </c>
      <c r="E6" s="26"/>
      <c r="F6" s="59" t="str">
        <f>IF(D6&gt;100%,"Erro! Precisão maior que 100%","")</f>
        <v/>
      </c>
      <c r="G6" s="59"/>
      <c r="H6" s="59"/>
      <c r="I6" s="65">
        <f>C30*C30*D6*D6/(I5*I5)</f>
        <v>743168.06977619743</v>
      </c>
      <c r="J6" s="224"/>
      <c r="K6" s="224"/>
      <c r="L6" s="26"/>
      <c r="M6" s="26"/>
      <c r="N6" s="223"/>
      <c r="O6" s="223"/>
      <c r="P6" s="223"/>
      <c r="Q6" s="223"/>
      <c r="R6" s="223"/>
      <c r="S6" s="223"/>
    </row>
    <row r="7" spans="1:19" ht="13.5" thickBo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23"/>
      <c r="O7" s="223"/>
      <c r="P7" s="223"/>
      <c r="Q7" s="223"/>
      <c r="R7" s="223"/>
      <c r="S7" s="223"/>
    </row>
    <row r="8" spans="1:19" x14ac:dyDescent="0.2">
      <c r="A8" s="26"/>
      <c r="B8" s="216"/>
      <c r="C8" s="227" t="s">
        <v>177</v>
      </c>
      <c r="D8" s="213" t="s">
        <v>16</v>
      </c>
      <c r="E8" s="26"/>
      <c r="F8" s="216"/>
      <c r="G8" s="228" t="s">
        <v>179</v>
      </c>
      <c r="H8" s="4"/>
      <c r="I8" s="26"/>
      <c r="J8" s="216"/>
      <c r="K8" s="229" t="s">
        <v>180</v>
      </c>
      <c r="L8" s="4"/>
      <c r="M8" s="42"/>
      <c r="N8" s="223"/>
      <c r="O8" s="223"/>
      <c r="P8" s="223"/>
      <c r="Q8" s="223"/>
      <c r="R8" s="223"/>
      <c r="S8" s="223"/>
    </row>
    <row r="9" spans="1:19" ht="13.5" thickBot="1" x14ac:dyDescent="0.25">
      <c r="A9" s="26"/>
      <c r="B9" s="214" t="s">
        <v>181</v>
      </c>
      <c r="C9" s="62" t="s">
        <v>182</v>
      </c>
      <c r="D9" s="215" t="s">
        <v>189</v>
      </c>
      <c r="E9" s="26"/>
      <c r="F9" s="230" t="s">
        <v>184</v>
      </c>
      <c r="G9" s="66" t="s">
        <v>185</v>
      </c>
      <c r="H9" s="17" t="s">
        <v>186</v>
      </c>
      <c r="I9" s="26"/>
      <c r="J9" s="230" t="s">
        <v>184</v>
      </c>
      <c r="K9" s="66" t="s">
        <v>185</v>
      </c>
      <c r="L9" s="17" t="s">
        <v>186</v>
      </c>
      <c r="M9" s="231"/>
      <c r="N9" s="33"/>
      <c r="O9" s="232" t="s">
        <v>184</v>
      </c>
      <c r="P9" s="232" t="s">
        <v>185</v>
      </c>
      <c r="Q9" s="232" t="s">
        <v>186</v>
      </c>
      <c r="R9" s="223"/>
      <c r="S9" s="223"/>
    </row>
    <row r="10" spans="1:19" x14ac:dyDescent="0.2">
      <c r="A10" s="26"/>
      <c r="B10" s="233">
        <v>1</v>
      </c>
      <c r="C10" s="234">
        <v>2222</v>
      </c>
      <c r="D10" s="256">
        <v>0.5</v>
      </c>
      <c r="E10" s="26"/>
      <c r="F10" s="236">
        <f>IF(C10&gt;0,1/$D$4,"")</f>
        <v>8.3333333333333329E-2</v>
      </c>
      <c r="G10" s="237">
        <f>IF(C10&gt;0,C10/$C$30,"")</f>
        <v>3.9452424495303708E-2</v>
      </c>
      <c r="H10" s="238">
        <f>IF(C10&gt;0,IF(D10&gt;0,N10/$N$30,"Prop??"),"")</f>
        <v>3.9452424495303708E-2</v>
      </c>
      <c r="I10" s="26"/>
      <c r="J10" s="239">
        <f t="shared" ref="J10:J29" si="0">IF(C10&gt;0,ROUNDUP($J$34*F10,0),"")</f>
        <v>140</v>
      </c>
      <c r="K10" s="240">
        <f t="shared" ref="K10:K29" si="1">IF(C10&gt;0,ROUNDUP($K$34*G10,0),"")</f>
        <v>42</v>
      </c>
      <c r="L10" s="241">
        <f>IF(C10&gt;0,IF(D10&gt;0,ROUNDUP($L$34*H10,0),"Prop??"),"")</f>
        <v>42</v>
      </c>
      <c r="M10" s="231"/>
      <c r="N10" s="33">
        <f>C10*SQRT(D10*(1-D10))</f>
        <v>1111</v>
      </c>
      <c r="O10" s="223">
        <f>IF(C10&gt;0,(1/F10)*C10*C10*D10*(1-D10),0)</f>
        <v>14811852</v>
      </c>
      <c r="P10" s="223">
        <f>IF(C10&gt;0,(1/G10)*C10*C10*D10*(1-D10),0)</f>
        <v>31286315.5</v>
      </c>
      <c r="Q10" s="223">
        <f>IF(C10&gt;0,(1/H10)*C10*C10*D10*(1-D10),0)</f>
        <v>31286315.5</v>
      </c>
      <c r="R10" s="223">
        <f>C10*D10*(1-D10)</f>
        <v>555.5</v>
      </c>
      <c r="S10" s="223"/>
    </row>
    <row r="11" spans="1:19" x14ac:dyDescent="0.2">
      <c r="A11" s="26"/>
      <c r="B11" s="233">
        <v>2</v>
      </c>
      <c r="C11" s="234">
        <v>5674</v>
      </c>
      <c r="D11" s="256">
        <v>0.5</v>
      </c>
      <c r="E11" s="26"/>
      <c r="F11" s="236">
        <f t="shared" ref="F11:F29" si="2">IF(C11&gt;0,1/$D$4,"")</f>
        <v>8.3333333333333329E-2</v>
      </c>
      <c r="G11" s="242">
        <f t="shared" ref="G11:G29" si="3">IF(C11&gt;0,C11/$C$30,"")</f>
        <v>0.10074394985884484</v>
      </c>
      <c r="H11" s="238">
        <f t="shared" ref="H11:H29" si="4">IF(C11&gt;0,IF(D11&gt;0,N11/$N$30,"Prop??"),"")</f>
        <v>0.10074394985884484</v>
      </c>
      <c r="I11" s="26"/>
      <c r="J11" s="239">
        <f t="shared" si="0"/>
        <v>140</v>
      </c>
      <c r="K11" s="240">
        <f t="shared" si="1"/>
        <v>106</v>
      </c>
      <c r="L11" s="241">
        <f t="shared" ref="L11:L29" si="5">IF(C11&gt;0,IF(D11&gt;0,ROUNDUP($L$34*H11,0),"Prop??"),"")</f>
        <v>106</v>
      </c>
      <c r="M11" s="231"/>
      <c r="N11" s="33">
        <f t="shared" ref="N11:N29" si="6">C11*SQRT(D11*(1-D11))</f>
        <v>2837</v>
      </c>
      <c r="O11" s="223">
        <f t="shared" ref="O11:O29" si="7">IF(C11&gt;0,(1/F11)*C11*C11*D11*(1-D11),0)</f>
        <v>96582828</v>
      </c>
      <c r="P11" s="223">
        <f t="shared" ref="P11:P28" si="8">IF(C11&gt;0,(1/G11)*C11*C11*D11*(1-D11),0)</f>
        <v>79891338.499999985</v>
      </c>
      <c r="Q11" s="223">
        <f t="shared" ref="Q11:Q29" si="9">IF(C11&gt;0,(1/H11)*C11*C11*D11*(1-D11),0)</f>
        <v>79891338.499999985</v>
      </c>
      <c r="R11" s="223">
        <f t="shared" ref="R11:R29" si="10">C11*D11*(1-D11)</f>
        <v>1418.5</v>
      </c>
      <c r="S11" s="223"/>
    </row>
    <row r="12" spans="1:19" x14ac:dyDescent="0.2">
      <c r="A12" s="26"/>
      <c r="B12" s="233">
        <v>3</v>
      </c>
      <c r="C12" s="234">
        <v>4572</v>
      </c>
      <c r="D12" s="256">
        <v>0.5</v>
      </c>
      <c r="E12" s="26"/>
      <c r="F12" s="236">
        <f t="shared" si="2"/>
        <v>8.3333333333333329E-2</v>
      </c>
      <c r="G12" s="242">
        <f t="shared" si="3"/>
        <v>8.1177535910228873E-2</v>
      </c>
      <c r="H12" s="238">
        <f t="shared" si="4"/>
        <v>8.1177535910228873E-2</v>
      </c>
      <c r="I12" s="26"/>
      <c r="J12" s="239">
        <f t="shared" si="0"/>
        <v>140</v>
      </c>
      <c r="K12" s="240">
        <f t="shared" si="1"/>
        <v>86</v>
      </c>
      <c r="L12" s="241">
        <f t="shared" si="5"/>
        <v>86</v>
      </c>
      <c r="M12" s="231"/>
      <c r="N12" s="33">
        <f t="shared" si="6"/>
        <v>2286</v>
      </c>
      <c r="O12" s="223">
        <f t="shared" si="7"/>
        <v>62709552</v>
      </c>
      <c r="P12" s="223">
        <f t="shared" si="8"/>
        <v>64374902.999999993</v>
      </c>
      <c r="Q12" s="223">
        <f t="shared" si="9"/>
        <v>64374902.999999993</v>
      </c>
      <c r="R12" s="223">
        <f t="shared" si="10"/>
        <v>1143</v>
      </c>
      <c r="S12" s="223"/>
    </row>
    <row r="13" spans="1:19" x14ac:dyDescent="0.2">
      <c r="A13" s="26"/>
      <c r="B13" s="233">
        <v>4</v>
      </c>
      <c r="C13" s="234">
        <v>2244</v>
      </c>
      <c r="D13" s="256">
        <v>0.5</v>
      </c>
      <c r="E13" s="26"/>
      <c r="F13" s="236">
        <f t="shared" si="2"/>
        <v>8.3333333333333329E-2</v>
      </c>
      <c r="G13" s="242">
        <f t="shared" si="3"/>
        <v>3.9843042559613642E-2</v>
      </c>
      <c r="H13" s="238">
        <f t="shared" si="4"/>
        <v>3.9843042559613642E-2</v>
      </c>
      <c r="I13" s="26"/>
      <c r="J13" s="239">
        <f t="shared" si="0"/>
        <v>140</v>
      </c>
      <c r="K13" s="240">
        <f t="shared" si="1"/>
        <v>42</v>
      </c>
      <c r="L13" s="241">
        <f t="shared" si="5"/>
        <v>42</v>
      </c>
      <c r="M13" s="231"/>
      <c r="N13" s="33">
        <f t="shared" si="6"/>
        <v>1122</v>
      </c>
      <c r="O13" s="223">
        <f t="shared" si="7"/>
        <v>15106608</v>
      </c>
      <c r="P13" s="223">
        <f t="shared" si="8"/>
        <v>31596081</v>
      </c>
      <c r="Q13" s="223">
        <f t="shared" si="9"/>
        <v>31596081</v>
      </c>
      <c r="R13" s="223">
        <f t="shared" si="10"/>
        <v>561</v>
      </c>
      <c r="S13" s="223"/>
    </row>
    <row r="14" spans="1:19" x14ac:dyDescent="0.2">
      <c r="A14" s="26"/>
      <c r="B14" s="233">
        <v>5</v>
      </c>
      <c r="C14" s="234">
        <v>7604</v>
      </c>
      <c r="D14" s="256">
        <v>0.5</v>
      </c>
      <c r="E14" s="26"/>
      <c r="F14" s="236">
        <f t="shared" si="2"/>
        <v>8.3333333333333329E-2</v>
      </c>
      <c r="G14" s="242">
        <f t="shared" si="3"/>
        <v>0.13501180731876208</v>
      </c>
      <c r="H14" s="238">
        <f t="shared" si="4"/>
        <v>0.13501180731876208</v>
      </c>
      <c r="I14" s="26"/>
      <c r="J14" s="239">
        <f t="shared" si="0"/>
        <v>140</v>
      </c>
      <c r="K14" s="240">
        <f t="shared" si="1"/>
        <v>142</v>
      </c>
      <c r="L14" s="241">
        <f t="shared" si="5"/>
        <v>142</v>
      </c>
      <c r="M14" s="231"/>
      <c r="N14" s="33">
        <f t="shared" si="6"/>
        <v>3802</v>
      </c>
      <c r="O14" s="223">
        <f t="shared" si="7"/>
        <v>173462448</v>
      </c>
      <c r="P14" s="223">
        <f t="shared" si="8"/>
        <v>107066221.00000001</v>
      </c>
      <c r="Q14" s="223">
        <f t="shared" si="9"/>
        <v>107066221.00000001</v>
      </c>
      <c r="R14" s="223">
        <f t="shared" si="10"/>
        <v>1901</v>
      </c>
      <c r="S14" s="223"/>
    </row>
    <row r="15" spans="1:19" x14ac:dyDescent="0.2">
      <c r="A15" s="26"/>
      <c r="B15" s="233">
        <v>6</v>
      </c>
      <c r="C15" s="234">
        <v>2393</v>
      </c>
      <c r="D15" s="256">
        <v>0.5</v>
      </c>
      <c r="E15" s="26"/>
      <c r="F15" s="236">
        <f t="shared" si="2"/>
        <v>8.3333333333333329E-2</v>
      </c>
      <c r="G15" s="242">
        <f t="shared" si="3"/>
        <v>4.2488592176985494E-2</v>
      </c>
      <c r="H15" s="238">
        <f t="shared" si="4"/>
        <v>4.2488592176985494E-2</v>
      </c>
      <c r="I15" s="26"/>
      <c r="J15" s="239">
        <f t="shared" si="0"/>
        <v>140</v>
      </c>
      <c r="K15" s="240">
        <f t="shared" si="1"/>
        <v>45</v>
      </c>
      <c r="L15" s="241">
        <f t="shared" si="5"/>
        <v>45</v>
      </c>
      <c r="M15" s="231"/>
      <c r="N15" s="33">
        <f t="shared" si="6"/>
        <v>1196.5</v>
      </c>
      <c r="O15" s="223">
        <f t="shared" si="7"/>
        <v>17179347</v>
      </c>
      <c r="P15" s="223">
        <f t="shared" si="8"/>
        <v>33694038.249999993</v>
      </c>
      <c r="Q15" s="223">
        <f t="shared" si="9"/>
        <v>33694038.249999993</v>
      </c>
      <c r="R15" s="223">
        <f t="shared" si="10"/>
        <v>598.25</v>
      </c>
      <c r="S15" s="223"/>
    </row>
    <row r="16" spans="1:19" x14ac:dyDescent="0.2">
      <c r="A16" s="26"/>
      <c r="B16" s="233">
        <v>7</v>
      </c>
      <c r="C16" s="234">
        <v>15458</v>
      </c>
      <c r="D16" s="256">
        <v>0.5</v>
      </c>
      <c r="E16" s="26"/>
      <c r="F16" s="236">
        <f t="shared" si="2"/>
        <v>8.3333333333333329E-2</v>
      </c>
      <c r="G16" s="242">
        <f t="shared" si="3"/>
        <v>0.27446245627740984</v>
      </c>
      <c r="H16" s="238">
        <f t="shared" si="4"/>
        <v>0.27446245627740984</v>
      </c>
      <c r="I16" s="26"/>
      <c r="J16" s="239">
        <f t="shared" si="0"/>
        <v>140</v>
      </c>
      <c r="K16" s="240">
        <f t="shared" si="1"/>
        <v>288</v>
      </c>
      <c r="L16" s="241">
        <f t="shared" si="5"/>
        <v>288</v>
      </c>
      <c r="M16" s="231"/>
      <c r="N16" s="33">
        <f t="shared" si="6"/>
        <v>7729</v>
      </c>
      <c r="O16" s="223">
        <f t="shared" si="7"/>
        <v>716849292</v>
      </c>
      <c r="P16" s="223">
        <f t="shared" si="8"/>
        <v>217652504.5</v>
      </c>
      <c r="Q16" s="223">
        <f t="shared" si="9"/>
        <v>217652504.5</v>
      </c>
      <c r="R16" s="223">
        <f t="shared" si="10"/>
        <v>3864.5</v>
      </c>
      <c r="S16" s="223"/>
    </row>
    <row r="17" spans="1:19" x14ac:dyDescent="0.2">
      <c r="A17" s="26"/>
      <c r="B17" s="233">
        <v>8</v>
      </c>
      <c r="C17" s="234">
        <v>4467</v>
      </c>
      <c r="D17" s="256">
        <v>0.5</v>
      </c>
      <c r="E17" s="26"/>
      <c r="F17" s="243">
        <f t="shared" si="2"/>
        <v>8.3333333333333329E-2</v>
      </c>
      <c r="G17" s="242">
        <f t="shared" si="3"/>
        <v>7.9313222421476898E-2</v>
      </c>
      <c r="H17" s="238">
        <f t="shared" si="4"/>
        <v>7.9313222421476898E-2</v>
      </c>
      <c r="I17" s="26"/>
      <c r="J17" s="239">
        <f t="shared" si="0"/>
        <v>140</v>
      </c>
      <c r="K17" s="240">
        <f t="shared" si="1"/>
        <v>84</v>
      </c>
      <c r="L17" s="241">
        <f t="shared" si="5"/>
        <v>84</v>
      </c>
      <c r="M17" s="231"/>
      <c r="N17" s="33">
        <f t="shared" si="6"/>
        <v>2233.5</v>
      </c>
      <c r="O17" s="223">
        <f t="shared" si="7"/>
        <v>59862267</v>
      </c>
      <c r="P17" s="223">
        <f t="shared" si="8"/>
        <v>62896476.749999993</v>
      </c>
      <c r="Q17" s="223">
        <f t="shared" si="9"/>
        <v>62896476.749999993</v>
      </c>
      <c r="R17" s="223">
        <f t="shared" si="10"/>
        <v>1116.75</v>
      </c>
      <c r="S17" s="223"/>
    </row>
    <row r="18" spans="1:19" x14ac:dyDescent="0.2">
      <c r="A18" s="26"/>
      <c r="B18" s="233">
        <v>9</v>
      </c>
      <c r="C18" s="234">
        <v>2444</v>
      </c>
      <c r="D18" s="256">
        <v>0.5</v>
      </c>
      <c r="E18" s="26"/>
      <c r="F18" s="243">
        <f t="shared" si="2"/>
        <v>8.3333333333333329E-2</v>
      </c>
      <c r="G18" s="242">
        <f t="shared" si="3"/>
        <v>4.3394115871522171E-2</v>
      </c>
      <c r="H18" s="238">
        <f t="shared" si="4"/>
        <v>4.3394115871522171E-2</v>
      </c>
      <c r="I18" s="26"/>
      <c r="J18" s="239">
        <f t="shared" si="0"/>
        <v>140</v>
      </c>
      <c r="K18" s="240">
        <f t="shared" si="1"/>
        <v>46</v>
      </c>
      <c r="L18" s="241">
        <f t="shared" si="5"/>
        <v>46</v>
      </c>
      <c r="M18" s="231"/>
      <c r="N18" s="33">
        <f t="shared" si="6"/>
        <v>1222</v>
      </c>
      <c r="O18" s="223">
        <f t="shared" si="7"/>
        <v>17919408</v>
      </c>
      <c r="P18" s="223">
        <f t="shared" si="8"/>
        <v>34412130.999999993</v>
      </c>
      <c r="Q18" s="223">
        <f t="shared" si="9"/>
        <v>34412130.999999993</v>
      </c>
      <c r="R18" s="223">
        <f t="shared" si="10"/>
        <v>611</v>
      </c>
      <c r="S18" s="223"/>
    </row>
    <row r="19" spans="1:19" x14ac:dyDescent="0.2">
      <c r="A19" s="26"/>
      <c r="B19" s="233">
        <v>10</v>
      </c>
      <c r="C19" s="234">
        <v>4476</v>
      </c>
      <c r="D19" s="256">
        <v>0.5</v>
      </c>
      <c r="E19" s="26"/>
      <c r="F19" s="243">
        <f t="shared" si="2"/>
        <v>8.3333333333333329E-2</v>
      </c>
      <c r="G19" s="242">
        <f t="shared" si="3"/>
        <v>7.947302072051278E-2</v>
      </c>
      <c r="H19" s="238">
        <f t="shared" si="4"/>
        <v>7.947302072051278E-2</v>
      </c>
      <c r="I19" s="26"/>
      <c r="J19" s="239">
        <f t="shared" si="0"/>
        <v>140</v>
      </c>
      <c r="K19" s="240">
        <f t="shared" si="1"/>
        <v>84</v>
      </c>
      <c r="L19" s="241">
        <f t="shared" si="5"/>
        <v>84</v>
      </c>
      <c r="M19" s="231"/>
      <c r="N19" s="33">
        <f t="shared" si="6"/>
        <v>2238</v>
      </c>
      <c r="O19" s="223">
        <f t="shared" si="7"/>
        <v>60103728</v>
      </c>
      <c r="P19" s="223">
        <f t="shared" si="8"/>
        <v>63023198.999999993</v>
      </c>
      <c r="Q19" s="223">
        <f t="shared" si="9"/>
        <v>63023198.999999993</v>
      </c>
      <c r="R19" s="223">
        <f t="shared" si="10"/>
        <v>1119</v>
      </c>
      <c r="S19" s="223"/>
    </row>
    <row r="20" spans="1:19" x14ac:dyDescent="0.2">
      <c r="A20" s="26"/>
      <c r="B20" s="233">
        <v>11</v>
      </c>
      <c r="C20" s="234">
        <v>3115</v>
      </c>
      <c r="D20" s="256">
        <v>0.5</v>
      </c>
      <c r="E20" s="26"/>
      <c r="F20" s="243">
        <f t="shared" si="2"/>
        <v>8.3333333333333329E-2</v>
      </c>
      <c r="G20" s="242">
        <f t="shared" si="3"/>
        <v>5.5307966832975265E-2</v>
      </c>
      <c r="H20" s="238">
        <f t="shared" si="4"/>
        <v>5.5307966832975265E-2</v>
      </c>
      <c r="I20" s="26"/>
      <c r="J20" s="239">
        <f t="shared" si="0"/>
        <v>140</v>
      </c>
      <c r="K20" s="240">
        <f t="shared" si="1"/>
        <v>58</v>
      </c>
      <c r="L20" s="241">
        <f t="shared" si="5"/>
        <v>58</v>
      </c>
      <c r="M20" s="231"/>
      <c r="N20" s="33">
        <f t="shared" si="6"/>
        <v>1557.5</v>
      </c>
      <c r="O20" s="223">
        <f t="shared" si="7"/>
        <v>29109675</v>
      </c>
      <c r="P20" s="223">
        <f t="shared" si="8"/>
        <v>43859978.750000007</v>
      </c>
      <c r="Q20" s="223">
        <f t="shared" si="9"/>
        <v>43859978.750000007</v>
      </c>
      <c r="R20" s="223">
        <f t="shared" si="10"/>
        <v>778.75</v>
      </c>
      <c r="S20" s="223"/>
    </row>
    <row r="21" spans="1:19" x14ac:dyDescent="0.2">
      <c r="A21" s="26"/>
      <c r="B21" s="233">
        <v>12</v>
      </c>
      <c r="C21" s="234">
        <v>1652</v>
      </c>
      <c r="D21" s="256">
        <v>0.5</v>
      </c>
      <c r="E21" s="26"/>
      <c r="F21" s="243">
        <f t="shared" si="2"/>
        <v>8.3333333333333329E-2</v>
      </c>
      <c r="G21" s="242">
        <f t="shared" si="3"/>
        <v>2.9331865556364412E-2</v>
      </c>
      <c r="H21" s="238">
        <f t="shared" si="4"/>
        <v>2.9331865556364412E-2</v>
      </c>
      <c r="I21" s="26"/>
      <c r="J21" s="239">
        <f t="shared" si="0"/>
        <v>140</v>
      </c>
      <c r="K21" s="240">
        <f t="shared" si="1"/>
        <v>31</v>
      </c>
      <c r="L21" s="241">
        <f t="shared" si="5"/>
        <v>31</v>
      </c>
      <c r="M21" s="231"/>
      <c r="N21" s="33">
        <f t="shared" si="6"/>
        <v>826</v>
      </c>
      <c r="O21" s="223">
        <f t="shared" si="7"/>
        <v>8187312</v>
      </c>
      <c r="P21" s="223">
        <f t="shared" si="8"/>
        <v>23260572.999999996</v>
      </c>
      <c r="Q21" s="223">
        <f t="shared" si="9"/>
        <v>23260572.999999996</v>
      </c>
      <c r="R21" s="223">
        <f t="shared" si="10"/>
        <v>413</v>
      </c>
      <c r="S21" s="223"/>
    </row>
    <row r="22" spans="1:19" x14ac:dyDescent="0.2">
      <c r="A22" s="26"/>
      <c r="B22" s="233">
        <v>13</v>
      </c>
      <c r="C22" s="234"/>
      <c r="D22" s="256"/>
      <c r="E22" s="26"/>
      <c r="F22" s="243" t="str">
        <f t="shared" si="2"/>
        <v/>
      </c>
      <c r="G22" s="242" t="str">
        <f t="shared" si="3"/>
        <v/>
      </c>
      <c r="H22" s="238" t="str">
        <f t="shared" si="4"/>
        <v/>
      </c>
      <c r="I22" s="26"/>
      <c r="J22" s="239" t="str">
        <f t="shared" si="0"/>
        <v/>
      </c>
      <c r="K22" s="240" t="str">
        <f t="shared" si="1"/>
        <v/>
      </c>
      <c r="L22" s="241" t="str">
        <f t="shared" si="5"/>
        <v/>
      </c>
      <c r="M22" s="231"/>
      <c r="N22" s="33">
        <f t="shared" si="6"/>
        <v>0</v>
      </c>
      <c r="O22" s="223">
        <f t="shared" si="7"/>
        <v>0</v>
      </c>
      <c r="P22" s="223">
        <f t="shared" si="8"/>
        <v>0</v>
      </c>
      <c r="Q22" s="223">
        <f t="shared" si="9"/>
        <v>0</v>
      </c>
      <c r="R22" s="223">
        <f t="shared" si="10"/>
        <v>0</v>
      </c>
      <c r="S22" s="223"/>
    </row>
    <row r="23" spans="1:19" x14ac:dyDescent="0.2">
      <c r="A23" s="26"/>
      <c r="B23" s="233">
        <v>14</v>
      </c>
      <c r="C23" s="234"/>
      <c r="D23" s="256"/>
      <c r="E23" s="26"/>
      <c r="F23" s="243" t="str">
        <f t="shared" si="2"/>
        <v/>
      </c>
      <c r="G23" s="242" t="str">
        <f t="shared" si="3"/>
        <v/>
      </c>
      <c r="H23" s="238" t="str">
        <f t="shared" si="4"/>
        <v/>
      </c>
      <c r="I23" s="26"/>
      <c r="J23" s="239" t="str">
        <f t="shared" si="0"/>
        <v/>
      </c>
      <c r="K23" s="240" t="str">
        <f t="shared" si="1"/>
        <v/>
      </c>
      <c r="L23" s="241" t="str">
        <f t="shared" si="5"/>
        <v/>
      </c>
      <c r="M23" s="231"/>
      <c r="N23" s="33">
        <f t="shared" si="6"/>
        <v>0</v>
      </c>
      <c r="O23" s="223">
        <f t="shared" si="7"/>
        <v>0</v>
      </c>
      <c r="P23" s="223">
        <f t="shared" si="8"/>
        <v>0</v>
      </c>
      <c r="Q23" s="223">
        <f t="shared" si="9"/>
        <v>0</v>
      </c>
      <c r="R23" s="223">
        <f t="shared" si="10"/>
        <v>0</v>
      </c>
      <c r="S23" s="223"/>
    </row>
    <row r="24" spans="1:19" x14ac:dyDescent="0.2">
      <c r="A24" s="26"/>
      <c r="B24" s="233">
        <v>15</v>
      </c>
      <c r="C24" s="234"/>
      <c r="D24" s="256"/>
      <c r="E24" s="26"/>
      <c r="F24" s="243" t="str">
        <f t="shared" si="2"/>
        <v/>
      </c>
      <c r="G24" s="242" t="str">
        <f t="shared" si="3"/>
        <v/>
      </c>
      <c r="H24" s="238" t="str">
        <f t="shared" si="4"/>
        <v/>
      </c>
      <c r="I24" s="26"/>
      <c r="J24" s="239" t="str">
        <f t="shared" si="0"/>
        <v/>
      </c>
      <c r="K24" s="240" t="str">
        <f t="shared" si="1"/>
        <v/>
      </c>
      <c r="L24" s="241" t="str">
        <f t="shared" si="5"/>
        <v/>
      </c>
      <c r="M24" s="231"/>
      <c r="N24" s="33">
        <f t="shared" si="6"/>
        <v>0</v>
      </c>
      <c r="O24" s="223">
        <f t="shared" si="7"/>
        <v>0</v>
      </c>
      <c r="P24" s="223">
        <f t="shared" si="8"/>
        <v>0</v>
      </c>
      <c r="Q24" s="223">
        <f t="shared" si="9"/>
        <v>0</v>
      </c>
      <c r="R24" s="223">
        <f t="shared" si="10"/>
        <v>0</v>
      </c>
      <c r="S24" s="223"/>
    </row>
    <row r="25" spans="1:19" x14ac:dyDescent="0.2">
      <c r="A25" s="26"/>
      <c r="B25" s="233">
        <v>16</v>
      </c>
      <c r="C25" s="234"/>
      <c r="D25" s="256"/>
      <c r="E25" s="26"/>
      <c r="F25" s="243" t="str">
        <f t="shared" si="2"/>
        <v/>
      </c>
      <c r="G25" s="242" t="str">
        <f t="shared" si="3"/>
        <v/>
      </c>
      <c r="H25" s="238" t="str">
        <f t="shared" si="4"/>
        <v/>
      </c>
      <c r="I25" s="26"/>
      <c r="J25" s="239" t="str">
        <f t="shared" si="0"/>
        <v/>
      </c>
      <c r="K25" s="240" t="str">
        <f t="shared" si="1"/>
        <v/>
      </c>
      <c r="L25" s="241" t="str">
        <f t="shared" si="5"/>
        <v/>
      </c>
      <c r="M25" s="231"/>
      <c r="N25" s="33">
        <f t="shared" si="6"/>
        <v>0</v>
      </c>
      <c r="O25" s="223">
        <f t="shared" si="7"/>
        <v>0</v>
      </c>
      <c r="P25" s="223">
        <f t="shared" si="8"/>
        <v>0</v>
      </c>
      <c r="Q25" s="223">
        <f t="shared" si="9"/>
        <v>0</v>
      </c>
      <c r="R25" s="223">
        <f t="shared" si="10"/>
        <v>0</v>
      </c>
      <c r="S25" s="223"/>
    </row>
    <row r="26" spans="1:19" x14ac:dyDescent="0.2">
      <c r="A26" s="26"/>
      <c r="B26" s="233">
        <v>17</v>
      </c>
      <c r="C26" s="234"/>
      <c r="D26" s="256"/>
      <c r="E26" s="26"/>
      <c r="F26" s="243" t="str">
        <f t="shared" si="2"/>
        <v/>
      </c>
      <c r="G26" s="242" t="str">
        <f t="shared" si="3"/>
        <v/>
      </c>
      <c r="H26" s="238" t="str">
        <f t="shared" si="4"/>
        <v/>
      </c>
      <c r="I26" s="26"/>
      <c r="J26" s="239" t="str">
        <f t="shared" si="0"/>
        <v/>
      </c>
      <c r="K26" s="240" t="str">
        <f t="shared" si="1"/>
        <v/>
      </c>
      <c r="L26" s="241" t="str">
        <f t="shared" si="5"/>
        <v/>
      </c>
      <c r="M26" s="231"/>
      <c r="N26" s="33">
        <f t="shared" si="6"/>
        <v>0</v>
      </c>
      <c r="O26" s="223">
        <f t="shared" si="7"/>
        <v>0</v>
      </c>
      <c r="P26" s="223">
        <f t="shared" si="8"/>
        <v>0</v>
      </c>
      <c r="Q26" s="223">
        <f t="shared" si="9"/>
        <v>0</v>
      </c>
      <c r="R26" s="223">
        <f t="shared" si="10"/>
        <v>0</v>
      </c>
      <c r="S26" s="223"/>
    </row>
    <row r="27" spans="1:19" x14ac:dyDescent="0.2">
      <c r="A27" s="26"/>
      <c r="B27" s="233">
        <v>18</v>
      </c>
      <c r="C27" s="234"/>
      <c r="D27" s="256"/>
      <c r="E27" s="26"/>
      <c r="F27" s="243" t="str">
        <f t="shared" si="2"/>
        <v/>
      </c>
      <c r="G27" s="242" t="str">
        <f t="shared" si="3"/>
        <v/>
      </c>
      <c r="H27" s="238" t="str">
        <f t="shared" si="4"/>
        <v/>
      </c>
      <c r="I27" s="26"/>
      <c r="J27" s="239" t="str">
        <f t="shared" si="0"/>
        <v/>
      </c>
      <c r="K27" s="240" t="str">
        <f t="shared" si="1"/>
        <v/>
      </c>
      <c r="L27" s="241" t="str">
        <f t="shared" si="5"/>
        <v/>
      </c>
      <c r="M27" s="231"/>
      <c r="N27" s="33">
        <f t="shared" si="6"/>
        <v>0</v>
      </c>
      <c r="O27" s="223">
        <f t="shared" si="7"/>
        <v>0</v>
      </c>
      <c r="P27" s="223">
        <f t="shared" si="8"/>
        <v>0</v>
      </c>
      <c r="Q27" s="223">
        <f t="shared" si="9"/>
        <v>0</v>
      </c>
      <c r="R27" s="223">
        <f t="shared" si="10"/>
        <v>0</v>
      </c>
      <c r="S27" s="223"/>
    </row>
    <row r="28" spans="1:19" x14ac:dyDescent="0.2">
      <c r="A28" s="26"/>
      <c r="B28" s="233">
        <v>19</v>
      </c>
      <c r="C28" s="234"/>
      <c r="D28" s="256"/>
      <c r="E28" s="26"/>
      <c r="F28" s="243" t="str">
        <f t="shared" si="2"/>
        <v/>
      </c>
      <c r="G28" s="242" t="str">
        <f t="shared" si="3"/>
        <v/>
      </c>
      <c r="H28" s="238" t="str">
        <f t="shared" si="4"/>
        <v/>
      </c>
      <c r="I28" s="26"/>
      <c r="J28" s="239" t="str">
        <f t="shared" si="0"/>
        <v/>
      </c>
      <c r="K28" s="240" t="str">
        <f t="shared" si="1"/>
        <v/>
      </c>
      <c r="L28" s="241" t="str">
        <f t="shared" si="5"/>
        <v/>
      </c>
      <c r="M28" s="231"/>
      <c r="N28" s="33">
        <f t="shared" si="6"/>
        <v>0</v>
      </c>
      <c r="O28" s="223">
        <f t="shared" si="7"/>
        <v>0</v>
      </c>
      <c r="P28" s="223">
        <f t="shared" si="8"/>
        <v>0</v>
      </c>
      <c r="Q28" s="223">
        <f t="shared" si="9"/>
        <v>0</v>
      </c>
      <c r="R28" s="223">
        <f t="shared" si="10"/>
        <v>0</v>
      </c>
      <c r="S28" s="223"/>
    </row>
    <row r="29" spans="1:19" ht="13.5" thickBot="1" x14ac:dyDescent="0.25">
      <c r="A29" s="26"/>
      <c r="B29" s="233">
        <v>20</v>
      </c>
      <c r="C29" s="234"/>
      <c r="D29" s="256"/>
      <c r="E29" s="26"/>
      <c r="F29" s="243" t="str">
        <f t="shared" si="2"/>
        <v/>
      </c>
      <c r="G29" s="242" t="str">
        <f t="shared" si="3"/>
        <v/>
      </c>
      <c r="H29" s="238" t="str">
        <f t="shared" si="4"/>
        <v/>
      </c>
      <c r="I29" s="26"/>
      <c r="J29" s="239" t="str">
        <f t="shared" si="0"/>
        <v/>
      </c>
      <c r="K29" s="240" t="str">
        <f t="shared" si="1"/>
        <v/>
      </c>
      <c r="L29" s="241" t="str">
        <f t="shared" si="5"/>
        <v/>
      </c>
      <c r="M29" s="231"/>
      <c r="N29" s="33">
        <f t="shared" si="6"/>
        <v>0</v>
      </c>
      <c r="O29" s="223">
        <f t="shared" si="7"/>
        <v>0</v>
      </c>
      <c r="P29" s="223">
        <f>IF(C29&gt;0,(1/G29)*C29*C29*D29*D29,0)</f>
        <v>0</v>
      </c>
      <c r="Q29" s="223">
        <f t="shared" si="9"/>
        <v>0</v>
      </c>
      <c r="R29" s="223">
        <f t="shared" si="10"/>
        <v>0</v>
      </c>
      <c r="S29" s="223"/>
    </row>
    <row r="30" spans="1:19" ht="13.5" thickBot="1" x14ac:dyDescent="0.25">
      <c r="A30" s="26"/>
      <c r="B30" s="244" t="s">
        <v>7</v>
      </c>
      <c r="C30" s="245">
        <f>SUM(C10:C29)</f>
        <v>56321</v>
      </c>
      <c r="D30" s="246"/>
      <c r="E30" s="26"/>
      <c r="F30" s="247">
        <f>SUM(F10:F29)</f>
        <v>1</v>
      </c>
      <c r="G30" s="248">
        <f>SUM(G10:G29)</f>
        <v>0.99999999999999978</v>
      </c>
      <c r="H30" s="249">
        <f>SUM(H10:H29)</f>
        <v>0.99999999999999978</v>
      </c>
      <c r="I30" s="26"/>
      <c r="J30" s="250">
        <f>SUM(J10:J29)</f>
        <v>1680</v>
      </c>
      <c r="K30" s="251">
        <f>SUM(K10:K29)</f>
        <v>1054</v>
      </c>
      <c r="L30" s="252">
        <f>SUM(L10:L29)</f>
        <v>1054</v>
      </c>
      <c r="M30" s="253"/>
      <c r="N30" s="33">
        <f>SUM(N10:N29)</f>
        <v>28160.5</v>
      </c>
      <c r="O30" s="223">
        <f>SUM(O10:O29)</f>
        <v>1271884317</v>
      </c>
      <c r="P30" s="223">
        <f>SUM(P10:P29)</f>
        <v>793013760.25</v>
      </c>
      <c r="Q30" s="223">
        <f>SUM(Q10:Q29)</f>
        <v>793013760.25</v>
      </c>
      <c r="R30" s="223">
        <f>SUM(R10:R29)</f>
        <v>14080.25</v>
      </c>
      <c r="S30" s="223"/>
    </row>
    <row r="31" spans="1:19" ht="13.5" thickBo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53"/>
      <c r="K31" s="253"/>
      <c r="L31" s="253"/>
      <c r="M31" s="224"/>
      <c r="N31" s="33"/>
      <c r="O31" s="223"/>
      <c r="P31" s="223"/>
      <c r="Q31" s="223"/>
      <c r="R31" s="223"/>
      <c r="S31" s="223"/>
    </row>
    <row r="32" spans="1:19" x14ac:dyDescent="0.2">
      <c r="A32" s="26"/>
      <c r="B32" s="10" t="s">
        <v>119</v>
      </c>
      <c r="C32" s="38"/>
      <c r="D32" s="38"/>
      <c r="E32" s="38"/>
      <c r="F32" s="38"/>
      <c r="G32" s="38"/>
      <c r="H32" s="38"/>
      <c r="I32" s="38"/>
      <c r="J32" s="254"/>
      <c r="K32" s="253"/>
      <c r="L32" s="253"/>
      <c r="M32" s="26"/>
      <c r="N32" s="223"/>
      <c r="O32" s="223"/>
      <c r="P32" s="223"/>
      <c r="Q32" s="223"/>
      <c r="R32" s="223"/>
      <c r="S32" s="223"/>
    </row>
    <row r="33" spans="1:19" ht="13.5" thickBot="1" x14ac:dyDescent="0.25">
      <c r="A33" s="26"/>
      <c r="B33" s="58" t="s">
        <v>187</v>
      </c>
      <c r="C33" s="39"/>
      <c r="D33" s="39"/>
      <c r="E33" s="39"/>
      <c r="F33" s="39"/>
      <c r="G33" s="39"/>
      <c r="H33" s="39"/>
      <c r="I33" s="39"/>
      <c r="J33" s="255"/>
      <c r="K33" s="253"/>
      <c r="L33" s="253"/>
      <c r="M33" s="26"/>
      <c r="N33" s="223"/>
      <c r="O33" s="223"/>
      <c r="P33" s="223"/>
      <c r="Q33" s="223"/>
      <c r="R33" s="223"/>
      <c r="S33" s="223"/>
    </row>
    <row r="34" spans="1:19" x14ac:dyDescent="0.2">
      <c r="A34" s="65"/>
      <c r="B34" s="65"/>
      <c r="C34" s="65"/>
      <c r="D34" s="65"/>
      <c r="E34" s="65"/>
      <c r="F34" s="65"/>
      <c r="G34" s="65"/>
      <c r="H34" s="65"/>
      <c r="I34" s="65"/>
      <c r="J34" s="65">
        <f>O30/($I$6+$R$30)</f>
        <v>1679.6132573472091</v>
      </c>
      <c r="K34" s="65">
        <f>P30/($I$6+$R$30)</f>
        <v>1047.230795420415</v>
      </c>
      <c r="L34" s="65">
        <f>Q30/($I$6+$R$30)</f>
        <v>1047.230795420415</v>
      </c>
      <c r="M34" s="65"/>
    </row>
    <row r="35" spans="1:19" x14ac:dyDescent="0.2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</row>
    <row r="36" spans="1:19" x14ac:dyDescent="0.2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</row>
    <row r="37" spans="1:19" x14ac:dyDescent="0.2">
      <c r="J37" s="33"/>
      <c r="K37" s="33"/>
      <c r="L37" s="33"/>
    </row>
  </sheetData>
  <sheetProtection password="EA44" sheet="1" objects="1" scenarios="1" selectLockedCells="1"/>
  <phoneticPr fontId="4" type="noConversion"/>
  <pageMargins left="0.78740157499999996" right="0.78740157499999996" top="0.984251969" bottom="0.984251969" header="0.49212598499999999" footer="0.49212598499999999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25</vt:i4>
      </vt:variant>
    </vt:vector>
  </HeadingPairs>
  <TitlesOfParts>
    <vt:vector size="25" baseType="lpstr">
      <vt:lpstr>Estudos caso-controle</vt:lpstr>
      <vt:lpstr>n, caso-controle, 1.1</vt:lpstr>
      <vt:lpstr>n, caso-controle, 1.c</vt:lpstr>
      <vt:lpstr>n, caso-controle, OR</vt:lpstr>
      <vt:lpstr>Estudos transversais</vt:lpstr>
      <vt:lpstr>n, prevalência</vt:lpstr>
      <vt:lpstr>n, média</vt:lpstr>
      <vt:lpstr>n, médias, AAE</vt:lpstr>
      <vt:lpstr>n, proporções, AAE</vt:lpstr>
      <vt:lpstr>n, coorte, RR</vt:lpstr>
      <vt:lpstr>n, comparação entre 2 médias</vt:lpstr>
      <vt:lpstr>n, comparação 2 proporções</vt:lpstr>
      <vt:lpstr>n, não inferioridade</vt:lpstr>
      <vt:lpstr>n, CCI</vt:lpstr>
      <vt:lpstr>teste t, 2 médias</vt:lpstr>
      <vt:lpstr>teste t pareado</vt:lpstr>
      <vt:lpstr>Teste de Wilcoxon</vt:lpstr>
      <vt:lpstr>Mann-Whitney</vt:lpstr>
      <vt:lpstr>Kruskal-Wallis</vt:lpstr>
      <vt:lpstr>tabelas 2x2</vt:lpstr>
      <vt:lpstr>kappa 2x2</vt:lpstr>
      <vt:lpstr>kappa 3x3</vt:lpstr>
      <vt:lpstr>kappa 4x4</vt:lpstr>
      <vt:lpstr>McNemar</vt:lpstr>
      <vt:lpstr>Aleatorização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Martinez</dc:creator>
  <cp:lastModifiedBy>Edson</cp:lastModifiedBy>
  <cp:lastPrinted>2012-06-12T02:21:14Z</cp:lastPrinted>
  <dcterms:created xsi:type="dcterms:W3CDTF">2010-06-06T19:09:43Z</dcterms:created>
  <dcterms:modified xsi:type="dcterms:W3CDTF">2017-04-07T12:35:05Z</dcterms:modified>
</cp:coreProperties>
</file>