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525" activeTab="1"/>
  </bookViews>
  <sheets>
    <sheet name="Q2" sheetId="1" r:id="rId1"/>
    <sheet name="Q3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/>
  <c r="J7" i="2" l="1"/>
  <c r="J8" s="1"/>
  <c r="J9" s="1"/>
  <c r="D16"/>
  <c r="D7"/>
  <c r="D19" s="1"/>
  <c r="E19" s="1"/>
  <c r="F19" s="1"/>
  <c r="P42" i="1"/>
  <c r="N44"/>
  <c r="O43"/>
  <c r="O42"/>
  <c r="O44" s="1"/>
  <c r="N40"/>
  <c r="O38"/>
  <c r="O40" s="1"/>
  <c r="P27"/>
  <c r="P26"/>
  <c r="P31" s="1"/>
  <c r="N23"/>
  <c r="N19"/>
  <c r="S16"/>
  <c r="S15"/>
  <c r="S20" s="1"/>
  <c r="P32"/>
  <c r="O11"/>
  <c r="S21" s="1"/>
  <c r="O10"/>
  <c r="S17" s="1"/>
  <c r="S18" s="1"/>
  <c r="O22" s="1"/>
  <c r="O6"/>
  <c r="P10" s="1"/>
  <c r="P33" s="1"/>
  <c r="D44"/>
  <c r="E43"/>
  <c r="E42"/>
  <c r="D40"/>
  <c r="E38"/>
  <c r="E40" s="1"/>
  <c r="D23"/>
  <c r="D19"/>
  <c r="F11"/>
  <c r="F32" s="1"/>
  <c r="E11"/>
  <c r="F27"/>
  <c r="I16"/>
  <c r="I15"/>
  <c r="I20" s="1"/>
  <c r="E10"/>
  <c r="E6"/>
  <c r="F10" s="1"/>
  <c r="F28" s="1"/>
  <c r="F33" s="1"/>
  <c r="F26"/>
  <c r="F31" s="1"/>
  <c r="J21" i="2" l="1"/>
  <c r="K21" s="1"/>
  <c r="L21" s="1"/>
  <c r="J19"/>
  <c r="J20" s="1"/>
  <c r="D24"/>
  <c r="D21"/>
  <c r="D8"/>
  <c r="D9" s="1"/>
  <c r="D20" s="1"/>
  <c r="E44" i="1"/>
  <c r="Q11"/>
  <c r="P29"/>
  <c r="P43" s="1"/>
  <c r="P34"/>
  <c r="O21"/>
  <c r="S22"/>
  <c r="S23" s="1"/>
  <c r="O17" s="1"/>
  <c r="Q10"/>
  <c r="G11"/>
  <c r="G10"/>
  <c r="F29"/>
  <c r="F34"/>
  <c r="I17"/>
  <c r="I22" s="1"/>
  <c r="I21"/>
  <c r="E21" i="2" l="1"/>
  <c r="F21" s="1"/>
  <c r="D33"/>
  <c r="J24"/>
  <c r="J28" s="1"/>
  <c r="K19"/>
  <c r="L19" s="1"/>
  <c r="J33"/>
  <c r="K33" s="1"/>
  <c r="L33" s="1"/>
  <c r="J25"/>
  <c r="J29" s="1"/>
  <c r="K20"/>
  <c r="L20" s="1"/>
  <c r="D25"/>
  <c r="E20"/>
  <c r="F20" s="1"/>
  <c r="E24"/>
  <c r="F24" s="1"/>
  <c r="D28"/>
  <c r="D32" s="1"/>
  <c r="D34" s="1"/>
  <c r="O19" i="1"/>
  <c r="P38"/>
  <c r="P40" s="1"/>
  <c r="P44"/>
  <c r="O23"/>
  <c r="E21"/>
  <c r="I23"/>
  <c r="E17" s="1"/>
  <c r="I18"/>
  <c r="E22" s="1"/>
  <c r="F43" s="1"/>
  <c r="K25" i="2" l="1"/>
  <c r="L25" s="1"/>
  <c r="K29"/>
  <c r="L29" s="1"/>
  <c r="K24"/>
  <c r="L24" s="1"/>
  <c r="E28"/>
  <c r="F28" s="1"/>
  <c r="E32"/>
  <c r="E25"/>
  <c r="F25" s="1"/>
  <c r="D29"/>
  <c r="E19" i="1"/>
  <c r="F38"/>
  <c r="F40" s="1"/>
  <c r="E23"/>
  <c r="F42"/>
  <c r="F44" s="1"/>
  <c r="F32" i="2" l="1"/>
  <c r="J32"/>
  <c r="K28"/>
  <c r="L28" s="1"/>
  <c r="E29"/>
  <c r="F29" s="1"/>
  <c r="E33"/>
  <c r="F33" s="1"/>
  <c r="E34" l="1"/>
  <c r="F34"/>
  <c r="K32"/>
  <c r="J34"/>
  <c r="K34" l="1"/>
  <c r="L32"/>
  <c r="L34" s="1"/>
</calcChain>
</file>

<file path=xl/sharedStrings.xml><?xml version="1.0" encoding="utf-8"?>
<sst xmlns="http://schemas.openxmlformats.org/spreadsheetml/2006/main" count="162" uniqueCount="52">
  <si>
    <t>Valor total do contrato</t>
  </si>
  <si>
    <t>Custo estimado do contrato</t>
  </si>
  <si>
    <t>R$ Bi</t>
  </si>
  <si>
    <t xml:space="preserve">% realizado </t>
  </si>
  <si>
    <t>Receita reconhecida</t>
  </si>
  <si>
    <t>RESULTADO - R$ Bi</t>
  </si>
  <si>
    <t>(-) Custo incorrido</t>
  </si>
  <si>
    <t>(=) Lucro bruto do projeto</t>
  </si>
  <si>
    <t>FLUXO DE CAIXA - R$ Bi</t>
  </si>
  <si>
    <t>Valores recebidos</t>
  </si>
  <si>
    <t>(=) Fluxo de caixa do projeto</t>
  </si>
  <si>
    <t>BALANÇOS PATRIMONIAIS DO PROJETO</t>
  </si>
  <si>
    <t>ATIVO</t>
  </si>
  <si>
    <t>Disponibilidades</t>
  </si>
  <si>
    <t>Valores a receber</t>
  </si>
  <si>
    <t>TOTAL</t>
  </si>
  <si>
    <t>PASSIVO + PL</t>
  </si>
  <si>
    <t>Adiantamento de clientes</t>
  </si>
  <si>
    <t>Lucros acumulados</t>
  </si>
  <si>
    <t>Custos incorridos e pagos no período</t>
  </si>
  <si>
    <t>Valores recebidos no período</t>
  </si>
  <si>
    <t>2017- 2o SEM</t>
  </si>
  <si>
    <t>2018- 1o SEM</t>
  </si>
  <si>
    <t>DADOS DA EVOLUÇÃO DO PROJETO - R$ Bi</t>
  </si>
  <si>
    <t>PROVA A</t>
  </si>
  <si>
    <t>PROVA B</t>
  </si>
  <si>
    <t>Preço médio de venda</t>
  </si>
  <si>
    <t>(-) Cst/desp variáveis</t>
  </si>
  <si>
    <t>(=) MC BRUTA</t>
  </si>
  <si>
    <t>(-) IR/CSSLL</t>
  </si>
  <si>
    <t>(=) MC LÍQUIDA</t>
  </si>
  <si>
    <t>DADOS DO PRODUTO</t>
  </si>
  <si>
    <t>DADOS DA ESTRUTURA</t>
  </si>
  <si>
    <t>Custo do capital investido (%aa)</t>
  </si>
  <si>
    <t>Cst/desp operac fixos (R$/ano)</t>
  </si>
  <si>
    <t>PONTO DE EQUILÍBRIO CONTÁBIL</t>
  </si>
  <si>
    <t>R$/kg</t>
  </si>
  <si>
    <t>KG/ANO</t>
  </si>
  <si>
    <t>KG/MÊS</t>
  </si>
  <si>
    <t>KG/DIA</t>
  </si>
  <si>
    <t>Capital investido médio</t>
  </si>
  <si>
    <t>Custo do capital investido ($/ano)</t>
  </si>
  <si>
    <t>PONTO DE EQUILÍBRIO ECONÔMICO</t>
  </si>
  <si>
    <t>PONTO DE EQUILÍBRIO FINANCEIRO</t>
  </si>
  <si>
    <t>Depreciações ($/ano)</t>
  </si>
  <si>
    <t>Lucro operacional</t>
  </si>
  <si>
    <t>Riqueza gerada</t>
  </si>
  <si>
    <t>R$/ANO</t>
  </si>
  <si>
    <t>R$/MÊS</t>
  </si>
  <si>
    <t>R$/DIA</t>
  </si>
  <si>
    <t>Depreciação</t>
  </si>
  <si>
    <t>CAIXA OPERACIONAL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</si>
</sst>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0"/>
    <numFmt numFmtId="166" formatCode="#,##0.0000"/>
    <numFmt numFmtId="167" formatCode="0.0%"/>
    <numFmt numFmtId="168" formatCode="d/m/yy;@"/>
    <numFmt numFmtId="169" formatCode="0.000%"/>
    <numFmt numFmtId="170" formatCode="#,##0.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u/>
      <sz val="9"/>
      <color theme="3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3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7" fontId="2" fillId="2" borderId="0" xfId="1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 wrapText="1"/>
    </xf>
    <xf numFmtId="3" fontId="4" fillId="3" borderId="1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168" fontId="4" fillId="3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9" fontId="2" fillId="2" borderId="0" xfId="1" applyFont="1" applyFill="1" applyBorder="1" applyAlignment="1">
      <alignment horizontal="center" vertical="center" wrapText="1"/>
    </xf>
    <xf numFmtId="9" fontId="2" fillId="2" borderId="5" xfId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9" fontId="2" fillId="5" borderId="5" xfId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69" fontId="2" fillId="2" borderId="5" xfId="1" applyNumberFormat="1" applyFont="1" applyFill="1" applyBorder="1" applyAlignment="1">
      <alignment horizontal="center" vertical="center" wrapText="1"/>
    </xf>
    <xf numFmtId="3" fontId="5" fillId="5" borderId="0" xfId="0" applyNumberFormat="1" applyFont="1" applyFill="1" applyAlignment="1">
      <alignment horizontal="left" vertical="center" wrapText="1"/>
    </xf>
    <xf numFmtId="3" fontId="4" fillId="6" borderId="0" xfId="0" applyNumberFormat="1" applyFont="1" applyFill="1" applyAlignment="1">
      <alignment horizontal="center" vertical="center" wrapText="1"/>
    </xf>
    <xf numFmtId="165" fontId="5" fillId="5" borderId="0" xfId="0" applyNumberFormat="1" applyFont="1" applyFill="1" applyAlignment="1">
      <alignment horizontal="center" vertical="center" wrapText="1"/>
    </xf>
    <xf numFmtId="3" fontId="7" fillId="7" borderId="0" xfId="0" applyNumberFormat="1" applyFont="1" applyFill="1" applyAlignment="1">
      <alignment horizontal="left" vertical="center" wrapText="1"/>
    </xf>
    <xf numFmtId="3" fontId="3" fillId="8" borderId="0" xfId="0" applyNumberFormat="1" applyFont="1" applyFill="1" applyAlignment="1">
      <alignment horizontal="center" vertical="center" wrapText="1"/>
    </xf>
    <xf numFmtId="4" fontId="7" fillId="7" borderId="0" xfId="0" applyNumberFormat="1" applyFont="1" applyFill="1" applyAlignment="1">
      <alignment horizontal="center" vertical="center" wrapText="1"/>
    </xf>
    <xf numFmtId="3" fontId="7" fillId="7" borderId="0" xfId="0" applyNumberFormat="1" applyFont="1" applyFill="1" applyAlignment="1">
      <alignment horizontal="center" vertical="center" wrapText="1"/>
    </xf>
    <xf numFmtId="3" fontId="9" fillId="7" borderId="0" xfId="0" applyNumberFormat="1" applyFont="1" applyFill="1" applyAlignment="1">
      <alignment horizontal="center" vertical="center" wrapText="1"/>
    </xf>
    <xf numFmtId="4" fontId="9" fillId="7" borderId="0" xfId="0" applyNumberFormat="1" applyFont="1" applyFill="1" applyAlignment="1">
      <alignment horizontal="center" vertical="center" wrapText="1"/>
    </xf>
    <xf numFmtId="3" fontId="7" fillId="8" borderId="0" xfId="0" applyNumberFormat="1" applyFont="1" applyFill="1" applyAlignment="1">
      <alignment horizontal="left" vertical="center" wrapText="1"/>
    </xf>
    <xf numFmtId="3" fontId="8" fillId="8" borderId="0" xfId="0" applyNumberFormat="1" applyFont="1" applyFill="1" applyAlignment="1">
      <alignment horizontal="center" vertical="center" wrapText="1"/>
    </xf>
    <xf numFmtId="4" fontId="8" fillId="8" borderId="0" xfId="0" applyNumberFormat="1" applyFont="1" applyFill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170" fontId="7" fillId="7" borderId="0" xfId="0" applyNumberFormat="1" applyFont="1" applyFill="1" applyAlignment="1">
      <alignment horizontal="center" vertical="center" wrapText="1"/>
    </xf>
    <xf numFmtId="170" fontId="2" fillId="2" borderId="0" xfId="0" applyNumberFormat="1" applyFont="1" applyFill="1" applyAlignment="1">
      <alignment horizontal="center" vertical="center" wrapText="1"/>
    </xf>
    <xf numFmtId="170" fontId="3" fillId="8" borderId="0" xfId="0" applyNumberFormat="1" applyFont="1" applyFill="1" applyAlignment="1">
      <alignment horizontal="center" vertical="center" wrapText="1"/>
    </xf>
    <xf numFmtId="170" fontId="9" fillId="7" borderId="0" xfId="0" applyNumberFormat="1" applyFont="1" applyFill="1" applyAlignment="1">
      <alignment horizontal="center" vertical="center" wrapText="1"/>
    </xf>
    <xf numFmtId="170" fontId="8" fillId="8" borderId="0" xfId="0" applyNumberFormat="1" applyFont="1" applyFill="1" applyAlignment="1">
      <alignment horizontal="center" vertical="center" wrapText="1"/>
    </xf>
    <xf numFmtId="4" fontId="3" fillId="8" borderId="0" xfId="0" applyNumberFormat="1" applyFont="1" applyFill="1" applyAlignment="1">
      <alignment horizontal="center" vertical="center" wrapText="1"/>
    </xf>
    <xf numFmtId="165" fontId="2" fillId="5" borderId="8" xfId="0" applyNumberFormat="1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T44"/>
  <sheetViews>
    <sheetView topLeftCell="A4" workbookViewId="0">
      <selection activeCell="P30" sqref="P30"/>
    </sheetView>
  </sheetViews>
  <sheetFormatPr defaultColWidth="45.7109375" defaultRowHeight="12"/>
  <cols>
    <col min="1" max="2" width="1.85546875" style="1" customWidth="1"/>
    <col min="3" max="3" width="32.5703125" style="1" bestFit="1" customWidth="1"/>
    <col min="4" max="4" width="7.28515625" style="1" bestFit="1" customWidth="1"/>
    <col min="5" max="6" width="10.7109375" style="1" bestFit="1" customWidth="1"/>
    <col min="7" max="7" width="5.28515625" style="1" bestFit="1" customWidth="1"/>
    <col min="8" max="8" width="21.5703125" style="1" bestFit="1" customWidth="1"/>
    <col min="9" max="9" width="10.7109375" style="1" bestFit="1" customWidth="1"/>
    <col min="10" max="12" width="2.28515625" style="1" customWidth="1"/>
    <col min="13" max="13" width="32.5703125" style="1" bestFit="1" customWidth="1"/>
    <col min="14" max="14" width="7.28515625" style="1" bestFit="1" customWidth="1"/>
    <col min="15" max="16" width="10.7109375" style="1" bestFit="1" customWidth="1"/>
    <col min="17" max="17" width="5.28515625" style="1" bestFit="1" customWidth="1"/>
    <col min="18" max="18" width="21.5703125" style="1" bestFit="1" customWidth="1"/>
    <col min="19" max="19" width="10.7109375" style="1" bestFit="1" customWidth="1"/>
    <col min="20" max="20" width="3.140625" style="1" customWidth="1"/>
    <col min="21" max="16384" width="45.7109375" style="1"/>
  </cols>
  <sheetData>
    <row r="2" spans="2:20" ht="23.25">
      <c r="B2" s="75" t="s">
        <v>24</v>
      </c>
      <c r="C2" s="75"/>
      <c r="D2" s="75"/>
      <c r="E2" s="75"/>
      <c r="F2" s="75"/>
      <c r="G2" s="75"/>
      <c r="H2" s="75"/>
      <c r="I2" s="75"/>
      <c r="J2" s="75"/>
      <c r="L2" s="75" t="s">
        <v>25</v>
      </c>
      <c r="M2" s="75"/>
      <c r="N2" s="75"/>
      <c r="O2" s="75"/>
      <c r="P2" s="75"/>
      <c r="Q2" s="75"/>
      <c r="R2" s="75"/>
      <c r="S2" s="75"/>
      <c r="T2" s="75"/>
    </row>
    <row r="4" spans="2:20">
      <c r="D4" s="1" t="s">
        <v>2</v>
      </c>
      <c r="N4" s="1" t="s">
        <v>2</v>
      </c>
    </row>
    <row r="5" spans="2:20">
      <c r="C5" s="1" t="s">
        <v>0</v>
      </c>
      <c r="D5" s="2">
        <v>4.5</v>
      </c>
      <c r="M5" s="1" t="s">
        <v>0</v>
      </c>
      <c r="N5" s="2">
        <v>4.5</v>
      </c>
    </row>
    <row r="6" spans="2:20">
      <c r="C6" s="1" t="s">
        <v>1</v>
      </c>
      <c r="D6" s="2">
        <v>3</v>
      </c>
      <c r="E6" s="2">
        <f>D6</f>
        <v>3</v>
      </c>
      <c r="M6" s="1" t="s">
        <v>1</v>
      </c>
      <c r="N6" s="2">
        <v>3</v>
      </c>
      <c r="O6" s="2">
        <f>N6</f>
        <v>3</v>
      </c>
    </row>
    <row r="8" spans="2:20">
      <c r="C8" s="4" t="s">
        <v>23</v>
      </c>
      <c r="D8" s="5"/>
      <c r="E8" s="30" t="s">
        <v>21</v>
      </c>
      <c r="F8" s="6" t="s">
        <v>22</v>
      </c>
      <c r="M8" s="4" t="s">
        <v>23</v>
      </c>
      <c r="N8" s="5"/>
      <c r="O8" s="30" t="s">
        <v>21</v>
      </c>
      <c r="P8" s="6" t="s">
        <v>22</v>
      </c>
    </row>
    <row r="9" spans="2:20">
      <c r="C9" s="31" t="s">
        <v>3</v>
      </c>
      <c r="D9" s="9"/>
      <c r="E9" s="32">
        <v>0.15</v>
      </c>
      <c r="F9" s="33">
        <v>0.1</v>
      </c>
      <c r="M9" s="31" t="s">
        <v>3</v>
      </c>
      <c r="N9" s="9"/>
      <c r="O9" s="32">
        <v>0.15</v>
      </c>
      <c r="P9" s="38">
        <v>0.12</v>
      </c>
    </row>
    <row r="10" spans="2:20">
      <c r="C10" s="8" t="s">
        <v>19</v>
      </c>
      <c r="D10" s="9"/>
      <c r="E10" s="34">
        <f>E9*D6</f>
        <v>0.44999999999999996</v>
      </c>
      <c r="F10" s="10">
        <f>F9*E6</f>
        <v>0.30000000000000004</v>
      </c>
      <c r="G10" s="3">
        <f>SUM(E10:F10)/D6</f>
        <v>0.25</v>
      </c>
      <c r="M10" s="8" t="s">
        <v>19</v>
      </c>
      <c r="N10" s="9"/>
      <c r="O10" s="34">
        <f>O9*N6</f>
        <v>0.44999999999999996</v>
      </c>
      <c r="P10" s="71">
        <f>P9*O6</f>
        <v>0.36</v>
      </c>
      <c r="Q10" s="3">
        <f>SUM(O10:P10)/N6</f>
        <v>0.26999999999999996</v>
      </c>
    </row>
    <row r="11" spans="2:20">
      <c r="C11" s="35" t="s">
        <v>20</v>
      </c>
      <c r="D11" s="13"/>
      <c r="E11" s="36">
        <f>D5*0.18</f>
        <v>0.80999999999999994</v>
      </c>
      <c r="F11" s="37">
        <f>D5*0.05</f>
        <v>0.22500000000000001</v>
      </c>
      <c r="G11" s="3">
        <f>SUM(E11:F11)/D5</f>
        <v>0.22999999999999998</v>
      </c>
      <c r="M11" s="35" t="s">
        <v>20</v>
      </c>
      <c r="N11" s="13"/>
      <c r="O11" s="36">
        <f>N5*0.18</f>
        <v>0.80999999999999994</v>
      </c>
      <c r="P11" s="70">
        <v>0.23499999999999999</v>
      </c>
      <c r="Q11" s="3">
        <f>SUM(O11:P11)/N5</f>
        <v>0.23222222222222222</v>
      </c>
    </row>
    <row r="12" spans="2:20">
      <c r="C12" s="16"/>
      <c r="M12" s="16"/>
    </row>
    <row r="15" spans="2:20">
      <c r="C15" s="72" t="s">
        <v>11</v>
      </c>
      <c r="D15" s="73"/>
      <c r="E15" s="74"/>
      <c r="H15" s="4" t="s">
        <v>5</v>
      </c>
      <c r="I15" s="6" t="str">
        <f>E8</f>
        <v>2017- 2o SEM</v>
      </c>
      <c r="M15" s="72" t="s">
        <v>11</v>
      </c>
      <c r="N15" s="73"/>
      <c r="O15" s="74"/>
      <c r="R15" s="4" t="s">
        <v>5</v>
      </c>
      <c r="S15" s="6" t="str">
        <f>O8</f>
        <v>2017- 2o SEM</v>
      </c>
    </row>
    <row r="16" spans="2:20">
      <c r="C16" s="18" t="s">
        <v>12</v>
      </c>
      <c r="D16" s="19">
        <v>42551</v>
      </c>
      <c r="E16" s="20">
        <v>43100</v>
      </c>
      <c r="H16" s="8" t="s">
        <v>4</v>
      </c>
      <c r="I16" s="10">
        <f>E9*D5</f>
        <v>0.67499999999999993</v>
      </c>
      <c r="M16" s="18" t="s">
        <v>12</v>
      </c>
      <c r="N16" s="19">
        <v>42551</v>
      </c>
      <c r="O16" s="20">
        <v>43100</v>
      </c>
      <c r="R16" s="8" t="s">
        <v>4</v>
      </c>
      <c r="S16" s="10">
        <f>O9*N5</f>
        <v>0.67499999999999993</v>
      </c>
    </row>
    <row r="17" spans="3:19">
      <c r="C17" s="22" t="s">
        <v>13</v>
      </c>
      <c r="D17" s="23">
        <v>0</v>
      </c>
      <c r="E17" s="24">
        <f>D17+I23</f>
        <v>0.36</v>
      </c>
      <c r="H17" s="8" t="s">
        <v>6</v>
      </c>
      <c r="I17" s="10">
        <f>-E10</f>
        <v>-0.44999999999999996</v>
      </c>
      <c r="M17" s="22" t="s">
        <v>13</v>
      </c>
      <c r="N17" s="23">
        <v>0</v>
      </c>
      <c r="O17" s="24">
        <f>N17+S23</f>
        <v>0.36</v>
      </c>
      <c r="R17" s="8" t="s">
        <v>6</v>
      </c>
      <c r="S17" s="10">
        <f>-O10</f>
        <v>-0.44999999999999996</v>
      </c>
    </row>
    <row r="18" spans="3:19">
      <c r="C18" s="22" t="s">
        <v>14</v>
      </c>
      <c r="D18" s="23">
        <v>0</v>
      </c>
      <c r="E18" s="24">
        <v>0</v>
      </c>
      <c r="H18" s="12" t="s">
        <v>7</v>
      </c>
      <c r="I18" s="14">
        <f>SUM(I16:I17)</f>
        <v>0.22499999999999998</v>
      </c>
      <c r="M18" s="22" t="s">
        <v>14</v>
      </c>
      <c r="N18" s="23">
        <v>0</v>
      </c>
      <c r="O18" s="24">
        <v>0</v>
      </c>
      <c r="R18" s="12" t="s">
        <v>7</v>
      </c>
      <c r="S18" s="14">
        <f>SUM(S16:S17)</f>
        <v>0.22499999999999998</v>
      </c>
    </row>
    <row r="19" spans="3:19">
      <c r="C19" s="26" t="s">
        <v>15</v>
      </c>
      <c r="D19" s="27">
        <f>SUM(D17:D18)</f>
        <v>0</v>
      </c>
      <c r="E19" s="28">
        <f>SUM(E17:E18)</f>
        <v>0.36</v>
      </c>
      <c r="M19" s="26" t="s">
        <v>15</v>
      </c>
      <c r="N19" s="27">
        <f>SUM(N17:N18)</f>
        <v>0</v>
      </c>
      <c r="O19" s="28">
        <f>SUM(O17:O18)</f>
        <v>0.36</v>
      </c>
    </row>
    <row r="20" spans="3:19">
      <c r="C20" s="18" t="s">
        <v>16</v>
      </c>
      <c r="D20" s="19">
        <v>42551</v>
      </c>
      <c r="E20" s="20">
        <v>43100</v>
      </c>
      <c r="H20" s="4" t="s">
        <v>8</v>
      </c>
      <c r="I20" s="6" t="str">
        <f>I15</f>
        <v>2017- 2o SEM</v>
      </c>
      <c r="M20" s="18" t="s">
        <v>16</v>
      </c>
      <c r="N20" s="19">
        <v>42551</v>
      </c>
      <c r="O20" s="20">
        <v>43100</v>
      </c>
      <c r="R20" s="4" t="s">
        <v>8</v>
      </c>
      <c r="S20" s="6" t="str">
        <f>S15</f>
        <v>2017- 2o SEM</v>
      </c>
    </row>
    <row r="21" spans="3:19">
      <c r="C21" s="22" t="s">
        <v>17</v>
      </c>
      <c r="D21" s="23">
        <v>0</v>
      </c>
      <c r="E21" s="24">
        <f>I21-I16</f>
        <v>0.13500000000000001</v>
      </c>
      <c r="H21" s="8" t="s">
        <v>9</v>
      </c>
      <c r="I21" s="10">
        <f>E11</f>
        <v>0.80999999999999994</v>
      </c>
      <c r="M21" s="22" t="s">
        <v>17</v>
      </c>
      <c r="N21" s="23">
        <v>0</v>
      </c>
      <c r="O21" s="24">
        <f>S21-S16</f>
        <v>0.13500000000000001</v>
      </c>
      <c r="R21" s="8" t="s">
        <v>9</v>
      </c>
      <c r="S21" s="10">
        <f>O11</f>
        <v>0.80999999999999994</v>
      </c>
    </row>
    <row r="22" spans="3:19">
      <c r="C22" s="22" t="s">
        <v>18</v>
      </c>
      <c r="D22" s="23">
        <v>0</v>
      </c>
      <c r="E22" s="24">
        <f>I18</f>
        <v>0.22499999999999998</v>
      </c>
      <c r="H22" s="8" t="s">
        <v>6</v>
      </c>
      <c r="I22" s="10">
        <f>I17</f>
        <v>-0.44999999999999996</v>
      </c>
      <c r="M22" s="22" t="s">
        <v>18</v>
      </c>
      <c r="N22" s="23">
        <v>0</v>
      </c>
      <c r="O22" s="24">
        <f>S18</f>
        <v>0.22499999999999998</v>
      </c>
      <c r="R22" s="8" t="s">
        <v>6</v>
      </c>
      <c r="S22" s="10">
        <f>S17</f>
        <v>-0.44999999999999996</v>
      </c>
    </row>
    <row r="23" spans="3:19">
      <c r="C23" s="26" t="s">
        <v>15</v>
      </c>
      <c r="D23" s="27">
        <f>SUM(D21:D22)</f>
        <v>0</v>
      </c>
      <c r="E23" s="28">
        <f>SUM(E21:E22)</f>
        <v>0.36</v>
      </c>
      <c r="H23" s="12" t="s">
        <v>10</v>
      </c>
      <c r="I23" s="14">
        <f>SUM(I21:I22)</f>
        <v>0.36</v>
      </c>
      <c r="M23" s="26" t="s">
        <v>15</v>
      </c>
      <c r="N23" s="27">
        <f>SUM(N21:N22)</f>
        <v>0</v>
      </c>
      <c r="O23" s="28">
        <f>SUM(O21:O22)</f>
        <v>0.36</v>
      </c>
      <c r="R23" s="12" t="s">
        <v>10</v>
      </c>
      <c r="S23" s="14">
        <f>SUM(S21:S22)</f>
        <v>0.36</v>
      </c>
    </row>
    <row r="26" spans="3:19">
      <c r="C26" s="4" t="s">
        <v>5</v>
      </c>
      <c r="D26" s="5"/>
      <c r="F26" s="7" t="str">
        <f>F8</f>
        <v>2018- 1o SEM</v>
      </c>
      <c r="M26" s="4" t="s">
        <v>5</v>
      </c>
      <c r="N26" s="5"/>
      <c r="P26" s="7" t="str">
        <f>P8</f>
        <v>2018- 1o SEM</v>
      </c>
    </row>
    <row r="27" spans="3:19">
      <c r="C27" s="8" t="s">
        <v>4</v>
      </c>
      <c r="D27" s="9"/>
      <c r="F27" s="11">
        <f>F9*D5</f>
        <v>0.45</v>
      </c>
      <c r="M27" s="8" t="s">
        <v>4</v>
      </c>
      <c r="N27" s="9"/>
      <c r="P27" s="11">
        <f>P9*N5</f>
        <v>0.54</v>
      </c>
    </row>
    <row r="28" spans="3:19">
      <c r="C28" s="8" t="s">
        <v>6</v>
      </c>
      <c r="D28" s="9"/>
      <c r="F28" s="11">
        <f>-F10</f>
        <v>-0.30000000000000004</v>
      </c>
      <c r="M28" s="8" t="s">
        <v>6</v>
      </c>
      <c r="N28" s="9"/>
      <c r="P28" s="11">
        <f>-P10</f>
        <v>-0.36</v>
      </c>
    </row>
    <row r="29" spans="3:19">
      <c r="C29" s="12" t="s">
        <v>7</v>
      </c>
      <c r="D29" s="13"/>
      <c r="F29" s="15">
        <f>SUM(F27:F28)</f>
        <v>0.14999999999999997</v>
      </c>
      <c r="M29" s="12" t="s">
        <v>7</v>
      </c>
      <c r="N29" s="13"/>
      <c r="P29" s="15">
        <f>SUM(P27:P28)</f>
        <v>0.18000000000000005</v>
      </c>
    </row>
    <row r="30" spans="3:19">
      <c r="C30" s="16"/>
      <c r="M30" s="16"/>
    </row>
    <row r="31" spans="3:19">
      <c r="C31" s="4" t="s">
        <v>8</v>
      </c>
      <c r="D31" s="5"/>
      <c r="F31" s="7" t="str">
        <f>F26</f>
        <v>2018- 1o SEM</v>
      </c>
      <c r="M31" s="4" t="s">
        <v>8</v>
      </c>
      <c r="N31" s="5"/>
      <c r="P31" s="7" t="str">
        <f>P26</f>
        <v>2018- 1o SEM</v>
      </c>
    </row>
    <row r="32" spans="3:19">
      <c r="C32" s="8" t="s">
        <v>9</v>
      </c>
      <c r="D32" s="9"/>
      <c r="F32" s="11">
        <f>F11</f>
        <v>0.22500000000000001</v>
      </c>
      <c r="M32" s="8" t="s">
        <v>9</v>
      </c>
      <c r="N32" s="9"/>
      <c r="P32" s="11">
        <f>P11</f>
        <v>0.23499999999999999</v>
      </c>
    </row>
    <row r="33" spans="3:16">
      <c r="C33" s="8" t="s">
        <v>6</v>
      </c>
      <c r="D33" s="9"/>
      <c r="F33" s="11">
        <f t="shared" ref="F33" si="0">F28</f>
        <v>-0.30000000000000004</v>
      </c>
      <c r="M33" s="8" t="s">
        <v>6</v>
      </c>
      <c r="N33" s="9"/>
      <c r="P33" s="11">
        <f t="shared" ref="P33" si="1">P28</f>
        <v>-0.36</v>
      </c>
    </row>
    <row r="34" spans="3:16">
      <c r="C34" s="12" t="s">
        <v>10</v>
      </c>
      <c r="D34" s="13"/>
      <c r="F34" s="15">
        <f>SUM(F32:F33)</f>
        <v>-7.5000000000000039E-2</v>
      </c>
      <c r="M34" s="12" t="s">
        <v>10</v>
      </c>
      <c r="N34" s="13"/>
      <c r="P34" s="15">
        <f>SUM(P32:P33)</f>
        <v>-0.125</v>
      </c>
    </row>
    <row r="36" spans="3:16">
      <c r="C36" s="72" t="s">
        <v>11</v>
      </c>
      <c r="D36" s="73"/>
      <c r="E36" s="74"/>
      <c r="F36" s="17"/>
      <c r="M36" s="72" t="s">
        <v>11</v>
      </c>
      <c r="N36" s="73"/>
      <c r="O36" s="74"/>
      <c r="P36" s="17"/>
    </row>
    <row r="37" spans="3:16">
      <c r="C37" s="18" t="s">
        <v>12</v>
      </c>
      <c r="D37" s="19">
        <v>42551</v>
      </c>
      <c r="E37" s="20">
        <v>43100</v>
      </c>
      <c r="F37" s="21">
        <v>43281</v>
      </c>
      <c r="M37" s="18" t="s">
        <v>12</v>
      </c>
      <c r="N37" s="19">
        <v>42551</v>
      </c>
      <c r="O37" s="20">
        <v>43100</v>
      </c>
      <c r="P37" s="21">
        <v>43281</v>
      </c>
    </row>
    <row r="38" spans="3:16">
      <c r="C38" s="22" t="s">
        <v>13</v>
      </c>
      <c r="D38" s="23">
        <v>0</v>
      </c>
      <c r="E38" s="24">
        <f>D38+I44</f>
        <v>0</v>
      </c>
      <c r="F38" s="25">
        <f>E17+F34</f>
        <v>0.28499999999999992</v>
      </c>
      <c r="M38" s="22" t="s">
        <v>13</v>
      </c>
      <c r="N38" s="23">
        <v>0</v>
      </c>
      <c r="O38" s="24">
        <f>N38+S44</f>
        <v>0</v>
      </c>
      <c r="P38" s="25">
        <f>O17+P34</f>
        <v>0.23499999999999999</v>
      </c>
    </row>
    <row r="39" spans="3:16">
      <c r="C39" s="22" t="s">
        <v>14</v>
      </c>
      <c r="D39" s="23">
        <v>0</v>
      </c>
      <c r="E39" s="24">
        <v>0</v>
      </c>
      <c r="F39" s="25">
        <v>0.09</v>
      </c>
      <c r="M39" s="22" t="s">
        <v>14</v>
      </c>
      <c r="N39" s="23">
        <v>0</v>
      </c>
      <c r="O39" s="24">
        <v>0</v>
      </c>
      <c r="P39" s="39">
        <v>0.17</v>
      </c>
    </row>
    <row r="40" spans="3:16">
      <c r="C40" s="26" t="s">
        <v>15</v>
      </c>
      <c r="D40" s="27">
        <f>SUM(D38:D39)</f>
        <v>0</v>
      </c>
      <c r="E40" s="28">
        <f>SUM(E38:E39)</f>
        <v>0</v>
      </c>
      <c r="F40" s="29">
        <f>SUM(F38:F39)</f>
        <v>0.37499999999999989</v>
      </c>
      <c r="M40" s="26" t="s">
        <v>15</v>
      </c>
      <c r="N40" s="27">
        <f>SUM(N38:N39)</f>
        <v>0</v>
      </c>
      <c r="O40" s="28">
        <f>SUM(O38:O39)</f>
        <v>0</v>
      </c>
      <c r="P40" s="29">
        <f>SUM(P38:P39)</f>
        <v>0.40500000000000003</v>
      </c>
    </row>
    <row r="41" spans="3:16">
      <c r="C41" s="18" t="s">
        <v>16</v>
      </c>
      <c r="D41" s="19">
        <v>42551</v>
      </c>
      <c r="E41" s="20">
        <v>43100</v>
      </c>
      <c r="F41" s="21">
        <v>43281</v>
      </c>
      <c r="M41" s="18" t="s">
        <v>16</v>
      </c>
      <c r="N41" s="19">
        <v>42551</v>
      </c>
      <c r="O41" s="20">
        <v>43100</v>
      </c>
      <c r="P41" s="21">
        <v>43281</v>
      </c>
    </row>
    <row r="42" spans="3:16">
      <c r="C42" s="22" t="s">
        <v>17</v>
      </c>
      <c r="D42" s="23">
        <v>0</v>
      </c>
      <c r="E42" s="24">
        <f>I42-I37</f>
        <v>0</v>
      </c>
      <c r="F42" s="25">
        <f>E21+F32-F27+0.09</f>
        <v>0</v>
      </c>
      <c r="M42" s="22" t="s">
        <v>17</v>
      </c>
      <c r="N42" s="23">
        <v>0</v>
      </c>
      <c r="O42" s="24">
        <f>S42-S37</f>
        <v>0</v>
      </c>
      <c r="P42" s="39">
        <f>O21+P32-P27+0.17</f>
        <v>0</v>
      </c>
    </row>
    <row r="43" spans="3:16">
      <c r="C43" s="22" t="s">
        <v>18</v>
      </c>
      <c r="D43" s="23">
        <v>0</v>
      </c>
      <c r="E43" s="24">
        <f>I39</f>
        <v>0</v>
      </c>
      <c r="F43" s="25">
        <f>E22+F29</f>
        <v>0.37499999999999994</v>
      </c>
      <c r="M43" s="22" t="s">
        <v>18</v>
      </c>
      <c r="N43" s="23">
        <v>0</v>
      </c>
      <c r="O43" s="24">
        <f>S39</f>
        <v>0</v>
      </c>
      <c r="P43" s="25">
        <f>O22+P29</f>
        <v>0.40500000000000003</v>
      </c>
    </row>
    <row r="44" spans="3:16">
      <c r="C44" s="26" t="s">
        <v>15</v>
      </c>
      <c r="D44" s="27">
        <f>SUM(D42:D43)</f>
        <v>0</v>
      </c>
      <c r="E44" s="28">
        <f>SUM(E42:E43)</f>
        <v>0</v>
      </c>
      <c r="F44" s="29">
        <f>SUM(F42:F43)</f>
        <v>0.37499999999999994</v>
      </c>
      <c r="M44" s="26" t="s">
        <v>15</v>
      </c>
      <c r="N44" s="27">
        <f>SUM(N42:N43)</f>
        <v>0</v>
      </c>
      <c r="O44" s="28">
        <f>SUM(O42:O43)</f>
        <v>0</v>
      </c>
      <c r="P44" s="29">
        <f>SUM(P42:P43)</f>
        <v>0.40500000000000003</v>
      </c>
    </row>
  </sheetData>
  <mergeCells count="6">
    <mergeCell ref="C15:E15"/>
    <mergeCell ref="C36:E36"/>
    <mergeCell ref="B2:J2"/>
    <mergeCell ref="L2:T2"/>
    <mergeCell ref="M15:O15"/>
    <mergeCell ref="M36:O3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1"/>
  <sheetViews>
    <sheetView tabSelected="1" workbookViewId="0">
      <selection activeCell="J24" sqref="J24"/>
    </sheetView>
  </sheetViews>
  <sheetFormatPr defaultColWidth="45.7109375" defaultRowHeight="12"/>
  <cols>
    <col min="1" max="2" width="1.85546875" style="1" customWidth="1"/>
    <col min="3" max="3" width="32.5703125" style="1" bestFit="1" customWidth="1"/>
    <col min="4" max="4" width="13.5703125" style="1" bestFit="1" customWidth="1"/>
    <col min="5" max="6" width="10.7109375" style="1" bestFit="1" customWidth="1"/>
    <col min="7" max="8" width="2.28515625" style="1" customWidth="1"/>
    <col min="9" max="9" width="32.5703125" style="1" bestFit="1" customWidth="1"/>
    <col min="10" max="10" width="8.42578125" style="1" bestFit="1" customWidth="1"/>
    <col min="11" max="12" width="10.7109375" style="1" bestFit="1" customWidth="1"/>
    <col min="13" max="13" width="3.140625" style="1" customWidth="1"/>
    <col min="14" max="16384" width="45.7109375" style="1"/>
  </cols>
  <sheetData>
    <row r="2" spans="2:13" ht="23.25">
      <c r="B2" s="75" t="s">
        <v>24</v>
      </c>
      <c r="C2" s="75"/>
      <c r="D2" s="75"/>
      <c r="E2" s="75"/>
      <c r="F2" s="75"/>
      <c r="H2" s="75" t="s">
        <v>25</v>
      </c>
      <c r="I2" s="75"/>
      <c r="J2" s="75"/>
      <c r="K2" s="75"/>
      <c r="L2" s="75"/>
      <c r="M2" s="75"/>
    </row>
    <row r="4" spans="2:13">
      <c r="C4" s="41" t="s">
        <v>31</v>
      </c>
      <c r="D4" s="42" t="s">
        <v>36</v>
      </c>
      <c r="I4" s="41" t="s">
        <v>31</v>
      </c>
      <c r="J4" s="42" t="s">
        <v>36</v>
      </c>
    </row>
    <row r="5" spans="2:13">
      <c r="C5" s="8" t="s">
        <v>26</v>
      </c>
      <c r="D5" s="43">
        <v>47.5</v>
      </c>
      <c r="I5" s="8" t="s">
        <v>26</v>
      </c>
      <c r="J5" s="60">
        <v>74.5</v>
      </c>
    </row>
    <row r="6" spans="2:13">
      <c r="C6" s="35" t="s">
        <v>27</v>
      </c>
      <c r="D6" s="44">
        <v>-15</v>
      </c>
      <c r="I6" s="35" t="s">
        <v>27</v>
      </c>
      <c r="J6" s="61">
        <v>-39.5</v>
      </c>
    </row>
    <row r="7" spans="2:13">
      <c r="C7" s="8" t="s">
        <v>28</v>
      </c>
      <c r="D7" s="43">
        <f>SUM(D5:D6)</f>
        <v>32.5</v>
      </c>
      <c r="E7" s="2"/>
      <c r="I7" s="8" t="s">
        <v>28</v>
      </c>
      <c r="J7" s="43">
        <f>SUM(J5:J6)</f>
        <v>35</v>
      </c>
      <c r="K7" s="2"/>
    </row>
    <row r="8" spans="2:13">
      <c r="C8" s="8" t="s">
        <v>29</v>
      </c>
      <c r="D8" s="43">
        <f>-D7*0.4</f>
        <v>-13</v>
      </c>
      <c r="I8" s="8" t="s">
        <v>29</v>
      </c>
      <c r="J8" s="43">
        <f>-J7*0.4</f>
        <v>-14</v>
      </c>
    </row>
    <row r="9" spans="2:13">
      <c r="C9" s="35" t="s">
        <v>30</v>
      </c>
      <c r="D9" s="44">
        <f>SUM(D7:D8)</f>
        <v>19.5</v>
      </c>
      <c r="I9" s="35" t="s">
        <v>30</v>
      </c>
      <c r="J9" s="44">
        <f>SUM(J7:J8)</f>
        <v>21</v>
      </c>
    </row>
    <row r="10" spans="2:13">
      <c r="C10" s="16"/>
      <c r="I10" s="16"/>
    </row>
    <row r="11" spans="2:13">
      <c r="C11" s="41" t="s">
        <v>32</v>
      </c>
      <c r="D11" s="42"/>
      <c r="I11" s="41" t="s">
        <v>32</v>
      </c>
      <c r="J11" s="42"/>
    </row>
    <row r="12" spans="2:13">
      <c r="C12" s="8" t="s">
        <v>40</v>
      </c>
      <c r="D12" s="45">
        <v>130000</v>
      </c>
      <c r="I12" s="8" t="s">
        <v>40</v>
      </c>
      <c r="J12" s="45">
        <v>130000</v>
      </c>
    </row>
    <row r="13" spans="2:13">
      <c r="C13" s="8" t="s">
        <v>33</v>
      </c>
      <c r="D13" s="46">
        <v>0.09</v>
      </c>
      <c r="I13" s="8" t="s">
        <v>33</v>
      </c>
      <c r="J13" s="46">
        <v>0.09</v>
      </c>
    </row>
    <row r="14" spans="2:13">
      <c r="C14" s="8" t="s">
        <v>34</v>
      </c>
      <c r="D14" s="45">
        <v>146250</v>
      </c>
      <c r="I14" s="8" t="s">
        <v>34</v>
      </c>
      <c r="J14" s="62">
        <v>136500</v>
      </c>
    </row>
    <row r="15" spans="2:13">
      <c r="C15" s="8" t="s">
        <v>44</v>
      </c>
      <c r="D15" s="45">
        <v>14625</v>
      </c>
      <c r="I15" s="8" t="s">
        <v>44</v>
      </c>
      <c r="J15" s="62">
        <v>10500</v>
      </c>
    </row>
    <row r="16" spans="2:13">
      <c r="C16" s="35" t="s">
        <v>41</v>
      </c>
      <c r="D16" s="59">
        <f>D12*D13</f>
        <v>11700</v>
      </c>
      <c r="I16" s="35" t="s">
        <v>41</v>
      </c>
      <c r="J16" s="63">
        <v>6300</v>
      </c>
    </row>
    <row r="17" spans="3:12">
      <c r="C17" s="16"/>
      <c r="I17" s="16"/>
    </row>
    <row r="18" spans="3:12">
      <c r="C18" s="16"/>
      <c r="D18" s="48" t="s">
        <v>37</v>
      </c>
      <c r="E18" s="48" t="s">
        <v>38</v>
      </c>
      <c r="F18" s="48" t="s">
        <v>39</v>
      </c>
      <c r="I18" s="16"/>
      <c r="J18" s="48" t="s">
        <v>37</v>
      </c>
      <c r="K18" s="48" t="s">
        <v>38</v>
      </c>
      <c r="L18" s="48" t="s">
        <v>39</v>
      </c>
    </row>
    <row r="19" spans="3:12">
      <c r="C19" s="47" t="s">
        <v>35</v>
      </c>
      <c r="D19" s="49">
        <f>D14/D7</f>
        <v>4500</v>
      </c>
      <c r="E19" s="49">
        <f>D19/12</f>
        <v>375</v>
      </c>
      <c r="F19" s="49">
        <f>E19/25</f>
        <v>15</v>
      </c>
      <c r="I19" s="47" t="s">
        <v>35</v>
      </c>
      <c r="J19" s="49">
        <f>J14/J7</f>
        <v>3900</v>
      </c>
      <c r="K19" s="49">
        <f>J19/12</f>
        <v>325</v>
      </c>
      <c r="L19" s="49">
        <f>K19/25</f>
        <v>13</v>
      </c>
    </row>
    <row r="20" spans="3:12">
      <c r="C20" s="47" t="s">
        <v>42</v>
      </c>
      <c r="D20" s="49">
        <f>D16/D9+D19</f>
        <v>5100</v>
      </c>
      <c r="E20" s="49">
        <f>D20/12</f>
        <v>425</v>
      </c>
      <c r="F20" s="49">
        <f>E20/25</f>
        <v>17</v>
      </c>
      <c r="I20" s="47" t="s">
        <v>42</v>
      </c>
      <c r="J20" s="49">
        <f>J16/J9+J19</f>
        <v>4200</v>
      </c>
      <c r="K20" s="49">
        <f>J20/12</f>
        <v>350</v>
      </c>
      <c r="L20" s="49">
        <f>K20/25</f>
        <v>14</v>
      </c>
    </row>
    <row r="21" spans="3:12">
      <c r="C21" s="47" t="s">
        <v>43</v>
      </c>
      <c r="D21" s="49">
        <f>(D14-D15)/D7</f>
        <v>4050</v>
      </c>
      <c r="E21" s="49">
        <f>D21/12</f>
        <v>337.5</v>
      </c>
      <c r="F21" s="49">
        <f>E21/25</f>
        <v>13.5</v>
      </c>
      <c r="I21" s="47" t="s">
        <v>43</v>
      </c>
      <c r="J21" s="49">
        <f>(J14-J15)/J7</f>
        <v>3600</v>
      </c>
      <c r="K21" s="49">
        <f>J21/12</f>
        <v>300</v>
      </c>
      <c r="L21" s="49">
        <f>K21/25</f>
        <v>12</v>
      </c>
    </row>
    <row r="22" spans="3:12">
      <c r="C22" s="16"/>
      <c r="I22" s="16"/>
    </row>
    <row r="23" spans="3:12">
      <c r="C23" s="16"/>
      <c r="D23" s="48" t="s">
        <v>37</v>
      </c>
      <c r="E23" s="48" t="s">
        <v>38</v>
      </c>
      <c r="F23" s="48" t="s">
        <v>39</v>
      </c>
      <c r="I23" s="16"/>
      <c r="J23" s="48" t="s">
        <v>37</v>
      </c>
      <c r="K23" s="48" t="s">
        <v>38</v>
      </c>
      <c r="L23" s="48" t="s">
        <v>39</v>
      </c>
    </row>
    <row r="24" spans="3:12">
      <c r="C24" s="47" t="s">
        <v>45</v>
      </c>
      <c r="D24" s="49">
        <f>435*12-D19</f>
        <v>720</v>
      </c>
      <c r="E24" s="49">
        <f>D24/12</f>
        <v>60</v>
      </c>
      <c r="F24" s="49">
        <f>E24/25</f>
        <v>2.4</v>
      </c>
      <c r="I24" s="47" t="s">
        <v>45</v>
      </c>
      <c r="J24" s="49">
        <f>435*12-J19</f>
        <v>1320</v>
      </c>
      <c r="K24" s="49">
        <f>J24/12</f>
        <v>110</v>
      </c>
      <c r="L24" s="49">
        <f>K24/25</f>
        <v>4.4000000000000004</v>
      </c>
    </row>
    <row r="25" spans="3:12">
      <c r="C25" s="47" t="s">
        <v>46</v>
      </c>
      <c r="D25" s="49">
        <f>435*12-D20</f>
        <v>120</v>
      </c>
      <c r="E25" s="49">
        <f>D25/12</f>
        <v>10</v>
      </c>
      <c r="F25" s="49">
        <f>E25/25</f>
        <v>0.4</v>
      </c>
      <c r="I25" s="47" t="s">
        <v>46</v>
      </c>
      <c r="J25" s="49">
        <f>435*12-J20</f>
        <v>1020</v>
      </c>
      <c r="K25" s="49">
        <f>J25/12</f>
        <v>85</v>
      </c>
      <c r="L25" s="49">
        <f>K25/25</f>
        <v>3.4</v>
      </c>
    </row>
    <row r="26" spans="3:12">
      <c r="C26" s="16"/>
      <c r="I26" s="16"/>
    </row>
    <row r="27" spans="3:12">
      <c r="C27" s="16"/>
      <c r="D27" s="51" t="s">
        <v>47</v>
      </c>
      <c r="E27" s="51" t="s">
        <v>48</v>
      </c>
      <c r="F27" s="51" t="s">
        <v>49</v>
      </c>
      <c r="I27" s="16"/>
      <c r="J27" s="51" t="s">
        <v>47</v>
      </c>
      <c r="K27" s="51" t="s">
        <v>48</v>
      </c>
      <c r="L27" s="51" t="s">
        <v>49</v>
      </c>
    </row>
    <row r="28" spans="3:12">
      <c r="C28" s="50" t="s">
        <v>45</v>
      </c>
      <c r="D28" s="53">
        <f>D24*$D$9</f>
        <v>14040</v>
      </c>
      <c r="E28" s="53">
        <f>D28/12</f>
        <v>1170</v>
      </c>
      <c r="F28" s="52">
        <f>E28/25</f>
        <v>46.8</v>
      </c>
      <c r="I28" s="50" t="s">
        <v>45</v>
      </c>
      <c r="J28" s="52">
        <f>J24*$J$9</f>
        <v>27720</v>
      </c>
      <c r="K28" s="52">
        <f>J28/12</f>
        <v>2310</v>
      </c>
      <c r="L28" s="64">
        <f>K28/25</f>
        <v>92.4</v>
      </c>
    </row>
    <row r="29" spans="3:12">
      <c r="C29" s="50" t="s">
        <v>46</v>
      </c>
      <c r="D29" s="53">
        <f>D25*$D$9</f>
        <v>2340</v>
      </c>
      <c r="E29" s="53">
        <f>D29/12</f>
        <v>195</v>
      </c>
      <c r="F29" s="52">
        <f>E29/25</f>
        <v>7.8</v>
      </c>
      <c r="I29" s="50" t="s">
        <v>46</v>
      </c>
      <c r="J29" s="52">
        <f>J25*$J$9</f>
        <v>21420</v>
      </c>
      <c r="K29" s="52">
        <f>J29/12</f>
        <v>1785</v>
      </c>
      <c r="L29" s="64">
        <f>K29/25</f>
        <v>71.400000000000006</v>
      </c>
    </row>
    <row r="30" spans="3:12">
      <c r="C30" s="16"/>
      <c r="I30" s="16"/>
      <c r="J30" s="40"/>
      <c r="K30" s="40"/>
      <c r="L30" s="65"/>
    </row>
    <row r="31" spans="3:12">
      <c r="C31" s="51" t="s">
        <v>51</v>
      </c>
      <c r="D31" s="51" t="s">
        <v>47</v>
      </c>
      <c r="E31" s="51" t="s">
        <v>48</v>
      </c>
      <c r="F31" s="51" t="s">
        <v>49</v>
      </c>
      <c r="I31" s="51" t="s">
        <v>51</v>
      </c>
      <c r="J31" s="69" t="s">
        <v>47</v>
      </c>
      <c r="K31" s="69" t="s">
        <v>48</v>
      </c>
      <c r="L31" s="66" t="s">
        <v>49</v>
      </c>
    </row>
    <row r="32" spans="3:12">
      <c r="C32" s="50" t="s">
        <v>45</v>
      </c>
      <c r="D32" s="53">
        <f>D28</f>
        <v>14040</v>
      </c>
      <c r="E32" s="53">
        <f>D32/12</f>
        <v>1170</v>
      </c>
      <c r="F32" s="52">
        <f>E32/25</f>
        <v>46.8</v>
      </c>
      <c r="I32" s="50" t="s">
        <v>45</v>
      </c>
      <c r="J32" s="52">
        <f>J28</f>
        <v>27720</v>
      </c>
      <c r="K32" s="52">
        <f>J32/12</f>
        <v>2310</v>
      </c>
      <c r="L32" s="64">
        <f>K32/25</f>
        <v>92.4</v>
      </c>
    </row>
    <row r="33" spans="3:12">
      <c r="C33" s="50" t="s">
        <v>50</v>
      </c>
      <c r="D33" s="54">
        <f>(D19-D21)*D7</f>
        <v>14625</v>
      </c>
      <c r="E33" s="54">
        <f>D33/12</f>
        <v>1218.75</v>
      </c>
      <c r="F33" s="55">
        <f>E33/25</f>
        <v>48.75</v>
      </c>
      <c r="I33" s="50" t="s">
        <v>50</v>
      </c>
      <c r="J33" s="55">
        <f>(J19-J21)*J7</f>
        <v>10500</v>
      </c>
      <c r="K33" s="55">
        <f>J33/12</f>
        <v>875</v>
      </c>
      <c r="L33" s="67">
        <f>K33/25</f>
        <v>35</v>
      </c>
    </row>
    <row r="34" spans="3:12">
      <c r="C34" s="56" t="s">
        <v>15</v>
      </c>
      <c r="D34" s="57">
        <f>SUM(D32:D33)</f>
        <v>28665</v>
      </c>
      <c r="E34" s="57">
        <f t="shared" ref="E34:F34" si="0">SUM(E32:E33)</f>
        <v>2388.75</v>
      </c>
      <c r="F34" s="58">
        <f t="shared" si="0"/>
        <v>95.55</v>
      </c>
      <c r="I34" s="56" t="s">
        <v>15</v>
      </c>
      <c r="J34" s="58">
        <f>SUM(J32:J33)</f>
        <v>38220</v>
      </c>
      <c r="K34" s="58">
        <f t="shared" ref="K34" si="1">SUM(K32:K33)</f>
        <v>3185</v>
      </c>
      <c r="L34" s="68">
        <f t="shared" ref="L34" si="2">SUM(L32:L33)</f>
        <v>127.4</v>
      </c>
    </row>
    <row r="35" spans="3:12">
      <c r="C35" s="16"/>
      <c r="J35" s="40"/>
      <c r="K35" s="40"/>
    </row>
    <row r="36" spans="3:12">
      <c r="C36" s="16"/>
    </row>
    <row r="37" spans="3:12">
      <c r="C37" s="16"/>
    </row>
    <row r="38" spans="3:12">
      <c r="C38" s="16"/>
    </row>
    <row r="39" spans="3:12">
      <c r="C39" s="16"/>
    </row>
    <row r="40" spans="3:12">
      <c r="C40" s="16"/>
    </row>
    <row r="41" spans="3:12">
      <c r="C41" s="16"/>
    </row>
  </sheetData>
  <mergeCells count="2">
    <mergeCell ref="B2:F2"/>
    <mergeCell ref="H2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Q2</vt:lpstr>
      <vt:lpstr>Q3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rbonizio</cp:lastModifiedBy>
  <dcterms:created xsi:type="dcterms:W3CDTF">2018-11-27T19:55:49Z</dcterms:created>
  <dcterms:modified xsi:type="dcterms:W3CDTF">2018-11-28T17:41:27Z</dcterms:modified>
</cp:coreProperties>
</file>