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EstaPasta_de_trabalho" defaultThemeVersion="164011"/>
  <workbookProtection workbookAlgorithmName="SHA-512" workbookHashValue="DgFbh9bBvf3V6hiz0mQF9uc2Yn9tr1zDa+e+p9Tj6tVEP8iRJh/d49uDGGn9yTKWkzgsXz7b4NjmRvm/Qt48rw==" workbookSaltValue="uBfu6BcYGw33ufn7P99lyQ==" workbookSpinCount="100000" lockStructure="1"/>
  <bookViews>
    <workbookView xWindow="0" yWindow="0" windowWidth="20490" windowHeight="7650" tabRatio="855" activeTab="1"/>
  </bookViews>
  <sheets>
    <sheet name="Instruções" sheetId="18" r:id="rId1"/>
    <sheet name="Decisões" sheetId="2" r:id="rId2"/>
    <sheet name="Parâmetros" sheetId="5" state="hidden" r:id="rId3"/>
    <sheet name="Financiamento" sheetId="27" r:id="rId4"/>
    <sheet name="Plano de Contas" sheetId="17" r:id="rId5"/>
    <sheet name="Lançamentos e Razonetes" sheetId="19" r:id="rId6"/>
    <sheet name="Estoque de MP" sheetId="6" r:id="rId7"/>
    <sheet name="Estoque de PA" sheetId="24" r:id="rId8"/>
    <sheet name="Salários" sheetId="15" r:id="rId9"/>
    <sheet name="Tributos" sheetId="22" r:id="rId10"/>
    <sheet name="QUADIST" sheetId="31" state="hidden" r:id="rId11"/>
    <sheet name="Preço de Venda" sheetId="25" r:id="rId12"/>
    <sheet name="Balanço Patrimonial" sheetId="1" r:id="rId13"/>
    <sheet name="DRE" sheetId="28" r:id="rId14"/>
    <sheet name="Indicadores" sheetId="26" r:id="rId15"/>
  </sheets>
  <externalReferences>
    <externalReference r:id="rId16"/>
    <externalReference r:id="rId17"/>
  </externalReferences>
  <definedNames>
    <definedName name="_xlnm.Print_Area" localSheetId="3">Financiamento!$C$3:$I$368</definedName>
    <definedName name="Distancia">#REF!</definedName>
    <definedName name="Origem">#REF!</definedName>
    <definedName name="PriceTudo">Financiamento!$D$8:$D$367</definedName>
    <definedName name="SACRETudo">#REF!</definedName>
    <definedName name="SACTudo">#REF!</definedName>
    <definedName name="SAMTudo">#REF!</definedName>
    <definedName name="_xlnm.Print_Titles" localSheetId="3">Financiamento!$3:$7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25" l="1"/>
  <c r="E24" i="2" l="1"/>
  <c r="F51" i="25"/>
  <c r="G51" i="25"/>
  <c r="E51" i="25"/>
  <c r="G29" i="25" l="1"/>
  <c r="D107" i="22" s="1"/>
  <c r="G39" i="25"/>
  <c r="D109" i="22" s="1"/>
  <c r="G30" i="24"/>
  <c r="G29" i="24"/>
  <c r="G28" i="24"/>
  <c r="G34" i="25"/>
  <c r="D108" i="22" s="1"/>
  <c r="G27" i="24"/>
  <c r="G26" i="24"/>
  <c r="G25" i="24"/>
  <c r="G49" i="25"/>
  <c r="D111" i="22" s="1"/>
  <c r="G47" i="25"/>
  <c r="D110" i="22"/>
  <c r="G42" i="25"/>
  <c r="G37" i="25"/>
  <c r="G32" i="25"/>
  <c r="G27" i="25"/>
  <c r="G24" i="25"/>
  <c r="D139" i="26" l="1"/>
  <c r="C139" i="26" l="1"/>
  <c r="C140" i="26"/>
  <c r="C137" i="26"/>
  <c r="C138" i="26"/>
  <c r="C130" i="26"/>
  <c r="C131" i="26"/>
  <c r="C132" i="26"/>
  <c r="C133" i="26"/>
  <c r="C134" i="26"/>
  <c r="C135" i="26"/>
  <c r="C136" i="26"/>
  <c r="C129" i="26"/>
  <c r="C124" i="26"/>
  <c r="C125" i="26"/>
  <c r="C126" i="26"/>
  <c r="C127" i="26"/>
  <c r="C123" i="26"/>
  <c r="A6" i="31"/>
  <c r="A15" i="31"/>
  <c r="A19" i="31"/>
  <c r="A29" i="31"/>
  <c r="A28" i="31"/>
  <c r="A25" i="31"/>
  <c r="A27" i="31"/>
  <c r="A26" i="31"/>
  <c r="A24" i="31"/>
  <c r="A23" i="31"/>
  <c r="A22" i="31"/>
  <c r="A21" i="31"/>
  <c r="A20" i="31"/>
  <c r="A18" i="31"/>
  <c r="A17" i="31"/>
  <c r="A16" i="31"/>
  <c r="A14" i="31"/>
  <c r="A13" i="31"/>
  <c r="A12" i="31"/>
  <c r="A11" i="31"/>
  <c r="A9" i="31"/>
  <c r="A10" i="31"/>
  <c r="A8" i="31"/>
  <c r="A7" i="31"/>
  <c r="A5" i="31"/>
  <c r="A4" i="31"/>
  <c r="A3" i="31"/>
  <c r="C9" i="1"/>
  <c r="F95" i="26"/>
  <c r="F94" i="26"/>
  <c r="F93" i="26"/>
  <c r="I25" i="26"/>
  <c r="I22" i="26"/>
  <c r="I21" i="26"/>
  <c r="I20" i="26"/>
  <c r="D27" i="26"/>
  <c r="D49" i="26" s="1"/>
  <c r="D28" i="26"/>
  <c r="D50" i="26" s="1"/>
  <c r="D29" i="26"/>
  <c r="D51" i="26" s="1"/>
  <c r="D30" i="26"/>
  <c r="D52" i="26" s="1"/>
  <c r="D31" i="26"/>
  <c r="D53" i="26" s="1"/>
  <c r="C42" i="26"/>
  <c r="C39" i="26"/>
  <c r="C40" i="26"/>
  <c r="C41" i="26"/>
  <c r="C35" i="26"/>
  <c r="C57" i="26" s="1"/>
  <c r="C36" i="26"/>
  <c r="C37" i="26"/>
  <c r="C38" i="26"/>
  <c r="C24" i="26"/>
  <c r="C46" i="26" s="1"/>
  <c r="C25" i="26"/>
  <c r="C47" i="26" s="1"/>
  <c r="C26" i="26"/>
  <c r="C48" i="26" s="1"/>
  <c r="C27" i="26"/>
  <c r="C49" i="26" s="1"/>
  <c r="C28" i="26"/>
  <c r="C50" i="26" s="1"/>
  <c r="C29" i="26"/>
  <c r="C51" i="26" s="1"/>
  <c r="C30" i="26"/>
  <c r="C52" i="26" s="1"/>
  <c r="C31" i="26"/>
  <c r="C53" i="26" s="1"/>
  <c r="C32" i="26"/>
  <c r="C54" i="26" s="1"/>
  <c r="C33" i="26"/>
  <c r="C55" i="26" s="1"/>
  <c r="C34" i="26"/>
  <c r="C56" i="26" s="1"/>
  <c r="C23" i="26"/>
  <c r="C45" i="26" s="1"/>
  <c r="C72" i="5" l="1"/>
  <c r="K47" i="19" l="1"/>
  <c r="D93" i="22"/>
  <c r="D94" i="22"/>
  <c r="D95" i="22"/>
  <c r="D96" i="22"/>
  <c r="D97" i="22"/>
  <c r="D92" i="22"/>
  <c r="E42" i="6"/>
  <c r="E15" i="6"/>
  <c r="E39" i="22"/>
  <c r="L29" i="22"/>
  <c r="C40" i="5" l="1"/>
  <c r="E62" i="2" s="1"/>
  <c r="F22" i="19" s="1"/>
  <c r="K75" i="19" s="1"/>
  <c r="C39" i="5"/>
  <c r="E22" i="25" l="1"/>
  <c r="G22" i="25" s="1"/>
  <c r="J31" i="25"/>
  <c r="D98" i="22" l="1"/>
  <c r="W48" i="19"/>
  <c r="AC48" i="19"/>
  <c r="Z48" i="19"/>
  <c r="AC56" i="19"/>
  <c r="Q69" i="19"/>
  <c r="K103" i="19"/>
  <c r="C19" i="28" s="1"/>
  <c r="W93" i="19"/>
  <c r="C18" i="28" s="1"/>
  <c r="S45" i="15"/>
  <c r="K73" i="19"/>
  <c r="C22" i="28" s="1"/>
  <c r="Q47" i="19" l="1"/>
  <c r="T93" i="19" l="1"/>
  <c r="C28" i="28" s="1"/>
  <c r="H27" i="19"/>
  <c r="H20" i="19"/>
  <c r="H72" i="19"/>
  <c r="F8" i="19"/>
  <c r="G9" i="19" l="1"/>
  <c r="X49" i="19" s="1"/>
  <c r="K6" i="19"/>
  <c r="Q93" i="19" l="1"/>
  <c r="C25" i="28" s="1"/>
  <c r="H68" i="19"/>
  <c r="D106" i="22"/>
  <c r="E104" i="22"/>
  <c r="N92" i="19"/>
  <c r="H66" i="19"/>
  <c r="K92" i="19"/>
  <c r="W83" i="19"/>
  <c r="T83" i="19"/>
  <c r="Q83" i="19"/>
  <c r="N82" i="19"/>
  <c r="T47" i="19"/>
  <c r="N47" i="19"/>
  <c r="H64" i="19"/>
  <c r="H62" i="19"/>
  <c r="H60" i="19"/>
  <c r="H58" i="19"/>
  <c r="H56" i="19"/>
  <c r="H32" i="19"/>
  <c r="G97" i="22"/>
  <c r="D40" i="24" s="1"/>
  <c r="G96" i="22"/>
  <c r="D39" i="24" s="1"/>
  <c r="G95" i="22"/>
  <c r="D38" i="24" s="1"/>
  <c r="G94" i="22"/>
  <c r="E108" i="22" s="1"/>
  <c r="G93" i="22"/>
  <c r="D36" i="24" s="1"/>
  <c r="G92" i="22"/>
  <c r="E106" i="22" s="1"/>
  <c r="D35" i="24"/>
  <c r="F22" i="1"/>
  <c r="F23" i="1"/>
  <c r="F24" i="1"/>
  <c r="F25" i="1"/>
  <c r="F26" i="1"/>
  <c r="F18" i="1"/>
  <c r="F19" i="1"/>
  <c r="F20" i="1"/>
  <c r="F21" i="1"/>
  <c r="F16" i="1"/>
  <c r="F17" i="1"/>
  <c r="F11" i="1"/>
  <c r="F12" i="1"/>
  <c r="F13" i="1"/>
  <c r="F14" i="1"/>
  <c r="F15" i="1"/>
  <c r="F9" i="1"/>
  <c r="F10" i="1"/>
  <c r="F6" i="1"/>
  <c r="F7" i="1"/>
  <c r="F4" i="1"/>
  <c r="K83" i="19"/>
  <c r="C24" i="28" s="1"/>
  <c r="H30" i="19"/>
  <c r="W37" i="19"/>
  <c r="Z37" i="19"/>
  <c r="W72" i="19"/>
  <c r="C21" i="28" s="1"/>
  <c r="T73" i="19"/>
  <c r="C20" i="28" s="1"/>
  <c r="T37" i="19"/>
  <c r="Q37" i="19"/>
  <c r="N36" i="19"/>
  <c r="Q73" i="19"/>
  <c r="C17" i="28" s="1"/>
  <c r="K37" i="19"/>
  <c r="N73" i="19"/>
  <c r="C23" i="28" s="1"/>
  <c r="Q18" i="19"/>
  <c r="T18" i="19"/>
  <c r="C19" i="1"/>
  <c r="C17" i="1"/>
  <c r="C18" i="1"/>
  <c r="C16" i="1"/>
  <c r="H17" i="19"/>
  <c r="C12" i="1"/>
  <c r="C13" i="1"/>
  <c r="C11" i="1"/>
  <c r="N17" i="19"/>
  <c r="C8" i="1"/>
  <c r="C10" i="1"/>
  <c r="C7" i="1"/>
  <c r="K18" i="19"/>
  <c r="Z4" i="19"/>
  <c r="W4" i="19"/>
  <c r="T4" i="19"/>
  <c r="F6" i="19"/>
  <c r="Q5" i="19" s="1"/>
  <c r="Q12" i="19" s="1"/>
  <c r="D18" i="1" s="1"/>
  <c r="Q4" i="19"/>
  <c r="N4" i="19"/>
  <c r="C5" i="1"/>
  <c r="K69" i="19"/>
  <c r="L27" i="19"/>
  <c r="O27" i="19"/>
  <c r="X27" i="19"/>
  <c r="AA27" i="19"/>
  <c r="AA12" i="19"/>
  <c r="X12" i="19"/>
  <c r="R12" i="19"/>
  <c r="Z56" i="19"/>
  <c r="T56" i="19"/>
  <c r="Q56" i="19"/>
  <c r="N56" i="19"/>
  <c r="K56" i="19"/>
  <c r="Z45" i="19"/>
  <c r="W45" i="19"/>
  <c r="T45" i="19"/>
  <c r="Q45" i="19"/>
  <c r="N45" i="19"/>
  <c r="K45" i="19"/>
  <c r="Z27" i="19"/>
  <c r="O12" i="19"/>
  <c r="W27" i="19"/>
  <c r="T27" i="19"/>
  <c r="K61" i="19"/>
  <c r="K4" i="19"/>
  <c r="E48" i="25"/>
  <c r="G48" i="25" s="1"/>
  <c r="E87" i="22"/>
  <c r="E5" i="27"/>
  <c r="C5" i="27"/>
  <c r="L5" i="27" s="1"/>
  <c r="E7" i="2"/>
  <c r="E25" i="2" l="1"/>
  <c r="D37" i="24"/>
  <c r="D112" i="22"/>
  <c r="F67" i="19" s="1"/>
  <c r="E111" i="22"/>
  <c r="E107" i="22"/>
  <c r="E109" i="22"/>
  <c r="E110" i="22"/>
  <c r="G7" i="19"/>
  <c r="L6" i="19" s="1"/>
  <c r="F6" i="25"/>
  <c r="Q94" i="19" l="1"/>
  <c r="Q101" i="19" s="1"/>
  <c r="Z84" i="19" s="1"/>
  <c r="G68" i="19"/>
  <c r="L11" i="19" s="1"/>
  <c r="G6" i="25"/>
  <c r="D25" i="28" l="1"/>
  <c r="D35" i="26" s="1"/>
  <c r="D57" i="26" s="1"/>
  <c r="R101" i="19"/>
  <c r="E43" i="25"/>
  <c r="G43" i="25" s="1"/>
  <c r="E38" i="25"/>
  <c r="G38" i="25" s="1"/>
  <c r="E33" i="25"/>
  <c r="G33" i="25" s="1"/>
  <c r="C40" i="27"/>
  <c r="I40" i="27" s="1"/>
  <c r="I39" i="27"/>
  <c r="H39" i="27"/>
  <c r="G39" i="27"/>
  <c r="F39" i="27"/>
  <c r="E39" i="27"/>
  <c r="D39" i="27"/>
  <c r="K8" i="27"/>
  <c r="C8" i="27" s="1"/>
  <c r="G5" i="27"/>
  <c r="E1" i="27"/>
  <c r="C41" i="27" l="1"/>
  <c r="I41" i="27" s="1"/>
  <c r="F40" i="27"/>
  <c r="C9" i="27"/>
  <c r="D8" i="27"/>
  <c r="E8" i="27" s="1"/>
  <c r="F69" i="19" s="1"/>
  <c r="H8" i="27"/>
  <c r="F71" i="19" s="1"/>
  <c r="G40" i="27"/>
  <c r="D40" i="27"/>
  <c r="H40" i="27"/>
  <c r="E40" i="27"/>
  <c r="G70" i="19" l="1"/>
  <c r="X50" i="19" s="1"/>
  <c r="T94" i="19"/>
  <c r="W49" i="19"/>
  <c r="G72" i="19"/>
  <c r="L12" i="19" s="1"/>
  <c r="E41" i="27"/>
  <c r="C42" i="27"/>
  <c r="F42" i="27" s="1"/>
  <c r="H41" i="27"/>
  <c r="F41" i="27"/>
  <c r="D41" i="27"/>
  <c r="G41" i="27"/>
  <c r="F8" i="27"/>
  <c r="I8" i="27" s="1"/>
  <c r="D9" i="27" s="1"/>
  <c r="E9" i="27" s="1"/>
  <c r="H5" i="27"/>
  <c r="I5" i="27" s="1"/>
  <c r="C10" i="27"/>
  <c r="G8" i="27"/>
  <c r="C43" i="27"/>
  <c r="D42" i="27"/>
  <c r="G42" i="27" l="1"/>
  <c r="Z85" i="19"/>
  <c r="T101" i="19"/>
  <c r="D28" i="28" s="1"/>
  <c r="D38" i="26" s="1"/>
  <c r="G54" i="26" s="1"/>
  <c r="E42" i="27"/>
  <c r="X56" i="19"/>
  <c r="G7" i="1" s="1"/>
  <c r="G6" i="1" s="1"/>
  <c r="J25" i="26" s="1"/>
  <c r="J24" i="26" s="1"/>
  <c r="W56" i="19"/>
  <c r="I42" i="27"/>
  <c r="H42" i="27"/>
  <c r="F9" i="27"/>
  <c r="C11" i="27"/>
  <c r="H43" i="27"/>
  <c r="D43" i="27"/>
  <c r="G43" i="27"/>
  <c r="C44" i="27"/>
  <c r="F43" i="27"/>
  <c r="I43" i="27"/>
  <c r="E43" i="27"/>
  <c r="H9" i="27"/>
  <c r="G55" i="26" l="1"/>
  <c r="G61" i="26" s="1"/>
  <c r="H34" i="26"/>
  <c r="D95" i="26" s="1"/>
  <c r="D91" i="26"/>
  <c r="U101" i="19"/>
  <c r="I44" i="27"/>
  <c r="E44" i="27"/>
  <c r="H44" i="27"/>
  <c r="D44" i="27"/>
  <c r="G44" i="27"/>
  <c r="F44" i="27"/>
  <c r="C45" i="27"/>
  <c r="G9" i="27"/>
  <c r="C12" i="27"/>
  <c r="I9" i="27"/>
  <c r="D10" i="27" s="1"/>
  <c r="G56" i="26" l="1"/>
  <c r="C46" i="27"/>
  <c r="F45" i="27"/>
  <c r="I45" i="27"/>
  <c r="E45" i="27"/>
  <c r="H45" i="27"/>
  <c r="D45" i="27"/>
  <c r="G45" i="27"/>
  <c r="C13" i="27"/>
  <c r="E10" i="27"/>
  <c r="F10" i="27" s="1"/>
  <c r="H10" i="27"/>
  <c r="D78" i="26" l="1"/>
  <c r="D96" i="26" s="1"/>
  <c r="D97" i="26" s="1"/>
  <c r="G94" i="26" s="1"/>
  <c r="D61" i="26"/>
  <c r="I10" i="27"/>
  <c r="D11" i="27" s="1"/>
  <c r="H11" i="27" s="1"/>
  <c r="C14" i="27"/>
  <c r="G10" i="27"/>
  <c r="G46" i="27"/>
  <c r="C47" i="27"/>
  <c r="F46" i="27"/>
  <c r="I46" i="27"/>
  <c r="E46" i="27"/>
  <c r="H46" i="27"/>
  <c r="D46" i="27"/>
  <c r="E11" i="27" l="1"/>
  <c r="G11" i="27" s="1"/>
  <c r="H47" i="27"/>
  <c r="D47" i="27"/>
  <c r="G47" i="27"/>
  <c r="C48" i="27"/>
  <c r="F47" i="27"/>
  <c r="I47" i="27"/>
  <c r="E47" i="27"/>
  <c r="C15" i="27"/>
  <c r="F11" i="27" l="1"/>
  <c r="I11" i="27" s="1"/>
  <c r="D12" i="27" s="1"/>
  <c r="E12" i="27" s="1"/>
  <c r="I48" i="27"/>
  <c r="E48" i="27"/>
  <c r="H48" i="27"/>
  <c r="D48" i="27"/>
  <c r="G48" i="27"/>
  <c r="C49" i="27"/>
  <c r="F48" i="27"/>
  <c r="C16" i="27"/>
  <c r="F12" i="27" l="1"/>
  <c r="H12" i="27"/>
  <c r="G12" i="27" s="1"/>
  <c r="C17" i="27"/>
  <c r="C50" i="27"/>
  <c r="F49" i="27"/>
  <c r="I49" i="27"/>
  <c r="E49" i="27"/>
  <c r="H49" i="27"/>
  <c r="D49" i="27"/>
  <c r="G49" i="27"/>
  <c r="I12" i="27" l="1"/>
  <c r="D13" i="27" s="1"/>
  <c r="E13" i="27" s="1"/>
  <c r="F13" i="27" s="1"/>
  <c r="H13" i="27"/>
  <c r="I13" i="27" s="1"/>
  <c r="D14" i="27" s="1"/>
  <c r="C18" i="27"/>
  <c r="G50" i="27"/>
  <c r="C51" i="27"/>
  <c r="F50" i="27"/>
  <c r="I50" i="27"/>
  <c r="E50" i="27"/>
  <c r="H50" i="27"/>
  <c r="D50" i="27"/>
  <c r="G13" i="27" l="1"/>
  <c r="C19" i="27"/>
  <c r="H51" i="27"/>
  <c r="D51" i="27"/>
  <c r="G51" i="27"/>
  <c r="C52" i="27"/>
  <c r="F51" i="27"/>
  <c r="E51" i="27"/>
  <c r="I51" i="27"/>
  <c r="E14" i="27"/>
  <c r="F14" i="27" s="1"/>
  <c r="H14" i="27"/>
  <c r="I14" i="27" l="1"/>
  <c r="D15" i="27" s="1"/>
  <c r="E15" i="27" s="1"/>
  <c r="F15" i="27" s="1"/>
  <c r="I52" i="27"/>
  <c r="E52" i="27"/>
  <c r="H52" i="27"/>
  <c r="D52" i="27"/>
  <c r="G52" i="27"/>
  <c r="C53" i="27"/>
  <c r="F52" i="27"/>
  <c r="C20" i="27"/>
  <c r="G14" i="27"/>
  <c r="H15" i="27" l="1"/>
  <c r="G15" i="27" s="1"/>
  <c r="C21" i="27"/>
  <c r="C54" i="27"/>
  <c r="F53" i="27"/>
  <c r="I53" i="27"/>
  <c r="E53" i="27"/>
  <c r="H53" i="27"/>
  <c r="D53" i="27"/>
  <c r="G53" i="27"/>
  <c r="I15" i="27" l="1"/>
  <c r="D16" i="27" s="1"/>
  <c r="H16" i="27" s="1"/>
  <c r="C22" i="27"/>
  <c r="G54" i="27"/>
  <c r="C55" i="27"/>
  <c r="F54" i="27"/>
  <c r="I54" i="27"/>
  <c r="E54" i="27"/>
  <c r="H54" i="27"/>
  <c r="D54" i="27"/>
  <c r="E16" i="27" l="1"/>
  <c r="F16" i="27" s="1"/>
  <c r="I16" i="27" s="1"/>
  <c r="D17" i="27" s="1"/>
  <c r="H55" i="27"/>
  <c r="D55" i="27"/>
  <c r="G55" i="27"/>
  <c r="C56" i="27"/>
  <c r="F55" i="27"/>
  <c r="I55" i="27"/>
  <c r="E55" i="27"/>
  <c r="C23" i="27"/>
  <c r="G16" i="27" l="1"/>
  <c r="C24" i="27"/>
  <c r="I56" i="27"/>
  <c r="E56" i="27"/>
  <c r="H56" i="27"/>
  <c r="D56" i="27"/>
  <c r="G56" i="27"/>
  <c r="F56" i="27"/>
  <c r="C57" i="27"/>
  <c r="E17" i="27"/>
  <c r="F17" i="27" s="1"/>
  <c r="H17" i="27"/>
  <c r="G17" i="27" s="1"/>
  <c r="I17" i="27" l="1"/>
  <c r="D18" i="27" s="1"/>
  <c r="E18" i="27" s="1"/>
  <c r="F18" i="27" s="1"/>
  <c r="C58" i="27"/>
  <c r="F57" i="27"/>
  <c r="I57" i="27"/>
  <c r="E57" i="27"/>
  <c r="H57" i="27"/>
  <c r="D57" i="27"/>
  <c r="G57" i="27"/>
  <c r="C25" i="27"/>
  <c r="H18" i="27" l="1"/>
  <c r="I18" i="27" s="1"/>
  <c r="D19" i="27" s="1"/>
  <c r="G58" i="27"/>
  <c r="C59" i="27"/>
  <c r="F58" i="27"/>
  <c r="I58" i="27"/>
  <c r="E58" i="27"/>
  <c r="D58" i="27"/>
  <c r="H58" i="27"/>
  <c r="C26" i="27"/>
  <c r="E19" i="27" l="1"/>
  <c r="F19" i="27" s="1"/>
  <c r="H19" i="27"/>
  <c r="G19" i="27" s="1"/>
  <c r="G18" i="27"/>
  <c r="C27" i="27"/>
  <c r="H59" i="27"/>
  <c r="D59" i="27"/>
  <c r="G59" i="27"/>
  <c r="C60" i="27"/>
  <c r="F59" i="27"/>
  <c r="I59" i="27"/>
  <c r="E59" i="27"/>
  <c r="I19" i="27" l="1"/>
  <c r="D20" i="27" s="1"/>
  <c r="H20" i="27" s="1"/>
  <c r="C28" i="27"/>
  <c r="I60" i="27"/>
  <c r="E60" i="27"/>
  <c r="H60" i="27"/>
  <c r="D60" i="27"/>
  <c r="G60" i="27"/>
  <c r="F60" i="27"/>
  <c r="C61" i="27"/>
  <c r="E20" i="27" l="1"/>
  <c r="F20" i="27" s="1"/>
  <c r="I20" i="27" s="1"/>
  <c r="D21" i="27" s="1"/>
  <c r="H21" i="27" s="1"/>
  <c r="C29" i="27"/>
  <c r="C62" i="27"/>
  <c r="F61" i="27"/>
  <c r="I61" i="27"/>
  <c r="E61" i="27"/>
  <c r="H61" i="27"/>
  <c r="D61" i="27"/>
  <c r="G61" i="27"/>
  <c r="E21" i="27" l="1"/>
  <c r="F21" i="27" s="1"/>
  <c r="I21" i="27" s="1"/>
  <c r="D22" i="27" s="1"/>
  <c r="H22" i="27" s="1"/>
  <c r="G20" i="27"/>
  <c r="G62" i="27"/>
  <c r="C63" i="27"/>
  <c r="F62" i="27"/>
  <c r="I62" i="27"/>
  <c r="E62" i="27"/>
  <c r="H62" i="27"/>
  <c r="D62" i="27"/>
  <c r="C30" i="27"/>
  <c r="G21" i="27" l="1"/>
  <c r="E22" i="27"/>
  <c r="G22" i="27" s="1"/>
  <c r="C31" i="27"/>
  <c r="H63" i="27"/>
  <c r="D63" i="27"/>
  <c r="G63" i="27"/>
  <c r="C64" i="27"/>
  <c r="F63" i="27"/>
  <c r="I63" i="27"/>
  <c r="E63" i="27"/>
  <c r="F22" i="27" l="1"/>
  <c r="I22" i="27" s="1"/>
  <c r="D23" i="27" s="1"/>
  <c r="H23" i="27" s="1"/>
  <c r="C32" i="27"/>
  <c r="I64" i="27"/>
  <c r="E64" i="27"/>
  <c r="H64" i="27"/>
  <c r="D64" i="27"/>
  <c r="G64" i="27"/>
  <c r="C65" i="27"/>
  <c r="F64" i="27"/>
  <c r="E23" i="27" l="1"/>
  <c r="F23" i="27" s="1"/>
  <c r="I23" i="27"/>
  <c r="D24" i="27" s="1"/>
  <c r="H24" i="27" s="1"/>
  <c r="G23" i="27"/>
  <c r="C66" i="27"/>
  <c r="F65" i="27"/>
  <c r="I65" i="27"/>
  <c r="E65" i="27"/>
  <c r="H65" i="27"/>
  <c r="D65" i="27"/>
  <c r="G65" i="27"/>
  <c r="C33" i="27"/>
  <c r="E24" i="27" l="1"/>
  <c r="F24" i="27" s="1"/>
  <c r="I24" i="27" s="1"/>
  <c r="D25" i="27" s="1"/>
  <c r="H25" i="27" s="1"/>
  <c r="C34" i="27"/>
  <c r="G66" i="27"/>
  <c r="C67" i="27"/>
  <c r="F66" i="27"/>
  <c r="I66" i="27"/>
  <c r="E66" i="27"/>
  <c r="H66" i="27"/>
  <c r="D66" i="27"/>
  <c r="G24" i="27" l="1"/>
  <c r="E25" i="27"/>
  <c r="G25" i="27" s="1"/>
  <c r="C35" i="27"/>
  <c r="H67" i="27"/>
  <c r="D67" i="27"/>
  <c r="G67" i="27"/>
  <c r="C68" i="27"/>
  <c r="F67" i="27"/>
  <c r="E67" i="27"/>
  <c r="I67" i="27"/>
  <c r="F25" i="27" l="1"/>
  <c r="I25" i="27" s="1"/>
  <c r="D26" i="27" s="1"/>
  <c r="H26" i="27" s="1"/>
  <c r="I68" i="27"/>
  <c r="E68" i="27"/>
  <c r="H68" i="27"/>
  <c r="D68" i="27"/>
  <c r="G68" i="27"/>
  <c r="C69" i="27"/>
  <c r="F68" i="27"/>
  <c r="C36" i="27"/>
  <c r="E26" i="27" l="1"/>
  <c r="F26" i="27" s="1"/>
  <c r="I26" i="27" s="1"/>
  <c r="D27" i="27" s="1"/>
  <c r="G26" i="27"/>
  <c r="H27" i="27"/>
  <c r="E27" i="27"/>
  <c r="F27" i="27" s="1"/>
  <c r="C37" i="27"/>
  <c r="C70" i="27"/>
  <c r="F69" i="27"/>
  <c r="I69" i="27"/>
  <c r="E69" i="27"/>
  <c r="H69" i="27"/>
  <c r="D69" i="27"/>
  <c r="G69" i="27"/>
  <c r="I27" i="27" l="1"/>
  <c r="D28" i="27" s="1"/>
  <c r="G27" i="27"/>
  <c r="H28" i="27"/>
  <c r="E28" i="27"/>
  <c r="F28" i="27" s="1"/>
  <c r="C38" i="27"/>
  <c r="G70" i="27"/>
  <c r="C71" i="27"/>
  <c r="F70" i="27"/>
  <c r="I70" i="27"/>
  <c r="E70" i="27"/>
  <c r="D70" i="27"/>
  <c r="H70" i="27"/>
  <c r="G28" i="27" l="1"/>
  <c r="I28" i="27"/>
  <c r="D29" i="27" s="1"/>
  <c r="H29" i="27" s="1"/>
  <c r="E29" i="27"/>
  <c r="H71" i="27"/>
  <c r="D71" i="27"/>
  <c r="G71" i="27"/>
  <c r="C72" i="27"/>
  <c r="F71" i="27"/>
  <c r="I71" i="27"/>
  <c r="E71" i="27"/>
  <c r="G29" i="27" l="1"/>
  <c r="F29" i="27"/>
  <c r="I29" i="27" s="1"/>
  <c r="D30" i="27" s="1"/>
  <c r="I72" i="27"/>
  <c r="E72" i="27"/>
  <c r="H72" i="27"/>
  <c r="D72" i="27"/>
  <c r="G72" i="27"/>
  <c r="C73" i="27"/>
  <c r="F72" i="27"/>
  <c r="H30" i="27" l="1"/>
  <c r="E30" i="27"/>
  <c r="F30" i="27" s="1"/>
  <c r="C74" i="27"/>
  <c r="F73" i="27"/>
  <c r="I73" i="27"/>
  <c r="E73" i="27"/>
  <c r="H73" i="27"/>
  <c r="D73" i="27"/>
  <c r="G73" i="27"/>
  <c r="I30" i="27" l="1"/>
  <c r="D31" i="27" s="1"/>
  <c r="E31" i="27" s="1"/>
  <c r="F31" i="27" s="1"/>
  <c r="H31" i="27"/>
  <c r="G30" i="27"/>
  <c r="G74" i="27"/>
  <c r="C75" i="27"/>
  <c r="F74" i="27"/>
  <c r="I74" i="27"/>
  <c r="E74" i="27"/>
  <c r="D74" i="27"/>
  <c r="H74" i="27"/>
  <c r="G31" i="27" l="1"/>
  <c r="I31" i="27"/>
  <c r="D32" i="27" s="1"/>
  <c r="H75" i="27"/>
  <c r="D75" i="27"/>
  <c r="G75" i="27"/>
  <c r="C76" i="27"/>
  <c r="F75" i="27"/>
  <c r="I75" i="27"/>
  <c r="E75" i="27"/>
  <c r="E32" i="27" l="1"/>
  <c r="F32" i="27" s="1"/>
  <c r="H32" i="27"/>
  <c r="I76" i="27"/>
  <c r="E76" i="27"/>
  <c r="H76" i="27"/>
  <c r="D76" i="27"/>
  <c r="G76" i="27"/>
  <c r="F76" i="27"/>
  <c r="C77" i="27"/>
  <c r="G32" i="27" l="1"/>
  <c r="I32" i="27"/>
  <c r="D33" i="27" s="1"/>
  <c r="C78" i="27"/>
  <c r="F77" i="27"/>
  <c r="I77" i="27"/>
  <c r="E77" i="27"/>
  <c r="H77" i="27"/>
  <c r="D77" i="27"/>
  <c r="G77" i="27"/>
  <c r="H33" i="27" l="1"/>
  <c r="E33" i="27"/>
  <c r="F33" i="27" s="1"/>
  <c r="G78" i="27"/>
  <c r="C79" i="27"/>
  <c r="F78" i="27"/>
  <c r="I78" i="27"/>
  <c r="E78" i="27"/>
  <c r="H78" i="27"/>
  <c r="D78" i="27"/>
  <c r="I33" i="27" l="1"/>
  <c r="D34" i="27" s="1"/>
  <c r="H34" i="27" s="1"/>
  <c r="G33" i="27"/>
  <c r="H79" i="27"/>
  <c r="D79" i="27"/>
  <c r="G79" i="27"/>
  <c r="C80" i="27"/>
  <c r="F79" i="27"/>
  <c r="E79" i="27"/>
  <c r="I79" i="27"/>
  <c r="E34" i="27" l="1"/>
  <c r="F34" i="27" s="1"/>
  <c r="I34" i="27"/>
  <c r="D35" i="27" s="1"/>
  <c r="I80" i="27"/>
  <c r="E80" i="27"/>
  <c r="H80" i="27"/>
  <c r="D80" i="27"/>
  <c r="G80" i="27"/>
  <c r="C81" i="27"/>
  <c r="F80" i="27"/>
  <c r="G34" i="27" l="1"/>
  <c r="E35" i="27"/>
  <c r="F35" i="27" s="1"/>
  <c r="H35" i="27"/>
  <c r="G35" i="27" s="1"/>
  <c r="C82" i="27"/>
  <c r="F81" i="27"/>
  <c r="I81" i="27"/>
  <c r="E81" i="27"/>
  <c r="H81" i="27"/>
  <c r="D81" i="27"/>
  <c r="G81" i="27"/>
  <c r="I35" i="27" l="1"/>
  <c r="D36" i="27" s="1"/>
  <c r="E36" i="27" s="1"/>
  <c r="F36" i="27" s="1"/>
  <c r="G82" i="27"/>
  <c r="C83" i="27"/>
  <c r="F82" i="27"/>
  <c r="I82" i="27"/>
  <c r="E82" i="27"/>
  <c r="H82" i="27"/>
  <c r="D82" i="27"/>
  <c r="H36" i="27" l="1"/>
  <c r="G36" i="27" s="1"/>
  <c r="H83" i="27"/>
  <c r="D83" i="27"/>
  <c r="G83" i="27"/>
  <c r="C84" i="27"/>
  <c r="F83" i="27"/>
  <c r="E83" i="27"/>
  <c r="I83" i="27"/>
  <c r="I36" i="27" l="1"/>
  <c r="D37" i="27" s="1"/>
  <c r="E37" i="27"/>
  <c r="F37" i="27" s="1"/>
  <c r="H37" i="27"/>
  <c r="I84" i="27"/>
  <c r="E84" i="27"/>
  <c r="H84" i="27"/>
  <c r="D84" i="27"/>
  <c r="G84" i="27"/>
  <c r="C85" i="27"/>
  <c r="F84" i="27"/>
  <c r="G37" i="27" l="1"/>
  <c r="I37" i="27"/>
  <c r="D38" i="27" s="1"/>
  <c r="C86" i="27"/>
  <c r="F85" i="27"/>
  <c r="I85" i="27"/>
  <c r="E85" i="27"/>
  <c r="H85" i="27"/>
  <c r="D85" i="27"/>
  <c r="G85" i="27"/>
  <c r="E38" i="27" l="1"/>
  <c r="F38" i="27" s="1"/>
  <c r="H38" i="27"/>
  <c r="G86" i="27"/>
  <c r="C87" i="27"/>
  <c r="F86" i="27"/>
  <c r="I86" i="27"/>
  <c r="E86" i="27"/>
  <c r="D86" i="27"/>
  <c r="H86" i="27"/>
  <c r="G38" i="27" l="1"/>
  <c r="I38" i="27"/>
  <c r="H87" i="27"/>
  <c r="D87" i="27"/>
  <c r="G87" i="27"/>
  <c r="C88" i="27"/>
  <c r="F87" i="27"/>
  <c r="I87" i="27"/>
  <c r="E87" i="27"/>
  <c r="I88" i="27" l="1"/>
  <c r="E88" i="27"/>
  <c r="H88" i="27"/>
  <c r="D88" i="27"/>
  <c r="G88" i="27"/>
  <c r="F88" i="27"/>
  <c r="C89" i="27"/>
  <c r="C90" i="27" l="1"/>
  <c r="F89" i="27"/>
  <c r="I89" i="27"/>
  <c r="E89" i="27"/>
  <c r="H89" i="27"/>
  <c r="D89" i="27"/>
  <c r="G89" i="27"/>
  <c r="G90" i="27" l="1"/>
  <c r="C91" i="27"/>
  <c r="F90" i="27"/>
  <c r="I90" i="27"/>
  <c r="E90" i="27"/>
  <c r="D90" i="27"/>
  <c r="H90" i="27"/>
  <c r="H91" i="27" l="1"/>
  <c r="D91" i="27"/>
  <c r="G91" i="27"/>
  <c r="C92" i="27"/>
  <c r="F91" i="27"/>
  <c r="I91" i="27"/>
  <c r="E91" i="27"/>
  <c r="I92" i="27" l="1"/>
  <c r="E92" i="27"/>
  <c r="H92" i="27"/>
  <c r="D92" i="27"/>
  <c r="G92" i="27"/>
  <c r="F92" i="27"/>
  <c r="C93" i="27"/>
  <c r="C94" i="27" l="1"/>
  <c r="F93" i="27"/>
  <c r="I93" i="27"/>
  <c r="E93" i="27"/>
  <c r="H93" i="27"/>
  <c r="D93" i="27"/>
  <c r="G93" i="27"/>
  <c r="G94" i="27" l="1"/>
  <c r="C95" i="27"/>
  <c r="F94" i="27"/>
  <c r="I94" i="27"/>
  <c r="E94" i="27"/>
  <c r="H94" i="27"/>
  <c r="D94" i="27"/>
  <c r="H95" i="27" l="1"/>
  <c r="D95" i="27"/>
  <c r="G95" i="27"/>
  <c r="C96" i="27"/>
  <c r="F95" i="27"/>
  <c r="E95" i="27"/>
  <c r="I95" i="27"/>
  <c r="I96" i="27" l="1"/>
  <c r="E96" i="27"/>
  <c r="H96" i="27"/>
  <c r="D96" i="27"/>
  <c r="G96" i="27"/>
  <c r="C97" i="27"/>
  <c r="F96" i="27"/>
  <c r="C98" i="27" l="1"/>
  <c r="F97" i="27"/>
  <c r="I97" i="27"/>
  <c r="E97" i="27"/>
  <c r="H97" i="27"/>
  <c r="D97" i="27"/>
  <c r="G97" i="27"/>
  <c r="G98" i="27" l="1"/>
  <c r="C99" i="27"/>
  <c r="F98" i="27"/>
  <c r="I98" i="27"/>
  <c r="E98" i="27"/>
  <c r="H98" i="27"/>
  <c r="D98" i="27"/>
  <c r="H99" i="27" l="1"/>
  <c r="D99" i="27"/>
  <c r="G99" i="27"/>
  <c r="C100" i="27"/>
  <c r="F99" i="27"/>
  <c r="E99" i="27"/>
  <c r="I99" i="27"/>
  <c r="I100" i="27" l="1"/>
  <c r="E100" i="27"/>
  <c r="H100" i="27"/>
  <c r="D100" i="27"/>
  <c r="G100" i="27"/>
  <c r="C101" i="27"/>
  <c r="F100" i="27"/>
  <c r="C102" i="27" l="1"/>
  <c r="F101" i="27"/>
  <c r="I101" i="27"/>
  <c r="E101" i="27"/>
  <c r="H101" i="27"/>
  <c r="D101" i="27"/>
  <c r="G101" i="27"/>
  <c r="I102" i="27" l="1"/>
  <c r="E102" i="27"/>
  <c r="H102" i="27"/>
  <c r="C103" i="27"/>
  <c r="G102" i="27"/>
  <c r="F102" i="27"/>
  <c r="D102" i="27"/>
  <c r="C104" i="27" l="1"/>
  <c r="F103" i="27"/>
  <c r="I103" i="27"/>
  <c r="E103" i="27"/>
  <c r="H103" i="27"/>
  <c r="G103" i="27"/>
  <c r="D103" i="27"/>
  <c r="G104" i="27" l="1"/>
  <c r="C105" i="27"/>
  <c r="F104" i="27"/>
  <c r="D104" i="27"/>
  <c r="I104" i="27"/>
  <c r="H104" i="27"/>
  <c r="E104" i="27"/>
  <c r="I105" i="27" l="1"/>
  <c r="E105" i="27"/>
  <c r="H105" i="27"/>
  <c r="D105" i="27"/>
  <c r="G105" i="27"/>
  <c r="F105" i="27"/>
  <c r="C106" i="27"/>
  <c r="C107" i="27" l="1"/>
  <c r="F106" i="27"/>
  <c r="I106" i="27"/>
  <c r="E106" i="27"/>
  <c r="H106" i="27"/>
  <c r="D106" i="27"/>
  <c r="G106" i="27"/>
  <c r="G107" i="27" l="1"/>
  <c r="C108" i="27"/>
  <c r="F107" i="27"/>
  <c r="I107" i="27"/>
  <c r="E107" i="27"/>
  <c r="H107" i="27"/>
  <c r="D107" i="27"/>
  <c r="H108" i="27" l="1"/>
  <c r="D108" i="27"/>
  <c r="G108" i="27"/>
  <c r="C109" i="27"/>
  <c r="F108" i="27"/>
  <c r="I108" i="27"/>
  <c r="E108" i="27"/>
  <c r="I109" i="27" l="1"/>
  <c r="E109" i="27"/>
  <c r="H109" i="27"/>
  <c r="D109" i="27"/>
  <c r="G109" i="27"/>
  <c r="C110" i="27"/>
  <c r="F109" i="27"/>
  <c r="C111" i="27" l="1"/>
  <c r="F110" i="27"/>
  <c r="I110" i="27"/>
  <c r="E110" i="27"/>
  <c r="H110" i="27"/>
  <c r="D110" i="27"/>
  <c r="G110" i="27"/>
  <c r="G111" i="27" l="1"/>
  <c r="C112" i="27"/>
  <c r="F111" i="27"/>
  <c r="I111" i="27"/>
  <c r="E111" i="27"/>
  <c r="H111" i="27"/>
  <c r="D111" i="27"/>
  <c r="H112" i="27" l="1"/>
  <c r="D112" i="27"/>
  <c r="G112" i="27"/>
  <c r="C113" i="27"/>
  <c r="F112" i="27"/>
  <c r="E112" i="27"/>
  <c r="I112" i="27"/>
  <c r="I113" i="27" l="1"/>
  <c r="E113" i="27"/>
  <c r="H113" i="27"/>
  <c r="D113" i="27"/>
  <c r="G113" i="27"/>
  <c r="C114" i="27"/>
  <c r="F113" i="27"/>
  <c r="C115" i="27" l="1"/>
  <c r="F114" i="27"/>
  <c r="I114" i="27"/>
  <c r="E114" i="27"/>
  <c r="H114" i="27"/>
  <c r="D114" i="27"/>
  <c r="G114" i="27"/>
  <c r="G115" i="27" l="1"/>
  <c r="C116" i="27"/>
  <c r="F115" i="27"/>
  <c r="I115" i="27"/>
  <c r="E115" i="27"/>
  <c r="H115" i="27"/>
  <c r="D115" i="27"/>
  <c r="H116" i="27" l="1"/>
  <c r="D116" i="27"/>
  <c r="G116" i="27"/>
  <c r="C117" i="27"/>
  <c r="F116" i="27"/>
  <c r="I116" i="27"/>
  <c r="E116" i="27"/>
  <c r="I117" i="27" l="1"/>
  <c r="E117" i="27"/>
  <c r="H117" i="27"/>
  <c r="D117" i="27"/>
  <c r="G117" i="27"/>
  <c r="C118" i="27"/>
  <c r="F117" i="27"/>
  <c r="C119" i="27" l="1"/>
  <c r="F118" i="27"/>
  <c r="I118" i="27"/>
  <c r="E118" i="27"/>
  <c r="H118" i="27"/>
  <c r="D118" i="27"/>
  <c r="G118" i="27"/>
  <c r="G119" i="27" l="1"/>
  <c r="C120" i="27"/>
  <c r="F119" i="27"/>
  <c r="I119" i="27"/>
  <c r="E119" i="27"/>
  <c r="D119" i="27"/>
  <c r="H119" i="27"/>
  <c r="H120" i="27" l="1"/>
  <c r="D120" i="27"/>
  <c r="G120" i="27"/>
  <c r="C121" i="27"/>
  <c r="F120" i="27"/>
  <c r="I120" i="27"/>
  <c r="E120" i="27"/>
  <c r="I121" i="27" l="1"/>
  <c r="E121" i="27"/>
  <c r="H121" i="27"/>
  <c r="D121" i="27"/>
  <c r="G121" i="27"/>
  <c r="F121" i="27"/>
  <c r="C122" i="27"/>
  <c r="C123" i="27" l="1"/>
  <c r="F122" i="27"/>
  <c r="I122" i="27"/>
  <c r="E122" i="27"/>
  <c r="H122" i="27"/>
  <c r="D122" i="27"/>
  <c r="G122" i="27"/>
  <c r="G123" i="27" l="1"/>
  <c r="C124" i="27"/>
  <c r="F123" i="27"/>
  <c r="I123" i="27"/>
  <c r="E123" i="27"/>
  <c r="H123" i="27"/>
  <c r="D123" i="27"/>
  <c r="H124" i="27" l="1"/>
  <c r="D124" i="27"/>
  <c r="G124" i="27"/>
  <c r="C125" i="27"/>
  <c r="F124" i="27"/>
  <c r="I124" i="27"/>
  <c r="E124" i="27"/>
  <c r="I125" i="27" l="1"/>
  <c r="E125" i="27"/>
  <c r="H125" i="27"/>
  <c r="D125" i="27"/>
  <c r="G125" i="27"/>
  <c r="C126" i="27"/>
  <c r="F125" i="27"/>
  <c r="C127" i="27" l="1"/>
  <c r="F126" i="27"/>
  <c r="I126" i="27"/>
  <c r="E126" i="27"/>
  <c r="H126" i="27"/>
  <c r="D126" i="27"/>
  <c r="G126" i="27"/>
  <c r="G127" i="27" l="1"/>
  <c r="C128" i="27"/>
  <c r="F127" i="27"/>
  <c r="I127" i="27"/>
  <c r="E127" i="27"/>
  <c r="H127" i="27"/>
  <c r="D127" i="27"/>
  <c r="H128" i="27" l="1"/>
  <c r="D128" i="27"/>
  <c r="G128" i="27"/>
  <c r="C129" i="27"/>
  <c r="F128" i="27"/>
  <c r="E128" i="27"/>
  <c r="I128" i="27"/>
  <c r="I129" i="27" l="1"/>
  <c r="E129" i="27"/>
  <c r="H129" i="27"/>
  <c r="D129" i="27"/>
  <c r="G129" i="27"/>
  <c r="C130" i="27"/>
  <c r="F129" i="27"/>
  <c r="C131" i="27" l="1"/>
  <c r="F130" i="27"/>
  <c r="I130" i="27"/>
  <c r="E130" i="27"/>
  <c r="H130" i="27"/>
  <c r="D130" i="27"/>
  <c r="G130" i="27"/>
  <c r="G131" i="27" l="1"/>
  <c r="C132" i="27"/>
  <c r="F131" i="27"/>
  <c r="I131" i="27"/>
  <c r="E131" i="27"/>
  <c r="H131" i="27"/>
  <c r="D131" i="27"/>
  <c r="H132" i="27" l="1"/>
  <c r="D132" i="27"/>
  <c r="G132" i="27"/>
  <c r="C133" i="27"/>
  <c r="F132" i="27"/>
  <c r="I132" i="27"/>
  <c r="E132" i="27"/>
  <c r="I133" i="27" l="1"/>
  <c r="E133" i="27"/>
  <c r="H133" i="27"/>
  <c r="D133" i="27"/>
  <c r="G133" i="27"/>
  <c r="C134" i="27"/>
  <c r="F133" i="27"/>
  <c r="C135" i="27" l="1"/>
  <c r="F134" i="27"/>
  <c r="I134" i="27"/>
  <c r="E134" i="27"/>
  <c r="H134" i="27"/>
  <c r="D134" i="27"/>
  <c r="G134" i="27"/>
  <c r="G135" i="27" l="1"/>
  <c r="C136" i="27"/>
  <c r="F135" i="27"/>
  <c r="I135" i="27"/>
  <c r="E135" i="27"/>
  <c r="D135" i="27"/>
  <c r="H135" i="27"/>
  <c r="H136" i="27" l="1"/>
  <c r="D136" i="27"/>
  <c r="G136" i="27"/>
  <c r="C137" i="27"/>
  <c r="F136" i="27"/>
  <c r="I136" i="27"/>
  <c r="E136" i="27"/>
  <c r="I137" i="27" l="1"/>
  <c r="E137" i="27"/>
  <c r="H137" i="27"/>
  <c r="D137" i="27"/>
  <c r="G137" i="27"/>
  <c r="F137" i="27"/>
  <c r="C138" i="27"/>
  <c r="C139" i="27" l="1"/>
  <c r="F138" i="27"/>
  <c r="I138" i="27"/>
  <c r="E138" i="27"/>
  <c r="H138" i="27"/>
  <c r="D138" i="27"/>
  <c r="G138" i="27"/>
  <c r="G139" i="27" l="1"/>
  <c r="C140" i="27"/>
  <c r="F139" i="27"/>
  <c r="I139" i="27"/>
  <c r="E139" i="27"/>
  <c r="H139" i="27"/>
  <c r="D139" i="27"/>
  <c r="H140" i="27" l="1"/>
  <c r="D140" i="27"/>
  <c r="G140" i="27"/>
  <c r="C141" i="27"/>
  <c r="F140" i="27"/>
  <c r="I140" i="27"/>
  <c r="E140" i="27"/>
  <c r="I141" i="27" l="1"/>
  <c r="E141" i="27"/>
  <c r="H141" i="27"/>
  <c r="D141" i="27"/>
  <c r="G141" i="27"/>
  <c r="C142" i="27"/>
  <c r="F141" i="27"/>
  <c r="C143" i="27" l="1"/>
  <c r="F142" i="27"/>
  <c r="I142" i="27"/>
  <c r="E142" i="27"/>
  <c r="H142" i="27"/>
  <c r="D142" i="27"/>
  <c r="G142" i="27"/>
  <c r="G143" i="27" l="1"/>
  <c r="C144" i="27"/>
  <c r="F143" i="27"/>
  <c r="I143" i="27"/>
  <c r="E143" i="27"/>
  <c r="H143" i="27"/>
  <c r="D143" i="27"/>
  <c r="H144" i="27" l="1"/>
  <c r="D144" i="27"/>
  <c r="G144" i="27"/>
  <c r="C145" i="27"/>
  <c r="F144" i="27"/>
  <c r="E144" i="27"/>
  <c r="I144" i="27"/>
  <c r="I145" i="27" l="1"/>
  <c r="E145" i="27"/>
  <c r="H145" i="27"/>
  <c r="D145" i="27"/>
  <c r="G145" i="27"/>
  <c r="C146" i="27"/>
  <c r="F145" i="27"/>
  <c r="C147" i="27" l="1"/>
  <c r="F146" i="27"/>
  <c r="I146" i="27"/>
  <c r="E146" i="27"/>
  <c r="H146" i="27"/>
  <c r="D146" i="27"/>
  <c r="G146" i="27"/>
  <c r="G147" i="27" l="1"/>
  <c r="C148" i="27"/>
  <c r="F147" i="27"/>
  <c r="I147" i="27"/>
  <c r="E147" i="27"/>
  <c r="H147" i="27"/>
  <c r="D147" i="27"/>
  <c r="H148" i="27" l="1"/>
  <c r="D148" i="27"/>
  <c r="G148" i="27"/>
  <c r="C149" i="27"/>
  <c r="F148" i="27"/>
  <c r="I148" i="27"/>
  <c r="E148" i="27"/>
  <c r="I149" i="27" l="1"/>
  <c r="E149" i="27"/>
  <c r="H149" i="27"/>
  <c r="D149" i="27"/>
  <c r="G149" i="27"/>
  <c r="C150" i="27"/>
  <c r="F149" i="27"/>
  <c r="C151" i="27" l="1"/>
  <c r="F150" i="27"/>
  <c r="I150" i="27"/>
  <c r="E150" i="27"/>
  <c r="H150" i="27"/>
  <c r="D150" i="27"/>
  <c r="G150" i="27"/>
  <c r="G151" i="27" l="1"/>
  <c r="C152" i="27"/>
  <c r="F151" i="27"/>
  <c r="I151" i="27"/>
  <c r="E151" i="27"/>
  <c r="D151" i="27"/>
  <c r="H151" i="27"/>
  <c r="H152" i="27" l="1"/>
  <c r="D152" i="27"/>
  <c r="G152" i="27"/>
  <c r="C153" i="27"/>
  <c r="F152" i="27"/>
  <c r="I152" i="27"/>
  <c r="E152" i="27"/>
  <c r="I153" i="27" l="1"/>
  <c r="E153" i="27"/>
  <c r="H153" i="27"/>
  <c r="D153" i="27"/>
  <c r="G153" i="27"/>
  <c r="F153" i="27"/>
  <c r="C154" i="27"/>
  <c r="C155" i="27" l="1"/>
  <c r="F154" i="27"/>
  <c r="I154" i="27"/>
  <c r="E154" i="27"/>
  <c r="H154" i="27"/>
  <c r="D154" i="27"/>
  <c r="G154" i="27"/>
  <c r="G155" i="27" l="1"/>
  <c r="C156" i="27"/>
  <c r="F155" i="27"/>
  <c r="I155" i="27"/>
  <c r="E155" i="27"/>
  <c r="H155" i="27"/>
  <c r="D155" i="27"/>
  <c r="H156" i="27" l="1"/>
  <c r="D156" i="27"/>
  <c r="G156" i="27"/>
  <c r="C157" i="27"/>
  <c r="F156" i="27"/>
  <c r="I156" i="27"/>
  <c r="E156" i="27"/>
  <c r="I157" i="27" l="1"/>
  <c r="E157" i="27"/>
  <c r="H157" i="27"/>
  <c r="D157" i="27"/>
  <c r="G157" i="27"/>
  <c r="C158" i="27"/>
  <c r="F157" i="27"/>
  <c r="C159" i="27" l="1"/>
  <c r="F158" i="27"/>
  <c r="I158" i="27"/>
  <c r="E158" i="27"/>
  <c r="H158" i="27"/>
  <c r="D158" i="27"/>
  <c r="G158" i="27"/>
  <c r="G159" i="27" l="1"/>
  <c r="C160" i="27"/>
  <c r="F159" i="27"/>
  <c r="I159" i="27"/>
  <c r="E159" i="27"/>
  <c r="H159" i="27"/>
  <c r="D159" i="27"/>
  <c r="H160" i="27" l="1"/>
  <c r="D160" i="27"/>
  <c r="G160" i="27"/>
  <c r="C161" i="27"/>
  <c r="F160" i="27"/>
  <c r="E160" i="27"/>
  <c r="I160" i="27"/>
  <c r="I161" i="27" l="1"/>
  <c r="E161" i="27"/>
  <c r="H161" i="27"/>
  <c r="D161" i="27"/>
  <c r="G161" i="27"/>
  <c r="C162" i="27"/>
  <c r="F161" i="27"/>
  <c r="C163" i="27" l="1"/>
  <c r="F162" i="27"/>
  <c r="I162" i="27"/>
  <c r="E162" i="27"/>
  <c r="H162" i="27"/>
  <c r="D162" i="27"/>
  <c r="G162" i="27"/>
  <c r="G163" i="27" l="1"/>
  <c r="C164" i="27"/>
  <c r="F163" i="27"/>
  <c r="I163" i="27"/>
  <c r="E163" i="27"/>
  <c r="H163" i="27"/>
  <c r="D163" i="27"/>
  <c r="H164" i="27" l="1"/>
  <c r="D164" i="27"/>
  <c r="G164" i="27"/>
  <c r="C165" i="27"/>
  <c r="F164" i="27"/>
  <c r="I164" i="27"/>
  <c r="E164" i="27"/>
  <c r="I165" i="27" l="1"/>
  <c r="E165" i="27"/>
  <c r="H165" i="27"/>
  <c r="D165" i="27"/>
  <c r="G165" i="27"/>
  <c r="C166" i="27"/>
  <c r="F165" i="27"/>
  <c r="C167" i="27" l="1"/>
  <c r="F166" i="27"/>
  <c r="I166" i="27"/>
  <c r="E166" i="27"/>
  <c r="H166" i="27"/>
  <c r="D166" i="27"/>
  <c r="G166" i="27"/>
  <c r="G167" i="27" l="1"/>
  <c r="C168" i="27"/>
  <c r="F167" i="27"/>
  <c r="I167" i="27"/>
  <c r="E167" i="27"/>
  <c r="D167" i="27"/>
  <c r="H167" i="27"/>
  <c r="H168" i="27" l="1"/>
  <c r="D168" i="27"/>
  <c r="G168" i="27"/>
  <c r="C169" i="27"/>
  <c r="F168" i="27"/>
  <c r="I168" i="27"/>
  <c r="E168" i="27"/>
  <c r="I169" i="27" l="1"/>
  <c r="E169" i="27"/>
  <c r="H169" i="27"/>
  <c r="D169" i="27"/>
  <c r="G169" i="27"/>
  <c r="F169" i="27"/>
  <c r="C170" i="27"/>
  <c r="C171" i="27" l="1"/>
  <c r="F170" i="27"/>
  <c r="I170" i="27"/>
  <c r="E170" i="27"/>
  <c r="H170" i="27"/>
  <c r="D170" i="27"/>
  <c r="G170" i="27"/>
  <c r="G171" i="27" l="1"/>
  <c r="C172" i="27"/>
  <c r="F171" i="27"/>
  <c r="I171" i="27"/>
  <c r="E171" i="27"/>
  <c r="H171" i="27"/>
  <c r="D171" i="27"/>
  <c r="H172" i="27" l="1"/>
  <c r="D172" i="27"/>
  <c r="G172" i="27"/>
  <c r="C173" i="27"/>
  <c r="F172" i="27"/>
  <c r="I172" i="27"/>
  <c r="E172" i="27"/>
  <c r="I173" i="27" l="1"/>
  <c r="E173" i="27"/>
  <c r="H173" i="27"/>
  <c r="D173" i="27"/>
  <c r="G173" i="27"/>
  <c r="C174" i="27"/>
  <c r="F173" i="27"/>
  <c r="C175" i="27" l="1"/>
  <c r="F174" i="27"/>
  <c r="I174" i="27"/>
  <c r="E174" i="27"/>
  <c r="H174" i="27"/>
  <c r="G174" i="27"/>
  <c r="D174" i="27"/>
  <c r="G175" i="27" l="1"/>
  <c r="C176" i="27"/>
  <c r="F175" i="27"/>
  <c r="I175" i="27"/>
  <c r="H175" i="27"/>
  <c r="E175" i="27"/>
  <c r="D175" i="27"/>
  <c r="H176" i="27" l="1"/>
  <c r="D176" i="27"/>
  <c r="G176" i="27"/>
  <c r="C177" i="27"/>
  <c r="I176" i="27"/>
  <c r="F176" i="27"/>
  <c r="E176" i="27"/>
  <c r="I177" i="27" l="1"/>
  <c r="E177" i="27"/>
  <c r="H177" i="27"/>
  <c r="D177" i="27"/>
  <c r="C178" i="27"/>
  <c r="G177" i="27"/>
  <c r="F177" i="27"/>
  <c r="C179" i="27" l="1"/>
  <c r="F178" i="27"/>
  <c r="I178" i="27"/>
  <c r="E178" i="27"/>
  <c r="D178" i="27"/>
  <c r="H178" i="27"/>
  <c r="G178" i="27"/>
  <c r="H179" i="27" l="1"/>
  <c r="G179" i="27"/>
  <c r="C180" i="27"/>
  <c r="F179" i="27"/>
  <c r="E179" i="27"/>
  <c r="D179" i="27"/>
  <c r="I179" i="27"/>
  <c r="I180" i="27" l="1"/>
  <c r="E180" i="27"/>
  <c r="H180" i="27"/>
  <c r="D180" i="27"/>
  <c r="G180" i="27"/>
  <c r="C181" i="27"/>
  <c r="F180" i="27"/>
  <c r="C182" i="27" l="1"/>
  <c r="F181" i="27"/>
  <c r="I181" i="27"/>
  <c r="E181" i="27"/>
  <c r="H181" i="27"/>
  <c r="D181" i="27"/>
  <c r="G181" i="27"/>
  <c r="G182" i="27" l="1"/>
  <c r="C183" i="27"/>
  <c r="F182" i="27"/>
  <c r="I182" i="27"/>
  <c r="E182" i="27"/>
  <c r="H182" i="27"/>
  <c r="D182" i="27"/>
  <c r="H183" i="27" l="1"/>
  <c r="D183" i="27"/>
  <c r="G183" i="27"/>
  <c r="C184" i="27"/>
  <c r="F183" i="27"/>
  <c r="I183" i="27"/>
  <c r="E183" i="27"/>
  <c r="I184" i="27" l="1"/>
  <c r="E184" i="27"/>
  <c r="H184" i="27"/>
  <c r="D184" i="27"/>
  <c r="G184" i="27"/>
  <c r="C185" i="27"/>
  <c r="F184" i="27"/>
  <c r="C186" i="27" l="1"/>
  <c r="F185" i="27"/>
  <c r="I185" i="27"/>
  <c r="E185" i="27"/>
  <c r="H185" i="27"/>
  <c r="D185" i="27"/>
  <c r="G185" i="27"/>
  <c r="G186" i="27" l="1"/>
  <c r="C187" i="27"/>
  <c r="F186" i="27"/>
  <c r="I186" i="27"/>
  <c r="E186" i="27"/>
  <c r="D186" i="27"/>
  <c r="H186" i="27"/>
  <c r="H187" i="27" l="1"/>
  <c r="D187" i="27"/>
  <c r="G187" i="27"/>
  <c r="C188" i="27"/>
  <c r="F187" i="27"/>
  <c r="I187" i="27"/>
  <c r="E187" i="27"/>
  <c r="I188" i="27" l="1"/>
  <c r="E188" i="27"/>
  <c r="H188" i="27"/>
  <c r="D188" i="27"/>
  <c r="G188" i="27"/>
  <c r="F188" i="27"/>
  <c r="C189" i="27"/>
  <c r="C190" i="27" l="1"/>
  <c r="F189" i="27"/>
  <c r="I189" i="27"/>
  <c r="E189" i="27"/>
  <c r="H189" i="27"/>
  <c r="D189" i="27"/>
  <c r="G189" i="27"/>
  <c r="G190" i="27" l="1"/>
  <c r="C191" i="27"/>
  <c r="F190" i="27"/>
  <c r="I190" i="27"/>
  <c r="E190" i="27"/>
  <c r="H190" i="27"/>
  <c r="D190" i="27"/>
  <c r="H191" i="27" l="1"/>
  <c r="D191" i="27"/>
  <c r="G191" i="27"/>
  <c r="C192" i="27"/>
  <c r="F191" i="27"/>
  <c r="I191" i="27"/>
  <c r="E191" i="27"/>
  <c r="I192" i="27" l="1"/>
  <c r="E192" i="27"/>
  <c r="H192" i="27"/>
  <c r="D192" i="27"/>
  <c r="G192" i="27"/>
  <c r="C193" i="27"/>
  <c r="F192" i="27"/>
  <c r="C194" i="27" l="1"/>
  <c r="F193" i="27"/>
  <c r="I193" i="27"/>
  <c r="E193" i="27"/>
  <c r="H193" i="27"/>
  <c r="D193" i="27"/>
  <c r="G193" i="27"/>
  <c r="G194" i="27" l="1"/>
  <c r="C195" i="27"/>
  <c r="F194" i="27"/>
  <c r="I194" i="27"/>
  <c r="E194" i="27"/>
  <c r="H194" i="27"/>
  <c r="D194" i="27"/>
  <c r="H195" i="27" l="1"/>
  <c r="D195" i="27"/>
  <c r="G195" i="27"/>
  <c r="C196" i="27"/>
  <c r="F195" i="27"/>
  <c r="E195" i="27"/>
  <c r="I195" i="27"/>
  <c r="I196" i="27" l="1"/>
  <c r="E196" i="27"/>
  <c r="H196" i="27"/>
  <c r="D196" i="27"/>
  <c r="G196" i="27"/>
  <c r="C197" i="27"/>
  <c r="F196" i="27"/>
  <c r="C198" i="27" l="1"/>
  <c r="F197" i="27"/>
  <c r="I197" i="27"/>
  <c r="E197" i="27"/>
  <c r="H197" i="27"/>
  <c r="D197" i="27"/>
  <c r="G197" i="27"/>
  <c r="G198" i="27" l="1"/>
  <c r="C199" i="27"/>
  <c r="F198" i="27"/>
  <c r="I198" i="27"/>
  <c r="E198" i="27"/>
  <c r="H198" i="27"/>
  <c r="D198" i="27"/>
  <c r="H199" i="27" l="1"/>
  <c r="D199" i="27"/>
  <c r="G199" i="27"/>
  <c r="C200" i="27"/>
  <c r="F199" i="27"/>
  <c r="I199" i="27"/>
  <c r="E199" i="27"/>
  <c r="I200" i="27" l="1"/>
  <c r="E200" i="27"/>
  <c r="H200" i="27"/>
  <c r="D200" i="27"/>
  <c r="G200" i="27"/>
  <c r="C201" i="27"/>
  <c r="F200" i="27"/>
  <c r="C202" i="27" l="1"/>
  <c r="F201" i="27"/>
  <c r="I201" i="27"/>
  <c r="E201" i="27"/>
  <c r="H201" i="27"/>
  <c r="D201" i="27"/>
  <c r="G201" i="27"/>
  <c r="G202" i="27" l="1"/>
  <c r="C203" i="27"/>
  <c r="F202" i="27"/>
  <c r="I202" i="27"/>
  <c r="E202" i="27"/>
  <c r="D202" i="27"/>
  <c r="H202" i="27"/>
  <c r="H203" i="27" l="1"/>
  <c r="D203" i="27"/>
  <c r="G203" i="27"/>
  <c r="C204" i="27"/>
  <c r="F203" i="27"/>
  <c r="I203" i="27"/>
  <c r="E203" i="27"/>
  <c r="I204" i="27" l="1"/>
  <c r="E204" i="27"/>
  <c r="H204" i="27"/>
  <c r="D204" i="27"/>
  <c r="G204" i="27"/>
  <c r="F204" i="27"/>
  <c r="C205" i="27"/>
  <c r="C206" i="27" l="1"/>
  <c r="F205" i="27"/>
  <c r="I205" i="27"/>
  <c r="E205" i="27"/>
  <c r="H205" i="27"/>
  <c r="D205" i="27"/>
  <c r="G205" i="27"/>
  <c r="G206" i="27" l="1"/>
  <c r="C207" i="27"/>
  <c r="F206" i="27"/>
  <c r="I206" i="27"/>
  <c r="E206" i="27"/>
  <c r="H206" i="27"/>
  <c r="D206" i="27"/>
  <c r="H207" i="27" l="1"/>
  <c r="D207" i="27"/>
  <c r="G207" i="27"/>
  <c r="C208" i="27"/>
  <c r="F207" i="27"/>
  <c r="I207" i="27"/>
  <c r="E207" i="27"/>
  <c r="I208" i="27" l="1"/>
  <c r="E208" i="27"/>
  <c r="H208" i="27"/>
  <c r="D208" i="27"/>
  <c r="G208" i="27"/>
  <c r="C209" i="27"/>
  <c r="F208" i="27"/>
  <c r="C210" i="27" l="1"/>
  <c r="F209" i="27"/>
  <c r="I209" i="27"/>
  <c r="E209" i="27"/>
  <c r="H209" i="27"/>
  <c r="D209" i="27"/>
  <c r="G209" i="27"/>
  <c r="G210" i="27" l="1"/>
  <c r="C211" i="27"/>
  <c r="F210" i="27"/>
  <c r="I210" i="27"/>
  <c r="E210" i="27"/>
  <c r="H210" i="27"/>
  <c r="D210" i="27"/>
  <c r="H211" i="27" l="1"/>
  <c r="D211" i="27"/>
  <c r="G211" i="27"/>
  <c r="C212" i="27"/>
  <c r="F211" i="27"/>
  <c r="E211" i="27"/>
  <c r="I211" i="27"/>
  <c r="I212" i="27" l="1"/>
  <c r="E212" i="27"/>
  <c r="H212" i="27"/>
  <c r="D212" i="27"/>
  <c r="G212" i="27"/>
  <c r="C213" i="27"/>
  <c r="F212" i="27"/>
  <c r="C214" i="27" l="1"/>
  <c r="F213" i="27"/>
  <c r="I213" i="27"/>
  <c r="E213" i="27"/>
  <c r="H213" i="27"/>
  <c r="D213" i="27"/>
  <c r="G213" i="27"/>
  <c r="G214" i="27" l="1"/>
  <c r="C215" i="27"/>
  <c r="F214" i="27"/>
  <c r="I214" i="27"/>
  <c r="E214" i="27"/>
  <c r="H214" i="27"/>
  <c r="D214" i="27"/>
  <c r="H215" i="27" l="1"/>
  <c r="D215" i="27"/>
  <c r="G215" i="27"/>
  <c r="C216" i="27"/>
  <c r="F215" i="27"/>
  <c r="I215" i="27"/>
  <c r="E215" i="27"/>
  <c r="I216" i="27" l="1"/>
  <c r="E216" i="27"/>
  <c r="H216" i="27"/>
  <c r="D216" i="27"/>
  <c r="G216" i="27"/>
  <c r="C217" i="27"/>
  <c r="F216" i="27"/>
  <c r="C218" i="27" l="1"/>
  <c r="F217" i="27"/>
  <c r="I217" i="27"/>
  <c r="E217" i="27"/>
  <c r="H217" i="27"/>
  <c r="D217" i="27"/>
  <c r="G217" i="27"/>
  <c r="G218" i="27" l="1"/>
  <c r="C219" i="27"/>
  <c r="F218" i="27"/>
  <c r="I218" i="27"/>
  <c r="E218" i="27"/>
  <c r="D218" i="27"/>
  <c r="H218" i="27"/>
  <c r="H219" i="27" l="1"/>
  <c r="D219" i="27"/>
  <c r="G219" i="27"/>
  <c r="C220" i="27"/>
  <c r="F219" i="27"/>
  <c r="I219" i="27"/>
  <c r="E219" i="27"/>
  <c r="I220" i="27" l="1"/>
  <c r="E220" i="27"/>
  <c r="H220" i="27"/>
  <c r="D220" i="27"/>
  <c r="G220" i="27"/>
  <c r="F220" i="27"/>
  <c r="C221" i="27"/>
  <c r="C222" i="27" l="1"/>
  <c r="F221" i="27"/>
  <c r="I221" i="27"/>
  <c r="E221" i="27"/>
  <c r="H221" i="27"/>
  <c r="D221" i="27"/>
  <c r="G221" i="27"/>
  <c r="G222" i="27" l="1"/>
  <c r="C223" i="27"/>
  <c r="F222" i="27"/>
  <c r="I222" i="27"/>
  <c r="E222" i="27"/>
  <c r="H222" i="27"/>
  <c r="D222" i="27"/>
  <c r="H223" i="27" l="1"/>
  <c r="D223" i="27"/>
  <c r="G223" i="27"/>
  <c r="C224" i="27"/>
  <c r="F223" i="27"/>
  <c r="I223" i="27"/>
  <c r="E223" i="27"/>
  <c r="I224" i="27" l="1"/>
  <c r="E224" i="27"/>
  <c r="H224" i="27"/>
  <c r="D224" i="27"/>
  <c r="G224" i="27"/>
  <c r="C225" i="27"/>
  <c r="F224" i="27"/>
  <c r="C226" i="27" l="1"/>
  <c r="F225" i="27"/>
  <c r="I225" i="27"/>
  <c r="E225" i="27"/>
  <c r="H225" i="27"/>
  <c r="D225" i="27"/>
  <c r="G225" i="27"/>
  <c r="G226" i="27" l="1"/>
  <c r="C227" i="27"/>
  <c r="F226" i="27"/>
  <c r="I226" i="27"/>
  <c r="E226" i="27"/>
  <c r="H226" i="27"/>
  <c r="D226" i="27"/>
  <c r="H227" i="27" l="1"/>
  <c r="D227" i="27"/>
  <c r="G227" i="27"/>
  <c r="C228" i="27"/>
  <c r="F227" i="27"/>
  <c r="E227" i="27"/>
  <c r="I227" i="27"/>
  <c r="I228" i="27" l="1"/>
  <c r="E228" i="27"/>
  <c r="H228" i="27"/>
  <c r="D228" i="27"/>
  <c r="G228" i="27"/>
  <c r="C229" i="27"/>
  <c r="F228" i="27"/>
  <c r="C230" i="27" l="1"/>
  <c r="F229" i="27"/>
  <c r="I229" i="27"/>
  <c r="E229" i="27"/>
  <c r="H229" i="27"/>
  <c r="D229" i="27"/>
  <c r="G229" i="27"/>
  <c r="G230" i="27" l="1"/>
  <c r="C231" i="27"/>
  <c r="F230" i="27"/>
  <c r="I230" i="27"/>
  <c r="E230" i="27"/>
  <c r="H230" i="27"/>
  <c r="D230" i="27"/>
  <c r="H231" i="27" l="1"/>
  <c r="D231" i="27"/>
  <c r="G231" i="27"/>
  <c r="C232" i="27"/>
  <c r="F231" i="27"/>
  <c r="I231" i="27"/>
  <c r="E231" i="27"/>
  <c r="I232" i="27" l="1"/>
  <c r="E232" i="27"/>
  <c r="H232" i="27"/>
  <c r="D232" i="27"/>
  <c r="G232" i="27"/>
  <c r="C233" i="27"/>
  <c r="F232" i="27"/>
  <c r="C234" i="27" l="1"/>
  <c r="F233" i="27"/>
  <c r="I233" i="27"/>
  <c r="E233" i="27"/>
  <c r="H233" i="27"/>
  <c r="D233" i="27"/>
  <c r="G233" i="27"/>
  <c r="G234" i="27" l="1"/>
  <c r="C235" i="27"/>
  <c r="F234" i="27"/>
  <c r="I234" i="27"/>
  <c r="E234" i="27"/>
  <c r="D234" i="27"/>
  <c r="H234" i="27"/>
  <c r="H235" i="27" l="1"/>
  <c r="D235" i="27"/>
  <c r="G235" i="27"/>
  <c r="C236" i="27"/>
  <c r="F235" i="27"/>
  <c r="I235" i="27"/>
  <c r="E235" i="27"/>
  <c r="I236" i="27" l="1"/>
  <c r="E236" i="27"/>
  <c r="H236" i="27"/>
  <c r="D236" i="27"/>
  <c r="G236" i="27"/>
  <c r="F236" i="27"/>
  <c r="C237" i="27"/>
  <c r="C238" i="27" l="1"/>
  <c r="F237" i="27"/>
  <c r="I237" i="27"/>
  <c r="E237" i="27"/>
  <c r="H237" i="27"/>
  <c r="D237" i="27"/>
  <c r="G237" i="27"/>
  <c r="G238" i="27" l="1"/>
  <c r="C239" i="27"/>
  <c r="F238" i="27"/>
  <c r="I238" i="27"/>
  <c r="E238" i="27"/>
  <c r="H238" i="27"/>
  <c r="D238" i="27"/>
  <c r="H239" i="27" l="1"/>
  <c r="D239" i="27"/>
  <c r="G239" i="27"/>
  <c r="C240" i="27"/>
  <c r="F239" i="27"/>
  <c r="I239" i="27"/>
  <c r="E239" i="27"/>
  <c r="I240" i="27" l="1"/>
  <c r="E240" i="27"/>
  <c r="H240" i="27"/>
  <c r="D240" i="27"/>
  <c r="G240" i="27"/>
  <c r="C241" i="27"/>
  <c r="F240" i="27"/>
  <c r="C242" i="27" l="1"/>
  <c r="F241" i="27"/>
  <c r="I241" i="27"/>
  <c r="E241" i="27"/>
  <c r="H241" i="27"/>
  <c r="D241" i="27"/>
  <c r="G241" i="27"/>
  <c r="G242" i="27" l="1"/>
  <c r="C243" i="27"/>
  <c r="F242" i="27"/>
  <c r="I242" i="27"/>
  <c r="E242" i="27"/>
  <c r="H242" i="27"/>
  <c r="D242" i="27"/>
  <c r="H243" i="27" l="1"/>
  <c r="D243" i="27"/>
  <c r="G243" i="27"/>
  <c r="C244" i="27"/>
  <c r="F243" i="27"/>
  <c r="E243" i="27"/>
  <c r="I243" i="27"/>
  <c r="I244" i="27" l="1"/>
  <c r="E244" i="27"/>
  <c r="H244" i="27"/>
  <c r="D244" i="27"/>
  <c r="G244" i="27"/>
  <c r="C245" i="27"/>
  <c r="F244" i="27"/>
  <c r="C246" i="27" l="1"/>
  <c r="F245" i="27"/>
  <c r="I245" i="27"/>
  <c r="E245" i="27"/>
  <c r="H245" i="27"/>
  <c r="D245" i="27"/>
  <c r="G245" i="27"/>
  <c r="G246" i="27" l="1"/>
  <c r="C247" i="27"/>
  <c r="F246" i="27"/>
  <c r="I246" i="27"/>
  <c r="E246" i="27"/>
  <c r="H246" i="27"/>
  <c r="D246" i="27"/>
  <c r="H247" i="27" l="1"/>
  <c r="D247" i="27"/>
  <c r="G247" i="27"/>
  <c r="C248" i="27"/>
  <c r="F247" i="27"/>
  <c r="I247" i="27"/>
  <c r="E247" i="27"/>
  <c r="I248" i="27" l="1"/>
  <c r="E248" i="27"/>
  <c r="H248" i="27"/>
  <c r="D248" i="27"/>
  <c r="G248" i="27"/>
  <c r="C249" i="27"/>
  <c r="F248" i="27"/>
  <c r="C250" i="27" l="1"/>
  <c r="F249" i="27"/>
  <c r="I249" i="27"/>
  <c r="E249" i="27"/>
  <c r="H249" i="27"/>
  <c r="D249" i="27"/>
  <c r="G249" i="27"/>
  <c r="G250" i="27" l="1"/>
  <c r="C251" i="27"/>
  <c r="F250" i="27"/>
  <c r="I250" i="27"/>
  <c r="E250" i="27"/>
  <c r="D250" i="27"/>
  <c r="H250" i="27"/>
  <c r="H251" i="27" l="1"/>
  <c r="D251" i="27"/>
  <c r="G251" i="27"/>
  <c r="C252" i="27"/>
  <c r="F251" i="27"/>
  <c r="I251" i="27"/>
  <c r="E251" i="27"/>
  <c r="I252" i="27" l="1"/>
  <c r="E252" i="27"/>
  <c r="H252" i="27"/>
  <c r="D252" i="27"/>
  <c r="G252" i="27"/>
  <c r="F252" i="27"/>
  <c r="C253" i="27"/>
  <c r="C254" i="27" l="1"/>
  <c r="F253" i="27"/>
  <c r="I253" i="27"/>
  <c r="E253" i="27"/>
  <c r="H253" i="27"/>
  <c r="D253" i="27"/>
  <c r="G253" i="27"/>
  <c r="G254" i="27" l="1"/>
  <c r="C255" i="27"/>
  <c r="F254" i="27"/>
  <c r="I254" i="27"/>
  <c r="E254" i="27"/>
  <c r="H254" i="27"/>
  <c r="D254" i="27"/>
  <c r="H255" i="27" l="1"/>
  <c r="D255" i="27"/>
  <c r="G255" i="27"/>
  <c r="C256" i="27"/>
  <c r="F255" i="27"/>
  <c r="I255" i="27"/>
  <c r="E255" i="27"/>
  <c r="I256" i="27" l="1"/>
  <c r="E256" i="27"/>
  <c r="H256" i="27"/>
  <c r="D256" i="27"/>
  <c r="G256" i="27"/>
  <c r="C257" i="27"/>
  <c r="F256" i="27"/>
  <c r="C258" i="27" l="1"/>
  <c r="F257" i="27"/>
  <c r="I257" i="27"/>
  <c r="E257" i="27"/>
  <c r="H257" i="27"/>
  <c r="D257" i="27"/>
  <c r="G257" i="27"/>
  <c r="I258" i="27" l="1"/>
  <c r="E258" i="27"/>
  <c r="H258" i="27"/>
  <c r="G258" i="27"/>
  <c r="F258" i="27"/>
  <c r="C259" i="27"/>
  <c r="D258" i="27"/>
  <c r="C260" i="27" l="1"/>
  <c r="F259" i="27"/>
  <c r="I259" i="27"/>
  <c r="E259" i="27"/>
  <c r="H259" i="27"/>
  <c r="G259" i="27"/>
  <c r="D259" i="27"/>
  <c r="H260" i="27" l="1"/>
  <c r="G260" i="27"/>
  <c r="C261" i="27"/>
  <c r="F260" i="27"/>
  <c r="I260" i="27"/>
  <c r="E260" i="27"/>
  <c r="D260" i="27"/>
  <c r="I261" i="27" l="1"/>
  <c r="E261" i="27"/>
  <c r="H261" i="27"/>
  <c r="D261" i="27"/>
  <c r="G261" i="27"/>
  <c r="F261" i="27"/>
  <c r="C262" i="27"/>
  <c r="C263" i="27" l="1"/>
  <c r="F262" i="27"/>
  <c r="I262" i="27"/>
  <c r="E262" i="27"/>
  <c r="H262" i="27"/>
  <c r="D262" i="27"/>
  <c r="G262" i="27"/>
  <c r="G263" i="27" l="1"/>
  <c r="C264" i="27"/>
  <c r="F263" i="27"/>
  <c r="I263" i="27"/>
  <c r="E263" i="27"/>
  <c r="H263" i="27"/>
  <c r="D263" i="27"/>
  <c r="H264" i="27" l="1"/>
  <c r="D264" i="27"/>
  <c r="G264" i="27"/>
  <c r="C265" i="27"/>
  <c r="F264" i="27"/>
  <c r="I264" i="27"/>
  <c r="E264" i="27"/>
  <c r="I265" i="27" l="1"/>
  <c r="E265" i="27"/>
  <c r="H265" i="27"/>
  <c r="D265" i="27"/>
  <c r="G265" i="27"/>
  <c r="C266" i="27"/>
  <c r="F265" i="27"/>
  <c r="C267" i="27" l="1"/>
  <c r="F266" i="27"/>
  <c r="I266" i="27"/>
  <c r="E266" i="27"/>
  <c r="H266" i="27"/>
  <c r="D266" i="27"/>
  <c r="G266" i="27"/>
  <c r="G267" i="27" l="1"/>
  <c r="C268" i="27"/>
  <c r="F267" i="27"/>
  <c r="I267" i="27"/>
  <c r="E267" i="27"/>
  <c r="H267" i="27"/>
  <c r="D267" i="27"/>
  <c r="H268" i="27" l="1"/>
  <c r="D268" i="27"/>
  <c r="G268" i="27"/>
  <c r="C269" i="27"/>
  <c r="F268" i="27"/>
  <c r="E268" i="27"/>
  <c r="I268" i="27"/>
  <c r="I269" i="27" l="1"/>
  <c r="E269" i="27"/>
  <c r="H269" i="27"/>
  <c r="D269" i="27"/>
  <c r="G269" i="27"/>
  <c r="C270" i="27"/>
  <c r="F269" i="27"/>
  <c r="C271" i="27" l="1"/>
  <c r="F270" i="27"/>
  <c r="I270" i="27"/>
  <c r="E270" i="27"/>
  <c r="H270" i="27"/>
  <c r="D270" i="27"/>
  <c r="G270" i="27"/>
  <c r="G271" i="27" l="1"/>
  <c r="C272" i="27"/>
  <c r="F271" i="27"/>
  <c r="I271" i="27"/>
  <c r="E271" i="27"/>
  <c r="H271" i="27"/>
  <c r="D271" i="27"/>
  <c r="H272" i="27" l="1"/>
  <c r="D272" i="27"/>
  <c r="G272" i="27"/>
  <c r="C273" i="27"/>
  <c r="F272" i="27"/>
  <c r="I272" i="27"/>
  <c r="E272" i="27"/>
  <c r="I273" i="27" l="1"/>
  <c r="E273" i="27"/>
  <c r="H273" i="27"/>
  <c r="D273" i="27"/>
  <c r="G273" i="27"/>
  <c r="C274" i="27"/>
  <c r="F273" i="27"/>
  <c r="C275" i="27" l="1"/>
  <c r="F274" i="27"/>
  <c r="I274" i="27"/>
  <c r="E274" i="27"/>
  <c r="H274" i="27"/>
  <c r="D274" i="27"/>
  <c r="G274" i="27"/>
  <c r="G275" i="27" l="1"/>
  <c r="C276" i="27"/>
  <c r="F275" i="27"/>
  <c r="I275" i="27"/>
  <c r="E275" i="27"/>
  <c r="D275" i="27"/>
  <c r="H275" i="27"/>
  <c r="H276" i="27" l="1"/>
  <c r="D276" i="27"/>
  <c r="G276" i="27"/>
  <c r="C277" i="27"/>
  <c r="F276" i="27"/>
  <c r="I276" i="27"/>
  <c r="E276" i="27"/>
  <c r="I277" i="27" l="1"/>
  <c r="E277" i="27"/>
  <c r="H277" i="27"/>
  <c r="D277" i="27"/>
  <c r="G277" i="27"/>
  <c r="F277" i="27"/>
  <c r="C278" i="27"/>
  <c r="C279" i="27" l="1"/>
  <c r="F278" i="27"/>
  <c r="I278" i="27"/>
  <c r="E278" i="27"/>
  <c r="H278" i="27"/>
  <c r="D278" i="27"/>
  <c r="G278" i="27"/>
  <c r="G279" i="27" l="1"/>
  <c r="C280" i="27"/>
  <c r="F279" i="27"/>
  <c r="I279" i="27"/>
  <c r="E279" i="27"/>
  <c r="H279" i="27"/>
  <c r="D279" i="27"/>
  <c r="H280" i="27" l="1"/>
  <c r="D280" i="27"/>
  <c r="G280" i="27"/>
  <c r="C281" i="27"/>
  <c r="F280" i="27"/>
  <c r="I280" i="27"/>
  <c r="E280" i="27"/>
  <c r="I281" i="27" l="1"/>
  <c r="E281" i="27"/>
  <c r="H281" i="27"/>
  <c r="D281" i="27"/>
  <c r="G281" i="27"/>
  <c r="C282" i="27"/>
  <c r="F281" i="27"/>
  <c r="C283" i="27" l="1"/>
  <c r="F282" i="27"/>
  <c r="I282" i="27"/>
  <c r="E282" i="27"/>
  <c r="H282" i="27"/>
  <c r="D282" i="27"/>
  <c r="G282" i="27"/>
  <c r="G283" i="27" l="1"/>
  <c r="C284" i="27"/>
  <c r="F283" i="27"/>
  <c r="I283" i="27"/>
  <c r="E283" i="27"/>
  <c r="H283" i="27"/>
  <c r="D283" i="27"/>
  <c r="H284" i="27" l="1"/>
  <c r="D284" i="27"/>
  <c r="G284" i="27"/>
  <c r="C285" i="27"/>
  <c r="F284" i="27"/>
  <c r="E284" i="27"/>
  <c r="I284" i="27"/>
  <c r="I285" i="27" l="1"/>
  <c r="E285" i="27"/>
  <c r="H285" i="27"/>
  <c r="D285" i="27"/>
  <c r="G285" i="27"/>
  <c r="C286" i="27"/>
  <c r="F285" i="27"/>
  <c r="C287" i="27" l="1"/>
  <c r="F286" i="27"/>
  <c r="I286" i="27"/>
  <c r="E286" i="27"/>
  <c r="H286" i="27"/>
  <c r="D286" i="27"/>
  <c r="G286" i="27"/>
  <c r="G287" i="27" l="1"/>
  <c r="C288" i="27"/>
  <c r="F287" i="27"/>
  <c r="I287" i="27"/>
  <c r="E287" i="27"/>
  <c r="H287" i="27"/>
  <c r="D287" i="27"/>
  <c r="H288" i="27" l="1"/>
  <c r="D288" i="27"/>
  <c r="G288" i="27"/>
  <c r="C289" i="27"/>
  <c r="F288" i="27"/>
  <c r="I288" i="27"/>
  <c r="E288" i="27"/>
  <c r="I289" i="27" l="1"/>
  <c r="E289" i="27"/>
  <c r="H289" i="27"/>
  <c r="D289" i="27"/>
  <c r="G289" i="27"/>
  <c r="C290" i="27"/>
  <c r="F289" i="27"/>
  <c r="C291" i="27" l="1"/>
  <c r="F290" i="27"/>
  <c r="I290" i="27"/>
  <c r="E290" i="27"/>
  <c r="H290" i="27"/>
  <c r="D290" i="27"/>
  <c r="G290" i="27"/>
  <c r="G291" i="27" l="1"/>
  <c r="C292" i="27"/>
  <c r="F291" i="27"/>
  <c r="I291" i="27"/>
  <c r="E291" i="27"/>
  <c r="D291" i="27"/>
  <c r="H291" i="27"/>
  <c r="H292" i="27" l="1"/>
  <c r="D292" i="27"/>
  <c r="G292" i="27"/>
  <c r="C293" i="27"/>
  <c r="F292" i="27"/>
  <c r="I292" i="27"/>
  <c r="E292" i="27"/>
  <c r="I293" i="27" l="1"/>
  <c r="E293" i="27"/>
  <c r="H293" i="27"/>
  <c r="D293" i="27"/>
  <c r="G293" i="27"/>
  <c r="F293" i="27"/>
  <c r="C294" i="27"/>
  <c r="C295" i="27" l="1"/>
  <c r="F294" i="27"/>
  <c r="I294" i="27"/>
  <c r="E294" i="27"/>
  <c r="H294" i="27"/>
  <c r="D294" i="27"/>
  <c r="G294" i="27"/>
  <c r="C296" i="27" l="1"/>
  <c r="I295" i="27"/>
  <c r="H295" i="27"/>
  <c r="G295" i="27"/>
  <c r="F295" i="27"/>
  <c r="E295" i="27"/>
  <c r="D295" i="27"/>
  <c r="G296" i="27" l="1"/>
  <c r="C297" i="27"/>
  <c r="F296" i="27"/>
  <c r="I296" i="27"/>
  <c r="E296" i="27"/>
  <c r="H296" i="27"/>
  <c r="D296" i="27"/>
  <c r="H297" i="27" l="1"/>
  <c r="D297" i="27"/>
  <c r="G297" i="27"/>
  <c r="C298" i="27"/>
  <c r="F297" i="27"/>
  <c r="I297" i="27"/>
  <c r="E297" i="27"/>
  <c r="I298" i="27" l="1"/>
  <c r="E298" i="27"/>
  <c r="H298" i="27"/>
  <c r="D298" i="27"/>
  <c r="G298" i="27"/>
  <c r="C299" i="27"/>
  <c r="F298" i="27"/>
  <c r="C300" i="27" l="1"/>
  <c r="F299" i="27"/>
  <c r="I299" i="27"/>
  <c r="E299" i="27"/>
  <c r="H299" i="27"/>
  <c r="D299" i="27"/>
  <c r="G299" i="27"/>
  <c r="G300" i="27" l="1"/>
  <c r="C301" i="27"/>
  <c r="F300" i="27"/>
  <c r="I300" i="27"/>
  <c r="E300" i="27"/>
  <c r="D300" i="27"/>
  <c r="H300" i="27"/>
  <c r="H301" i="27" l="1"/>
  <c r="D301" i="27"/>
  <c r="G301" i="27"/>
  <c r="C302" i="27"/>
  <c r="F301" i="27"/>
  <c r="I301" i="27"/>
  <c r="E301" i="27"/>
  <c r="I302" i="27" l="1"/>
  <c r="E302" i="27"/>
  <c r="H302" i="27"/>
  <c r="D302" i="27"/>
  <c r="G302" i="27"/>
  <c r="F302" i="27"/>
  <c r="C303" i="27"/>
  <c r="C304" i="27" l="1"/>
  <c r="F303" i="27"/>
  <c r="I303" i="27"/>
  <c r="E303" i="27"/>
  <c r="H303" i="27"/>
  <c r="D303" i="27"/>
  <c r="G303" i="27"/>
  <c r="G304" i="27" l="1"/>
  <c r="C305" i="27"/>
  <c r="F304" i="27"/>
  <c r="I304" i="27"/>
  <c r="E304" i="27"/>
  <c r="H304" i="27"/>
  <c r="D304" i="27"/>
  <c r="H305" i="27" l="1"/>
  <c r="D305" i="27"/>
  <c r="G305" i="27"/>
  <c r="C306" i="27"/>
  <c r="F305" i="27"/>
  <c r="I305" i="27"/>
  <c r="E305" i="27"/>
  <c r="I306" i="27" l="1"/>
  <c r="E306" i="27"/>
  <c r="H306" i="27"/>
  <c r="D306" i="27"/>
  <c r="G306" i="27"/>
  <c r="C307" i="27"/>
  <c r="F306" i="27"/>
  <c r="C308" i="27" l="1"/>
  <c r="F307" i="27"/>
  <c r="I307" i="27"/>
  <c r="E307" i="27"/>
  <c r="H307" i="27"/>
  <c r="D307" i="27"/>
  <c r="G307" i="27"/>
  <c r="G308" i="27" l="1"/>
  <c r="C309" i="27"/>
  <c r="F308" i="27"/>
  <c r="I308" i="27"/>
  <c r="E308" i="27"/>
  <c r="H308" i="27"/>
  <c r="D308" i="27"/>
  <c r="H309" i="27" l="1"/>
  <c r="D309" i="27"/>
  <c r="G309" i="27"/>
  <c r="C310" i="27"/>
  <c r="F309" i="27"/>
  <c r="E309" i="27"/>
  <c r="I309" i="27"/>
  <c r="I310" i="27" l="1"/>
  <c r="E310" i="27"/>
  <c r="H310" i="27"/>
  <c r="D310" i="27"/>
  <c r="G310" i="27"/>
  <c r="C311" i="27"/>
  <c r="F310" i="27"/>
  <c r="C312" i="27" l="1"/>
  <c r="F311" i="27"/>
  <c r="I311" i="27"/>
  <c r="E311" i="27"/>
  <c r="H311" i="27"/>
  <c r="D311" i="27"/>
  <c r="G311" i="27"/>
  <c r="G312" i="27" l="1"/>
  <c r="C313" i="27"/>
  <c r="F312" i="27"/>
  <c r="I312" i="27"/>
  <c r="E312" i="27"/>
  <c r="H312" i="27"/>
  <c r="D312" i="27"/>
  <c r="H313" i="27" l="1"/>
  <c r="D313" i="27"/>
  <c r="G313" i="27"/>
  <c r="C314" i="27"/>
  <c r="F313" i="27"/>
  <c r="I313" i="27"/>
  <c r="E313" i="27"/>
  <c r="I314" i="27" l="1"/>
  <c r="E314" i="27"/>
  <c r="H314" i="27"/>
  <c r="D314" i="27"/>
  <c r="G314" i="27"/>
  <c r="C315" i="27"/>
  <c r="F314" i="27"/>
  <c r="C316" i="27" l="1"/>
  <c r="F315" i="27"/>
  <c r="I315" i="27"/>
  <c r="E315" i="27"/>
  <c r="H315" i="27"/>
  <c r="D315" i="27"/>
  <c r="G315" i="27"/>
  <c r="G316" i="27" l="1"/>
  <c r="C317" i="27"/>
  <c r="F316" i="27"/>
  <c r="I316" i="27"/>
  <c r="E316" i="27"/>
  <c r="D316" i="27"/>
  <c r="H316" i="27"/>
  <c r="H317" i="27" l="1"/>
  <c r="D317" i="27"/>
  <c r="G317" i="27"/>
  <c r="C318" i="27"/>
  <c r="F317" i="27"/>
  <c r="I317" i="27"/>
  <c r="E317" i="27"/>
  <c r="I318" i="27" l="1"/>
  <c r="E318" i="27"/>
  <c r="H318" i="27"/>
  <c r="D318" i="27"/>
  <c r="G318" i="27"/>
  <c r="F318" i="27"/>
  <c r="C319" i="27"/>
  <c r="C320" i="27" l="1"/>
  <c r="F319" i="27"/>
  <c r="I319" i="27"/>
  <c r="E319" i="27"/>
  <c r="H319" i="27"/>
  <c r="D319" i="27"/>
  <c r="G319" i="27"/>
  <c r="I320" i="27" l="1"/>
  <c r="E320" i="27"/>
  <c r="H320" i="27"/>
  <c r="D320" i="27"/>
  <c r="C321" i="27"/>
  <c r="G320" i="27"/>
  <c r="F320" i="27"/>
  <c r="C322" i="27" l="1"/>
  <c r="F321" i="27"/>
  <c r="I321" i="27"/>
  <c r="E321" i="27"/>
  <c r="D321" i="27"/>
  <c r="H321" i="27"/>
  <c r="G321" i="27"/>
  <c r="G322" i="27" l="1"/>
  <c r="C323" i="27"/>
  <c r="F322" i="27"/>
  <c r="E322" i="27"/>
  <c r="D322" i="27"/>
  <c r="I322" i="27"/>
  <c r="H322" i="27"/>
  <c r="H323" i="27" l="1"/>
  <c r="D323" i="27"/>
  <c r="G323" i="27"/>
  <c r="F323" i="27"/>
  <c r="E323" i="27"/>
  <c r="C324" i="27"/>
  <c r="I323" i="27"/>
  <c r="I324" i="27" l="1"/>
  <c r="E324" i="27"/>
  <c r="H324" i="27"/>
  <c r="D324" i="27"/>
  <c r="G324" i="27"/>
  <c r="F324" i="27"/>
  <c r="C325" i="27"/>
  <c r="C326" i="27" l="1"/>
  <c r="F325" i="27"/>
  <c r="I325" i="27"/>
  <c r="E325" i="27"/>
  <c r="H325" i="27"/>
  <c r="G325" i="27"/>
  <c r="D325" i="27"/>
  <c r="G326" i="27" l="1"/>
  <c r="C327" i="27"/>
  <c r="F326" i="27"/>
  <c r="I326" i="27"/>
  <c r="H326" i="27"/>
  <c r="E326" i="27"/>
  <c r="D326" i="27"/>
  <c r="H327" i="27" l="1"/>
  <c r="D327" i="27"/>
  <c r="G327" i="27"/>
  <c r="C328" i="27"/>
  <c r="I327" i="27"/>
  <c r="F327" i="27"/>
  <c r="E327" i="27"/>
  <c r="I328" i="27" l="1"/>
  <c r="E328" i="27"/>
  <c r="H328" i="27"/>
  <c r="D328" i="27"/>
  <c r="C329" i="27"/>
  <c r="G328" i="27"/>
  <c r="F328" i="27"/>
  <c r="C330" i="27" l="1"/>
  <c r="F329" i="27"/>
  <c r="I329" i="27"/>
  <c r="E329" i="27"/>
  <c r="D329" i="27"/>
  <c r="H329" i="27"/>
  <c r="G329" i="27"/>
  <c r="G330" i="27" l="1"/>
  <c r="C331" i="27"/>
  <c r="F330" i="27"/>
  <c r="E330" i="27"/>
  <c r="D330" i="27"/>
  <c r="I330" i="27"/>
  <c r="H330" i="27"/>
  <c r="H331" i="27" l="1"/>
  <c r="D331" i="27"/>
  <c r="G331" i="27"/>
  <c r="F331" i="27"/>
  <c r="E331" i="27"/>
  <c r="C332" i="27"/>
  <c r="I331" i="27"/>
  <c r="I332" i="27" l="1"/>
  <c r="E332" i="27"/>
  <c r="H332" i="27"/>
  <c r="D332" i="27"/>
  <c r="G332" i="27"/>
  <c r="F332" i="27"/>
  <c r="C333" i="27"/>
  <c r="C334" i="27" l="1"/>
  <c r="F333" i="27"/>
  <c r="I333" i="27"/>
  <c r="E333" i="27"/>
  <c r="H333" i="27"/>
  <c r="G333" i="27"/>
  <c r="D333" i="27"/>
  <c r="G334" i="27" l="1"/>
  <c r="C335" i="27"/>
  <c r="F334" i="27"/>
  <c r="I334" i="27"/>
  <c r="H334" i="27"/>
  <c r="E334" i="27"/>
  <c r="D334" i="27"/>
  <c r="H335" i="27" l="1"/>
  <c r="D335" i="27"/>
  <c r="G335" i="27"/>
  <c r="C336" i="27"/>
  <c r="I335" i="27"/>
  <c r="F335" i="27"/>
  <c r="E335" i="27"/>
  <c r="I336" i="27" l="1"/>
  <c r="E336" i="27"/>
  <c r="H336" i="27"/>
  <c r="D336" i="27"/>
  <c r="C337" i="27"/>
  <c r="G336" i="27"/>
  <c r="F336" i="27"/>
  <c r="C338" i="27" l="1"/>
  <c r="F337" i="27"/>
  <c r="I337" i="27"/>
  <c r="E337" i="27"/>
  <c r="D337" i="27"/>
  <c r="H337" i="27"/>
  <c r="G337" i="27"/>
  <c r="G338" i="27" l="1"/>
  <c r="C339" i="27"/>
  <c r="F338" i="27"/>
  <c r="E338" i="27"/>
  <c r="D338" i="27"/>
  <c r="I338" i="27"/>
  <c r="H338" i="27"/>
  <c r="H339" i="27" l="1"/>
  <c r="D339" i="27"/>
  <c r="G339" i="27"/>
  <c r="F339" i="27"/>
  <c r="E339" i="27"/>
  <c r="C340" i="27"/>
  <c r="I339" i="27"/>
  <c r="I340" i="27" l="1"/>
  <c r="E340" i="27"/>
  <c r="H340" i="27"/>
  <c r="D340" i="27"/>
  <c r="G340" i="27"/>
  <c r="F340" i="27"/>
  <c r="C341" i="27"/>
  <c r="C342" i="27" l="1"/>
  <c r="F341" i="27"/>
  <c r="I341" i="27"/>
  <c r="E341" i="27"/>
  <c r="H341" i="27"/>
  <c r="G341" i="27"/>
  <c r="D341" i="27"/>
  <c r="G342" i="27" l="1"/>
  <c r="C343" i="27"/>
  <c r="F342" i="27"/>
  <c r="I342" i="27"/>
  <c r="H342" i="27"/>
  <c r="E342" i="27"/>
  <c r="D342" i="27"/>
  <c r="H343" i="27" l="1"/>
  <c r="D343" i="27"/>
  <c r="G343" i="27"/>
  <c r="C344" i="27"/>
  <c r="I343" i="27"/>
  <c r="F343" i="27"/>
  <c r="E343" i="27"/>
  <c r="I344" i="27" l="1"/>
  <c r="E344" i="27"/>
  <c r="H344" i="27"/>
  <c r="D344" i="27"/>
  <c r="C345" i="27"/>
  <c r="G344" i="27"/>
  <c r="F344" i="27"/>
  <c r="C346" i="27" l="1"/>
  <c r="F345" i="27"/>
  <c r="I345" i="27"/>
  <c r="E345" i="27"/>
  <c r="D345" i="27"/>
  <c r="H345" i="27"/>
  <c r="G345" i="27"/>
  <c r="G346" i="27" l="1"/>
  <c r="C347" i="27"/>
  <c r="F346" i="27"/>
  <c r="E346" i="27"/>
  <c r="D346" i="27"/>
  <c r="I346" i="27"/>
  <c r="H346" i="27"/>
  <c r="H347" i="27" l="1"/>
  <c r="D347" i="27"/>
  <c r="G347" i="27"/>
  <c r="F347" i="27"/>
  <c r="E347" i="27"/>
  <c r="C348" i="27"/>
  <c r="I347" i="27"/>
  <c r="I348" i="27" l="1"/>
  <c r="E348" i="27"/>
  <c r="H348" i="27"/>
  <c r="D348" i="27"/>
  <c r="G348" i="27"/>
  <c r="F348" i="27"/>
  <c r="C349" i="27"/>
  <c r="C350" i="27" l="1"/>
  <c r="F349" i="27"/>
  <c r="I349" i="27"/>
  <c r="E349" i="27"/>
  <c r="H349" i="27"/>
  <c r="G349" i="27"/>
  <c r="D349" i="27"/>
  <c r="G350" i="27" l="1"/>
  <c r="C351" i="27"/>
  <c r="F350" i="27"/>
  <c r="I350" i="27"/>
  <c r="H350" i="27"/>
  <c r="E350" i="27"/>
  <c r="D350" i="27"/>
  <c r="H351" i="27" l="1"/>
  <c r="D351" i="27"/>
  <c r="G351" i="27"/>
  <c r="C352" i="27"/>
  <c r="I351" i="27"/>
  <c r="F351" i="27"/>
  <c r="E351" i="27"/>
  <c r="I352" i="27" l="1"/>
  <c r="E352" i="27"/>
  <c r="H352" i="27"/>
  <c r="D352" i="27"/>
  <c r="C353" i="27"/>
  <c r="G352" i="27"/>
  <c r="F352" i="27"/>
  <c r="C354" i="27" l="1"/>
  <c r="F353" i="27"/>
  <c r="I353" i="27"/>
  <c r="E353" i="27"/>
  <c r="D353" i="27"/>
  <c r="H353" i="27"/>
  <c r="G353" i="27"/>
  <c r="G354" i="27" l="1"/>
  <c r="C355" i="27"/>
  <c r="F354" i="27"/>
  <c r="E354" i="27"/>
  <c r="D354" i="27"/>
  <c r="I354" i="27"/>
  <c r="H354" i="27"/>
  <c r="H355" i="27" l="1"/>
  <c r="D355" i="27"/>
  <c r="G355" i="27"/>
  <c r="F355" i="27"/>
  <c r="E355" i="27"/>
  <c r="C356" i="27"/>
  <c r="I355" i="27"/>
  <c r="I356" i="27" l="1"/>
  <c r="E356" i="27"/>
  <c r="H356" i="27"/>
  <c r="D356" i="27"/>
  <c r="G356" i="27"/>
  <c r="F356" i="27"/>
  <c r="C357" i="27"/>
  <c r="C358" i="27" l="1"/>
  <c r="F357" i="27"/>
  <c r="I357" i="27"/>
  <c r="E357" i="27"/>
  <c r="H357" i="27"/>
  <c r="G357" i="27"/>
  <c r="D357" i="27"/>
  <c r="G358" i="27" l="1"/>
  <c r="C359" i="27"/>
  <c r="F358" i="27"/>
  <c r="I358" i="27"/>
  <c r="H358" i="27"/>
  <c r="E358" i="27"/>
  <c r="D358" i="27"/>
  <c r="H359" i="27" l="1"/>
  <c r="D359" i="27"/>
  <c r="G359" i="27"/>
  <c r="C360" i="27"/>
  <c r="I359" i="27"/>
  <c r="F359" i="27"/>
  <c r="E359" i="27"/>
  <c r="I360" i="27" l="1"/>
  <c r="E360" i="27"/>
  <c r="H360" i="27"/>
  <c r="D360" i="27"/>
  <c r="C361" i="27"/>
  <c r="G360" i="27"/>
  <c r="F360" i="27"/>
  <c r="C362" i="27" l="1"/>
  <c r="F361" i="27"/>
  <c r="I361" i="27"/>
  <c r="E361" i="27"/>
  <c r="D361" i="27"/>
  <c r="H361" i="27"/>
  <c r="G361" i="27"/>
  <c r="G362" i="27" l="1"/>
  <c r="C363" i="27"/>
  <c r="F362" i="27"/>
  <c r="E362" i="27"/>
  <c r="D362" i="27"/>
  <c r="I362" i="27"/>
  <c r="H362" i="27"/>
  <c r="H363" i="27" l="1"/>
  <c r="D363" i="27"/>
  <c r="G363" i="27"/>
  <c r="F363" i="27"/>
  <c r="E363" i="27"/>
  <c r="C364" i="27"/>
  <c r="I363" i="27"/>
  <c r="I364" i="27" l="1"/>
  <c r="E364" i="27"/>
  <c r="H364" i="27"/>
  <c r="D364" i="27"/>
  <c r="G364" i="27"/>
  <c r="F364" i="27"/>
  <c r="C365" i="27"/>
  <c r="C366" i="27" l="1"/>
  <c r="F365" i="27"/>
  <c r="I365" i="27"/>
  <c r="E365" i="27"/>
  <c r="H365" i="27"/>
  <c r="G365" i="27"/>
  <c r="D365" i="27"/>
  <c r="G366" i="27" l="1"/>
  <c r="C367" i="27"/>
  <c r="F366" i="27"/>
  <c r="I366" i="27"/>
  <c r="H366" i="27"/>
  <c r="E366" i="27"/>
  <c r="D366" i="27"/>
  <c r="H367" i="27" l="1"/>
  <c r="H368" i="27" s="1"/>
  <c r="D367" i="27"/>
  <c r="G367" i="27"/>
  <c r="G368" i="27" s="1"/>
  <c r="I367" i="27"/>
  <c r="F367" i="27"/>
  <c r="E367" i="27"/>
  <c r="E368" i="27" s="1"/>
  <c r="L4" i="27" s="1"/>
  <c r="E67" i="2" l="1"/>
  <c r="L6" i="27"/>
  <c r="E68" i="2"/>
  <c r="D22" i="22"/>
  <c r="D23" i="22"/>
  <c r="D21" i="22"/>
  <c r="E30" i="22"/>
  <c r="I28" i="22"/>
  <c r="J28" i="22"/>
  <c r="K28" i="22"/>
  <c r="L28" i="22"/>
  <c r="M28" i="22"/>
  <c r="N28" i="22"/>
  <c r="D29" i="22"/>
  <c r="E29" i="22"/>
  <c r="F29" i="22"/>
  <c r="G29" i="22"/>
  <c r="H29" i="22"/>
  <c r="I29" i="22"/>
  <c r="J29" i="22"/>
  <c r="K29" i="22"/>
  <c r="M29" i="22"/>
  <c r="E70" i="22" s="1"/>
  <c r="L30" i="22"/>
  <c r="E31" i="22"/>
  <c r="E32" i="22"/>
  <c r="L32" i="22"/>
  <c r="E43" i="22"/>
  <c r="E40" i="22" l="1"/>
  <c r="E41" i="22"/>
  <c r="H13" i="25"/>
  <c r="K6" i="25"/>
  <c r="K7" i="25" s="1"/>
  <c r="L6" i="25" s="1"/>
  <c r="K11" i="25"/>
  <c r="F11" i="25"/>
  <c r="G11" i="25" s="1"/>
  <c r="I5" i="25" s="1"/>
  <c r="F7" i="25"/>
  <c r="F9" i="25" s="1"/>
  <c r="F10" i="25" l="1"/>
  <c r="G10" i="25" s="1"/>
  <c r="I7" i="25" s="1"/>
  <c r="E42" i="22"/>
  <c r="F8" i="25"/>
  <c r="G8" i="25" s="1"/>
  <c r="I8" i="25" s="1"/>
  <c r="K10" i="25"/>
  <c r="L10" i="25" s="1"/>
  <c r="K9" i="25"/>
  <c r="L9" i="25" s="1"/>
  <c r="K8" i="25"/>
  <c r="L8" i="25" s="1"/>
  <c r="G9" i="25"/>
  <c r="I9" i="25" s="1"/>
  <c r="I6" i="25"/>
  <c r="K12" i="25" l="1"/>
  <c r="L12" i="25" s="1"/>
  <c r="I10" i="25"/>
  <c r="I11" i="25" s="1"/>
  <c r="E28" i="25" l="1"/>
  <c r="G28" i="25" s="1"/>
  <c r="E23" i="25"/>
  <c r="G23" i="25" s="1"/>
  <c r="C37" i="5"/>
  <c r="D11" i="6"/>
  <c r="E27" i="2"/>
  <c r="E11" i="6" s="1"/>
  <c r="E13" i="6" s="1"/>
  <c r="E32" i="5"/>
  <c r="E33" i="5"/>
  <c r="E34" i="5"/>
  <c r="E31" i="5"/>
  <c r="D2" i="24"/>
  <c r="D24" i="24" s="1"/>
  <c r="J24" i="24" s="1"/>
  <c r="J25" i="24" s="1"/>
  <c r="J26" i="24" s="1"/>
  <c r="J27" i="24" s="1"/>
  <c r="J28" i="24" s="1"/>
  <c r="J29" i="24" s="1"/>
  <c r="K42" i="6"/>
  <c r="E33" i="6"/>
  <c r="K33" i="6" s="1"/>
  <c r="E24" i="6"/>
  <c r="K24" i="6" s="1"/>
  <c r="E17" i="6"/>
  <c r="H43" i="6" s="1"/>
  <c r="E16" i="6"/>
  <c r="H34" i="6" s="1"/>
  <c r="H25" i="6"/>
  <c r="C14" i="24"/>
  <c r="C13" i="24"/>
  <c r="C12" i="24"/>
  <c r="G6" i="6"/>
  <c r="G32" i="22" s="1"/>
  <c r="G4" i="6"/>
  <c r="G30" i="22" s="1"/>
  <c r="F5" i="6"/>
  <c r="F31" i="22" s="1"/>
  <c r="F6" i="6"/>
  <c r="F32" i="22" s="1"/>
  <c r="F4" i="6"/>
  <c r="F30" i="22" s="1"/>
  <c r="D5" i="6"/>
  <c r="D31" i="22" s="1"/>
  <c r="D6" i="6"/>
  <c r="D4" i="6"/>
  <c r="D30" i="22" s="1"/>
  <c r="G36" i="19"/>
  <c r="L39" i="19" s="1"/>
  <c r="F35" i="19"/>
  <c r="Q74" i="19" s="1"/>
  <c r="Q81" i="19" s="1"/>
  <c r="G54" i="19"/>
  <c r="X39" i="19" s="1"/>
  <c r="F53" i="19"/>
  <c r="W94" i="19" s="1"/>
  <c r="W101" i="19" s="1"/>
  <c r="G50" i="19"/>
  <c r="AA39" i="19" s="1"/>
  <c r="F49" i="19"/>
  <c r="K104" i="19" s="1"/>
  <c r="K111" i="19" s="1"/>
  <c r="Z87" i="19" l="1"/>
  <c r="L111" i="19"/>
  <c r="D19" i="28"/>
  <c r="X101" i="19"/>
  <c r="Z86" i="19"/>
  <c r="D18" i="28"/>
  <c r="Z76" i="19"/>
  <c r="D17" i="28"/>
  <c r="R81" i="19"/>
  <c r="J30" i="24"/>
  <c r="D32" i="22"/>
  <c r="E39" i="6"/>
  <c r="D52" i="6" s="1"/>
  <c r="K43" i="6"/>
  <c r="H6" i="6"/>
  <c r="E21" i="6"/>
  <c r="D50" i="6" s="1"/>
  <c r="C8" i="24"/>
  <c r="H4" i="6"/>
  <c r="K34" i="6"/>
  <c r="K25" i="6"/>
  <c r="D17" i="6"/>
  <c r="D15" i="6"/>
  <c r="D16" i="6"/>
  <c r="C7" i="24"/>
  <c r="C9" i="24"/>
  <c r="E30" i="6"/>
  <c r="D51" i="6" s="1"/>
  <c r="U10" i="15"/>
  <c r="S10" i="15"/>
  <c r="G46" i="19"/>
  <c r="O40" i="19" s="1"/>
  <c r="F45" i="19"/>
  <c r="W74" i="19" s="1"/>
  <c r="W81" i="19" s="1"/>
  <c r="D21" i="28" s="1"/>
  <c r="G42" i="19"/>
  <c r="U39" i="19" s="1"/>
  <c r="F41" i="19"/>
  <c r="T74" i="19" s="1"/>
  <c r="T81" i="19" s="1"/>
  <c r="D20" i="28" s="1"/>
  <c r="S40" i="15"/>
  <c r="S41" i="15"/>
  <c r="S39" i="15"/>
  <c r="S38" i="15"/>
  <c r="L31" i="15"/>
  <c r="S29" i="15"/>
  <c r="S30" i="15"/>
  <c r="S28" i="15"/>
  <c r="H36" i="19"/>
  <c r="E44" i="22"/>
  <c r="Z77" i="19" l="1"/>
  <c r="U81" i="19"/>
  <c r="Z78" i="19"/>
  <c r="X81" i="19"/>
  <c r="J31" i="24"/>
  <c r="H30" i="22"/>
  <c r="H32" i="22"/>
  <c r="E66" i="22"/>
  <c r="I4" i="6"/>
  <c r="I6" i="6"/>
  <c r="I32" i="22" s="1"/>
  <c r="E62" i="22"/>
  <c r="E64" i="22" s="1"/>
  <c r="K5" i="6" s="1"/>
  <c r="E57" i="22"/>
  <c r="E59" i="22" s="1"/>
  <c r="J5" i="6" s="1"/>
  <c r="E47" i="22"/>
  <c r="E49" i="22" s="1"/>
  <c r="E82" i="22" l="1"/>
  <c r="I30" i="22"/>
  <c r="J6" i="6"/>
  <c r="J32" i="22" s="1"/>
  <c r="J31" i="22"/>
  <c r="K31" i="22"/>
  <c r="J4" i="6"/>
  <c r="M4" i="6"/>
  <c r="M6" i="6"/>
  <c r="M32" i="22" s="1"/>
  <c r="E52" i="22"/>
  <c r="E54" i="22" s="1"/>
  <c r="M12" i="15"/>
  <c r="L12" i="15"/>
  <c r="L8" i="15"/>
  <c r="M8" i="15"/>
  <c r="M6" i="15"/>
  <c r="H5" i="15"/>
  <c r="S5" i="15" s="1"/>
  <c r="M3" i="15"/>
  <c r="L3" i="15"/>
  <c r="H28" i="19"/>
  <c r="H21" i="19"/>
  <c r="U16" i="15"/>
  <c r="U21" i="15"/>
  <c r="U32" i="15"/>
  <c r="H7" i="19"/>
  <c r="H11" i="19"/>
  <c r="H12" i="19" s="1"/>
  <c r="H13" i="19" s="1"/>
  <c r="H14" i="19" s="1"/>
  <c r="H15" i="19" s="1"/>
  <c r="I5" i="6" l="1"/>
  <c r="I31" i="22" s="1"/>
  <c r="E73" i="22"/>
  <c r="E74" i="22" s="1"/>
  <c r="E69" i="22" s="1"/>
  <c r="E71" i="22" s="1"/>
  <c r="L31" i="22"/>
  <c r="L7" i="6"/>
  <c r="M30" i="22"/>
  <c r="J7" i="6"/>
  <c r="F14" i="19" s="1"/>
  <c r="K6" i="6"/>
  <c r="K32" i="22" s="1"/>
  <c r="J30" i="22"/>
  <c r="K4" i="6"/>
  <c r="I7" i="6" l="1"/>
  <c r="F13" i="19" s="1"/>
  <c r="W5" i="19" s="1"/>
  <c r="W12" i="19" s="1"/>
  <c r="D8" i="1" s="1"/>
  <c r="D125" i="26" s="1"/>
  <c r="Z5" i="19"/>
  <c r="M5" i="6"/>
  <c r="M7" i="6" s="1"/>
  <c r="E83" i="22"/>
  <c r="E84" i="22" s="1"/>
  <c r="H5" i="6" s="1"/>
  <c r="K30" i="22"/>
  <c r="K7" i="6"/>
  <c r="F15" i="19" s="1"/>
  <c r="N6" i="6"/>
  <c r="N32" i="22" s="1"/>
  <c r="N4" i="6"/>
  <c r="M31" i="22" l="1"/>
  <c r="N19" i="19"/>
  <c r="G5" i="6"/>
  <c r="G31" i="22" s="1"/>
  <c r="N5" i="6"/>
  <c r="N7" i="6" s="1"/>
  <c r="F10" i="19" s="1"/>
  <c r="T5" i="19" s="1"/>
  <c r="H31" i="22"/>
  <c r="H7" i="6"/>
  <c r="G11" i="19" s="1"/>
  <c r="L7" i="19" s="1"/>
  <c r="F12" i="19"/>
  <c r="N30" i="22"/>
  <c r="G24" i="6"/>
  <c r="F24" i="6" s="1"/>
  <c r="L24" i="6" s="1"/>
  <c r="I25" i="6" s="1"/>
  <c r="J25" i="6" s="1"/>
  <c r="G42" i="6"/>
  <c r="F42" i="6" l="1"/>
  <c r="L42" i="6" s="1"/>
  <c r="I43" i="6" s="1"/>
  <c r="J43" i="6" s="1"/>
  <c r="M42" i="6"/>
  <c r="E50" i="6"/>
  <c r="D7" i="24"/>
  <c r="K19" i="19"/>
  <c r="K27" i="19" s="1"/>
  <c r="D7" i="1" s="1"/>
  <c r="D124" i="26" s="1"/>
  <c r="G33" i="6"/>
  <c r="N31" i="22"/>
  <c r="M24" i="6"/>
  <c r="M25" i="6" s="1"/>
  <c r="L25" i="6" s="1"/>
  <c r="M43" i="6" l="1"/>
  <c r="D9" i="24"/>
  <c r="E52" i="6"/>
  <c r="M33" i="6"/>
  <c r="F33" i="6"/>
  <c r="L33" i="6" s="1"/>
  <c r="I34" i="6" s="1"/>
  <c r="J34" i="6" s="1"/>
  <c r="L43" i="6"/>
  <c r="E28" i="2"/>
  <c r="H4" i="19"/>
  <c r="H5" i="19" s="1"/>
  <c r="G3" i="19"/>
  <c r="K38" i="15"/>
  <c r="F33" i="15"/>
  <c r="K39" i="15" s="1"/>
  <c r="K32" i="15"/>
  <c r="J18" i="15"/>
  <c r="J17" i="15"/>
  <c r="J16" i="15"/>
  <c r="F14" i="15"/>
  <c r="M10" i="15" s="1"/>
  <c r="F13" i="15"/>
  <c r="F12" i="15"/>
  <c r="F11" i="15"/>
  <c r="L10" i="15" s="1"/>
  <c r="M4" i="15"/>
  <c r="E177" i="17"/>
  <c r="E51" i="6" l="1"/>
  <c r="D8" i="24"/>
  <c r="D6" i="24" s="1"/>
  <c r="E53" i="6"/>
  <c r="G17" i="19" s="1"/>
  <c r="U5" i="19" s="1"/>
  <c r="T12" i="19" s="1"/>
  <c r="D13" i="1" s="1"/>
  <c r="M34" i="6"/>
  <c r="L62" i="19"/>
  <c r="L69" i="19" s="1"/>
  <c r="G30" i="1" s="1"/>
  <c r="F4" i="15"/>
  <c r="O13" i="15" s="1"/>
  <c r="M16" i="15"/>
  <c r="M9" i="15"/>
  <c r="L4" i="15"/>
  <c r="K33" i="15"/>
  <c r="L27" i="15"/>
  <c r="M27" i="15" s="1"/>
  <c r="M17" i="15"/>
  <c r="M30" i="15"/>
  <c r="M22" i="15"/>
  <c r="M24" i="15" s="1"/>
  <c r="S14" i="15" s="1"/>
  <c r="F16" i="19" l="1"/>
  <c r="Q19" i="19" s="1"/>
  <c r="L34" i="6"/>
  <c r="S9" i="15"/>
  <c r="G34" i="19" s="1"/>
  <c r="L38" i="19" s="1"/>
  <c r="S26" i="15"/>
  <c r="S25" i="15"/>
  <c r="S24" i="15"/>
  <c r="O3" i="15"/>
  <c r="S3" i="15" s="1"/>
  <c r="U3" i="15" s="1"/>
  <c r="S34" i="15"/>
  <c r="F47" i="19" s="1"/>
  <c r="Q25" i="19" s="1"/>
  <c r="S36" i="15"/>
  <c r="S35" i="15"/>
  <c r="H4" i="15"/>
  <c r="S4" i="15" s="1"/>
  <c r="S37" i="15"/>
  <c r="L16" i="15"/>
  <c r="L6" i="15"/>
  <c r="O6" i="15" s="1"/>
  <c r="O17" i="15" s="1"/>
  <c r="L30" i="15"/>
  <c r="L36" i="15" s="1"/>
  <c r="L37" i="15" s="1"/>
  <c r="L22" i="15"/>
  <c r="L26" i="15" s="1"/>
  <c r="L28" i="15" s="1"/>
  <c r="M11" i="15"/>
  <c r="M13" i="15" s="1"/>
  <c r="M18" i="15" s="1"/>
  <c r="M19" i="15" s="1"/>
  <c r="M31" i="15"/>
  <c r="M36" i="15"/>
  <c r="M37" i="15" s="1"/>
  <c r="M26" i="15"/>
  <c r="M28" i="15" s="1"/>
  <c r="S19" i="15" s="1"/>
  <c r="F33" i="19" l="1"/>
  <c r="Q22" i="19" s="1"/>
  <c r="L45" i="19"/>
  <c r="G10" i="1" s="1"/>
  <c r="U9" i="15"/>
  <c r="G48" i="19"/>
  <c r="M39" i="15"/>
  <c r="M38" i="15"/>
  <c r="L39" i="15"/>
  <c r="L38" i="15"/>
  <c r="M33" i="15"/>
  <c r="M32" i="15"/>
  <c r="S18" i="15"/>
  <c r="O28" i="15"/>
  <c r="L17" i="15"/>
  <c r="S6" i="15"/>
  <c r="L24" i="15"/>
  <c r="L9" i="15"/>
  <c r="L11" i="15" s="1"/>
  <c r="L13" i="15" s="1"/>
  <c r="O18" i="15" s="1"/>
  <c r="AA38" i="19" l="1"/>
  <c r="AA45" i="19" s="1"/>
  <c r="G13" i="1" s="1"/>
  <c r="G44" i="19"/>
  <c r="O39" i="19" s="1"/>
  <c r="F43" i="19"/>
  <c r="Q24" i="19" s="1"/>
  <c r="L33" i="15"/>
  <c r="L32" i="15"/>
  <c r="S13" i="15"/>
  <c r="O24" i="15"/>
  <c r="S12" i="15" s="1"/>
  <c r="S15" i="15" s="1"/>
  <c r="U15" i="15" s="1"/>
  <c r="U6" i="15"/>
  <c r="G37" i="19"/>
  <c r="L18" i="15"/>
  <c r="S7" i="15"/>
  <c r="S17" i="15"/>
  <c r="M34" i="15"/>
  <c r="M40" i="15"/>
  <c r="S27" i="15" s="1"/>
  <c r="L40" i="15"/>
  <c r="O38" i="19" l="1"/>
  <c r="O45" i="19" s="1"/>
  <c r="G16" i="1" s="1"/>
  <c r="D130" i="26" s="1"/>
  <c r="F39" i="19"/>
  <c r="Q23" i="19" s="1"/>
  <c r="G40" i="19"/>
  <c r="L34" i="15"/>
  <c r="U12" i="15"/>
  <c r="O34" i="15"/>
  <c r="S33" i="15" s="1"/>
  <c r="U33" i="15" s="1"/>
  <c r="S23" i="15"/>
  <c r="S44" i="15" s="1"/>
  <c r="D14" i="24" s="1"/>
  <c r="O40" i="15"/>
  <c r="S22" i="15" s="1"/>
  <c r="U22" i="15" s="1"/>
  <c r="U7" i="15"/>
  <c r="G38" i="19"/>
  <c r="L19" i="15"/>
  <c r="U17" i="15"/>
  <c r="S20" i="15"/>
  <c r="U20" i="15" s="1"/>
  <c r="R38" i="19" l="1"/>
  <c r="R45" i="19" s="1"/>
  <c r="G26" i="1" s="1"/>
  <c r="U38" i="19"/>
  <c r="U45" i="19" s="1"/>
  <c r="G17" i="1" s="1"/>
  <c r="E37" i="2"/>
  <c r="F31" i="19" s="1"/>
  <c r="F51" i="19"/>
  <c r="Q26" i="19" s="1"/>
  <c r="G52" i="19"/>
  <c r="O19" i="15"/>
  <c r="S8" i="15" s="1"/>
  <c r="U8" i="15" s="1"/>
  <c r="S31" i="15"/>
  <c r="U31" i="15" s="1"/>
  <c r="S42" i="15"/>
  <c r="U42" i="15" s="1"/>
  <c r="G15" i="1" l="1"/>
  <c r="D131" i="26"/>
  <c r="D129" i="26" s="1"/>
  <c r="X38" i="19"/>
  <c r="X45" i="19" s="1"/>
  <c r="G14" i="1" s="1"/>
  <c r="G9" i="1" s="1"/>
  <c r="J20" i="26" s="1"/>
  <c r="G32" i="19"/>
  <c r="L10" i="19" s="1"/>
  <c r="K84" i="19"/>
  <c r="E34" i="2"/>
  <c r="E39" i="2"/>
  <c r="E40" i="2" s="1"/>
  <c r="G21" i="19" s="1"/>
  <c r="U19" i="19" s="1"/>
  <c r="F5" i="19"/>
  <c r="F4" i="19" s="1"/>
  <c r="K5" i="19" s="1"/>
  <c r="J21" i="26" l="1"/>
  <c r="K91" i="19"/>
  <c r="Z79" i="19"/>
  <c r="I38" i="22"/>
  <c r="E35" i="2"/>
  <c r="E36" i="2"/>
  <c r="F29" i="19" s="1"/>
  <c r="N5" i="19"/>
  <c r="N12" i="19" s="1"/>
  <c r="D17" i="1" s="1"/>
  <c r="E42" i="2"/>
  <c r="E41" i="2"/>
  <c r="K38" i="22" l="1"/>
  <c r="F20" i="19" s="1"/>
  <c r="N20" i="19" s="1"/>
  <c r="J38" i="22"/>
  <c r="I37" i="22"/>
  <c r="G28" i="19"/>
  <c r="L91" i="19"/>
  <c r="D24" i="28"/>
  <c r="D34" i="26" s="1"/>
  <c r="D56" i="26" s="1"/>
  <c r="F23" i="19"/>
  <c r="G24" i="19" s="1"/>
  <c r="U20" i="19" s="1"/>
  <c r="G30" i="19"/>
  <c r="L9" i="19" s="1"/>
  <c r="N74" i="19"/>
  <c r="N81" i="19" s="1"/>
  <c r="L38" i="22" l="1"/>
  <c r="D13" i="24" s="1"/>
  <c r="K37" i="22"/>
  <c r="J37" i="22"/>
  <c r="F26" i="19" s="1"/>
  <c r="Z7" i="19" s="1"/>
  <c r="L8" i="19"/>
  <c r="F19" i="19"/>
  <c r="F27" i="19"/>
  <c r="N21" i="19" s="1"/>
  <c r="N27" i="19" s="1"/>
  <c r="D10" i="1" s="1"/>
  <c r="D127" i="26" s="1"/>
  <c r="Z75" i="19"/>
  <c r="D23" i="28"/>
  <c r="D33" i="26" s="1"/>
  <c r="D55" i="26" s="1"/>
  <c r="O81" i="19"/>
  <c r="U27" i="19"/>
  <c r="D19" i="1" s="1"/>
  <c r="D15" i="1" s="1"/>
  <c r="K74" i="19"/>
  <c r="K81" i="19" s="1"/>
  <c r="Z6" i="19" l="1"/>
  <c r="Z12" i="19" s="1"/>
  <c r="D9" i="1" s="1"/>
  <c r="F18" i="19"/>
  <c r="Q20" i="19" s="1"/>
  <c r="F25" i="19"/>
  <c r="Q21" i="19" s="1"/>
  <c r="L37" i="22"/>
  <c r="D12" i="24" s="1"/>
  <c r="D11" i="24" s="1"/>
  <c r="D16" i="24" s="1"/>
  <c r="F24" i="24" s="1"/>
  <c r="Z74" i="19"/>
  <c r="D22" i="28"/>
  <c r="L81" i="19"/>
  <c r="D16" i="28" l="1"/>
  <c r="D26" i="26" s="1"/>
  <c r="D48" i="26" s="1"/>
  <c r="D32" i="26"/>
  <c r="D54" i="26" s="1"/>
  <c r="D6" i="1"/>
  <c r="D123" i="26" s="1"/>
  <c r="D142" i="26" s="1"/>
  <c r="D126" i="26"/>
  <c r="D17" i="24"/>
  <c r="I13" i="25" s="1"/>
  <c r="I15" i="25" s="1"/>
  <c r="E97" i="22" s="1"/>
  <c r="F97" i="22" s="1"/>
  <c r="H97" i="22" s="1"/>
  <c r="I97" i="22" s="1"/>
  <c r="E24" i="24"/>
  <c r="K24" i="24" s="1"/>
  <c r="H25" i="24" s="1"/>
  <c r="I25" i="24" s="1"/>
  <c r="E35" i="24" s="1"/>
  <c r="L24" i="24"/>
  <c r="E93" i="22" l="1"/>
  <c r="F93" i="22" s="1"/>
  <c r="H93" i="22" s="1"/>
  <c r="I93" i="22" s="1"/>
  <c r="M93" i="22" s="1"/>
  <c r="E94" i="22"/>
  <c r="F94" i="22" s="1"/>
  <c r="H94" i="22" s="1"/>
  <c r="I94" i="22" s="1"/>
  <c r="M94" i="22" s="1"/>
  <c r="E95" i="22"/>
  <c r="F95" i="22" s="1"/>
  <c r="H95" i="22" s="1"/>
  <c r="I95" i="22" s="1"/>
  <c r="M95" i="22" s="1"/>
  <c r="E96" i="22"/>
  <c r="F96" i="22" s="1"/>
  <c r="H96" i="22" s="1"/>
  <c r="I96" i="22" s="1"/>
  <c r="M96" i="22" s="1"/>
  <c r="E92" i="22"/>
  <c r="F92" i="22" s="1"/>
  <c r="H92" i="22" s="1"/>
  <c r="L25" i="24"/>
  <c r="K25" i="24" s="1"/>
  <c r="H26" i="24" s="1"/>
  <c r="I26" i="24" s="1"/>
  <c r="E36" i="24" s="1"/>
  <c r="M97" i="22"/>
  <c r="J97" i="22"/>
  <c r="K97" i="22"/>
  <c r="K95" i="22" l="1"/>
  <c r="K96" i="22"/>
  <c r="K94" i="22"/>
  <c r="J95" i="22"/>
  <c r="J96" i="22"/>
  <c r="J94" i="22"/>
  <c r="F98" i="22"/>
  <c r="F55" i="19" s="1"/>
  <c r="J93" i="22"/>
  <c r="K93" i="22"/>
  <c r="L26" i="24"/>
  <c r="K26" i="24" s="1"/>
  <c r="I92" i="22"/>
  <c r="H98" i="22"/>
  <c r="N97" i="22"/>
  <c r="N95" i="22" l="1"/>
  <c r="N96" i="22"/>
  <c r="G56" i="19"/>
  <c r="O84" i="19" s="1"/>
  <c r="O91" i="19" s="1"/>
  <c r="K11" i="19"/>
  <c r="K15" i="19" s="1"/>
  <c r="D5" i="1" s="1"/>
  <c r="D4" i="1" s="1"/>
  <c r="N93" i="22"/>
  <c r="N94" i="22"/>
  <c r="D2" i="28"/>
  <c r="H27" i="24"/>
  <c r="I27" i="24" s="1"/>
  <c r="D6" i="28"/>
  <c r="F57" i="19"/>
  <c r="J92" i="22"/>
  <c r="K92" i="22"/>
  <c r="K98" i="22" s="1"/>
  <c r="I98" i="22"/>
  <c r="M92" i="22"/>
  <c r="M98" i="22" s="1"/>
  <c r="D5" i="28" l="1"/>
  <c r="AA74" i="19"/>
  <c r="AA89" i="19" s="1"/>
  <c r="N91" i="19"/>
  <c r="L27" i="24"/>
  <c r="E37" i="24"/>
  <c r="D9" i="28"/>
  <c r="F59" i="19"/>
  <c r="D8" i="28"/>
  <c r="F63" i="19"/>
  <c r="Q84" i="19"/>
  <c r="G58" i="19"/>
  <c r="L49" i="19" s="1"/>
  <c r="J98" i="22"/>
  <c r="N92" i="22"/>
  <c r="N98" i="22" s="1"/>
  <c r="T84" i="19" l="1"/>
  <c r="G60" i="19"/>
  <c r="O49" i="19" s="1"/>
  <c r="K94" i="19"/>
  <c r="G64" i="19"/>
  <c r="U49" i="19" s="1"/>
  <c r="L56" i="19"/>
  <c r="G19" i="1" s="1"/>
  <c r="D133" i="26" s="1"/>
  <c r="D7" i="28"/>
  <c r="F61" i="19"/>
  <c r="Z80" i="19"/>
  <c r="Q91" i="19"/>
  <c r="R91" i="19" s="1"/>
  <c r="K27" i="24"/>
  <c r="D10" i="28" l="1"/>
  <c r="D13" i="28" s="1"/>
  <c r="D23" i="26" s="1"/>
  <c r="D45" i="26" s="1"/>
  <c r="O56" i="19"/>
  <c r="G20" i="1"/>
  <c r="D134" i="26" s="1"/>
  <c r="U56" i="19"/>
  <c r="G24" i="1"/>
  <c r="D138" i="26" s="1"/>
  <c r="K101" i="19"/>
  <c r="L101" i="19" s="1"/>
  <c r="Z83" i="19"/>
  <c r="H28" i="24"/>
  <c r="I28" i="24" s="1"/>
  <c r="G62" i="19"/>
  <c r="R49" i="19" s="1"/>
  <c r="W84" i="19"/>
  <c r="Z81" i="19"/>
  <c r="T91" i="19"/>
  <c r="U91" i="19" s="1"/>
  <c r="E38" i="24" l="1"/>
  <c r="L28" i="24"/>
  <c r="W91" i="19"/>
  <c r="X91" i="19" s="1"/>
  <c r="Z82" i="19"/>
  <c r="R56" i="19" l="1"/>
  <c r="G23" i="1"/>
  <c r="D137" i="26" s="1"/>
  <c r="K28" i="24"/>
  <c r="H29" i="24" l="1"/>
  <c r="I29" i="24" s="1"/>
  <c r="E39" i="24" l="1"/>
  <c r="L29" i="24"/>
  <c r="K29" i="24" s="1"/>
  <c r="H30" i="24" l="1"/>
  <c r="I30" i="24" s="1"/>
  <c r="L30" i="24" l="1"/>
  <c r="E40" i="24"/>
  <c r="E41" i="24" s="1"/>
  <c r="F65" i="19" s="1"/>
  <c r="G66" i="19" l="1"/>
  <c r="N94" i="19"/>
  <c r="N101" i="19" s="1"/>
  <c r="Z88" i="19" s="1"/>
  <c r="Z89" i="19" s="1"/>
  <c r="K30" i="24"/>
  <c r="L31" i="24"/>
  <c r="K31" i="24" s="1"/>
  <c r="AA90" i="19" l="1"/>
  <c r="AA93" i="19" s="1"/>
  <c r="Z90" i="19"/>
  <c r="R19" i="19"/>
  <c r="Q32" i="19" s="1"/>
  <c r="D12" i="1" s="1"/>
  <c r="O101" i="19"/>
  <c r="D14" i="28"/>
  <c r="D11" i="1" l="1"/>
  <c r="D3" i="1" s="1"/>
  <c r="D21" i="1" s="1"/>
  <c r="H19" i="26" s="1"/>
  <c r="D155" i="26"/>
  <c r="F10" i="26" s="1"/>
  <c r="D15" i="28"/>
  <c r="D25" i="26" s="1"/>
  <c r="D47" i="26" s="1"/>
  <c r="D24" i="26"/>
  <c r="D46" i="26" s="1"/>
  <c r="N62" i="19"/>
  <c r="H28" i="26" l="1"/>
  <c r="H31" i="26"/>
  <c r="D26" i="28"/>
  <c r="R69" i="19"/>
  <c r="D29" i="28" l="1"/>
  <c r="D36" i="26"/>
  <c r="D58" i="26" s="1"/>
  <c r="D39" i="26" l="1"/>
  <c r="D30" i="28"/>
  <c r="D31" i="28"/>
  <c r="D32" i="28" l="1"/>
  <c r="D150" i="26" s="1"/>
  <c r="F9" i="26" s="1"/>
  <c r="D41" i="26"/>
  <c r="F75" i="19"/>
  <c r="G76" i="19" s="1"/>
  <c r="AD49" i="19" s="1"/>
  <c r="AD56" i="19" s="1"/>
  <c r="G22" i="1" s="1"/>
  <c r="D136" i="26" s="1"/>
  <c r="Q104" i="19"/>
  <c r="D40" i="26"/>
  <c r="F73" i="19"/>
  <c r="G74" i="19" s="1"/>
  <c r="AA49" i="19" s="1"/>
  <c r="AA56" i="19" s="1"/>
  <c r="G21" i="1" s="1"/>
  <c r="N104" i="19"/>
  <c r="Z91" i="19" s="1"/>
  <c r="D19" i="26" l="1"/>
  <c r="D42" i="26"/>
  <c r="G18" i="1"/>
  <c r="D132" i="26" s="1"/>
  <c r="D141" i="26" s="1"/>
  <c r="D143" i="26" s="1"/>
  <c r="D135" i="26"/>
  <c r="N111" i="19"/>
  <c r="O111" i="19" s="1"/>
  <c r="G59" i="26"/>
  <c r="G62" i="26" s="1"/>
  <c r="D59" i="26" s="1"/>
  <c r="D60" i="26" s="1"/>
  <c r="Z92" i="19"/>
  <c r="Z93" i="19" s="1"/>
  <c r="AA94" i="19" s="1"/>
  <c r="F77" i="19" s="1"/>
  <c r="G78" i="19" s="1"/>
  <c r="Q111" i="19"/>
  <c r="R111" i="19" s="1"/>
  <c r="D145" i="26" l="1"/>
  <c r="F8" i="26" s="1"/>
  <c r="G3" i="1"/>
  <c r="D113" i="26" s="1"/>
  <c r="O62" i="19"/>
  <c r="O69" i="19" s="1"/>
  <c r="G31" i="1" s="1"/>
  <c r="G29" i="1" s="1"/>
  <c r="D20" i="26" s="1"/>
  <c r="G83" i="19"/>
  <c r="J22" i="26"/>
  <c r="J19" i="26" s="1"/>
  <c r="H32" i="26" s="1"/>
  <c r="H33" i="26" s="1"/>
  <c r="D68" i="26" s="1"/>
  <c r="F83" i="19"/>
  <c r="D62" i="26"/>
  <c r="D114" i="26" l="1"/>
  <c r="F7" i="26" s="1"/>
  <c r="G34" i="1"/>
  <c r="N69" i="19"/>
  <c r="D73" i="26"/>
  <c r="F5" i="26" s="1"/>
  <c r="F4" i="26"/>
  <c r="D83" i="26"/>
  <c r="J27" i="26"/>
  <c r="D102" i="26" s="1"/>
  <c r="D103" i="26"/>
  <c r="D92" i="26"/>
  <c r="D93" i="26" s="1"/>
  <c r="J28" i="26" l="1"/>
  <c r="D87" i="26"/>
  <c r="F6" i="26" s="1"/>
  <c r="D104" i="26"/>
  <c r="G95" i="26" s="1"/>
  <c r="G93" i="26"/>
  <c r="D100" i="26"/>
  <c r="D99" i="26"/>
  <c r="G96" i="26" l="1"/>
</calcChain>
</file>

<file path=xl/sharedStrings.xml><?xml version="1.0" encoding="utf-8"?>
<sst xmlns="http://schemas.openxmlformats.org/spreadsheetml/2006/main" count="1766" uniqueCount="1121">
  <si>
    <t>Balanço Patrimonial</t>
  </si>
  <si>
    <t>Local</t>
  </si>
  <si>
    <t>Estado</t>
  </si>
  <si>
    <t>Capital</t>
  </si>
  <si>
    <t>Demonstração do Resultado do Exercício</t>
  </si>
  <si>
    <t>(-) Custo da Mercadoria Vendida</t>
  </si>
  <si>
    <t>(=) Lucro Bruto</t>
  </si>
  <si>
    <t>Disponível</t>
  </si>
  <si>
    <t>Fornecedores</t>
  </si>
  <si>
    <t>Depreciação</t>
  </si>
  <si>
    <t>Despesas Financeiras</t>
  </si>
  <si>
    <t>(=) LAIR</t>
  </si>
  <si>
    <t>(-) IRPJ</t>
  </si>
  <si>
    <t>Imobilizado</t>
  </si>
  <si>
    <t>Capital Social</t>
  </si>
  <si>
    <t>(-) CSLL</t>
  </si>
  <si>
    <t>(=) Lucro Líquido</t>
  </si>
  <si>
    <t>Nota Explicativa</t>
  </si>
  <si>
    <t>Receita Bruta</t>
  </si>
  <si>
    <t>(=)</t>
  </si>
  <si>
    <t>(=) Receita Líquida de Vendas</t>
  </si>
  <si>
    <t>Imóvel</t>
  </si>
  <si>
    <t>SP</t>
  </si>
  <si>
    <t>MG</t>
  </si>
  <si>
    <t>Área (m²)</t>
  </si>
  <si>
    <t>ESTADO</t>
  </si>
  <si>
    <t>SIGLA</t>
  </si>
  <si>
    <t>CAPITAL</t>
  </si>
  <si>
    <t>Acre</t>
  </si>
  <si>
    <t>AC</t>
  </si>
  <si>
    <t>Rio Branco</t>
  </si>
  <si>
    <t>Alagoas</t>
  </si>
  <si>
    <t>AL</t>
  </si>
  <si>
    <t>Maceió</t>
  </si>
  <si>
    <t>Amapá</t>
  </si>
  <si>
    <t>AP</t>
  </si>
  <si>
    <t>Macapá</t>
  </si>
  <si>
    <t>Amazonas</t>
  </si>
  <si>
    <t>AM</t>
  </si>
  <si>
    <t>Manaus</t>
  </si>
  <si>
    <t>Bahia</t>
  </si>
  <si>
    <t>BA</t>
  </si>
  <si>
    <t>Salvador</t>
  </si>
  <si>
    <t>Ceará</t>
  </si>
  <si>
    <t>CE</t>
  </si>
  <si>
    <t>Fortaleza</t>
  </si>
  <si>
    <t>DF</t>
  </si>
  <si>
    <t>Espírito Santo</t>
  </si>
  <si>
    <t>ES</t>
  </si>
  <si>
    <t>Vitória</t>
  </si>
  <si>
    <t>Goiás</t>
  </si>
  <si>
    <t>GO</t>
  </si>
  <si>
    <t>Goiânia</t>
  </si>
  <si>
    <t>Maranhão</t>
  </si>
  <si>
    <t>MA</t>
  </si>
  <si>
    <t>São Luís</t>
  </si>
  <si>
    <t>Mato Grosso</t>
  </si>
  <si>
    <t>MT</t>
  </si>
  <si>
    <t>Cuiabá</t>
  </si>
  <si>
    <t>Mato Grosso do Sul</t>
  </si>
  <si>
    <t>MS</t>
  </si>
  <si>
    <t>Campo Grande</t>
  </si>
  <si>
    <t>Minas Gerais</t>
  </si>
  <si>
    <t>Belo Horizonte</t>
  </si>
  <si>
    <t>Pará</t>
  </si>
  <si>
    <t>PA</t>
  </si>
  <si>
    <t>Belém</t>
  </si>
  <si>
    <t>Paraíba</t>
  </si>
  <si>
    <t>PB</t>
  </si>
  <si>
    <t>João Pessoa</t>
  </si>
  <si>
    <t>Paraná</t>
  </si>
  <si>
    <t>PR</t>
  </si>
  <si>
    <t>Curitiba</t>
  </si>
  <si>
    <t>Pernambuco</t>
  </si>
  <si>
    <t>PE</t>
  </si>
  <si>
    <t>Recife</t>
  </si>
  <si>
    <t>Piauí</t>
  </si>
  <si>
    <t>PI</t>
  </si>
  <si>
    <t>Teresina</t>
  </si>
  <si>
    <t>Rio de Janeiro</t>
  </si>
  <si>
    <t>RJ</t>
  </si>
  <si>
    <t>Rio Grande do Norte</t>
  </si>
  <si>
    <t>RN</t>
  </si>
  <si>
    <t>Natal</t>
  </si>
  <si>
    <t>Rio Grande do Sul</t>
  </si>
  <si>
    <t>RS</t>
  </si>
  <si>
    <t>Porto Alegre</t>
  </si>
  <si>
    <t>Rondônia</t>
  </si>
  <si>
    <t>RO</t>
  </si>
  <si>
    <t>Porto Velho</t>
  </si>
  <si>
    <t>Roraima</t>
  </si>
  <si>
    <t>RR</t>
  </si>
  <si>
    <t>Boa Vista</t>
  </si>
  <si>
    <t>Santa Catarina</t>
  </si>
  <si>
    <t>SC</t>
  </si>
  <si>
    <t>Florianópolis</t>
  </si>
  <si>
    <t>São Paulo</t>
  </si>
  <si>
    <t>Sergipe</t>
  </si>
  <si>
    <t>SE</t>
  </si>
  <si>
    <t>Aracaju</t>
  </si>
  <si>
    <t>Tocantins</t>
  </si>
  <si>
    <t>TO</t>
  </si>
  <si>
    <t>Palmas</t>
  </si>
  <si>
    <t>Forma de Pagamento</t>
  </si>
  <si>
    <t>À Vista</t>
  </si>
  <si>
    <t>Financiamento</t>
  </si>
  <si>
    <t>Veículo</t>
  </si>
  <si>
    <t>Valor</t>
  </si>
  <si>
    <t>Empréstimo para Capital de Giro</t>
  </si>
  <si>
    <t>Valor (m²)</t>
  </si>
  <si>
    <t>Valores para Imóveis e Carro</t>
  </si>
  <si>
    <t>REGIÃO</t>
  </si>
  <si>
    <t>NORTE</t>
  </si>
  <si>
    <t>NORDESTE</t>
  </si>
  <si>
    <t>CENTRO-OESTE</t>
  </si>
  <si>
    <t>SUDESTE</t>
  </si>
  <si>
    <t>RIO DE JANEIRO</t>
  </si>
  <si>
    <t>SÃO PAULO</t>
  </si>
  <si>
    <t>SUL</t>
  </si>
  <si>
    <t>VENDAS</t>
  </si>
  <si>
    <t>População Censo 2010</t>
  </si>
  <si>
    <t>Origem</t>
  </si>
  <si>
    <t>Destino</t>
  </si>
  <si>
    <t>(-)</t>
  </si>
  <si>
    <t>PASSIVO</t>
  </si>
  <si>
    <t>PATRIMÔNIO LÍQUIDO</t>
  </si>
  <si>
    <t>ATIVO NÃO CIRCULANTE</t>
  </si>
  <si>
    <t>ATIVO CIRCULANTE</t>
  </si>
  <si>
    <t>Liquidez</t>
  </si>
  <si>
    <t>ROE</t>
  </si>
  <si>
    <t>Carga Tributária</t>
  </si>
  <si>
    <t>Margem Líquida</t>
  </si>
  <si>
    <t>Setor</t>
  </si>
  <si>
    <t>Nacional</t>
  </si>
  <si>
    <t>Nº Ref</t>
  </si>
  <si>
    <t>Matéria Prima</t>
  </si>
  <si>
    <t>Taxa de Câmbio</t>
  </si>
  <si>
    <t>Nome da Empresa</t>
  </si>
  <si>
    <t>Produção</t>
  </si>
  <si>
    <t>Indústria</t>
  </si>
  <si>
    <t>Área de atuação (Vendas)</t>
  </si>
  <si>
    <t>Limite de funcionários</t>
  </si>
  <si>
    <t>m²</t>
  </si>
  <si>
    <t xml:space="preserve">(*) 1 funcionário obrigatoriamente da administração </t>
  </si>
  <si>
    <t>Estadual</t>
  </si>
  <si>
    <t>Nº Tipo do Imóvel</t>
  </si>
  <si>
    <t>Alíquota INSS</t>
  </si>
  <si>
    <t>De 1.903,99 até 2.826,65</t>
  </si>
  <si>
    <t>De 2.826,66 até 3.751,05</t>
  </si>
  <si>
    <t>De 3.751,06 até 4.664,68</t>
  </si>
  <si>
    <t>Acima de 4.664,68</t>
  </si>
  <si>
    <t>Terceiros</t>
  </si>
  <si>
    <t>ICMS</t>
  </si>
  <si>
    <t>PIS/COFINS</t>
  </si>
  <si>
    <t>IPI</t>
  </si>
  <si>
    <t>PIS</t>
  </si>
  <si>
    <t>COFINS</t>
  </si>
  <si>
    <t>Energia Elétrica</t>
  </si>
  <si>
    <t>Vida útil</t>
  </si>
  <si>
    <t>Base de Cálculo</t>
  </si>
  <si>
    <t>Plano de Contas</t>
  </si>
  <si>
    <t>Núm</t>
  </si>
  <si>
    <t>Contas</t>
  </si>
  <si>
    <t>1.</t>
  </si>
  <si>
    <t>ATIVO</t>
  </si>
  <si>
    <t>1.1</t>
  </si>
  <si>
    <t>ATIVOS CIRCULANTE</t>
  </si>
  <si>
    <t>1.1.1</t>
  </si>
  <si>
    <t>1.1.1.1</t>
  </si>
  <si>
    <t>Caixa e Equivalentes de Caixa</t>
  </si>
  <si>
    <t>1.1.2</t>
  </si>
  <si>
    <t>Contas a Receber de Clientes</t>
  </si>
  <si>
    <t>1.1.2.1</t>
  </si>
  <si>
    <t>Provisão para Crédito de Liquidação Duvidosa - Contas a Receber</t>
  </si>
  <si>
    <t>1.1.2.2</t>
  </si>
  <si>
    <t>Ajuste a Valor Presente (AVP) - Contas a Receber (receita financeira a transcorrer)</t>
  </si>
  <si>
    <t>1.1.3</t>
  </si>
  <si>
    <t>Tributos a recuperar</t>
  </si>
  <si>
    <t>1.1.3.1</t>
  </si>
  <si>
    <t>ICMS a Compensar</t>
  </si>
  <si>
    <t>1.1.3.2</t>
  </si>
  <si>
    <t>IPI a Compensar</t>
  </si>
  <si>
    <t>1.1.3.3</t>
  </si>
  <si>
    <t>Pis/Pasep a Compensar</t>
  </si>
  <si>
    <t>1.1.3.4</t>
  </si>
  <si>
    <t>Contribuição para Financiamento da Seguridade Social - Cofins a Compensar</t>
  </si>
  <si>
    <t>1.1.3.5</t>
  </si>
  <si>
    <t>Outros Tributos Retidos</t>
  </si>
  <si>
    <t>1.1.4</t>
  </si>
  <si>
    <t>Despesas Pagas Antecipadamente</t>
  </si>
  <si>
    <t>1.1.4.1</t>
  </si>
  <si>
    <t>Prêmios de Seguros a Apropriar</t>
  </si>
  <si>
    <t>1.1.4.2</t>
  </si>
  <si>
    <t>Assinaturas e Anuidades a Apropriar</t>
  </si>
  <si>
    <t>1.1.4.3</t>
  </si>
  <si>
    <t>Aluguéis Pagos Antecipadamente</t>
  </si>
  <si>
    <t>1.1.5</t>
  </si>
  <si>
    <t>Adiantamentos</t>
  </si>
  <si>
    <t>1.1.5.1</t>
  </si>
  <si>
    <t>Adiantamentos a Fornecedores</t>
  </si>
  <si>
    <t>1.1.6</t>
  </si>
  <si>
    <t>Instrumentos Financeiros</t>
  </si>
  <si>
    <t>Instrumentos Financeiros Derivativos</t>
  </si>
  <si>
    <t>1.1.7</t>
  </si>
  <si>
    <t>Estoques</t>
  </si>
  <si>
    <t xml:space="preserve">1.1.7.1 </t>
  </si>
  <si>
    <t>Estoque de Produtos Acabados</t>
  </si>
  <si>
    <t>1.1.7.2</t>
  </si>
  <si>
    <t>Estoque de Matérias-primas</t>
  </si>
  <si>
    <t>1.2</t>
  </si>
  <si>
    <t>ATIVOS NÃO CIRCULANTE</t>
  </si>
  <si>
    <t>1.2.1</t>
  </si>
  <si>
    <t xml:space="preserve"> Realizável a Longo prazo</t>
  </si>
  <si>
    <t>1.2.1.1</t>
  </si>
  <si>
    <t>Créditos a Receber</t>
  </si>
  <si>
    <t>1.2.1.2</t>
  </si>
  <si>
    <t>(-) Ajuste a Valor Presente - Demais Créditos</t>
  </si>
  <si>
    <t>1.2.1.3</t>
  </si>
  <si>
    <t>(-) Provisão para Perdas com Créditos de Liquidação Duvidosa – Demais Créditos</t>
  </si>
  <si>
    <t>1.2.2</t>
  </si>
  <si>
    <t>Ativos Fiscais Diferidos</t>
  </si>
  <si>
    <t>1.2.2.1</t>
  </si>
  <si>
    <t>IRPJ Diferido - Diferenças Temporárias</t>
  </si>
  <si>
    <t>1.2.2.2</t>
  </si>
  <si>
    <t>IRPJ Diferido - Prejuízo Fiscal</t>
  </si>
  <si>
    <t>1.2.2.3</t>
  </si>
  <si>
    <t>IRPJ Diferido – Ágio</t>
  </si>
  <si>
    <t>1.2.2.4</t>
  </si>
  <si>
    <t>IRPJ Diferido – Outros</t>
  </si>
  <si>
    <t>1.2.2.5</t>
  </si>
  <si>
    <t>CSLL Diferido - Diferenças Temporárias</t>
  </si>
  <si>
    <t>1.2.2.6</t>
  </si>
  <si>
    <t>CSLL Diferido - Base Negativa</t>
  </si>
  <si>
    <t>1.2.2.7</t>
  </si>
  <si>
    <t>CSLL Diferido – Ágio</t>
  </si>
  <si>
    <t>1.2.2.8</t>
  </si>
  <si>
    <t>CSLL Diferido – Outros</t>
  </si>
  <si>
    <t>1.2.3</t>
  </si>
  <si>
    <t>Investimento em Controladas e Coligadas</t>
  </si>
  <si>
    <t>1.2.3.1</t>
  </si>
  <si>
    <t>Investimento em Empreendimento Controlado em Conjunto – Joint Venture</t>
  </si>
  <si>
    <t>1.2.3.2</t>
  </si>
  <si>
    <t>Propriedade para Investimento - Avaliadas ao Valor Justo</t>
  </si>
  <si>
    <t>1.2.3.3</t>
  </si>
  <si>
    <t>Propriedade para Investimento - Avaliadas pelo Custo</t>
  </si>
  <si>
    <t>1.2.3.4</t>
  </si>
  <si>
    <t>(-) Depreciação Acumulada - Propriedade para Investimento</t>
  </si>
  <si>
    <t>1.2.3.5</t>
  </si>
  <si>
    <t>(-) Redução ao Valor Recuperável de Ativos - Investimentos</t>
  </si>
  <si>
    <t>1.2.4</t>
  </si>
  <si>
    <t>1.2.4.1</t>
  </si>
  <si>
    <t>Instalações (Edifícios)</t>
  </si>
  <si>
    <t>1.2.4.2</t>
  </si>
  <si>
    <t>Máquinas e Equipamentos Industriais</t>
  </si>
  <si>
    <t>1.2.4.3</t>
  </si>
  <si>
    <t>Móveis e Utensílios</t>
  </si>
  <si>
    <t>1.2.4.4</t>
  </si>
  <si>
    <t>Veículos</t>
  </si>
  <si>
    <t>1.2.4.5</t>
  </si>
  <si>
    <t>( - ) Depreciação Acumulada</t>
  </si>
  <si>
    <t>1.2.5</t>
  </si>
  <si>
    <t>Ativo Intangível</t>
  </si>
  <si>
    <t>1.2.5.1</t>
  </si>
  <si>
    <t>Ativo Intangível com Vida Útil Definida</t>
  </si>
  <si>
    <t>1.2.5.2</t>
  </si>
  <si>
    <t>Sistemas, Aplicativos e Softwares</t>
  </si>
  <si>
    <t>1.2.5.3</t>
  </si>
  <si>
    <t>Marcas e Patentes</t>
  </si>
  <si>
    <t>1.2.5.4</t>
  </si>
  <si>
    <t>Direito de Uso</t>
  </si>
  <si>
    <t>1.2.5.5</t>
  </si>
  <si>
    <t>(-) Amortização Acumulada - Ativo Intangível com Vida Útil Definida</t>
  </si>
  <si>
    <t>1.2.5.6</t>
  </si>
  <si>
    <t>(-) Amortização Acumulada Sistemas, Aplicativos e Softwares</t>
  </si>
  <si>
    <t>1.2.5.7</t>
  </si>
  <si>
    <t>(-) Amortização Acumulada Marcas e Patentes</t>
  </si>
  <si>
    <t>1.2.5.8</t>
  </si>
  <si>
    <t>(-) Amortização Acumulada Direito de Uso</t>
  </si>
  <si>
    <t xml:space="preserve"> PASSIVO </t>
  </si>
  <si>
    <t xml:space="preserve">2.1 </t>
  </si>
  <si>
    <t xml:space="preserve"> PASSIVO CIRCULANTE</t>
  </si>
  <si>
    <t xml:space="preserve">2.1.1 </t>
  </si>
  <si>
    <t>2.1.1.1</t>
  </si>
  <si>
    <t>Fornecedores Nacionais</t>
  </si>
  <si>
    <t>2.1.1.2</t>
  </si>
  <si>
    <t>Fornecedores de Bens e Materiais</t>
  </si>
  <si>
    <t>2.1.1.3</t>
  </si>
  <si>
    <t>Fornecedores Internacionais</t>
  </si>
  <si>
    <t>2.1.1.4</t>
  </si>
  <si>
    <t>(-) Ajuste a Valor Presente</t>
  </si>
  <si>
    <t>2.1.2</t>
  </si>
  <si>
    <t>Adiantamentos de Clientes</t>
  </si>
  <si>
    <t>2.1.2.1</t>
  </si>
  <si>
    <t>Adiantamentos de Clientes (produtos)</t>
  </si>
  <si>
    <t>2.1.2.2</t>
  </si>
  <si>
    <t>Adiantamentos de Clientes (serviços)</t>
  </si>
  <si>
    <t>2.1.3</t>
  </si>
  <si>
    <t>Empréstimos e Financiamentos</t>
  </si>
  <si>
    <t>Empréstimos a Pagar</t>
  </si>
  <si>
    <t>Juros a Pagar</t>
  </si>
  <si>
    <t>Empréstimos em Moeda Estrangeira</t>
  </si>
  <si>
    <t>2.1.3.1</t>
  </si>
  <si>
    <t>2.1.3.2</t>
  </si>
  <si>
    <t>2.1.3.3</t>
  </si>
  <si>
    <t>Variação Cambial</t>
  </si>
  <si>
    <t>2.1.4</t>
  </si>
  <si>
    <t>Arrendamento Mercantil a Pagar</t>
  </si>
  <si>
    <t>2.1.4.1</t>
  </si>
  <si>
    <t>2.1.4.2</t>
  </si>
  <si>
    <t>2.1.5</t>
  </si>
  <si>
    <t>Obrigações Trabalhistas e Previdenciárias</t>
  </si>
  <si>
    <t>2.1.5.1</t>
  </si>
  <si>
    <t>Salários a Pagar</t>
  </si>
  <si>
    <t>2.1.5.2</t>
  </si>
  <si>
    <t>Rescisão de Contrato de Trabalho</t>
  </si>
  <si>
    <t>2.1.5.3</t>
  </si>
  <si>
    <t>Férias a Pagar</t>
  </si>
  <si>
    <t>2.1.5.4</t>
  </si>
  <si>
    <t>13º Salário a Pagar</t>
  </si>
  <si>
    <t>2.1.6</t>
  </si>
  <si>
    <t>Encargos Sociais e Previdenciários a Recolher</t>
  </si>
  <si>
    <t>2.1.6.1</t>
  </si>
  <si>
    <t>Instituto Nacional de Seguridade Social - INSS</t>
  </si>
  <si>
    <t>2.1.6.2</t>
  </si>
  <si>
    <t>Fundo de Garantia por Tempo de Serviço - FGTS</t>
  </si>
  <si>
    <t>2.1.7</t>
  </si>
  <si>
    <t>Outras Obrigações Trabalhistas e Previdenciárias</t>
  </si>
  <si>
    <t>2.1.7.1</t>
  </si>
  <si>
    <t>Serviço Social da Indústria - SESI</t>
  </si>
  <si>
    <t>2.1.7.2</t>
  </si>
  <si>
    <t>Serviço Nacional de Aprendizagem Industrial - SENAI</t>
  </si>
  <si>
    <t>2.1.7.3</t>
  </si>
  <si>
    <t>2.1.8</t>
  </si>
  <si>
    <t>Passivo Fiscal Corrente - Tributos a Recolher</t>
  </si>
  <si>
    <t>2.1.8.1</t>
  </si>
  <si>
    <t>Imposto sobre Produtos Industrializados - IPI</t>
  </si>
  <si>
    <t>2.1.8.2</t>
  </si>
  <si>
    <t>Imposto sobre Circulação de Mercadorias e Serviços - ICMS</t>
  </si>
  <si>
    <t>2.1.8.3</t>
  </si>
  <si>
    <t>Imposto de Renda – IR</t>
  </si>
  <si>
    <t>2.1.8.4</t>
  </si>
  <si>
    <t>Contribuição Social sobre Lucro Líquido – CSLL</t>
  </si>
  <si>
    <t>2.1.8.5</t>
  </si>
  <si>
    <t>Programa de Integração Social e do Programa de Formação do Patrimônio do Servidor Público - Pis/Pasep</t>
  </si>
  <si>
    <t>2.1.8.6</t>
  </si>
  <si>
    <t>Contribuição para o Financiamento da Seguridade Social - Cofins</t>
  </si>
  <si>
    <t>2.1.8.7</t>
  </si>
  <si>
    <t>Imposto sobre Serviço – ISS</t>
  </si>
  <si>
    <t>2.1.8.8</t>
  </si>
  <si>
    <t>Imposto de Renda Retido na Fonte - IRRF</t>
  </si>
  <si>
    <t>2.1.8.9</t>
  </si>
  <si>
    <t>2.1.8.10</t>
  </si>
  <si>
    <t>Imposto Predial e Territorial Urbano - IPTU/ Taxa de Limpeza Pública – TLP</t>
  </si>
  <si>
    <t>Imposto sobre Propriedade de Veículos Automotores - IPVA</t>
  </si>
  <si>
    <t>2.1.9</t>
  </si>
  <si>
    <t>Aluguéis a Pagar</t>
  </si>
  <si>
    <t>2.1.10</t>
  </si>
  <si>
    <t>Juros sobre Capital Próprio</t>
  </si>
  <si>
    <t>2.1.11</t>
  </si>
  <si>
    <t>Dividendos a Pagar</t>
  </si>
  <si>
    <t>2.1.12</t>
  </si>
  <si>
    <t>2.1.12.1</t>
  </si>
  <si>
    <t>Mercado a Termo, Futuro, Opções e Swap</t>
  </si>
  <si>
    <t>2.1.12.2</t>
  </si>
  <si>
    <t>Debentures a Pagar</t>
  </si>
  <si>
    <t>2.1.13</t>
  </si>
  <si>
    <t xml:space="preserve">Conversíveis em Ações  </t>
  </si>
  <si>
    <t>2.1.14</t>
  </si>
  <si>
    <t>Não Conversíveis em Ações</t>
  </si>
  <si>
    <t>2.1.14.1</t>
  </si>
  <si>
    <t>2.1.14.2</t>
  </si>
  <si>
    <t>Juros e Participações</t>
  </si>
  <si>
    <t>2.1.14.3</t>
  </si>
  <si>
    <t>(-) Deságio a Apropriar</t>
  </si>
  <si>
    <t>2.1.14.4</t>
  </si>
  <si>
    <t>(-) Custos de Transação a Apropriar</t>
  </si>
  <si>
    <t>Provisões</t>
  </si>
  <si>
    <t>2.2</t>
  </si>
  <si>
    <t> NÃO CIRCULANTE</t>
  </si>
  <si>
    <t>2.2.1</t>
  </si>
  <si>
    <t>Financiamentos Bancários em Moeda Nacional</t>
  </si>
  <si>
    <t xml:space="preserve">2.2.1.1 </t>
  </si>
  <si>
    <t>Financiamentos a Pagar</t>
  </si>
  <si>
    <t>2.2.1.2</t>
  </si>
  <si>
    <t>2.2.1.3</t>
  </si>
  <si>
    <t>2.2.2</t>
  </si>
  <si>
    <t>Financiamentos Bancários em Moeda Estrangeira</t>
  </si>
  <si>
    <t>2.2.2.1</t>
  </si>
  <si>
    <t>2.2.2.2</t>
  </si>
  <si>
    <t>2.2.2.3</t>
  </si>
  <si>
    <t>2.2.3</t>
  </si>
  <si>
    <t>Arrendamento Mercantil Financeiro</t>
  </si>
  <si>
    <t>2.2.3.1</t>
  </si>
  <si>
    <t>2.2.3.2</t>
  </si>
  <si>
    <t>2.2.4</t>
  </si>
  <si>
    <t>Debentures -Conversíveis em Ações</t>
  </si>
  <si>
    <t>2.2.4.1</t>
  </si>
  <si>
    <t>2.2.4.2</t>
  </si>
  <si>
    <t>2.2.4.3</t>
  </si>
  <si>
    <t>2.2.4.4</t>
  </si>
  <si>
    <t>2.2.5</t>
  </si>
  <si>
    <t>2.2.5.1</t>
  </si>
  <si>
    <t>2.2.5.2</t>
  </si>
  <si>
    <t>2.2.5.3</t>
  </si>
  <si>
    <t>2.2.5.4</t>
  </si>
  <si>
    <t>2.2.6</t>
  </si>
  <si>
    <t>Provisões para Contingências</t>
  </si>
  <si>
    <t>2.2.6.1</t>
  </si>
  <si>
    <t>Contingências Cíveis</t>
  </si>
  <si>
    <t>2.2.6.2</t>
  </si>
  <si>
    <t>Contingências Trabalhistas</t>
  </si>
  <si>
    <t>2.2.6.3</t>
  </si>
  <si>
    <t>Contingências Tributárias</t>
  </si>
  <si>
    <t>2.2.6.4</t>
  </si>
  <si>
    <t>Outras Provisões</t>
  </si>
  <si>
    <t>2.2.7</t>
  </si>
  <si>
    <t>Passivos Fiscais Diferidos</t>
  </si>
  <si>
    <t>2.2.7.1</t>
  </si>
  <si>
    <t>2.2.7.2</t>
  </si>
  <si>
    <t>CSLL Diferida - Diferenças Temporárias</t>
  </si>
  <si>
    <t xml:space="preserve">2.3 </t>
  </si>
  <si>
    <t xml:space="preserve"> PATRIMÔNIO LÍQUIDO</t>
  </si>
  <si>
    <t xml:space="preserve">2.3.1 </t>
  </si>
  <si>
    <t xml:space="preserve">2.3.1.1 </t>
  </si>
  <si>
    <t>Capital Subscrito</t>
  </si>
  <si>
    <t>2.3.1.2</t>
  </si>
  <si>
    <t>(-) Capital a Integralizar</t>
  </si>
  <si>
    <t>2.3.2</t>
  </si>
  <si>
    <t>Reservas</t>
  </si>
  <si>
    <t>2.3.2.1</t>
  </si>
  <si>
    <t>Reservas de Capital</t>
  </si>
  <si>
    <t>2.3.2.2</t>
  </si>
  <si>
    <t>Reserva Legal</t>
  </si>
  <si>
    <t>2.3.2.3</t>
  </si>
  <si>
    <t>Reserva Estatutária</t>
  </si>
  <si>
    <t>2.3.2.4</t>
  </si>
  <si>
    <t>Reserva para Contingência</t>
  </si>
  <si>
    <t>2.3.3</t>
  </si>
  <si>
    <t>Reservas de Lucros</t>
  </si>
  <si>
    <t>2.3.3.1</t>
  </si>
  <si>
    <t>Reserva de Incentivos Fiscais</t>
  </si>
  <si>
    <t>2.3.3.2</t>
  </si>
  <si>
    <t>Reserva de Lucro a Realizar</t>
  </si>
  <si>
    <t>2.3.3.3</t>
  </si>
  <si>
    <t>Reserva de Lucro para Expansão</t>
  </si>
  <si>
    <t>2.3.4</t>
  </si>
  <si>
    <t>Outros Resultados Abrangentes</t>
  </si>
  <si>
    <t>2.3.4.1</t>
  </si>
  <si>
    <t>Ajustes de Avaliação Patrimonial</t>
  </si>
  <si>
    <t>2.3.4.2</t>
  </si>
  <si>
    <t>Ajuste a Valor De Mercado - Títulos Disponíveis para Venda</t>
  </si>
  <si>
    <t>2.3.4.3</t>
  </si>
  <si>
    <t>Reserva de Reavaliação de Ativos</t>
  </si>
  <si>
    <t>2.3.4.4</t>
  </si>
  <si>
    <t>Outros Ajustes de Avaliação Patrimonial</t>
  </si>
  <si>
    <t>2.3.5</t>
  </si>
  <si>
    <t xml:space="preserve"> RECEITAS </t>
  </si>
  <si>
    <t xml:space="preserve">3.1 </t>
  </si>
  <si>
    <t xml:space="preserve"> RECEITAS OPERACIONAIS</t>
  </si>
  <si>
    <t xml:space="preserve">3.1.1 </t>
  </si>
  <si>
    <t xml:space="preserve"> Receitas de Vendas (Mercadorias/Produtos Produzidos)</t>
  </si>
  <si>
    <t>3.1.2</t>
  </si>
  <si>
    <t>(-) Deduções das Receitas</t>
  </si>
  <si>
    <t>3.1.3</t>
  </si>
  <si>
    <t>(-) Abatimentos e Cancelamentos</t>
  </si>
  <si>
    <t>3.1.4</t>
  </si>
  <si>
    <t>(-) IPI - Imposto sobre Produtos Industrializados</t>
  </si>
  <si>
    <t>3.1.5</t>
  </si>
  <si>
    <t>(-) ICMS - Imposto sobre Circulação de Mercadorias e Serviços</t>
  </si>
  <si>
    <t>3.1.6</t>
  </si>
  <si>
    <t>(-) PIS/PASEP</t>
  </si>
  <si>
    <t>3.1.7</t>
  </si>
  <si>
    <t>(-) Contribuição para Financiamento da Seguridade Social - COFINS</t>
  </si>
  <si>
    <t xml:space="preserve">3.1.2 </t>
  </si>
  <si>
    <t xml:space="preserve"> Receitas de Serviços </t>
  </si>
  <si>
    <t>(-) Imposto sobre Serviço - ISS</t>
  </si>
  <si>
    <t>Receitas Financeiras</t>
  </si>
  <si>
    <t>3.1.3.1</t>
  </si>
  <si>
    <t>Rendimento de Aplicação Financeira</t>
  </si>
  <si>
    <t>3.1.3.2</t>
  </si>
  <si>
    <t>Variações Cambiais Ativas</t>
  </si>
  <si>
    <t>3.1.3.3</t>
  </si>
  <si>
    <t>Variações Monetárias Ativas</t>
  </si>
  <si>
    <t>3.1.3.4</t>
  </si>
  <si>
    <t>Ajuste a Valor Presente</t>
  </si>
  <si>
    <t>3.1.3.5</t>
  </si>
  <si>
    <t>Ajustes de Marcação a Mercado</t>
  </si>
  <si>
    <t>Outras Receitas</t>
  </si>
  <si>
    <t>3.1.4.1</t>
  </si>
  <si>
    <t>Reversões de Provisões</t>
  </si>
  <si>
    <t>3.1.4.2</t>
  </si>
  <si>
    <t>Multas, Indenizações e Ressarcimentos de Despesas</t>
  </si>
  <si>
    <t>3.1.4.3</t>
  </si>
  <si>
    <t>Lucros de Participações em Outras Cias</t>
  </si>
  <si>
    <t>Venda de Bens do Ativo Não Circulante</t>
  </si>
  <si>
    <t>3.1.5.1</t>
  </si>
  <si>
    <t>Venda de Bens do Ativo Imobilizado</t>
  </si>
  <si>
    <t>3.1.5.2</t>
  </si>
  <si>
    <t>Venda de Bens do Ativo Intangível</t>
  </si>
  <si>
    <t>3.1.5.3</t>
  </si>
  <si>
    <t>Receitas Fiscais Diferidas</t>
  </si>
  <si>
    <t>3.1.5.4</t>
  </si>
  <si>
    <t>Imposto de Renda Pessoa Jurídica Diferido</t>
  </si>
  <si>
    <t>3.1.5.5</t>
  </si>
  <si>
    <t>Contribuição Social sobre o Lucro Líquido Diferida</t>
  </si>
  <si>
    <t xml:space="preserve">4.1 </t>
  </si>
  <si>
    <t xml:space="preserve"> Salários</t>
  </si>
  <si>
    <t xml:space="preserve"> Encargos Sociais</t>
  </si>
  <si>
    <t xml:space="preserve"> Décimo Terceiro Salário</t>
  </si>
  <si>
    <t xml:space="preserve"> Férias</t>
  </si>
  <si>
    <t xml:space="preserve"> Seguro Acidentes do Trabalho </t>
  </si>
  <si>
    <t xml:space="preserve"> Energia Elétrica</t>
  </si>
  <si>
    <t>Custos c/ Depreciação e Amortização</t>
  </si>
  <si>
    <t xml:space="preserve"> Prêmios de Seguro</t>
  </si>
  <si>
    <t xml:space="preserve"> Serviços de Terceiros</t>
  </si>
  <si>
    <t xml:space="preserve"> Comunicações </t>
  </si>
  <si>
    <t xml:space="preserve"> Água </t>
  </si>
  <si>
    <t xml:space="preserve"> Conservação e Manutenção</t>
  </si>
  <si>
    <t xml:space="preserve"> Combustíveis e Lubrificantes</t>
  </si>
  <si>
    <t xml:space="preserve"> Materiais de Expediente</t>
  </si>
  <si>
    <t xml:space="preserve"> Materiais de Limpeza</t>
  </si>
  <si>
    <t xml:space="preserve"> Materiais Diversos</t>
  </si>
  <si>
    <t>DESPESAS</t>
  </si>
  <si>
    <t xml:space="preserve">5.1 </t>
  </si>
  <si>
    <t>DESPESAS OPERACIONAIS</t>
  </si>
  <si>
    <t>5.1.1</t>
  </si>
  <si>
    <t>Despesas Administrativas e Comerciais</t>
  </si>
  <si>
    <t>Pessoal</t>
  </si>
  <si>
    <t>Materiais</t>
  </si>
  <si>
    <t>Serviços de Terceiros</t>
  </si>
  <si>
    <t>Honorários</t>
  </si>
  <si>
    <t>Outros serviços</t>
  </si>
  <si>
    <t>Depreciação e Amortização</t>
  </si>
  <si>
    <t>Desp. Depreciação</t>
  </si>
  <si>
    <t>Desp. Amortização</t>
  </si>
  <si>
    <t>Juros Passivos</t>
  </si>
  <si>
    <t>Juros de Financiamentos</t>
  </si>
  <si>
    <t>Juros sobre Outras Obrigações</t>
  </si>
  <si>
    <t>Multas e Acréscimos Moratórios</t>
  </si>
  <si>
    <t>Multas - Dedutíveis</t>
  </si>
  <si>
    <t>Multas - Indedutíveis</t>
  </si>
  <si>
    <t>Acréscimos Moratórios</t>
  </si>
  <si>
    <t>Descontos Financeiros</t>
  </si>
  <si>
    <t>Variações Cambiais Passivas</t>
  </si>
  <si>
    <t>Variações Monetárias Passivas</t>
  </si>
  <si>
    <t>Outras Despesas Financeiras</t>
  </si>
  <si>
    <t>Despesas Tributárias</t>
  </si>
  <si>
    <t>Imposto de Renda Pessoa Jurídica do Exercício sobre Lucro Líquido</t>
  </si>
  <si>
    <t>Imposto de Renda sobre Aplicações Financeiras</t>
  </si>
  <si>
    <t>Imposto Predial e Territorial Urbano</t>
  </si>
  <si>
    <t>Imposto sobre Transmissão de Bens Imóveis</t>
  </si>
  <si>
    <t>Imposto sobre a Propriedade de Veículos Automotores</t>
  </si>
  <si>
    <t>Imposto sobre Serviços – ISS</t>
  </si>
  <si>
    <t>IOF - Imposto sobre Operações Financeiras</t>
  </si>
  <si>
    <t>Taxas</t>
  </si>
  <si>
    <t>Contribuição Social sobre o Lucro Líquido - CSLL</t>
  </si>
  <si>
    <t>Despesas Fiscais Diferidas</t>
  </si>
  <si>
    <t>Processos Trabalhistas</t>
  </si>
  <si>
    <t>Processos Tributários</t>
  </si>
  <si>
    <t>Processos Cíveis</t>
  </si>
  <si>
    <t>CONTAS DE APURAÇÃO DE RESULTADOS</t>
  </si>
  <si>
    <t>APURAÇÃO DE RESULTADO </t>
  </si>
  <si>
    <t xml:space="preserve"> Custo dos Produtos Vendidos (CPV)</t>
  </si>
  <si>
    <t xml:space="preserve"> Apuração do Resultado do Exercício (ARE)</t>
  </si>
  <si>
    <t>Total</t>
  </si>
  <si>
    <t>QTDE</t>
  </si>
  <si>
    <t>REM.(Mês)</t>
  </si>
  <si>
    <t>TOTAL</t>
  </si>
  <si>
    <t>Salários</t>
  </si>
  <si>
    <t>Base INSS</t>
  </si>
  <si>
    <t>INSS a recolher</t>
  </si>
  <si>
    <t>IRRF a Pagar</t>
  </si>
  <si>
    <t>N. Dependentes</t>
  </si>
  <si>
    <t>Desc.</t>
  </si>
  <si>
    <t>Tabela IRRF 2018</t>
  </si>
  <si>
    <t>Base IRRF</t>
  </si>
  <si>
    <t>FGTS a Pagar</t>
  </si>
  <si>
    <t>Base de cálculo mensal em R$</t>
  </si>
  <si>
    <t>Alíq. %</t>
  </si>
  <si>
    <t>Parc. a deduzir</t>
  </si>
  <si>
    <t>Alíquota IRRF</t>
  </si>
  <si>
    <t>Imposto de Renda</t>
  </si>
  <si>
    <t>INSS (CPP)</t>
  </si>
  <si>
    <t>Parcela a Deduzir</t>
  </si>
  <si>
    <t>INSS a Recolher</t>
  </si>
  <si>
    <t xml:space="preserve"> IRPF a pagar</t>
  </si>
  <si>
    <t>Prov. 13 Sal</t>
  </si>
  <si>
    <t>Prov. s/ Salários (13 Sal)</t>
  </si>
  <si>
    <t xml:space="preserve">Quantia por dependente </t>
  </si>
  <si>
    <t xml:space="preserve"> Valor R$</t>
  </si>
  <si>
    <t>A partir (abril) de 2015</t>
  </si>
  <si>
    <t>Prov. Férias +1/3</t>
  </si>
  <si>
    <t>Prov. s/ Salários (Férias + 1/3)</t>
  </si>
  <si>
    <t>Tabela para Empregado, Empregado Doméstico e Trabalhador Avulso 2018</t>
  </si>
  <si>
    <t>Salario Pagar</t>
  </si>
  <si>
    <t>Salário de Contribuição (R$)</t>
  </si>
  <si>
    <t>Até R$ 1.693,72</t>
  </si>
  <si>
    <t>De R$ 1.693,73 a R$ 2.822,90</t>
  </si>
  <si>
    <t>Base FGTS</t>
  </si>
  <si>
    <t>De R$ 2.822,91 até R$ 5.645,80</t>
  </si>
  <si>
    <t>Alíquotas FTGS</t>
  </si>
  <si>
    <t>FGTS a Recolher</t>
  </si>
  <si>
    <t>FGTS</t>
  </si>
  <si>
    <t>Base INSS (Empresa)</t>
  </si>
  <si>
    <t>Alíquotas CCP</t>
  </si>
  <si>
    <t>Contribuição Previdenciária Patronal</t>
  </si>
  <si>
    <t>FAPS</t>
  </si>
  <si>
    <t>Base (Férias)</t>
  </si>
  <si>
    <t>SAT</t>
  </si>
  <si>
    <t>Prov. Férias + 1/ Férias</t>
  </si>
  <si>
    <t>FGTS s/ Prov.</t>
  </si>
  <si>
    <t>INSS (p) s/ Prov.</t>
  </si>
  <si>
    <t>Base (13. Sal)</t>
  </si>
  <si>
    <t>Classificação e Lançamento Contábil das Operações</t>
  </si>
  <si>
    <t>Classificação</t>
  </si>
  <si>
    <t>Conta Contábil</t>
  </si>
  <si>
    <t>Débito</t>
  </si>
  <si>
    <t>Crédito</t>
  </si>
  <si>
    <t>Transações</t>
  </si>
  <si>
    <t>Instruções</t>
  </si>
  <si>
    <t>Decisões</t>
  </si>
  <si>
    <t>Ativo</t>
  </si>
  <si>
    <t>Passivo</t>
  </si>
  <si>
    <t>Patrimônio Líquido</t>
  </si>
  <si>
    <t>Resultado</t>
  </si>
  <si>
    <t>Integralização do Capital</t>
  </si>
  <si>
    <t xml:space="preserve">Valor Disponível </t>
  </si>
  <si>
    <t>Aquisição de Matéria-Prima</t>
  </si>
  <si>
    <t>Gerente administrativo</t>
  </si>
  <si>
    <t>Composição do Produto</t>
  </si>
  <si>
    <t>Regime Tributário</t>
  </si>
  <si>
    <t>Lucro Real</t>
  </si>
  <si>
    <t>Aquisição de Caminhonete</t>
  </si>
  <si>
    <t>Salários Produção</t>
  </si>
  <si>
    <t>Energia Elétrica Produção</t>
  </si>
  <si>
    <t>Farmacologista (Produção)</t>
  </si>
  <si>
    <t>Farmacologista</t>
  </si>
  <si>
    <t>Gerente Administrativo</t>
  </si>
  <si>
    <t>Todos possuem 1 dependente</t>
  </si>
  <si>
    <t>Total INSS, IRPF do empregado; Encargos empresa (CPP, FGTS, Férias, 13º Salário)</t>
  </si>
  <si>
    <t>Valor FOB</t>
  </si>
  <si>
    <t>Frete</t>
  </si>
  <si>
    <t>Seguro</t>
  </si>
  <si>
    <t>Valor Aduaneiro R$</t>
  </si>
  <si>
    <t>Imposto de Importação (II)</t>
  </si>
  <si>
    <t>Base de cálculo</t>
  </si>
  <si>
    <t>Alíquota II (%)</t>
  </si>
  <si>
    <t>Imposto sobre Produto Industrializado (IPI)</t>
  </si>
  <si>
    <t>Alíquota (%)</t>
  </si>
  <si>
    <t>PIS Programa de Integração Social</t>
  </si>
  <si>
    <t>Alíquota</t>
  </si>
  <si>
    <t>Valor do PIS</t>
  </si>
  <si>
    <t>COFINS Contribuição para o Financiamento da Seguridade Social (i)</t>
  </si>
  <si>
    <t>Valor do COFINS</t>
  </si>
  <si>
    <t>Taxa de SISCOMEX</t>
  </si>
  <si>
    <t>ICMS Imposto sobre Circulação de Mercadorias e Prestação de Serviços</t>
  </si>
  <si>
    <t>Valor do ICMS</t>
  </si>
  <si>
    <t>Eventos que causam impacto tributário</t>
  </si>
  <si>
    <t>Aquisição de Matéria Prima</t>
  </si>
  <si>
    <t>O que gera?</t>
  </si>
  <si>
    <t xml:space="preserve">Parametro tabela </t>
  </si>
  <si>
    <t>Tributos</t>
  </si>
  <si>
    <t>ISS</t>
  </si>
  <si>
    <t>II</t>
  </si>
  <si>
    <t>IE</t>
  </si>
  <si>
    <t>Débito Tributário</t>
  </si>
  <si>
    <t>Crédito Tributário</t>
  </si>
  <si>
    <t>Qual tributo?</t>
  </si>
  <si>
    <t>Salários Administrativo</t>
  </si>
  <si>
    <t>Despesa de Salários: Administrativo</t>
  </si>
  <si>
    <t>Total Salários</t>
  </si>
  <si>
    <t>Custo: Salários Produção</t>
  </si>
  <si>
    <t>Salário Administrativo</t>
  </si>
  <si>
    <t>Resumo</t>
  </si>
  <si>
    <t>Cálculo</t>
  </si>
  <si>
    <t>Menu</t>
  </si>
  <si>
    <t>Total  FGTS</t>
  </si>
  <si>
    <t>Administração</t>
  </si>
  <si>
    <t>Informações</t>
  </si>
  <si>
    <t>QUADRO DE FUNCIONÁRIOS</t>
  </si>
  <si>
    <t>O Salário Base de INSS seria...</t>
  </si>
  <si>
    <t>(+) adicional de insalubridade/periculosidade</t>
  </si>
  <si>
    <t xml:space="preserve">Salário </t>
  </si>
  <si>
    <t>(+) Adicionais</t>
  </si>
  <si>
    <t>Horas Extras</t>
  </si>
  <si>
    <t>Descanso Semanal Remunerado (DSR) sobre H.E</t>
  </si>
  <si>
    <t>Horas Extras (H.E)</t>
  </si>
  <si>
    <t xml:space="preserve">Salário Mensal </t>
  </si>
  <si>
    <t>Mês</t>
  </si>
  <si>
    <t>220 horas</t>
  </si>
  <si>
    <t>Fator de Acréscimo</t>
  </si>
  <si>
    <t>50%, 100% ....</t>
  </si>
  <si>
    <t xml:space="preserve">Valor H.E = [Salário Mensal/220 horas]* nº de H.E * [1+fator de acréscimo] </t>
  </si>
  <si>
    <t xml:space="preserve">DSR sobre H.E = [Valor H.E/ dias úteis] * nº de domingos e feriados de direito </t>
  </si>
  <si>
    <t>Nº de domingos e feridos que o trabalhador tem direito depende das faltas [ falta na semana perde o DSR ...]</t>
  </si>
  <si>
    <t>Faltas</t>
  </si>
  <si>
    <t>Dias</t>
  </si>
  <si>
    <t>COMO FAZER</t>
  </si>
  <si>
    <t>Faltas dia = Salário/30 dias</t>
  </si>
  <si>
    <t xml:space="preserve"> Valor $/dia</t>
  </si>
  <si>
    <t>Faltas horas = Salário/220 horas</t>
  </si>
  <si>
    <t>Descontos</t>
  </si>
  <si>
    <t>Faltas dia</t>
  </si>
  <si>
    <t>Faltas atrasos</t>
  </si>
  <si>
    <t>Valor líquido     &gt;&gt;&gt;&gt;&gt; BASE INSS</t>
  </si>
  <si>
    <t>INSS (p) s/ provisão</t>
  </si>
  <si>
    <t>FGTS s/ provisão</t>
  </si>
  <si>
    <t>13º Salário</t>
  </si>
  <si>
    <t xml:space="preserve"> Fundo de Garantia do Tempo de Serviço FGTS (DRE)</t>
  </si>
  <si>
    <t xml:space="preserve"> Instituto Nacional de Seguridade Social - INSS  (DRE)</t>
  </si>
  <si>
    <t>Custo: Salários de Produção</t>
  </si>
  <si>
    <t>Despesa: Salários Administrativo</t>
  </si>
  <si>
    <t>2.1.5.5</t>
  </si>
  <si>
    <t>Provisão de Férias</t>
  </si>
  <si>
    <t>Provisão 13º Salário</t>
  </si>
  <si>
    <t>Embalagem (500g)</t>
  </si>
  <si>
    <t>KG</t>
  </si>
  <si>
    <t>Quantidade</t>
  </si>
  <si>
    <t>Item</t>
  </si>
  <si>
    <t>DL- Fenilalanina</t>
  </si>
  <si>
    <t>Produto (500g)</t>
  </si>
  <si>
    <t>grama</t>
  </si>
  <si>
    <t>unidade</t>
  </si>
  <si>
    <t>Valor/Qtde</t>
  </si>
  <si>
    <t>Retenção na fonte</t>
  </si>
  <si>
    <t>Compras</t>
  </si>
  <si>
    <t xml:space="preserve">Item </t>
  </si>
  <si>
    <t>Unidade de medida</t>
  </si>
  <si>
    <t>Preço unitário</t>
  </si>
  <si>
    <t>Taxa de câmbio</t>
  </si>
  <si>
    <t>Valor Líquido</t>
  </si>
  <si>
    <t>Custo Unitário</t>
  </si>
  <si>
    <t>Custo Total</t>
  </si>
  <si>
    <t>DATA</t>
  </si>
  <si>
    <t>ENTRADA</t>
  </si>
  <si>
    <t>SAÍDA</t>
  </si>
  <si>
    <t>SALDO</t>
  </si>
  <si>
    <t xml:space="preserve">Qtde </t>
  </si>
  <si>
    <t xml:space="preserve">Valor Unit. </t>
  </si>
  <si>
    <t>Valor Total</t>
  </si>
  <si>
    <r>
      <t xml:space="preserve">Ficha de Estoque para </t>
    </r>
    <r>
      <rPr>
        <b/>
        <sz val="11"/>
        <color theme="1"/>
        <rFont val="Times New Roman"/>
        <family val="1"/>
      </rPr>
      <t>MATÉRIA PRIMA</t>
    </r>
  </si>
  <si>
    <t>CUSTOS</t>
  </si>
  <si>
    <t>Custos Variáveis</t>
  </si>
  <si>
    <t>Custos Fixos</t>
  </si>
  <si>
    <t>Total Despesa de Mão de Obra</t>
  </si>
  <si>
    <t>Total Custos de Mão de Obra</t>
  </si>
  <si>
    <t>Material necessário</t>
  </si>
  <si>
    <t>unidades</t>
  </si>
  <si>
    <t>Capacidade Produtiva Máxima</t>
  </si>
  <si>
    <t>Funcionários Produção</t>
  </si>
  <si>
    <t>Capacidade Máxima</t>
  </si>
  <si>
    <t>Quantidade de Funcionários (*)</t>
  </si>
  <si>
    <t>80% Produção</t>
  </si>
  <si>
    <t>20% Administrativo</t>
  </si>
  <si>
    <t>Custo (m²)</t>
  </si>
  <si>
    <t>Valor Imóvel¹</t>
  </si>
  <si>
    <t>¹Valor contempla o prédio e todos os móveis e equipamentos</t>
  </si>
  <si>
    <t>Gastos</t>
  </si>
  <si>
    <t>Ficha de Estoque para PRODUTO ACABADO</t>
  </si>
  <si>
    <t>Margem de Lucro</t>
  </si>
  <si>
    <t>Opções de Venda</t>
  </si>
  <si>
    <t>Mercado</t>
  </si>
  <si>
    <t>Despesa frete</t>
  </si>
  <si>
    <t>CÁLCULO DO PREÇO DE VENDA</t>
  </si>
  <si>
    <t>Alíquotas</t>
  </si>
  <si>
    <t>Preço Unit.</t>
  </si>
  <si>
    <t>% Sobre a RB</t>
  </si>
  <si>
    <t>MARKUP</t>
  </si>
  <si>
    <t>LUCRO</t>
  </si>
  <si>
    <t>Base</t>
  </si>
  <si>
    <t>Soma</t>
  </si>
  <si>
    <t>PREÇO DE VENDA</t>
  </si>
  <si>
    <t>Markup divisor</t>
  </si>
  <si>
    <t>Estrangeira</t>
  </si>
  <si>
    <t>CONTAS DE RESULTADO</t>
  </si>
  <si>
    <t>Ver Planilha Estoque de MP</t>
  </si>
  <si>
    <t>L Fenilalania</t>
  </si>
  <si>
    <t>Operação de Importação</t>
  </si>
  <si>
    <t>Tributação</t>
  </si>
  <si>
    <t>* Alíquota de PIS/COFINS para as matérias primas nacionais. Para o caso da importação da L Fenilalanina...</t>
  </si>
  <si>
    <t xml:space="preserve">Ver Planilha Tributos </t>
  </si>
  <si>
    <t>Base de Cálculo**</t>
  </si>
  <si>
    <t>** Cálculo (por dentro)</t>
  </si>
  <si>
    <t>=[Σ(...)] ÷  (1- alíquota ICMS)</t>
  </si>
  <si>
    <t>** Fórmula</t>
  </si>
  <si>
    <t>DÉBITOS TRIBUTÁRIOS</t>
  </si>
  <si>
    <t>=[Σ(Valor aduaneiro + II + IPI + PIS + COFINS + taxa Siscomex + despesas ocorridas até o momento do desembaraço aduaneiro)] ÷ (1 – alíquota devida do ICMS)</t>
  </si>
  <si>
    <t>TABELA ICMS</t>
  </si>
  <si>
    <t>CRÉDITOS TRIBUTÁRIOS</t>
  </si>
  <si>
    <r>
      <rPr>
        <b/>
        <sz val="12"/>
        <color theme="1"/>
        <rFont val="Times New Roman"/>
        <family val="1"/>
      </rPr>
      <t>OBSERVAÇÃO:</t>
    </r>
    <r>
      <rPr>
        <sz val="12"/>
        <color theme="1"/>
        <rFont val="Times New Roman"/>
        <family val="1"/>
      </rPr>
      <t xml:space="preserve"> A alíquota de ICMS para considerar como crédito tributário, deve ser a alíquota do Estado em que a empresa se instalou.</t>
    </r>
  </si>
  <si>
    <t>Quantidade aceita</t>
  </si>
  <si>
    <t>Preço</t>
  </si>
  <si>
    <t>MERCADO</t>
  </si>
  <si>
    <t>Estoque de Matérias-primas e embalagens</t>
  </si>
  <si>
    <t>4.1.1</t>
  </si>
  <si>
    <t>4.1.1.1</t>
  </si>
  <si>
    <t>4.1.1.2</t>
  </si>
  <si>
    <t>4.1.1.3</t>
  </si>
  <si>
    <t>4.1.1.4</t>
  </si>
  <si>
    <t>4.1.1.6</t>
  </si>
  <si>
    <t>4.1.1.7</t>
  </si>
  <si>
    <t>4.1.1.8</t>
  </si>
  <si>
    <t>4.1.1.9</t>
  </si>
  <si>
    <t>4.1.1.11</t>
  </si>
  <si>
    <t>4.1.1.12</t>
  </si>
  <si>
    <t>4.1.1.13</t>
  </si>
  <si>
    <t>4.1.1.14</t>
  </si>
  <si>
    <t>4.1.1.16</t>
  </si>
  <si>
    <t>4.1.1.17</t>
  </si>
  <si>
    <t>4.1.1.18</t>
  </si>
  <si>
    <t>4.1.1.19</t>
  </si>
  <si>
    <t>4.1.1.20</t>
  </si>
  <si>
    <t>4.2.1</t>
  </si>
  <si>
    <t>4.2.1.1</t>
  </si>
  <si>
    <t>4.2.1.2</t>
  </si>
  <si>
    <t>4.3.1</t>
  </si>
  <si>
    <t>4.3.1.1</t>
  </si>
  <si>
    <t>4.3.1.2</t>
  </si>
  <si>
    <t>4.3.1.3</t>
  </si>
  <si>
    <t>4.4.1</t>
  </si>
  <si>
    <t>4.4.1.1</t>
  </si>
  <si>
    <t>4.4.1.2</t>
  </si>
  <si>
    <t>4.4.1.3</t>
  </si>
  <si>
    <t>4.6.1</t>
  </si>
  <si>
    <t>4.6.1.1</t>
  </si>
  <si>
    <t>4.6.1.2</t>
  </si>
  <si>
    <t>4.6.1.3</t>
  </si>
  <si>
    <t>4.6.1.4</t>
  </si>
  <si>
    <t>4.6.1.6</t>
  </si>
  <si>
    <t>4.6.1.7</t>
  </si>
  <si>
    <t>4.6.1.8</t>
  </si>
  <si>
    <t>4.6.1.9</t>
  </si>
  <si>
    <t>4.7.1</t>
  </si>
  <si>
    <t>4.7.1.1</t>
  </si>
  <si>
    <t>4.7.1.2</t>
  </si>
  <si>
    <t>4.8.1</t>
  </si>
  <si>
    <t>4.8.1.1</t>
  </si>
  <si>
    <t>4.8.1.2</t>
  </si>
  <si>
    <t>4.8.1.3</t>
  </si>
  <si>
    <t>4.1.1.5</t>
  </si>
  <si>
    <t>4.1.1.15</t>
  </si>
  <si>
    <t>4.5.1</t>
  </si>
  <si>
    <t>4.5.1.1</t>
  </si>
  <si>
    <t>4.5.1.2</t>
  </si>
  <si>
    <t>4.5.1.3</t>
  </si>
  <si>
    <t>4.5.1.4</t>
  </si>
  <si>
    <t>4.5.1.5</t>
  </si>
  <si>
    <t>4.6.1.5</t>
  </si>
  <si>
    <t>TABELA PRICE</t>
  </si>
  <si>
    <t>Prazo (meses)</t>
  </si>
  <si>
    <t>Taxa Anual (C.E.T.)</t>
  </si>
  <si>
    <t>Taxa Mensal</t>
  </si>
  <si>
    <t>Prestação Máxima</t>
  </si>
  <si>
    <t>Renda Mínima</t>
  </si>
  <si>
    <t>Juros devidos:</t>
  </si>
  <si>
    <t>Principal devido:</t>
  </si>
  <si>
    <t>* preencha os campos amarelos</t>
  </si>
  <si>
    <t>Total devido</t>
  </si>
  <si>
    <t>Parc</t>
  </si>
  <si>
    <t>Saldo Inicial</t>
  </si>
  <si>
    <t>Juros</t>
  </si>
  <si>
    <t>Saldo Atualizado</t>
  </si>
  <si>
    <t>Amortização</t>
  </si>
  <si>
    <t>Prestação</t>
  </si>
  <si>
    <t>Saldo Devedor</t>
  </si>
  <si>
    <t>Totais pagos:</t>
  </si>
  <si>
    <t>5.1.2</t>
  </si>
  <si>
    <t>Alíquota ICMS</t>
  </si>
  <si>
    <t xml:space="preserve">Lance </t>
  </si>
  <si>
    <t>** PIS, COFINS e ICMS</t>
  </si>
  <si>
    <t>Estado Matriz</t>
  </si>
  <si>
    <t>ACRE</t>
  </si>
  <si>
    <t>MARANHAO</t>
  </si>
  <si>
    <t>RIO GRANDE DO NORTE</t>
  </si>
  <si>
    <t>ALAGOAS</t>
  </si>
  <si>
    <t>MATO GROSSO</t>
  </si>
  <si>
    <t>RIO GRANDE DO SUL</t>
  </si>
  <si>
    <t>AMAPÁ</t>
  </si>
  <si>
    <t>MATO GROSSO DO SUL</t>
  </si>
  <si>
    <t>AMAZONAS</t>
  </si>
  <si>
    <t>MINAS GERAIS</t>
  </si>
  <si>
    <t>RONDÔNIA</t>
  </si>
  <si>
    <t>BAHIA</t>
  </si>
  <si>
    <t>PARÁ</t>
  </si>
  <si>
    <t>OS</t>
  </si>
  <si>
    <t>RORAIMA</t>
  </si>
  <si>
    <t>CEARÁ</t>
  </si>
  <si>
    <t>PARAÍBA</t>
  </si>
  <si>
    <t>SANTA CATARINA</t>
  </si>
  <si>
    <t>DISTRITO FEDERAL</t>
  </si>
  <si>
    <t>PARANÁ</t>
  </si>
  <si>
    <t>ESPIRITO SANTO</t>
  </si>
  <si>
    <t>PERNAMBUCO</t>
  </si>
  <si>
    <t>SERGIPE</t>
  </si>
  <si>
    <t>GOIAS</t>
  </si>
  <si>
    <t>PIAUÍ</t>
  </si>
  <si>
    <t>TOCANTINS</t>
  </si>
  <si>
    <t xml:space="preserve">ORIGEM </t>
  </si>
  <si>
    <t>DESTINO</t>
  </si>
  <si>
    <t>IM</t>
  </si>
  <si>
    <t>SIGLAS</t>
  </si>
  <si>
    <t>IMPORTAÇÃO</t>
  </si>
  <si>
    <t>Alíquota interna</t>
  </si>
  <si>
    <t>Rio de Janeiro 20% (18% + 2% de FECP*)</t>
  </si>
  <si>
    <t>* Fundo Estadual de Combate à Pobreza e às Desigualdades Sociais – FECP</t>
  </si>
  <si>
    <t>Diagonal</t>
  </si>
  <si>
    <t>Link 1</t>
  </si>
  <si>
    <t>ARE</t>
  </si>
  <si>
    <t>Estados de Atuação:</t>
  </si>
  <si>
    <t>2.</t>
  </si>
  <si>
    <t>3.</t>
  </si>
  <si>
    <t>4.</t>
  </si>
  <si>
    <t xml:space="preserve">5. </t>
  </si>
  <si>
    <t>Mercedes-Benz Sprinter 2019</t>
  </si>
  <si>
    <t>Juros Devidos</t>
  </si>
  <si>
    <t>Total Devido</t>
  </si>
  <si>
    <t>Valor das parcelas</t>
  </si>
  <si>
    <t>Link 2</t>
  </si>
  <si>
    <t>Aquisição de Matéria Prima do Exterior</t>
  </si>
  <si>
    <t>Faturamento</t>
  </si>
  <si>
    <t>Receita Líquida</t>
  </si>
  <si>
    <t>ORIGEM</t>
  </si>
  <si>
    <r>
      <rPr>
        <b/>
        <sz val="12"/>
        <color theme="1"/>
        <rFont val="Times New Roman"/>
        <family val="1"/>
      </rPr>
      <t>Observação:</t>
    </r>
    <r>
      <rPr>
        <sz val="12"/>
        <color theme="1"/>
        <rFont val="Times New Roman"/>
        <family val="1"/>
      </rPr>
      <t xml:space="preserve"> as alíquotas internas dessa tabela </t>
    </r>
    <r>
      <rPr>
        <b/>
        <sz val="12"/>
        <color rgb="FF00CC00"/>
        <rFont val="Times New Roman"/>
        <family val="1"/>
      </rPr>
      <t>são para operações com demais bens e mercadorias, bem como prestações de serviço, para os quais não haja previsão de alíquota específica.</t>
    </r>
    <r>
      <rPr>
        <sz val="12"/>
        <color theme="1"/>
        <rFont val="Times New Roman"/>
        <family val="1"/>
      </rPr>
      <t xml:space="preserve"> A legislação pode fazer referência ao código NCM do produto ou à sua descrição, por isso há necessidade de consulta da alíquota para produto específico. </t>
    </r>
  </si>
  <si>
    <t>Link 3</t>
  </si>
  <si>
    <t>Valor Frete</t>
  </si>
  <si>
    <t>Receita Líquida de Vendas</t>
  </si>
  <si>
    <t>Que mercados você irá ofertar? Em que quantidade?</t>
  </si>
  <si>
    <t>Outros gastos</t>
  </si>
  <si>
    <t>Tributos a compensar</t>
  </si>
  <si>
    <t>SAÍDA DO ESTOQUE</t>
  </si>
  <si>
    <t>Processo produtivo</t>
  </si>
  <si>
    <t>Depreciação da produção</t>
  </si>
  <si>
    <t>100% Administrativo</t>
  </si>
  <si>
    <t>Energia Elétrica  Administrativo</t>
  </si>
  <si>
    <t>(=) Lucro operacional antes do resultado financeiro</t>
  </si>
  <si>
    <t>DL-Fenilalanina: Total $</t>
  </si>
  <si>
    <t>5.</t>
  </si>
  <si>
    <t>Outros Gastos</t>
  </si>
  <si>
    <t>Receita de vendas operacionais</t>
  </si>
  <si>
    <t>Tributos sobre as vendas</t>
  </si>
  <si>
    <t>Custo dos produtos vendidos</t>
  </si>
  <si>
    <t>Despesa com frete</t>
  </si>
  <si>
    <t>Despesas com fretes</t>
  </si>
  <si>
    <t>Aquisição de financiamento</t>
  </si>
  <si>
    <t>Despesa com juros</t>
  </si>
  <si>
    <t>Pagamento de empréstimo + juros</t>
  </si>
  <si>
    <t>Reconhecimento de crédito tributário</t>
  </si>
  <si>
    <t>-</t>
  </si>
  <si>
    <t>Despesa Administrativas e comerciais</t>
  </si>
  <si>
    <t>Reserva de Lucros</t>
  </si>
  <si>
    <t>IRPJ</t>
  </si>
  <si>
    <t>CSLL</t>
  </si>
  <si>
    <t>QUADRO DE DISTÂNCIAS RODOVIÁRIAS ENTRE AS PRINCIPAIS CIDADES BRASILEIRAS</t>
  </si>
  <si>
    <t>DNER/AP/Div. Planejamento - Serv. Coord. e Gerência de Sistemas Rodoviários ---- Sugestões  ( 061) 315-4151.</t>
  </si>
  <si>
    <t>Depreciação Veículo</t>
  </si>
  <si>
    <t>Depreciação da parte administrativa - prédio</t>
  </si>
  <si>
    <t>Depreciação da parta administrativa - prédio e veículo</t>
  </si>
  <si>
    <t>Depreciação da parte administrativa - veículo</t>
  </si>
  <si>
    <t>CPV</t>
  </si>
  <si>
    <t>D-Fenilalanina*</t>
  </si>
  <si>
    <t>L Fenilalanina**</t>
  </si>
  <si>
    <t xml:space="preserve">*A compra da D- Fenilalanina é realizada no estado onde está localizada a matriz da empresa. </t>
  </si>
  <si>
    <t xml:space="preserve">** Valor em dólar, produto sem similar nacional. </t>
  </si>
  <si>
    <t>PIS*</t>
  </si>
  <si>
    <t>COFINS*</t>
  </si>
  <si>
    <t>Resumo Importação</t>
  </si>
  <si>
    <t>Custo (Valor Aduaneiro + II + Siscomex</t>
  </si>
  <si>
    <t>Impostos a recuperar (IPI, PIS, COFINS, ICMS)</t>
  </si>
  <si>
    <t>(Quantidade x Valor US$)</t>
  </si>
  <si>
    <t>Custo MP</t>
  </si>
  <si>
    <t>Valor a pagar</t>
  </si>
  <si>
    <t>Mercado (Destino)*</t>
  </si>
  <si>
    <t>*Conforme ofertado.</t>
  </si>
  <si>
    <t>Total frete</t>
  </si>
  <si>
    <t>Apuração da CSLL</t>
  </si>
  <si>
    <t>Apuração do IRPJ</t>
  </si>
  <si>
    <t>Lucros Acumulados</t>
  </si>
  <si>
    <t>Lucros/Prejuízos Acumulados</t>
  </si>
  <si>
    <t>Destinação do lucro</t>
  </si>
  <si>
    <t>As células destacadas em azul devem ser preenchidas manualmente pela equipe.</t>
  </si>
  <si>
    <t xml:space="preserve">É necessário que apenas um membro da equipe faça as postagens no Stoa. </t>
  </si>
  <si>
    <t xml:space="preserve">Menu </t>
  </si>
  <si>
    <t>Soma dos débitos e dos créditos</t>
  </si>
  <si>
    <t>RAZONETES</t>
  </si>
  <si>
    <t>Lucro Líquido</t>
  </si>
  <si>
    <t xml:space="preserve">DRE </t>
  </si>
  <si>
    <t>Despesa Financeira</t>
  </si>
  <si>
    <t>IR/CSLL sobre DF (34%)</t>
  </si>
  <si>
    <t>Despesa financeira líquida de IR</t>
  </si>
  <si>
    <t>DRE AJUSTADA: Qual o Lucro Operacional?</t>
  </si>
  <si>
    <t>IR Total</t>
  </si>
  <si>
    <t>Cálculo do IR/CSLL operacional</t>
  </si>
  <si>
    <t>LAIR</t>
  </si>
  <si>
    <t>IR/CSLL operacional</t>
  </si>
  <si>
    <t>Lucro operacional após IR</t>
  </si>
  <si>
    <t>(-) Despesa Financeira líquida de IR/CSLL</t>
  </si>
  <si>
    <t>(-) IR/CSLL sobre DF</t>
  </si>
  <si>
    <t>(+) IR/CSLL sobre Receita Financeira</t>
  </si>
  <si>
    <t>Ativo Total</t>
  </si>
  <si>
    <t>Passivo de Funcionamento</t>
  </si>
  <si>
    <t>Passivo Oneroso</t>
  </si>
  <si>
    <t>Investimento Total = Ativo Total - Passivo de Funcionamento</t>
  </si>
  <si>
    <t>Investimento Total</t>
  </si>
  <si>
    <t>Qual foi o retorno sobre o investimento? (ROI)</t>
  </si>
  <si>
    <t>ROI</t>
  </si>
  <si>
    <t xml:space="preserve">Qual foi o retorno para os acionistas? </t>
  </si>
  <si>
    <t>RSPL (Retorno sobre o PL) ou ROE (Return on Equity)</t>
  </si>
  <si>
    <t>ROE= lucro líquido ÷ Patrimônio Líquido</t>
  </si>
  <si>
    <t>Qual é o Custo da Dívida em adquirir capital de terceiro?</t>
  </si>
  <si>
    <t>k= despesa financeira líquida de IR ÷ Passivo Oneroso</t>
  </si>
  <si>
    <t>Custo da Dívida (k)</t>
  </si>
  <si>
    <r>
      <t>Diferencial entre a taxa de retorno do investimento e o custo da dívida (</t>
    </r>
    <r>
      <rPr>
        <i/>
        <sz val="12"/>
        <color theme="1"/>
        <rFont val="Times New Roman"/>
        <family val="1"/>
      </rPr>
      <t>spread</t>
    </r>
    <r>
      <rPr>
        <sz val="12"/>
        <color theme="1"/>
        <rFont val="Times New Roman"/>
        <family val="1"/>
      </rPr>
      <t>)</t>
    </r>
  </si>
  <si>
    <r>
      <rPr>
        <i/>
        <sz val="12"/>
        <color theme="1"/>
        <rFont val="Times New Roman"/>
        <family val="1"/>
      </rPr>
      <t>spread =</t>
    </r>
    <r>
      <rPr>
        <sz val="12"/>
        <color theme="1"/>
        <rFont val="Times New Roman"/>
        <family val="1"/>
      </rPr>
      <t>ROI - k</t>
    </r>
  </si>
  <si>
    <t>Spread</t>
  </si>
  <si>
    <t>GAF</t>
  </si>
  <si>
    <t>Grau de Alancagem Financeira (GAF) = ROE ÷ ROI</t>
  </si>
  <si>
    <t>Desempenho Econômico da Empresa</t>
  </si>
  <si>
    <t>Decomposição do GAF</t>
  </si>
  <si>
    <t>Capital de Terceiros (Passivo Oneroso)</t>
  </si>
  <si>
    <t>A empresa rende ($)</t>
  </si>
  <si>
    <t>Dívida</t>
  </si>
  <si>
    <t>k</t>
  </si>
  <si>
    <t>Juros de financiamento</t>
  </si>
  <si>
    <t>Perda para cada $ captado de terceiros</t>
  </si>
  <si>
    <t>Ganho para cada $ captado de terceiros ou</t>
  </si>
  <si>
    <t>Capital Próprio</t>
  </si>
  <si>
    <t>Rentabilidade para os acionistas</t>
  </si>
  <si>
    <t>Lucro</t>
  </si>
  <si>
    <t>Margens</t>
  </si>
  <si>
    <t>Liquidez imediata (LI) = disponível ÷ passivo circulante</t>
  </si>
  <si>
    <t>Liquidez corrente (LC) = ativo circulante ÷ passivo circulante</t>
  </si>
  <si>
    <t>Liquidez geral (LG) = (ativo circulante + realizável a LP) ÷ passivo total</t>
  </si>
  <si>
    <t>LI</t>
  </si>
  <si>
    <t>LC</t>
  </si>
  <si>
    <t>LC=LG, não há realizável a LP</t>
  </si>
  <si>
    <t>Quantidade de Produtos Acabados</t>
  </si>
  <si>
    <t>ARACAJÚ (Sergipe)</t>
  </si>
  <si>
    <t>BELÉM (Pará)</t>
  </si>
  <si>
    <t>BELO HORIZONTE (Minas Gerais)</t>
  </si>
  <si>
    <t>BRASÍLIA (Distrito Federal)</t>
  </si>
  <si>
    <t>CAMPO GRANDE (Mato Grosso do Sul)</t>
  </si>
  <si>
    <t>CUIABÁ (Mato Grosso)</t>
  </si>
  <si>
    <t>CURITIBA (Paraná)</t>
  </si>
  <si>
    <t>FLORIANÓPOLIS (Santa Catarina)</t>
  </si>
  <si>
    <t>FORTALEZA (Ceará)</t>
  </si>
  <si>
    <t>GOIÂNIA (Goiás)</t>
  </si>
  <si>
    <t>JOÃO PESSOA (Paraíba)</t>
  </si>
  <si>
    <t>MACEIÓ (Alagoas)</t>
  </si>
  <si>
    <t>MANAUS (Amazonas)</t>
  </si>
  <si>
    <t>NATAL (Rio Grande do Norte)</t>
  </si>
  <si>
    <t>PALMAS (Tocantis)</t>
  </si>
  <si>
    <t>PORTO ALEGRE (Rio Grande do Sul)</t>
  </si>
  <si>
    <t>PORTO VELHO (Rondônia)</t>
  </si>
  <si>
    <t>RECIFE (Pernambuco)</t>
  </si>
  <si>
    <t>RIO BRANCO (Acre)</t>
  </si>
  <si>
    <t>RIO DE JANEIRO (Rio de Janeiro)</t>
  </si>
  <si>
    <t>SALVADOR (Bahia)</t>
  </si>
  <si>
    <t>SÃO LUÍS (Maranhão)</t>
  </si>
  <si>
    <t>SÃO PAULO (São Paulo)</t>
  </si>
  <si>
    <t>TERESINA (Piauí)</t>
  </si>
  <si>
    <t>VITÓRIA (Espírito Santo)</t>
  </si>
  <si>
    <t>BOA VISTA (Roraima)</t>
  </si>
  <si>
    <t>MACAPÁ (Amapá)</t>
  </si>
  <si>
    <t>ROI  = LOP após IR ÷ Investimento Total</t>
  </si>
  <si>
    <t>Liquidez Corrente</t>
  </si>
  <si>
    <t>PARA SABER MAIS....</t>
  </si>
  <si>
    <t>ML</t>
  </si>
  <si>
    <t>Margem Líquida = lucro líquido ÷ receita bruta de vendas</t>
  </si>
  <si>
    <t>(-) Tributos a compensar</t>
  </si>
  <si>
    <t>Carga Tributária = Total de tributos a pagar ÷ receita bruta de vendas</t>
  </si>
  <si>
    <t>Quantidade de Produto Acabado (PA)</t>
  </si>
  <si>
    <t>(=) Ociosidade</t>
  </si>
  <si>
    <t>Disponíveis nos arquivos do Stoa, no tópico Game: Tax and Business</t>
  </si>
  <si>
    <t>Prazo Médio de Estocagem = (Estoque Médio de Produto Acabado/CPV)*360</t>
  </si>
  <si>
    <t>Prazo Médio Estocagem</t>
  </si>
  <si>
    <t>Prazo Médio de Estocagem</t>
  </si>
  <si>
    <t>Sumário dos Indicadores</t>
  </si>
  <si>
    <t>Aquisição de Matéria Prima Nacional e Exterior</t>
  </si>
  <si>
    <t>Venda de Mercadorias</t>
  </si>
  <si>
    <t>Oferta - 2ª rodada</t>
  </si>
  <si>
    <t>Aceite - 3ª rodada</t>
  </si>
  <si>
    <r>
      <rPr>
        <b/>
        <sz val="14"/>
        <color theme="1"/>
        <rFont val="Times New Roman"/>
        <family val="1"/>
      </rPr>
      <t xml:space="preserve">ORIENTAÇÕES      </t>
    </r>
    <r>
      <rPr>
        <sz val="14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São sempre 1 funcionário no administrativo. A quantidade de funcionários da produção depende da escolha do tamanho do imóvel.                                                                       Não existe horas extras, faltas, adicionais de periculosidade/insalubridade.                                                                                                                                      Objetivo: evidenciar o que é retido na fonte pela empresa e o que de fato é de responsabilidade da empresa quando se fala sobre encargos sociais.                                                Abaixo o quadro de funcionários, tabela do IRPF 2018, INSS empregado, INSS e FTGS empregador</t>
    </r>
  </si>
  <si>
    <t>1ª rodada</t>
  </si>
  <si>
    <t>Planilha Decisões - 1ª rodada</t>
  </si>
  <si>
    <t>Tamanho do imóvel</t>
  </si>
  <si>
    <t>Planilha Decisões - Área</t>
  </si>
  <si>
    <t>Planilha Decisões - Empréstimo para Capital de Giro</t>
  </si>
  <si>
    <t xml:space="preserve">2ª rodada </t>
  </si>
  <si>
    <r>
      <rPr>
        <b/>
        <sz val="11"/>
        <color theme="1"/>
        <rFont val="Times New Roman"/>
        <family val="1"/>
      </rPr>
      <t>1ª rodada -</t>
    </r>
    <r>
      <rPr>
        <sz val="11"/>
        <color theme="1"/>
        <rFont val="Times New Roman"/>
        <family val="1"/>
      </rPr>
      <t xml:space="preserve"> Escolha da matriz e mercado de atuação</t>
    </r>
  </si>
  <si>
    <t>Quantidade de compra de matéria-prima e embalagem</t>
  </si>
  <si>
    <t>Planilha Estoque MP - Compras</t>
  </si>
  <si>
    <t>Requisição de MP e Embalagem</t>
  </si>
  <si>
    <t>Planilha Estoque MP - Requisição de MP e Embalagem</t>
  </si>
  <si>
    <t>Quantidade de DL- Fenilalanina produzida (em unidade)</t>
  </si>
  <si>
    <t>Preço de Venda Unitário</t>
  </si>
  <si>
    <t>Planilha Preço de Venda - CÁLCULO DO PREÇO DE VENDA</t>
  </si>
  <si>
    <t>Total Quantidade</t>
  </si>
  <si>
    <t>Planilha Preço de Venda - Total Quantidade</t>
  </si>
  <si>
    <t>Quantidade total de DL- Fenilalanina ofertada</t>
  </si>
  <si>
    <t xml:space="preserve">Oferta para o mercado (locais e quantidade) por ordem de prioridade. </t>
  </si>
  <si>
    <t>Planilha Preço de Venda - Oferta - 2ª rodada</t>
  </si>
  <si>
    <t>3ª rodada</t>
  </si>
  <si>
    <t>Alíquota dos impostos incidentes sobre a venda</t>
  </si>
  <si>
    <t>Planilha Tributos - MERCADO</t>
  </si>
  <si>
    <t>Aceite da oferta do mercado (quantidade e local)</t>
  </si>
  <si>
    <t>Planilha Preço de Venda - Aceite - 3ª rodada</t>
  </si>
  <si>
    <t>Valor da Receita Bruta de Vendas</t>
  </si>
  <si>
    <t>Planilha DRE</t>
  </si>
  <si>
    <t>Valor total de cada imposto incidente sobre a venda</t>
  </si>
  <si>
    <t>Planilha Tributos ou DRE</t>
  </si>
  <si>
    <t>Total tributos a Recolher - competência da empresa*</t>
  </si>
  <si>
    <t>Total de tributos a pagar - competência da empresa*</t>
  </si>
  <si>
    <t xml:space="preserve">*Foram desconsiderados os valores que a empresa tem a obrigação de recolher, mas não são devidos por ela, ou seja, o INSS pago pelo empregado e o IRRF do empregado. Nestes casos, a empresa apenas recolhe o imposto. </t>
  </si>
  <si>
    <t>Valor total dos impostos que a empresa deverá pagar no próximo período</t>
  </si>
  <si>
    <t>Planilha BP ou Tributos</t>
  </si>
  <si>
    <t>Onde preencher ou encontrar a informação?</t>
  </si>
  <si>
    <t>Demais informações</t>
  </si>
  <si>
    <t>Stoa</t>
  </si>
  <si>
    <t xml:space="preserve">Explicar o impacto da carga tributária no desempenho do negócio. </t>
  </si>
  <si>
    <t>Enviar a planilha preenchida com as decisões da equipe/grupo</t>
  </si>
  <si>
    <t xml:space="preserve">Preencher a enquete de avaliação do jogo.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</si>
</sst>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_)"/>
    <numFmt numFmtId="165" formatCode="0_ ;\-0\ "/>
    <numFmt numFmtId="166" formatCode="_-* #,##0_-;\-* #,##0_-;_-* &quot;-&quot;??_-;_-@_-"/>
    <numFmt numFmtId="167" formatCode="0.0%"/>
    <numFmt numFmtId="168" formatCode="_-&quot;R$&quot;* #,##0_-;\-&quot;R$&quot;* #,##0_-;_-&quot;R$&quot;* &quot;-&quot;??_-;_-@_-"/>
    <numFmt numFmtId="169" formatCode="&quot;R$&quot;#,##0.00"/>
    <numFmt numFmtId="170" formatCode="[$$-409]#,##0.00"/>
    <numFmt numFmtId="171" formatCode="_-&quot;R$&quot;* #,##0.0_-;\-&quot;R$&quot;* #,##0.0_-;_-&quot;R$&quot;* &quot;-&quot;??_-;_-@_-"/>
    <numFmt numFmtId="172" formatCode="_-* #,##0.000_-;\-* #,##0.000_-;_-* &quot;-&quot;??_-;_-@_-"/>
    <numFmt numFmtId="173" formatCode="0.000"/>
    <numFmt numFmtId="174" formatCode="@\ \ "/>
    <numFmt numFmtId="175" formatCode="_-&quot;R$&quot;\ * #,##0.00_-;\-&quot;R$&quot;\ * #,##0.00_-;_-&quot;R$&quot;\ * &quot;-&quot;??_-;_-@_-"/>
    <numFmt numFmtId="176" formatCode="_(* #,##0.00_);_(* \(#,##0.00\);_(* &quot;-&quot;??_);_(@_)"/>
    <numFmt numFmtId="177" formatCode="0\ "/>
    <numFmt numFmtId="178" formatCode="#,##0.00\ \ "/>
    <numFmt numFmtId="179" formatCode="0.0"/>
    <numFmt numFmtId="180" formatCode="_(&quot;Cr$&quot;* #,##0.00_);_(&quot;Cr$&quot;* \(#,##0.00\);_(&quot;Cr$&quot;* &quot;-&quot;??_);_(@_)"/>
    <numFmt numFmtId="181" formatCode="0.000%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</font>
    <font>
      <sz val="10"/>
      <color rgb="FF00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rgb="FF000000"/>
      <name val="Segoe UI"/>
      <family val="2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u/>
      <sz val="12"/>
      <color theme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33CC"/>
      <name val="Times New Roman"/>
      <family val="1"/>
    </font>
    <font>
      <sz val="12"/>
      <color theme="0" tint="-0.49998474074526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CC0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1"/>
      <color indexed="34"/>
      <name val="Times New Roman"/>
      <family val="1"/>
    </font>
    <font>
      <sz val="12"/>
      <color theme="8" tint="0.39997558519241921"/>
      <name val="Times New Roman"/>
      <family val="1"/>
    </font>
    <font>
      <b/>
      <sz val="14"/>
      <color indexed="8"/>
      <name val="Times New Roman"/>
      <family val="1"/>
    </font>
    <font>
      <b/>
      <sz val="18"/>
      <color theme="0"/>
      <name val="Times New Roman"/>
      <family val="1"/>
    </font>
    <font>
      <u/>
      <sz val="11"/>
      <color theme="10"/>
      <name val="Times New Roman"/>
      <family val="1"/>
    </font>
    <font>
      <sz val="11"/>
      <color rgb="FF51534A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u val="singleAccounting"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6"/>
      <name val="Times New Roman"/>
      <family val="1"/>
    </font>
    <font>
      <i/>
      <sz val="12"/>
      <color theme="1"/>
      <name val="Times New Roman"/>
      <family val="1"/>
    </font>
    <font>
      <b/>
      <sz val="12"/>
      <color rgb="FF66FF66"/>
      <name val="Times New Roman"/>
      <family val="1"/>
    </font>
    <font>
      <u/>
      <sz val="18"/>
      <color theme="10"/>
      <name val="Times New Roman"/>
      <family val="1"/>
    </font>
    <font>
      <b/>
      <u val="singleAccounting"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 tint="0.249977111117893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5594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3C2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12"/>
      </top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0" tint="-0.14999847407452621"/>
      </left>
      <right style="thin">
        <color theme="2"/>
      </right>
      <top/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2"/>
      </right>
      <top/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/>
      <bottom style="thin">
        <color theme="0" tint="-0.1499984740745262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/>
      <top style="medium">
        <color theme="2"/>
      </top>
      <bottom/>
      <diagonal/>
    </border>
    <border>
      <left/>
      <right/>
      <top style="medium">
        <color theme="2"/>
      </top>
      <bottom/>
      <diagonal/>
    </border>
    <border>
      <left/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/>
      <top/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/>
      <right style="medium">
        <color theme="2"/>
      </right>
      <top/>
      <bottom style="medium">
        <color theme="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175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64" fontId="46" fillId="0" borderId="0"/>
    <xf numFmtId="180" fontId="46" fillId="0" borderId="0" applyFont="0" applyFill="0" applyBorder="0" applyAlignment="0" applyProtection="0"/>
  </cellStyleXfs>
  <cellXfs count="718">
    <xf numFmtId="0" fontId="0" fillId="0" borderId="0" xfId="0"/>
    <xf numFmtId="0" fontId="0" fillId="0" borderId="2" xfId="0" applyBorder="1"/>
    <xf numFmtId="0" fontId="16" fillId="0" borderId="0" xfId="0" applyFont="1"/>
    <xf numFmtId="0" fontId="0" fillId="4" borderId="0" xfId="0" applyFill="1"/>
    <xf numFmtId="0" fontId="15" fillId="4" borderId="0" xfId="0" applyFont="1" applyFill="1"/>
    <xf numFmtId="0" fontId="12" fillId="4" borderId="0" xfId="0" applyFont="1" applyFill="1"/>
    <xf numFmtId="0" fontId="15" fillId="4" borderId="0" xfId="0" applyFont="1" applyFill="1" applyProtection="1">
      <protection hidden="1"/>
    </xf>
    <xf numFmtId="0" fontId="18" fillId="4" borderId="0" xfId="0" applyFont="1" applyFill="1"/>
    <xf numFmtId="44" fontId="15" fillId="4" borderId="0" xfId="1" applyFont="1" applyFill="1"/>
    <xf numFmtId="44" fontId="15" fillId="4" borderId="0" xfId="0" applyNumberFormat="1" applyFont="1" applyFill="1" applyProtection="1"/>
    <xf numFmtId="165" fontId="15" fillId="4" borderId="0" xfId="0" applyNumberFormat="1" applyFont="1" applyFill="1" applyAlignment="1">
      <alignment horizontal="center"/>
    </xf>
    <xf numFmtId="44" fontId="15" fillId="4" borderId="0" xfId="0" applyNumberFormat="1" applyFont="1" applyFill="1"/>
    <xf numFmtId="0" fontId="17" fillId="4" borderId="0" xfId="0" applyFont="1" applyFill="1"/>
    <xf numFmtId="0" fontId="15" fillId="4" borderId="2" xfId="0" applyFont="1" applyFill="1" applyBorder="1"/>
    <xf numFmtId="168" fontId="15" fillId="4" borderId="0" xfId="1" applyNumberFormat="1" applyFont="1" applyFill="1"/>
    <xf numFmtId="0" fontId="12" fillId="4" borderId="2" xfId="0" applyFont="1" applyFill="1" applyBorder="1"/>
    <xf numFmtId="0" fontId="15" fillId="10" borderId="0" xfId="0" applyFont="1" applyFill="1"/>
    <xf numFmtId="0" fontId="12" fillId="4" borderId="0" xfId="0" applyFont="1" applyFill="1" applyAlignment="1">
      <alignment horizontal="center"/>
    </xf>
    <xf numFmtId="0" fontId="15" fillId="3" borderId="0" xfId="0" applyFont="1" applyFill="1"/>
    <xf numFmtId="0" fontId="0" fillId="13" borderId="0" xfId="0" applyFill="1"/>
    <xf numFmtId="0" fontId="0" fillId="10" borderId="0" xfId="0" applyFill="1"/>
    <xf numFmtId="0" fontId="16" fillId="4" borderId="0" xfId="0" applyFont="1" applyFill="1"/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 textRotation="45"/>
    </xf>
    <xf numFmtId="43" fontId="12" fillId="4" borderId="0" xfId="4" applyFont="1" applyFill="1"/>
    <xf numFmtId="43" fontId="15" fillId="4" borderId="0" xfId="0" applyNumberFormat="1" applyFont="1" applyFill="1"/>
    <xf numFmtId="43" fontId="8" fillId="4" borderId="0" xfId="4" applyFont="1" applyFill="1" applyBorder="1"/>
    <xf numFmtId="43" fontId="9" fillId="4" borderId="0" xfId="4" applyFont="1" applyFill="1"/>
    <xf numFmtId="0" fontId="15" fillId="4" borderId="0" xfId="0" applyFont="1" applyFill="1" applyAlignment="1">
      <alignment horizontal="center"/>
    </xf>
    <xf numFmtId="43" fontId="15" fillId="4" borderId="0" xfId="4" applyFont="1" applyFill="1"/>
    <xf numFmtId="0" fontId="15" fillId="4" borderId="0" xfId="0" applyFont="1" applyFill="1" applyBorder="1"/>
    <xf numFmtId="0" fontId="19" fillId="4" borderId="0" xfId="0" applyFont="1" applyFill="1" applyAlignment="1">
      <alignment horizontal="center"/>
    </xf>
    <xf numFmtId="43" fontId="7" fillId="4" borderId="0" xfId="4" applyFont="1" applyFill="1" applyBorder="1" applyAlignment="1" applyProtection="1">
      <alignment horizontal="left" vertical="center"/>
      <protection locked="0"/>
    </xf>
    <xf numFmtId="0" fontId="12" fillId="12" borderId="0" xfId="0" applyFont="1" applyFill="1" applyAlignment="1">
      <alignment horizontal="center" vertical="center"/>
    </xf>
    <xf numFmtId="0" fontId="15" fillId="12" borderId="0" xfId="0" applyFont="1" applyFill="1"/>
    <xf numFmtId="0" fontId="15" fillId="13" borderId="0" xfId="0" applyFont="1" applyFill="1" applyAlignment="1">
      <alignment horizontal="center" vertical="center"/>
    </xf>
    <xf numFmtId="0" fontId="15" fillId="13" borderId="0" xfId="0" applyFont="1" applyFill="1"/>
    <xf numFmtId="0" fontId="13" fillId="10" borderId="2" xfId="0" applyFont="1" applyFill="1" applyBorder="1" applyAlignment="1">
      <alignment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left" vertical="center" wrapText="1"/>
    </xf>
    <xf numFmtId="0" fontId="14" fillId="10" borderId="2" xfId="0" applyFont="1" applyFill="1" applyBorder="1" applyAlignment="1">
      <alignment horizontal="center" vertical="center" wrapText="1"/>
    </xf>
    <xf numFmtId="43" fontId="14" fillId="10" borderId="2" xfId="4" applyFont="1" applyFill="1" applyBorder="1" applyAlignment="1">
      <alignment horizontal="center" vertical="center" wrapText="1"/>
    </xf>
    <xf numFmtId="43" fontId="14" fillId="10" borderId="2" xfId="4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/>
    </xf>
    <xf numFmtId="0" fontId="12" fillId="10" borderId="5" xfId="0" applyFont="1" applyFill="1" applyBorder="1" applyAlignment="1">
      <alignment horizontal="left" vertical="center"/>
    </xf>
    <xf numFmtId="0" fontId="15" fillId="10" borderId="5" xfId="0" applyFont="1" applyFill="1" applyBorder="1"/>
    <xf numFmtId="0" fontId="13" fillId="10" borderId="4" xfId="0" applyFont="1" applyFill="1" applyBorder="1" applyAlignment="1">
      <alignment vertical="center" wrapText="1"/>
    </xf>
    <xf numFmtId="0" fontId="13" fillId="10" borderId="4" xfId="0" applyFont="1" applyFill="1" applyBorder="1" applyAlignment="1">
      <alignment horizontal="center" vertical="center" wrapText="1"/>
    </xf>
    <xf numFmtId="167" fontId="14" fillId="10" borderId="2" xfId="5" applyNumberFormat="1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vertical="center" wrapText="1"/>
    </xf>
    <xf numFmtId="0" fontId="12" fillId="10" borderId="0" xfId="0" applyFont="1" applyFill="1" applyAlignment="1">
      <alignment horizontal="left" vertical="center"/>
    </xf>
    <xf numFmtId="9" fontId="14" fillId="10" borderId="2" xfId="5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left" vertical="center" wrapText="1"/>
    </xf>
    <xf numFmtId="167" fontId="13" fillId="10" borderId="2" xfId="5" applyNumberFormat="1" applyFont="1" applyFill="1" applyBorder="1" applyAlignment="1">
      <alignment horizontal="center" vertical="center" wrapText="1"/>
    </xf>
    <xf numFmtId="0" fontId="12" fillId="13" borderId="0" xfId="0" applyFont="1" applyFill="1" applyAlignment="1">
      <alignment horizontal="center" vertical="center" wrapText="1"/>
    </xf>
    <xf numFmtId="0" fontId="12" fillId="13" borderId="0" xfId="0" applyFont="1" applyFill="1"/>
    <xf numFmtId="43" fontId="12" fillId="13" borderId="0" xfId="4" applyFont="1" applyFill="1"/>
    <xf numFmtId="43" fontId="12" fillId="13" borderId="0" xfId="4" applyFont="1" applyFill="1" applyAlignment="1">
      <alignment horizontal="center" vertical="center"/>
    </xf>
    <xf numFmtId="0" fontId="8" fillId="13" borderId="3" xfId="0" applyFont="1" applyFill="1" applyBorder="1"/>
    <xf numFmtId="43" fontId="8" fillId="13" borderId="3" xfId="4" applyFont="1" applyFill="1" applyBorder="1"/>
    <xf numFmtId="43" fontId="8" fillId="13" borderId="3" xfId="4" applyFont="1" applyFill="1" applyBorder="1" applyAlignment="1">
      <alignment horizontal="center" vertical="center"/>
    </xf>
    <xf numFmtId="0" fontId="9" fillId="13" borderId="0" xfId="0" applyFont="1" applyFill="1"/>
    <xf numFmtId="43" fontId="9" fillId="13" borderId="0" xfId="4" applyFont="1" applyFill="1"/>
    <xf numFmtId="43" fontId="9" fillId="13" borderId="0" xfId="4" applyFont="1" applyFill="1" applyAlignment="1">
      <alignment horizontal="center" vertical="center"/>
    </xf>
    <xf numFmtId="0" fontId="8" fillId="13" borderId="0" xfId="0" applyFont="1" applyFill="1"/>
    <xf numFmtId="43" fontId="8" fillId="13" borderId="0" xfId="4" applyFont="1" applyFill="1"/>
    <xf numFmtId="43" fontId="8" fillId="13" borderId="0" xfId="4" applyFont="1" applyFill="1" applyBorder="1" applyAlignment="1">
      <alignment horizontal="center" vertical="center"/>
    </xf>
    <xf numFmtId="166" fontId="9" fillId="13" borderId="0" xfId="4" applyNumberFormat="1" applyFont="1" applyFill="1"/>
    <xf numFmtId="43" fontId="15" fillId="13" borderId="0" xfId="4" applyFont="1" applyFill="1" applyAlignment="1">
      <alignment horizontal="center" vertical="center"/>
    </xf>
    <xf numFmtId="43" fontId="9" fillId="13" borderId="3" xfId="4" applyFont="1" applyFill="1" applyBorder="1"/>
    <xf numFmtId="167" fontId="9" fillId="13" borderId="0" xfId="4" applyNumberFormat="1" applyFont="1" applyFill="1"/>
    <xf numFmtId="43" fontId="15" fillId="13" borderId="0" xfId="4" applyFont="1" applyFill="1"/>
    <xf numFmtId="43" fontId="9" fillId="13" borderId="0" xfId="4" applyFont="1" applyFill="1" applyBorder="1" applyAlignment="1">
      <alignment horizontal="center" vertical="center"/>
    </xf>
    <xf numFmtId="43" fontId="12" fillId="13" borderId="0" xfId="0" applyNumberFormat="1" applyFont="1" applyFill="1" applyAlignment="1">
      <alignment horizontal="center" vertical="center"/>
    </xf>
    <xf numFmtId="9" fontId="9" fillId="13" borderId="0" xfId="0" applyNumberFormat="1" applyFont="1" applyFill="1"/>
    <xf numFmtId="10" fontId="9" fillId="13" borderId="0" xfId="5" applyNumberFormat="1" applyFont="1" applyFill="1"/>
    <xf numFmtId="43" fontId="9" fillId="13" borderId="3" xfId="6" applyNumberFormat="1" applyFont="1" applyFill="1" applyBorder="1"/>
    <xf numFmtId="43" fontId="8" fillId="13" borderId="0" xfId="4" applyFont="1" applyFill="1" applyAlignment="1">
      <alignment horizontal="center" vertical="center"/>
    </xf>
    <xf numFmtId="167" fontId="9" fillId="13" borderId="0" xfId="0" applyNumberFormat="1" applyFont="1" applyFill="1"/>
    <xf numFmtId="43" fontId="15" fillId="12" borderId="0" xfId="0" applyNumberFormat="1" applyFont="1" applyFill="1"/>
    <xf numFmtId="0" fontId="15" fillId="12" borderId="0" xfId="0" applyFont="1" applyFill="1" applyAlignment="1">
      <alignment horizontal="left" indent="2"/>
    </xf>
    <xf numFmtId="0" fontId="23" fillId="12" borderId="0" xfId="0" applyFont="1" applyFill="1" applyAlignment="1">
      <alignment horizontal="left" indent="3"/>
    </xf>
    <xf numFmtId="43" fontId="23" fillId="12" borderId="0" xfId="0" applyNumberFormat="1" applyFont="1" applyFill="1"/>
    <xf numFmtId="0" fontId="26" fillId="15" borderId="0" xfId="0" applyFont="1" applyFill="1" applyAlignment="1">
      <alignment horizontal="center" vertical="center"/>
    </xf>
    <xf numFmtId="0" fontId="12" fillId="11" borderId="1" xfId="0" applyFont="1" applyFill="1" applyBorder="1" applyAlignment="1">
      <alignment horizontal="center"/>
    </xf>
    <xf numFmtId="0" fontId="29" fillId="4" borderId="0" xfId="0" applyFont="1" applyFill="1"/>
    <xf numFmtId="0" fontId="25" fillId="4" borderId="0" xfId="0" applyFont="1" applyFill="1"/>
    <xf numFmtId="0" fontId="29" fillId="4" borderId="0" xfId="0" applyFont="1" applyFill="1" applyAlignment="1">
      <alignment horizontal="left"/>
    </xf>
    <xf numFmtId="0" fontId="23" fillId="12" borderId="0" xfId="0" applyFont="1" applyFill="1" applyAlignment="1">
      <alignment horizontal="left" indent="7"/>
    </xf>
    <xf numFmtId="0" fontId="15" fillId="0" borderId="2" xfId="0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170" fontId="15" fillId="0" borderId="2" xfId="0" applyNumberFormat="1" applyFont="1" applyBorder="1" applyAlignment="1">
      <alignment horizontal="center" vertical="center" wrapText="1"/>
    </xf>
    <xf numFmtId="44" fontId="15" fillId="4" borderId="2" xfId="1" applyFont="1" applyFill="1" applyBorder="1"/>
    <xf numFmtId="1" fontId="7" fillId="4" borderId="0" xfId="4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/>
    <xf numFmtId="14" fontId="7" fillId="4" borderId="0" xfId="4" applyNumberFormat="1" applyFont="1" applyFill="1" applyBorder="1" applyAlignment="1" applyProtection="1">
      <alignment horizontal="left" vertical="center"/>
      <protection locked="0"/>
    </xf>
    <xf numFmtId="43" fontId="7" fillId="4" borderId="0" xfId="4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 vertical="center"/>
    </xf>
    <xf numFmtId="43" fontId="7" fillId="4" borderId="0" xfId="4" applyFont="1" applyFill="1" applyBorder="1" applyAlignment="1">
      <alignment horizontal="center"/>
    </xf>
    <xf numFmtId="14" fontId="6" fillId="4" borderId="0" xfId="0" applyNumberFormat="1" applyFont="1" applyFill="1" applyBorder="1"/>
    <xf numFmtId="43" fontId="7" fillId="4" borderId="0" xfId="7" applyNumberFormat="1" applyFont="1" applyFill="1" applyBorder="1" applyAlignment="1" applyProtection="1">
      <alignment horizontal="left" vertical="center"/>
      <protection locked="0"/>
    </xf>
    <xf numFmtId="14" fontId="7" fillId="4" borderId="0" xfId="4" applyNumberFormat="1" applyFont="1" applyFill="1" applyBorder="1" applyAlignment="1" applyProtection="1">
      <alignment horizontal="center" vertical="center"/>
      <protection locked="0"/>
    </xf>
    <xf numFmtId="0" fontId="6" fillId="14" borderId="0" xfId="0" applyFont="1" applyFill="1" applyBorder="1" applyAlignment="1" applyProtection="1">
      <alignment horizontal="left" vertical="center" wrapText="1" indent="1"/>
    </xf>
    <xf numFmtId="43" fontId="6" fillId="14" borderId="0" xfId="4" applyFont="1" applyFill="1" applyBorder="1" applyAlignment="1" applyProtection="1">
      <alignment horizontal="center" vertical="center" wrapText="1"/>
    </xf>
    <xf numFmtId="0" fontId="6" fillId="14" borderId="0" xfId="0" applyFont="1" applyFill="1" applyBorder="1" applyAlignment="1" applyProtection="1">
      <alignment horizontal="center" vertical="center" wrapText="1"/>
    </xf>
    <xf numFmtId="43" fontId="7" fillId="4" borderId="0" xfId="4" applyFont="1" applyFill="1" applyBorder="1" applyAlignment="1" applyProtection="1">
      <alignment horizontal="left" vertical="center"/>
    </xf>
    <xf numFmtId="43" fontId="6" fillId="4" borderId="0" xfId="4" applyFont="1" applyFill="1" applyBorder="1" applyAlignment="1" applyProtection="1">
      <alignment horizontal="left" vertical="center"/>
    </xf>
    <xf numFmtId="43" fontId="7" fillId="4" borderId="0" xfId="4" applyFont="1" applyFill="1" applyBorder="1" applyAlignment="1" applyProtection="1">
      <alignment horizontal="center"/>
    </xf>
    <xf numFmtId="43" fontId="7" fillId="4" borderId="9" xfId="4" applyFont="1" applyFill="1" applyBorder="1" applyAlignment="1" applyProtection="1">
      <alignment horizontal="left" vertical="center"/>
      <protection locked="0"/>
    </xf>
    <xf numFmtId="43" fontId="7" fillId="4" borderId="9" xfId="4" applyFont="1" applyFill="1" applyBorder="1" applyAlignment="1" applyProtection="1">
      <alignment horizontal="left" vertical="center"/>
    </xf>
    <xf numFmtId="0" fontId="7" fillId="4" borderId="9" xfId="0" applyFont="1" applyFill="1" applyBorder="1" applyAlignment="1">
      <alignment horizontal="left"/>
    </xf>
    <xf numFmtId="43" fontId="7" fillId="4" borderId="1" xfId="4" applyFont="1" applyFill="1" applyBorder="1" applyAlignment="1" applyProtection="1">
      <alignment horizontal="left" vertical="center"/>
      <protection locked="0"/>
    </xf>
    <xf numFmtId="43" fontId="7" fillId="4" borderId="1" xfId="4" applyFont="1" applyFill="1" applyBorder="1" applyAlignment="1" applyProtection="1">
      <alignment horizontal="left" vertical="center"/>
    </xf>
    <xf numFmtId="0" fontId="7" fillId="4" borderId="1" xfId="0" applyFont="1" applyFill="1" applyBorder="1" applyAlignment="1">
      <alignment horizontal="left"/>
    </xf>
    <xf numFmtId="43" fontId="7" fillId="4" borderId="1" xfId="4" applyFont="1" applyFill="1" applyBorder="1" applyAlignment="1" applyProtection="1">
      <alignment horizontal="center"/>
    </xf>
    <xf numFmtId="14" fontId="7" fillId="4" borderId="9" xfId="4" applyNumberFormat="1" applyFont="1" applyFill="1" applyBorder="1" applyAlignment="1" applyProtection="1">
      <alignment horizontal="left" vertical="center"/>
      <protection locked="0"/>
    </xf>
    <xf numFmtId="43" fontId="6" fillId="4" borderId="9" xfId="4" applyFont="1" applyFill="1" applyBorder="1" applyAlignment="1" applyProtection="1">
      <alignment horizontal="left" vertical="center"/>
    </xf>
    <xf numFmtId="14" fontId="7" fillId="4" borderId="1" xfId="4" applyNumberFormat="1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/>
    <xf numFmtId="0" fontId="7" fillId="4" borderId="1" xfId="0" applyFont="1" applyFill="1" applyBorder="1"/>
    <xf numFmtId="44" fontId="15" fillId="4" borderId="0" xfId="1" applyFont="1" applyFill="1" applyAlignment="1">
      <alignment horizontal="center"/>
    </xf>
    <xf numFmtId="14" fontId="15" fillId="4" borderId="2" xfId="4" applyNumberFormat="1" applyFont="1" applyFill="1" applyBorder="1" applyAlignment="1" applyProtection="1">
      <alignment horizontal="left" vertical="center"/>
      <protection locked="0"/>
    </xf>
    <xf numFmtId="166" fontId="15" fillId="4" borderId="2" xfId="4" applyNumberFormat="1" applyFont="1" applyFill="1" applyBorder="1" applyAlignment="1" applyProtection="1">
      <alignment horizontal="left" vertical="center"/>
      <protection locked="0"/>
    </xf>
    <xf numFmtId="43" fontId="15" fillId="4" borderId="2" xfId="4" applyFont="1" applyFill="1" applyBorder="1" applyAlignment="1" applyProtection="1">
      <alignment horizontal="left" vertical="center"/>
      <protection locked="0"/>
    </xf>
    <xf numFmtId="44" fontId="15" fillId="4" borderId="0" xfId="1" applyFont="1" applyFill="1" applyBorder="1"/>
    <xf numFmtId="0" fontId="15" fillId="4" borderId="1" xfId="0" applyFont="1" applyFill="1" applyBorder="1" applyAlignment="1">
      <alignment horizontal="center"/>
    </xf>
    <xf numFmtId="1" fontId="15" fillId="4" borderId="0" xfId="0" applyNumberFormat="1" applyFont="1" applyFill="1" applyAlignment="1">
      <alignment horizontal="center"/>
    </xf>
    <xf numFmtId="44" fontId="16" fillId="4" borderId="0" xfId="0" applyNumberFormat="1" applyFont="1" applyFill="1"/>
    <xf numFmtId="44" fontId="16" fillId="4" borderId="1" xfId="0" applyNumberFormat="1" applyFont="1" applyFill="1" applyBorder="1"/>
    <xf numFmtId="0" fontId="15" fillId="4" borderId="0" xfId="0" applyFont="1" applyFill="1" applyAlignment="1">
      <alignment horizontal="right"/>
    </xf>
    <xf numFmtId="0" fontId="30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43" fontId="16" fillId="4" borderId="2" xfId="4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44" fontId="16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4" fontId="16" fillId="4" borderId="2" xfId="4" applyNumberFormat="1" applyFont="1" applyFill="1" applyBorder="1" applyAlignment="1" applyProtection="1">
      <alignment horizontal="center" vertical="center"/>
      <protection locked="0"/>
    </xf>
    <xf numFmtId="166" fontId="16" fillId="4" borderId="2" xfId="4" applyNumberFormat="1" applyFont="1" applyFill="1" applyBorder="1" applyAlignment="1" applyProtection="1">
      <alignment horizontal="center" vertical="center"/>
      <protection locked="0"/>
    </xf>
    <xf numFmtId="43" fontId="16" fillId="4" borderId="2" xfId="4" applyFont="1" applyFill="1" applyBorder="1" applyAlignment="1" applyProtection="1">
      <alignment horizontal="center" vertical="center"/>
      <protection locked="0"/>
    </xf>
    <xf numFmtId="44" fontId="16" fillId="4" borderId="2" xfId="1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43" fontId="15" fillId="4" borderId="2" xfId="4" applyFont="1" applyFill="1" applyBorder="1" applyAlignment="1">
      <alignment horizontal="center" vertical="center"/>
    </xf>
    <xf numFmtId="43" fontId="15" fillId="4" borderId="2" xfId="0" applyNumberFormat="1" applyFont="1" applyFill="1" applyBorder="1"/>
    <xf numFmtId="44" fontId="15" fillId="4" borderId="2" xfId="1" applyNumberFormat="1" applyFont="1" applyFill="1" applyBorder="1"/>
    <xf numFmtId="43" fontId="12" fillId="4" borderId="2" xfId="0" applyNumberFormat="1" applyFont="1" applyFill="1" applyBorder="1"/>
    <xf numFmtId="0" fontId="15" fillId="4" borderId="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7" fillId="4" borderId="16" xfId="0" applyFont="1" applyFill="1" applyBorder="1"/>
    <xf numFmtId="0" fontId="7" fillId="4" borderId="17" xfId="0" applyFont="1" applyFill="1" applyBorder="1"/>
    <xf numFmtId="0" fontId="6" fillId="4" borderId="0" xfId="0" applyFont="1" applyFill="1" applyBorder="1"/>
    <xf numFmtId="10" fontId="0" fillId="0" borderId="2" xfId="5" applyNumberFormat="1" applyFont="1" applyBorder="1"/>
    <xf numFmtId="0" fontId="3" fillId="4" borderId="0" xfId="2" applyFill="1"/>
    <xf numFmtId="0" fontId="3" fillId="4" borderId="0" xfId="2" applyFill="1" applyAlignment="1">
      <alignment horizontal="center" vertical="center"/>
    </xf>
    <xf numFmtId="0" fontId="3" fillId="4" borderId="6" xfId="2" applyFill="1" applyBorder="1" applyAlignment="1">
      <alignment horizontal="center" vertical="center"/>
    </xf>
    <xf numFmtId="0" fontId="16" fillId="4" borderId="0" xfId="0" applyFont="1" applyFill="1" applyAlignment="1">
      <alignment horizontal="right"/>
    </xf>
    <xf numFmtId="0" fontId="16" fillId="4" borderId="1" xfId="0" applyFont="1" applyFill="1" applyBorder="1" applyAlignment="1">
      <alignment horizontal="right"/>
    </xf>
    <xf numFmtId="44" fontId="19" fillId="4" borderId="0" xfId="0" applyNumberFormat="1" applyFont="1" applyFill="1"/>
    <xf numFmtId="0" fontId="23" fillId="4" borderId="0" xfId="0" applyFont="1" applyFill="1" applyAlignment="1">
      <alignment horizontal="right"/>
    </xf>
    <xf numFmtId="44" fontId="23" fillId="4" borderId="0" xfId="0" applyNumberFormat="1" applyFont="1" applyFill="1"/>
    <xf numFmtId="0" fontId="12" fillId="4" borderId="0" xfId="0" applyFont="1" applyFill="1" applyBorder="1"/>
    <xf numFmtId="44" fontId="19" fillId="4" borderId="0" xfId="0" applyNumberFormat="1" applyFont="1" applyFill="1" applyBorder="1"/>
    <xf numFmtId="0" fontId="0" fillId="4" borderId="20" xfId="0" applyFont="1" applyFill="1" applyBorder="1" applyAlignment="1">
      <alignment horizontal="center" vertical="center"/>
    </xf>
    <xf numFmtId="0" fontId="15" fillId="0" borderId="0" xfId="0" applyFont="1"/>
    <xf numFmtId="0" fontId="15" fillId="4" borderId="0" xfId="0" applyFont="1" applyFill="1" applyAlignment="1">
      <alignment horizontal="center" vertical="center"/>
    </xf>
    <xf numFmtId="0" fontId="31" fillId="4" borderId="0" xfId="2" applyFont="1" applyFill="1"/>
    <xf numFmtId="0" fontId="31" fillId="4" borderId="2" xfId="2" applyFont="1" applyFill="1" applyBorder="1" applyAlignment="1">
      <alignment horizontal="center"/>
    </xf>
    <xf numFmtId="0" fontId="9" fillId="4" borderId="2" xfId="2" applyFont="1" applyFill="1" applyBorder="1"/>
    <xf numFmtId="10" fontId="15" fillId="4" borderId="2" xfId="5" applyNumberFormat="1" applyFont="1" applyFill="1" applyBorder="1"/>
    <xf numFmtId="44" fontId="15" fillId="4" borderId="2" xfId="0" applyNumberFormat="1" applyFont="1" applyFill="1" applyBorder="1"/>
    <xf numFmtId="170" fontId="15" fillId="4" borderId="0" xfId="0" applyNumberFormat="1" applyFont="1" applyFill="1"/>
    <xf numFmtId="169" fontId="15" fillId="4" borderId="0" xfId="0" applyNumberFormat="1" applyFont="1" applyFill="1"/>
    <xf numFmtId="169" fontId="12" fillId="4" borderId="0" xfId="0" applyNumberFormat="1" applyFont="1" applyFill="1"/>
    <xf numFmtId="0" fontId="12" fillId="4" borderId="8" xfId="0" applyFont="1" applyFill="1" applyBorder="1"/>
    <xf numFmtId="169" fontId="12" fillId="4" borderId="8" xfId="0" applyNumberFormat="1" applyFont="1" applyFill="1" applyBorder="1"/>
    <xf numFmtId="44" fontId="12" fillId="4" borderId="0" xfId="1" applyFont="1" applyFill="1"/>
    <xf numFmtId="169" fontId="15" fillId="4" borderId="0" xfId="1" applyNumberFormat="1" applyFont="1" applyFill="1"/>
    <xf numFmtId="0" fontId="15" fillId="4" borderId="0" xfId="0" quotePrefix="1" applyFont="1" applyFill="1"/>
    <xf numFmtId="0" fontId="8" fillId="17" borderId="0" xfId="0" applyFont="1" applyFill="1" applyAlignment="1">
      <alignment horizontal="center"/>
    </xf>
    <xf numFmtId="0" fontId="9" fillId="17" borderId="0" xfId="0" applyFont="1" applyFill="1"/>
    <xf numFmtId="44" fontId="9" fillId="0" borderId="7" xfId="1" applyFont="1" applyBorder="1" applyAlignment="1">
      <alignment horizontal="center"/>
    </xf>
    <xf numFmtId="164" fontId="8" fillId="0" borderId="2" xfId="3" applyNumberFormat="1" applyFont="1" applyBorder="1"/>
    <xf numFmtId="164" fontId="8" fillId="0" borderId="4" xfId="3" applyNumberFormat="1" applyFont="1" applyBorder="1"/>
    <xf numFmtId="164" fontId="8" fillId="0" borderId="2" xfId="3" applyNumberFormat="1" applyFont="1" applyBorder="1" applyAlignment="1"/>
    <xf numFmtId="0" fontId="33" fillId="4" borderId="0" xfId="0" applyFont="1" applyFill="1" applyBorder="1"/>
    <xf numFmtId="0" fontId="33" fillId="0" borderId="0" xfId="0" applyFont="1" applyFill="1" applyBorder="1"/>
    <xf numFmtId="174" fontId="9" fillId="20" borderId="0" xfId="0" applyNumberFormat="1" applyFont="1" applyFill="1" applyBorder="1" applyAlignment="1">
      <alignment horizontal="right"/>
    </xf>
    <xf numFmtId="0" fontId="9" fillId="2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 applyProtection="1">
      <alignment horizontal="right" vertical="center"/>
      <protection hidden="1"/>
    </xf>
    <xf numFmtId="176" fontId="33" fillId="4" borderId="0" xfId="10" applyFont="1" applyFill="1" applyBorder="1"/>
    <xf numFmtId="177" fontId="33" fillId="4" borderId="2" xfId="0" applyNumberFormat="1" applyFont="1" applyFill="1" applyBorder="1" applyAlignment="1" applyProtection="1">
      <alignment vertical="center"/>
      <protection hidden="1"/>
    </xf>
    <xf numFmtId="178" fontId="33" fillId="4" borderId="2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/>
    <xf numFmtId="176" fontId="33" fillId="0" borderId="0" xfId="0" applyNumberFormat="1" applyFont="1" applyFill="1" applyBorder="1"/>
    <xf numFmtId="43" fontId="33" fillId="0" borderId="0" xfId="0" applyNumberFormat="1" applyFont="1" applyFill="1" applyBorder="1"/>
    <xf numFmtId="177" fontId="33" fillId="20" borderId="2" xfId="0" applyNumberFormat="1" applyFont="1" applyFill="1" applyBorder="1" applyAlignment="1" applyProtection="1">
      <alignment vertical="center"/>
      <protection hidden="1"/>
    </xf>
    <xf numFmtId="178" fontId="33" fillId="20" borderId="2" xfId="0" applyNumberFormat="1" applyFon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/>
    <xf numFmtId="9" fontId="33" fillId="0" borderId="0" xfId="9" applyFont="1" applyFill="1" applyBorder="1"/>
    <xf numFmtId="0" fontId="33" fillId="4" borderId="2" xfId="0" applyFont="1" applyFill="1" applyBorder="1"/>
    <xf numFmtId="0" fontId="33" fillId="17" borderId="27" xfId="0" applyFont="1" applyFill="1" applyBorder="1"/>
    <xf numFmtId="0" fontId="33" fillId="17" borderId="30" xfId="0" applyFont="1" applyFill="1" applyBorder="1"/>
    <xf numFmtId="0" fontId="33" fillId="17" borderId="28" xfId="0" applyFont="1" applyFill="1" applyBorder="1"/>
    <xf numFmtId="175" fontId="33" fillId="4" borderId="11" xfId="8" applyFont="1" applyFill="1" applyBorder="1"/>
    <xf numFmtId="175" fontId="33" fillId="4" borderId="12" xfId="8" applyFont="1" applyFill="1" applyBorder="1"/>
    <xf numFmtId="175" fontId="33" fillId="4" borderId="29" xfId="8" applyFont="1" applyFill="1" applyBorder="1"/>
    <xf numFmtId="0" fontId="0" fillId="18" borderId="2" xfId="0" applyFill="1" applyBorder="1"/>
    <xf numFmtId="0" fontId="34" fillId="18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44" fontId="15" fillId="4" borderId="0" xfId="1" applyNumberFormat="1" applyFont="1" applyFill="1"/>
    <xf numFmtId="0" fontId="24" fillId="4" borderId="0" xfId="0" applyFont="1" applyFill="1" applyAlignment="1"/>
    <xf numFmtId="0" fontId="19" fillId="4" borderId="0" xfId="0" applyFont="1" applyFill="1"/>
    <xf numFmtId="0" fontId="23" fillId="4" borderId="0" xfId="0" applyFont="1" applyFill="1"/>
    <xf numFmtId="0" fontId="39" fillId="0" borderId="39" xfId="0" applyFont="1" applyBorder="1" applyAlignment="1">
      <alignment horizontal="center"/>
    </xf>
    <xf numFmtId="0" fontId="42" fillId="4" borderId="11" xfId="0" applyFont="1" applyFill="1" applyBorder="1"/>
    <xf numFmtId="0" fontId="39" fillId="0" borderId="30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0" fillId="4" borderId="12" xfId="0" applyFont="1" applyFill="1" applyBorder="1" applyAlignment="1">
      <alignment horizontal="center" vertical="center"/>
    </xf>
    <xf numFmtId="0" fontId="42" fillId="4" borderId="28" xfId="0" applyFont="1" applyFill="1" applyBorder="1" applyAlignment="1">
      <alignment horizontal="center" vertical="center"/>
    </xf>
    <xf numFmtId="0" fontId="40" fillId="4" borderId="40" xfId="0" applyFont="1" applyFill="1" applyBorder="1" applyAlignment="1">
      <alignment horizontal="center" vertical="center"/>
    </xf>
    <xf numFmtId="0" fontId="39" fillId="4" borderId="27" xfId="0" applyFont="1" applyFill="1" applyBorder="1" applyAlignment="1">
      <alignment horizontal="center"/>
    </xf>
    <xf numFmtId="0" fontId="37" fillId="4" borderId="0" xfId="0" applyFont="1" applyFill="1"/>
    <xf numFmtId="0" fontId="38" fillId="4" borderId="0" xfId="0" applyFont="1" applyFill="1" applyAlignment="1"/>
    <xf numFmtId="0" fontId="37" fillId="4" borderId="0" xfId="0" applyFont="1" applyFill="1" applyBorder="1"/>
    <xf numFmtId="0" fontId="41" fillId="4" borderId="2" xfId="0" applyFont="1" applyFill="1" applyBorder="1" applyAlignment="1">
      <alignment horizontal="center" vertical="center"/>
    </xf>
    <xf numFmtId="0" fontId="41" fillId="10" borderId="2" xfId="0" applyFont="1" applyFill="1" applyBorder="1" applyAlignment="1">
      <alignment horizontal="center" vertical="center"/>
    </xf>
    <xf numFmtId="0" fontId="41" fillId="10" borderId="29" xfId="0" applyFont="1" applyFill="1" applyBorder="1" applyAlignment="1">
      <alignment horizontal="center" vertical="center"/>
    </xf>
    <xf numFmtId="179" fontId="41" fillId="10" borderId="2" xfId="0" applyNumberFormat="1" applyFont="1" applyFill="1" applyBorder="1" applyAlignment="1">
      <alignment horizontal="center" vertical="center"/>
    </xf>
    <xf numFmtId="1" fontId="41" fillId="10" borderId="2" xfId="0" applyNumberFormat="1" applyFont="1" applyFill="1" applyBorder="1" applyAlignment="1">
      <alignment horizontal="center" vertical="center"/>
    </xf>
    <xf numFmtId="1" fontId="41" fillId="0" borderId="2" xfId="0" applyNumberFormat="1" applyFont="1" applyBorder="1" applyAlignment="1">
      <alignment horizontal="center" vertical="center"/>
    </xf>
    <xf numFmtId="0" fontId="43" fillId="4" borderId="0" xfId="0" applyFont="1" applyFill="1" applyAlignment="1">
      <alignment horizontal="right"/>
    </xf>
    <xf numFmtId="0" fontId="15" fillId="4" borderId="0" xfId="0" applyFont="1" applyFill="1" applyAlignment="1">
      <alignment vertical="center"/>
    </xf>
    <xf numFmtId="44" fontId="15" fillId="21" borderId="0" xfId="0" applyNumberFormat="1" applyFont="1" applyFill="1"/>
    <xf numFmtId="164" fontId="9" fillId="24" borderId="7" xfId="3" applyNumberFormat="1" applyFont="1" applyFill="1" applyBorder="1" applyAlignment="1"/>
    <xf numFmtId="164" fontId="9" fillId="24" borderId="18" xfId="3" applyNumberFormat="1" applyFont="1" applyFill="1" applyBorder="1" applyAlignment="1"/>
    <xf numFmtId="0" fontId="27" fillId="22" borderId="0" xfId="0" applyFont="1" applyFill="1"/>
    <xf numFmtId="43" fontId="7" fillId="4" borderId="16" xfId="0" applyNumberFormat="1" applyFont="1" applyFill="1" applyBorder="1"/>
    <xf numFmtId="43" fontId="0" fillId="4" borderId="0" xfId="0" applyNumberFormat="1" applyFill="1"/>
    <xf numFmtId="43" fontId="7" fillId="4" borderId="0" xfId="0" applyNumberFormat="1" applyFont="1" applyFill="1" applyBorder="1"/>
    <xf numFmtId="43" fontId="7" fillId="4" borderId="41" xfId="0" applyNumberFormat="1" applyFont="1" applyFill="1" applyBorder="1"/>
    <xf numFmtId="44" fontId="16" fillId="4" borderId="0" xfId="0" applyNumberFormat="1" applyFont="1" applyFill="1" applyAlignment="1">
      <alignment horizontal="center" vertical="center"/>
    </xf>
    <xf numFmtId="0" fontId="7" fillId="4" borderId="0" xfId="0" applyFont="1" applyFill="1" applyBorder="1" applyAlignment="1" applyProtection="1">
      <alignment horizontal="left"/>
    </xf>
    <xf numFmtId="44" fontId="7" fillId="4" borderId="16" xfId="0" applyNumberFormat="1" applyFont="1" applyFill="1" applyBorder="1"/>
    <xf numFmtId="44" fontId="7" fillId="4" borderId="17" xfId="0" applyNumberFormat="1" applyFont="1" applyFill="1" applyBorder="1"/>
    <xf numFmtId="43" fontId="0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3" fontId="2" fillId="4" borderId="0" xfId="0" applyNumberFormat="1" applyFont="1" applyFill="1" applyAlignment="1">
      <alignment horizontal="center" vertical="center"/>
    </xf>
    <xf numFmtId="43" fontId="7" fillId="4" borderId="17" xfId="0" applyNumberFormat="1" applyFont="1" applyFill="1" applyBorder="1"/>
    <xf numFmtId="43" fontId="7" fillId="4" borderId="1" xfId="0" applyNumberFormat="1" applyFont="1" applyFill="1" applyBorder="1"/>
    <xf numFmtId="43" fontId="7" fillId="4" borderId="18" xfId="0" applyNumberFormat="1" applyFont="1" applyFill="1" applyBorder="1"/>
    <xf numFmtId="1" fontId="15" fillId="4" borderId="2" xfId="4" applyNumberFormat="1" applyFont="1" applyFill="1" applyBorder="1" applyAlignment="1" applyProtection="1">
      <alignment horizontal="center" vertical="center"/>
      <protection locked="0"/>
    </xf>
    <xf numFmtId="0" fontId="12" fillId="25" borderId="1" xfId="0" applyFont="1" applyFill="1" applyBorder="1"/>
    <xf numFmtId="0" fontId="15" fillId="25" borderId="1" xfId="0" applyFont="1" applyFill="1" applyBorder="1"/>
    <xf numFmtId="43" fontId="12" fillId="4" borderId="0" xfId="0" applyNumberFormat="1" applyFont="1" applyFill="1" applyAlignment="1">
      <alignment horizontal="center"/>
    </xf>
    <xf numFmtId="166" fontId="15" fillId="4" borderId="2" xfId="4" applyNumberFormat="1" applyFont="1" applyFill="1" applyBorder="1" applyAlignment="1" applyProtection="1">
      <alignment horizontal="left" vertical="center"/>
    </xf>
    <xf numFmtId="43" fontId="15" fillId="4" borderId="2" xfId="4" applyFont="1" applyFill="1" applyBorder="1" applyAlignment="1" applyProtection="1">
      <alignment horizontal="left" vertical="center"/>
    </xf>
    <xf numFmtId="43" fontId="6" fillId="4" borderId="1" xfId="4" applyFont="1" applyFill="1" applyBorder="1" applyAlignment="1" applyProtection="1">
      <alignment horizontal="left" vertical="center"/>
      <protection locked="0"/>
    </xf>
    <xf numFmtId="43" fontId="7" fillId="4" borderId="7" xfId="0" applyNumberFormat="1" applyFont="1" applyFill="1" applyBorder="1"/>
    <xf numFmtId="43" fontId="7" fillId="4" borderId="6" xfId="0" applyNumberFormat="1" applyFont="1" applyFill="1" applyBorder="1"/>
    <xf numFmtId="0" fontId="15" fillId="18" borderId="0" xfId="0" applyFont="1" applyFill="1"/>
    <xf numFmtId="9" fontId="15" fillId="18" borderId="0" xfId="0" applyNumberFormat="1" applyFont="1" applyFill="1"/>
    <xf numFmtId="10" fontId="15" fillId="18" borderId="0" xfId="0" applyNumberFormat="1" applyFont="1" applyFill="1"/>
    <xf numFmtId="43" fontId="7" fillId="4" borderId="1" xfId="4" applyFont="1" applyFill="1" applyBorder="1" applyAlignment="1" applyProtection="1">
      <alignment horizontal="center" vertical="center"/>
      <protection locked="0"/>
    </xf>
    <xf numFmtId="43" fontId="7" fillId="4" borderId="9" xfId="4" applyFont="1" applyFill="1" applyBorder="1" applyAlignment="1">
      <alignment horizontal="center"/>
    </xf>
    <xf numFmtId="43" fontId="7" fillId="4" borderId="9" xfId="4" applyFont="1" applyFill="1" applyBorder="1" applyAlignment="1" applyProtection="1">
      <alignment horizontal="center" vertical="center"/>
      <protection locked="0"/>
    </xf>
    <xf numFmtId="44" fontId="7" fillId="4" borderId="0" xfId="1" applyFont="1" applyFill="1" applyBorder="1"/>
    <xf numFmtId="44" fontId="7" fillId="4" borderId="7" xfId="0" applyNumberFormat="1" applyFont="1" applyFill="1" applyBorder="1"/>
    <xf numFmtId="44" fontId="7" fillId="4" borderId="7" xfId="1" applyFont="1" applyFill="1" applyBorder="1" applyAlignment="1">
      <alignment horizontal="center"/>
    </xf>
    <xf numFmtId="44" fontId="7" fillId="4" borderId="16" xfId="1" applyFont="1" applyFill="1" applyBorder="1"/>
    <xf numFmtId="0" fontId="16" fillId="4" borderId="0" xfId="0" applyFont="1" applyFill="1" applyBorder="1"/>
    <xf numFmtId="0" fontId="19" fillId="4" borderId="0" xfId="0" applyFont="1" applyFill="1" applyBorder="1"/>
    <xf numFmtId="0" fontId="16" fillId="4" borderId="9" xfId="0" applyFont="1" applyFill="1" applyBorder="1"/>
    <xf numFmtId="0" fontId="16" fillId="4" borderId="1" xfId="0" applyFont="1" applyFill="1" applyBorder="1"/>
    <xf numFmtId="43" fontId="16" fillId="4" borderId="0" xfId="0" applyNumberFormat="1" applyFont="1" applyFill="1"/>
    <xf numFmtId="43" fontId="16" fillId="4" borderId="0" xfId="0" applyNumberFormat="1" applyFont="1" applyFill="1" applyBorder="1"/>
    <xf numFmtId="44" fontId="16" fillId="4" borderId="0" xfId="1" applyFont="1" applyFill="1" applyBorder="1"/>
    <xf numFmtId="44" fontId="7" fillId="4" borderId="17" xfId="1" applyFont="1" applyFill="1" applyBorder="1"/>
    <xf numFmtId="44" fontId="16" fillId="4" borderId="0" xfId="1" applyFont="1" applyFill="1"/>
    <xf numFmtId="44" fontId="7" fillId="4" borderId="18" xfId="1" applyFont="1" applyFill="1" applyBorder="1"/>
    <xf numFmtId="44" fontId="7" fillId="4" borderId="1" xfId="1" applyFont="1" applyFill="1" applyBorder="1"/>
    <xf numFmtId="44" fontId="7" fillId="4" borderId="41" xfId="1" applyFont="1" applyFill="1" applyBorder="1"/>
    <xf numFmtId="164" fontId="46" fillId="0" borderId="0" xfId="11"/>
    <xf numFmtId="1" fontId="4" fillId="27" borderId="2" xfId="11" applyNumberFormat="1" applyFont="1" applyFill="1" applyBorder="1" applyAlignment="1">
      <alignment horizontal="centerContinuous" vertical="center"/>
    </xf>
    <xf numFmtId="1" fontId="49" fillId="0" borderId="2" xfId="11" applyNumberFormat="1" applyFont="1" applyBorder="1" applyAlignment="1">
      <alignment horizontal="centerContinuous"/>
    </xf>
    <xf numFmtId="1" fontId="50" fillId="0" borderId="2" xfId="11" applyNumberFormat="1" applyFont="1" applyBorder="1" applyAlignment="1">
      <alignment horizontal="centerContinuous"/>
    </xf>
    <xf numFmtId="1" fontId="46" fillId="0" borderId="0" xfId="11" applyNumberFormat="1"/>
    <xf numFmtId="1" fontId="6" fillId="28" borderId="43" xfId="11" applyNumberFormat="1" applyFont="1" applyFill="1" applyBorder="1" applyAlignment="1">
      <alignment horizontal="center" textRotation="90"/>
    </xf>
    <xf numFmtId="1" fontId="7" fillId="0" borderId="0" xfId="11" applyNumberFormat="1" applyFont="1" applyAlignment="1">
      <alignment horizontal="center" textRotation="90"/>
    </xf>
    <xf numFmtId="1" fontId="47" fillId="0" borderId="45" xfId="11" applyNumberFormat="1" applyFont="1" applyBorder="1" applyAlignment="1">
      <alignment horizontal="center"/>
    </xf>
    <xf numFmtId="1" fontId="47" fillId="0" borderId="45" xfId="11" applyNumberFormat="1" applyFont="1" applyFill="1" applyBorder="1" applyAlignment="1">
      <alignment horizontal="center"/>
    </xf>
    <xf numFmtId="1" fontId="47" fillId="29" borderId="45" xfId="11" applyNumberFormat="1" applyFont="1" applyFill="1" applyBorder="1" applyAlignment="1">
      <alignment horizontal="center"/>
    </xf>
    <xf numFmtId="1" fontId="47" fillId="30" borderId="45" xfId="11" applyNumberFormat="1" applyFont="1" applyFill="1" applyBorder="1" applyAlignment="1">
      <alignment horizontal="center"/>
    </xf>
    <xf numFmtId="1" fontId="47" fillId="29" borderId="43" xfId="11" applyNumberFormat="1" applyFont="1" applyFill="1" applyBorder="1" applyAlignment="1">
      <alignment horizontal="center"/>
    </xf>
    <xf numFmtId="1" fontId="6" fillId="28" borderId="43" xfId="11" applyNumberFormat="1" applyFont="1" applyFill="1" applyBorder="1" applyAlignment="1">
      <alignment horizontal="left" vertical="center"/>
    </xf>
    <xf numFmtId="1" fontId="51" fillId="28" borderId="43" xfId="11" applyNumberFormat="1" applyFont="1" applyFill="1" applyBorder="1"/>
    <xf numFmtId="1" fontId="7" fillId="0" borderId="0" xfId="11" applyNumberFormat="1" applyFont="1"/>
    <xf numFmtId="1" fontId="8" fillId="27" borderId="0" xfId="11" applyNumberFormat="1" applyFont="1" applyFill="1" applyBorder="1" applyAlignment="1">
      <alignment horizontal="left" vertical="center"/>
    </xf>
    <xf numFmtId="1" fontId="48" fillId="0" borderId="0" xfId="11" applyNumberFormat="1" applyFont="1" applyBorder="1" applyAlignment="1">
      <alignment horizontal="center"/>
    </xf>
    <xf numFmtId="1" fontId="8" fillId="0" borderId="0" xfId="11" applyNumberFormat="1" applyFont="1" applyBorder="1"/>
    <xf numFmtId="1" fontId="48" fillId="0" borderId="0" xfId="11" applyNumberFormat="1" applyFont="1"/>
    <xf numFmtId="1" fontId="6" fillId="0" borderId="0" xfId="11" applyNumberFormat="1" applyFont="1" applyFill="1" applyBorder="1" applyAlignment="1">
      <alignment horizontal="left" vertical="center"/>
    </xf>
    <xf numFmtId="1" fontId="47" fillId="0" borderId="0" xfId="11" applyNumberFormat="1" applyFont="1" applyFill="1" applyBorder="1" applyAlignment="1">
      <alignment horizontal="center"/>
    </xf>
    <xf numFmtId="1" fontId="47" fillId="0" borderId="0" xfId="11" applyNumberFormat="1" applyFont="1" applyBorder="1" applyAlignment="1">
      <alignment horizontal="center"/>
    </xf>
    <xf numFmtId="1" fontId="7" fillId="0" borderId="0" xfId="11" applyNumberFormat="1" applyFont="1" applyBorder="1"/>
    <xf numFmtId="1" fontId="46" fillId="0" borderId="0" xfId="11" applyNumberFormat="1" applyBorder="1"/>
    <xf numFmtId="1" fontId="7" fillId="27" borderId="0" xfId="11" applyNumberFormat="1" applyFont="1" applyFill="1" applyAlignment="1">
      <alignment horizontal="left" vertical="center"/>
    </xf>
    <xf numFmtId="0" fontId="9" fillId="31" borderId="0" xfId="0" applyFont="1" applyFill="1"/>
    <xf numFmtId="0" fontId="15" fillId="31" borderId="0" xfId="0" applyFont="1" applyFill="1"/>
    <xf numFmtId="0" fontId="52" fillId="31" borderId="0" xfId="0" applyFont="1" applyFill="1"/>
    <xf numFmtId="0" fontId="15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44" fontId="15" fillId="4" borderId="2" xfId="1" applyFont="1" applyFill="1" applyBorder="1" applyAlignment="1">
      <alignment horizontal="center"/>
    </xf>
    <xf numFmtId="44" fontId="7" fillId="32" borderId="16" xfId="1" applyFont="1" applyFill="1" applyBorder="1"/>
    <xf numFmtId="43" fontId="16" fillId="32" borderId="0" xfId="0" applyNumberFormat="1" applyFont="1" applyFill="1"/>
    <xf numFmtId="44" fontId="16" fillId="32" borderId="0" xfId="1" applyFont="1" applyFill="1"/>
    <xf numFmtId="44" fontId="7" fillId="32" borderId="17" xfId="1" applyFont="1" applyFill="1" applyBorder="1"/>
    <xf numFmtId="44" fontId="15" fillId="31" borderId="0" xfId="1" applyFont="1" applyFill="1" applyAlignment="1">
      <alignment horizontal="center"/>
    </xf>
    <xf numFmtId="0" fontId="15" fillId="31" borderId="0" xfId="0" applyFont="1" applyFill="1" applyAlignment="1">
      <alignment horizontal="center"/>
    </xf>
    <xf numFmtId="0" fontId="16" fillId="31" borderId="2" xfId="0" applyFont="1" applyFill="1" applyBorder="1" applyAlignment="1">
      <alignment horizontal="center" vertical="center"/>
    </xf>
    <xf numFmtId="9" fontId="16" fillId="31" borderId="2" xfId="0" applyNumberFormat="1" applyFont="1" applyFill="1" applyBorder="1" applyAlignment="1">
      <alignment horizontal="center" vertical="center"/>
    </xf>
    <xf numFmtId="10" fontId="16" fillId="4" borderId="2" xfId="0" applyNumberFormat="1" applyFont="1" applyFill="1" applyBorder="1" applyAlignment="1">
      <alignment horizontal="center" vertical="center"/>
    </xf>
    <xf numFmtId="0" fontId="9" fillId="4" borderId="0" xfId="0" applyFont="1" applyFill="1" applyBorder="1"/>
    <xf numFmtId="169" fontId="15" fillId="4" borderId="2" xfId="0" applyNumberFormat="1" applyFont="1" applyFill="1" applyBorder="1"/>
    <xf numFmtId="44" fontId="19" fillId="4" borderId="2" xfId="0" applyNumberFormat="1" applyFont="1" applyFill="1" applyBorder="1" applyAlignment="1">
      <alignment horizontal="center" vertical="center"/>
    </xf>
    <xf numFmtId="44" fontId="19" fillId="12" borderId="6" xfId="0" applyNumberFormat="1" applyFont="1" applyFill="1" applyBorder="1" applyAlignment="1">
      <alignment horizontal="center" vertical="center"/>
    </xf>
    <xf numFmtId="44" fontId="19" fillId="12" borderId="8" xfId="0" applyNumberFormat="1" applyFont="1" applyFill="1" applyBorder="1" applyAlignment="1">
      <alignment horizontal="center" vertical="center"/>
    </xf>
    <xf numFmtId="44" fontId="19" fillId="12" borderId="7" xfId="0" applyNumberFormat="1" applyFont="1" applyFill="1" applyBorder="1" applyAlignment="1">
      <alignment horizontal="center" vertical="center"/>
    </xf>
    <xf numFmtId="44" fontId="7" fillId="32" borderId="16" xfId="0" applyNumberFormat="1" applyFont="1" applyFill="1" applyBorder="1"/>
    <xf numFmtId="0" fontId="16" fillId="4" borderId="37" xfId="0" applyFont="1" applyFill="1" applyBorder="1" applyAlignment="1">
      <alignment horizontal="left" vertical="center"/>
    </xf>
    <xf numFmtId="0" fontId="19" fillId="4" borderId="3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43" fontId="16" fillId="4" borderId="12" xfId="4" applyFont="1" applyFill="1" applyBorder="1" applyAlignment="1">
      <alignment horizontal="center" vertical="center"/>
    </xf>
    <xf numFmtId="14" fontId="16" fillId="4" borderId="30" xfId="4" applyNumberFormat="1" applyFont="1" applyFill="1" applyBorder="1" applyAlignment="1" applyProtection="1">
      <alignment horizontal="left" vertical="center"/>
      <protection locked="0"/>
    </xf>
    <xf numFmtId="44" fontId="16" fillId="4" borderId="12" xfId="1" applyFont="1" applyFill="1" applyBorder="1" applyAlignment="1" applyProtection="1">
      <alignment horizontal="center" vertical="center"/>
      <protection locked="0"/>
    </xf>
    <xf numFmtId="14" fontId="16" fillId="4" borderId="12" xfId="4" applyNumberFormat="1" applyFont="1" applyFill="1" applyBorder="1" applyAlignment="1" applyProtection="1">
      <alignment horizontal="center" vertical="center"/>
      <protection locked="0"/>
    </xf>
    <xf numFmtId="14" fontId="16" fillId="4" borderId="28" xfId="4" applyNumberFormat="1" applyFont="1" applyFill="1" applyBorder="1" applyAlignment="1" applyProtection="1">
      <alignment horizontal="left" vertical="center"/>
      <protection locked="0"/>
    </xf>
    <xf numFmtId="14" fontId="16" fillId="4" borderId="40" xfId="4" applyNumberFormat="1" applyFont="1" applyFill="1" applyBorder="1" applyAlignment="1" applyProtection="1">
      <alignment horizontal="center" vertical="center"/>
      <protection locked="0"/>
    </xf>
    <xf numFmtId="14" fontId="16" fillId="4" borderId="29" xfId="4" applyNumberFormat="1" applyFont="1" applyFill="1" applyBorder="1" applyAlignment="1" applyProtection="1">
      <alignment horizontal="center" vertical="center"/>
      <protection locked="0"/>
    </xf>
    <xf numFmtId="166" fontId="16" fillId="4" borderId="40" xfId="4" applyNumberFormat="1" applyFont="1" applyFill="1" applyBorder="1" applyAlignment="1" applyProtection="1">
      <alignment horizontal="center" vertical="center"/>
      <protection locked="0"/>
    </xf>
    <xf numFmtId="44" fontId="16" fillId="4" borderId="40" xfId="1" applyFont="1" applyFill="1" applyBorder="1" applyAlignment="1" applyProtection="1">
      <alignment horizontal="center" vertical="center"/>
      <protection locked="0"/>
    </xf>
    <xf numFmtId="44" fontId="16" fillId="4" borderId="29" xfId="1" applyFont="1" applyFill="1" applyBorder="1" applyAlignment="1" applyProtection="1">
      <alignment horizontal="center" vertical="center"/>
      <protection locked="0"/>
    </xf>
    <xf numFmtId="43" fontId="16" fillId="4" borderId="12" xfId="4" applyFont="1" applyFill="1" applyBorder="1" applyAlignment="1" applyProtection="1">
      <alignment horizontal="center" vertical="center"/>
      <protection locked="0"/>
    </xf>
    <xf numFmtId="43" fontId="16" fillId="4" borderId="29" xfId="4" applyFont="1" applyFill="1" applyBorder="1" applyAlignment="1" applyProtection="1">
      <alignment horizontal="center" vertical="center"/>
      <protection locked="0"/>
    </xf>
    <xf numFmtId="43" fontId="7" fillId="32" borderId="16" xfId="0" applyNumberFormat="1" applyFont="1" applyFill="1" applyBorder="1"/>
    <xf numFmtId="43" fontId="7" fillId="32" borderId="17" xfId="0" applyNumberFormat="1" applyFont="1" applyFill="1" applyBorder="1"/>
    <xf numFmtId="43" fontId="16" fillId="32" borderId="16" xfId="0" applyNumberFormat="1" applyFont="1" applyFill="1" applyBorder="1"/>
    <xf numFmtId="44" fontId="15" fillId="4" borderId="26" xfId="0" applyNumberFormat="1" applyFont="1" applyFill="1" applyBorder="1"/>
    <xf numFmtId="44" fontId="12" fillId="4" borderId="0" xfId="0" applyNumberFormat="1" applyFont="1" applyFill="1"/>
    <xf numFmtId="44" fontId="16" fillId="32" borderId="31" xfId="1" applyFont="1" applyFill="1" applyBorder="1"/>
    <xf numFmtId="44" fontId="7" fillId="32" borderId="0" xfId="1" applyFont="1" applyFill="1" applyBorder="1"/>
    <xf numFmtId="44" fontId="16" fillId="4" borderId="1" xfId="1" applyFont="1" applyFill="1" applyBorder="1" applyAlignment="1">
      <alignment horizontal="center"/>
    </xf>
    <xf numFmtId="44" fontId="7" fillId="32" borderId="17" xfId="0" applyNumberFormat="1" applyFont="1" applyFill="1" applyBorder="1"/>
    <xf numFmtId="44" fontId="16" fillId="4" borderId="47" xfId="1" applyFont="1" applyFill="1" applyBorder="1"/>
    <xf numFmtId="44" fontId="16" fillId="4" borderId="41" xfId="0" applyNumberFormat="1" applyFont="1" applyFill="1" applyBorder="1"/>
    <xf numFmtId="44" fontId="7" fillId="4" borderId="8" xfId="0" applyNumberFormat="1" applyFont="1" applyFill="1" applyBorder="1"/>
    <xf numFmtId="44" fontId="16" fillId="4" borderId="0" xfId="0" applyNumberFormat="1" applyFont="1" applyFill="1" applyBorder="1"/>
    <xf numFmtId="44" fontId="16" fillId="32" borderId="0" xfId="0" applyNumberFormat="1" applyFont="1" applyFill="1"/>
    <xf numFmtId="0" fontId="12" fillId="4" borderId="0" xfId="0" applyFont="1" applyFill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2" fillId="19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27" fillId="31" borderId="0" xfId="0" applyFont="1" applyFill="1"/>
    <xf numFmtId="0" fontId="15" fillId="31" borderId="1" xfId="0" applyFont="1" applyFill="1" applyBorder="1"/>
    <xf numFmtId="0" fontId="15" fillId="31" borderId="8" xfId="0" applyFont="1" applyFill="1" applyBorder="1"/>
    <xf numFmtId="0" fontId="53" fillId="0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left"/>
    </xf>
    <xf numFmtId="14" fontId="15" fillId="4" borderId="0" xfId="0" applyNumberFormat="1" applyFont="1" applyFill="1"/>
    <xf numFmtId="43" fontId="12" fillId="4" borderId="0" xfId="0" applyNumberFormat="1" applyFont="1" applyFill="1"/>
    <xf numFmtId="14" fontId="12" fillId="4" borderId="0" xfId="0" applyNumberFormat="1" applyFont="1" applyFill="1"/>
    <xf numFmtId="0" fontId="24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7" fillId="4" borderId="0" xfId="0" applyFont="1" applyFill="1"/>
    <xf numFmtId="14" fontId="16" fillId="4" borderId="0" xfId="4" applyNumberFormat="1" applyFont="1" applyFill="1" applyBorder="1" applyAlignment="1" applyProtection="1">
      <alignment horizontal="left" vertical="center"/>
      <protection locked="0"/>
    </xf>
    <xf numFmtId="0" fontId="19" fillId="7" borderId="48" xfId="0" applyFont="1" applyFill="1" applyBorder="1" applyAlignment="1">
      <alignment horizontal="left" vertical="center" wrapText="1"/>
    </xf>
    <xf numFmtId="0" fontId="19" fillId="4" borderId="49" xfId="0" applyFont="1" applyFill="1" applyBorder="1" applyAlignment="1">
      <alignment horizontal="center"/>
    </xf>
    <xf numFmtId="0" fontId="19" fillId="4" borderId="50" xfId="0" applyFont="1" applyFill="1" applyBorder="1" applyAlignment="1">
      <alignment horizontal="center"/>
    </xf>
    <xf numFmtId="0" fontId="20" fillId="7" borderId="51" xfId="0" applyFont="1" applyFill="1" applyBorder="1" applyAlignment="1">
      <alignment horizontal="justify" vertical="center" wrapText="1"/>
    </xf>
    <xf numFmtId="0" fontId="19" fillId="7" borderId="52" xfId="0" applyFont="1" applyFill="1" applyBorder="1" applyAlignment="1">
      <alignment horizontal="left" vertical="center" wrapText="1"/>
    </xf>
    <xf numFmtId="0" fontId="21" fillId="0" borderId="51" xfId="0" applyFont="1" applyBorder="1" applyAlignment="1">
      <alignment horizontal="justify" vertical="center" wrapText="1"/>
    </xf>
    <xf numFmtId="14" fontId="16" fillId="0" borderId="53" xfId="4" applyNumberFormat="1" applyFont="1" applyFill="1" applyBorder="1" applyAlignment="1" applyProtection="1">
      <alignment horizontal="left" vertical="center"/>
      <protection locked="0"/>
    </xf>
    <xf numFmtId="14" fontId="19" fillId="7" borderId="53" xfId="4" applyNumberFormat="1" applyFont="1" applyFill="1" applyBorder="1" applyAlignment="1" applyProtection="1">
      <alignment horizontal="left" vertical="center"/>
      <protection locked="0"/>
    </xf>
    <xf numFmtId="0" fontId="19" fillId="0" borderId="52" xfId="0" applyFont="1" applyBorder="1"/>
    <xf numFmtId="0" fontId="16" fillId="0" borderId="51" xfId="0" applyFont="1" applyBorder="1"/>
    <xf numFmtId="14" fontId="16" fillId="0" borderId="52" xfId="4" applyNumberFormat="1" applyFont="1" applyFill="1" applyBorder="1" applyAlignment="1" applyProtection="1">
      <alignment horizontal="left" vertical="center"/>
      <protection locked="0"/>
    </xf>
    <xf numFmtId="0" fontId="20" fillId="0" borderId="51" xfId="0" applyFont="1" applyBorder="1" applyAlignment="1">
      <alignment horizontal="left" vertical="center" wrapText="1"/>
    </xf>
    <xf numFmtId="0" fontId="19" fillId="0" borderId="52" xfId="0" applyFont="1" applyBorder="1" applyAlignment="1">
      <alignment vertical="center" wrapText="1"/>
    </xf>
    <xf numFmtId="0" fontId="21" fillId="0" borderId="51" xfId="0" applyFont="1" applyBorder="1" applyAlignment="1">
      <alignment horizontal="left" vertical="center" wrapText="1"/>
    </xf>
    <xf numFmtId="0" fontId="16" fillId="0" borderId="52" xfId="0" applyFont="1" applyBorder="1"/>
    <xf numFmtId="0" fontId="20" fillId="0" borderId="51" xfId="0" applyFont="1" applyFill="1" applyBorder="1" applyAlignment="1">
      <alignment horizontal="justify" vertical="center" wrapText="1"/>
    </xf>
    <xf numFmtId="0" fontId="19" fillId="0" borderId="52" xfId="0" applyFont="1" applyFill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/>
    </xf>
    <xf numFmtId="0" fontId="19" fillId="7" borderId="51" xfId="0" applyFont="1" applyFill="1" applyBorder="1"/>
    <xf numFmtId="0" fontId="16" fillId="0" borderId="52" xfId="0" applyFont="1" applyBorder="1" applyAlignment="1">
      <alignment horizontal="left" vertical="center" wrapText="1"/>
    </xf>
    <xf numFmtId="0" fontId="20" fillId="8" borderId="51" xfId="0" applyFont="1" applyFill="1" applyBorder="1" applyAlignment="1">
      <alignment horizontal="justify" vertical="center" wrapText="1"/>
    </xf>
    <xf numFmtId="0" fontId="19" fillId="7" borderId="51" xfId="0" applyFont="1" applyFill="1" applyBorder="1" applyAlignment="1">
      <alignment horizontal="left"/>
    </xf>
    <xf numFmtId="0" fontId="22" fillId="0" borderId="52" xfId="0" applyFont="1" applyBorder="1" applyAlignment="1">
      <alignment horizontal="left"/>
    </xf>
    <xf numFmtId="0" fontId="19" fillId="0" borderId="51" xfId="0" applyFont="1" applyBorder="1" applyAlignment="1">
      <alignment horizontal="left"/>
    </xf>
    <xf numFmtId="0" fontId="22" fillId="0" borderId="51" xfId="0" applyFont="1" applyBorder="1" applyAlignment="1">
      <alignment horizontal="left"/>
    </xf>
    <xf numFmtId="14" fontId="19" fillId="0" borderId="53" xfId="4" applyNumberFormat="1" applyFont="1" applyFill="1" applyBorder="1" applyAlignment="1" applyProtection="1">
      <alignment horizontal="left" vertical="center"/>
      <protection locked="0"/>
    </xf>
    <xf numFmtId="0" fontId="19" fillId="0" borderId="51" xfId="0" applyFont="1" applyBorder="1"/>
    <xf numFmtId="14" fontId="16" fillId="0" borderId="55" xfId="4" applyNumberFormat="1" applyFont="1" applyFill="1" applyBorder="1" applyAlignment="1" applyProtection="1">
      <alignment horizontal="left" vertical="center"/>
      <protection locked="0"/>
    </xf>
    <xf numFmtId="14" fontId="19" fillId="7" borderId="55" xfId="4" applyNumberFormat="1" applyFont="1" applyFill="1" applyBorder="1" applyAlignment="1" applyProtection="1">
      <alignment horizontal="left" vertical="center"/>
      <protection locked="0"/>
    </xf>
    <xf numFmtId="0" fontId="20" fillId="7" borderId="54" xfId="0" applyFont="1" applyFill="1" applyBorder="1" applyAlignment="1">
      <alignment horizontal="justify" vertical="center" wrapText="1"/>
    </xf>
    <xf numFmtId="0" fontId="21" fillId="0" borderId="54" xfId="0" applyFont="1" applyBorder="1" applyAlignment="1">
      <alignment horizontal="justify" vertical="center" wrapText="1"/>
    </xf>
    <xf numFmtId="14" fontId="16" fillId="0" borderId="56" xfId="4" applyNumberFormat="1" applyFont="1" applyFill="1" applyBorder="1" applyAlignment="1" applyProtection="1">
      <alignment horizontal="left" vertical="center"/>
      <protection locked="0"/>
    </xf>
    <xf numFmtId="14" fontId="16" fillId="0" borderId="57" xfId="4" applyNumberFormat="1" applyFont="1" applyFill="1" applyBorder="1" applyAlignment="1" applyProtection="1">
      <alignment horizontal="left" vertical="center"/>
      <protection locked="0"/>
    </xf>
    <xf numFmtId="14" fontId="16" fillId="0" borderId="54" xfId="4" applyNumberFormat="1" applyFont="1" applyFill="1" applyBorder="1" applyAlignment="1" applyProtection="1">
      <alignment horizontal="left" vertical="center"/>
      <protection locked="0"/>
    </xf>
    <xf numFmtId="0" fontId="19" fillId="7" borderId="58" xfId="0" applyFont="1" applyFill="1" applyBorder="1" applyAlignment="1">
      <alignment horizontal="left" vertical="center" wrapText="1"/>
    </xf>
    <xf numFmtId="14" fontId="16" fillId="0" borderId="48" xfId="4" applyNumberFormat="1" applyFont="1" applyFill="1" applyBorder="1" applyAlignment="1" applyProtection="1">
      <alignment horizontal="left" vertical="center"/>
      <protection locked="0"/>
    </xf>
    <xf numFmtId="14" fontId="16" fillId="4" borderId="59" xfId="4" applyNumberFormat="1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>
      <alignment horizontal="left"/>
    </xf>
    <xf numFmtId="44" fontId="12" fillId="34" borderId="0" xfId="1" applyFont="1" applyFill="1" applyAlignment="1">
      <alignment horizontal="center"/>
    </xf>
    <xf numFmtId="0" fontId="12" fillId="34" borderId="0" xfId="0" applyFont="1" applyFill="1"/>
    <xf numFmtId="44" fontId="12" fillId="34" borderId="0" xfId="1" applyFont="1" applyFill="1"/>
    <xf numFmtId="43" fontId="12" fillId="34" borderId="0" xfId="0" applyNumberFormat="1" applyFont="1" applyFill="1"/>
    <xf numFmtId="44" fontId="15" fillId="4" borderId="0" xfId="1" applyFont="1" applyFill="1" applyAlignment="1">
      <alignment horizontal="center" vertical="center"/>
    </xf>
    <xf numFmtId="0" fontId="15" fillId="4" borderId="0" xfId="0" applyFont="1" applyFill="1" applyAlignment="1">
      <alignment horizontal="left" indent="2"/>
    </xf>
    <xf numFmtId="43" fontId="15" fillId="4" borderId="0" xfId="0" applyNumberFormat="1" applyFont="1" applyFill="1" applyAlignment="1">
      <alignment horizontal="left" indent="2"/>
    </xf>
    <xf numFmtId="0" fontId="12" fillId="4" borderId="9" xfId="0" applyFont="1" applyFill="1" applyBorder="1"/>
    <xf numFmtId="0" fontId="12" fillId="4" borderId="0" xfId="0" applyFont="1" applyFill="1" applyAlignment="1">
      <alignment horizontal="right"/>
    </xf>
    <xf numFmtId="0" fontId="15" fillId="34" borderId="0" xfId="0" applyFont="1" applyFill="1"/>
    <xf numFmtId="43" fontId="15" fillId="34" borderId="0" xfId="0" applyNumberFormat="1" applyFont="1" applyFill="1"/>
    <xf numFmtId="0" fontId="55" fillId="4" borderId="0" xfId="2" applyFont="1" applyFill="1"/>
    <xf numFmtId="0" fontId="56" fillId="4" borderId="0" xfId="0" applyFont="1" applyFill="1" applyAlignment="1">
      <alignment horizontal="left" vertical="center" wrapText="1" indent="1"/>
    </xf>
    <xf numFmtId="0" fontId="19" fillId="4" borderId="0" xfId="0" applyFont="1" applyFill="1" applyBorder="1" applyAlignment="1">
      <alignment horizontal="center" vertical="center"/>
    </xf>
    <xf numFmtId="0" fontId="57" fillId="4" borderId="0" xfId="0" applyFont="1" applyFill="1"/>
    <xf numFmtId="0" fontId="19" fillId="4" borderId="1" xfId="0" applyFont="1" applyFill="1" applyBorder="1"/>
    <xf numFmtId="9" fontId="19" fillId="4" borderId="1" xfId="4" applyNumberFormat="1" applyFont="1" applyFill="1" applyBorder="1" applyAlignment="1">
      <alignment horizontal="center"/>
    </xf>
    <xf numFmtId="43" fontId="19" fillId="4" borderId="0" xfId="4" applyFont="1" applyFill="1" applyBorder="1"/>
    <xf numFmtId="0" fontId="16" fillId="4" borderId="0" xfId="0" applyFont="1" applyFill="1" applyBorder="1" applyAlignment="1">
      <alignment horizontal="center"/>
    </xf>
    <xf numFmtId="44" fontId="16" fillId="4" borderId="7" xfId="1" applyFont="1" applyFill="1" applyBorder="1"/>
    <xf numFmtId="172" fontId="16" fillId="4" borderId="12" xfId="4" applyNumberFormat="1" applyFont="1" applyFill="1" applyBorder="1"/>
    <xf numFmtId="43" fontId="58" fillId="4" borderId="0" xfId="4" applyFont="1" applyFill="1" applyBorder="1"/>
    <xf numFmtId="0" fontId="21" fillId="4" borderId="8" xfId="0" applyFont="1" applyFill="1" applyBorder="1"/>
    <xf numFmtId="43" fontId="16" fillId="4" borderId="0" xfId="4" applyFont="1" applyFill="1" applyBorder="1"/>
    <xf numFmtId="10" fontId="16" fillId="4" borderId="0" xfId="5" applyNumberFormat="1" applyFont="1" applyFill="1" applyBorder="1" applyAlignment="1">
      <alignment horizontal="center"/>
    </xf>
    <xf numFmtId="171" fontId="16" fillId="4" borderId="0" xfId="0" applyNumberFormat="1" applyFont="1" applyFill="1"/>
    <xf numFmtId="43" fontId="59" fillId="4" borderId="0" xfId="4" applyFont="1" applyFill="1" applyBorder="1"/>
    <xf numFmtId="9" fontId="57" fillId="4" borderId="0" xfId="5" applyFont="1" applyFill="1"/>
    <xf numFmtId="0" fontId="16" fillId="4" borderId="8" xfId="0" applyFont="1" applyFill="1" applyBorder="1"/>
    <xf numFmtId="44" fontId="60" fillId="4" borderId="7" xfId="1" applyFont="1" applyFill="1" applyBorder="1"/>
    <xf numFmtId="172" fontId="60" fillId="4" borderId="12" xfId="4" applyNumberFormat="1" applyFont="1" applyFill="1" applyBorder="1"/>
    <xf numFmtId="10" fontId="16" fillId="4" borderId="0" xfId="5" applyNumberFormat="1" applyFont="1" applyFill="1"/>
    <xf numFmtId="0" fontId="61" fillId="4" borderId="0" xfId="0" applyFont="1" applyFill="1" applyBorder="1"/>
    <xf numFmtId="44" fontId="19" fillId="4" borderId="7" xfId="1" applyFont="1" applyFill="1" applyBorder="1"/>
    <xf numFmtId="172" fontId="19" fillId="4" borderId="12" xfId="4" applyNumberFormat="1" applyFont="1" applyFill="1" applyBorder="1"/>
    <xf numFmtId="44" fontId="57" fillId="4" borderId="0" xfId="0" applyNumberFormat="1" applyFont="1" applyFill="1"/>
    <xf numFmtId="43" fontId="16" fillId="4" borderId="13" xfId="4" applyFont="1" applyFill="1" applyBorder="1"/>
    <xf numFmtId="43" fontId="57" fillId="4" borderId="0" xfId="0" applyNumberFormat="1" applyFont="1" applyFill="1"/>
    <xf numFmtId="173" fontId="16" fillId="4" borderId="0" xfId="0" applyNumberFormat="1" applyFont="1" applyFill="1" applyBorder="1"/>
    <xf numFmtId="44" fontId="19" fillId="4" borderId="12" xfId="1" applyFont="1" applyFill="1" applyBorder="1"/>
    <xf numFmtId="44" fontId="19" fillId="0" borderId="15" xfId="1" applyFont="1" applyBorder="1"/>
    <xf numFmtId="0" fontId="16" fillId="0" borderId="0" xfId="0" applyFont="1" applyFill="1"/>
    <xf numFmtId="10" fontId="15" fillId="4" borderId="0" xfId="5" applyNumberFormat="1" applyFont="1" applyFill="1"/>
    <xf numFmtId="0" fontId="31" fillId="0" borderId="0" xfId="2" applyFont="1"/>
    <xf numFmtId="44" fontId="15" fillId="0" borderId="0" xfId="1" applyNumberFormat="1" applyFont="1"/>
    <xf numFmtId="0" fontId="15" fillId="0" borderId="2" xfId="0" applyFont="1" applyBorder="1"/>
    <xf numFmtId="0" fontId="15" fillId="0" borderId="2" xfId="0" applyFont="1" applyFill="1" applyBorder="1"/>
    <xf numFmtId="44" fontId="15" fillId="0" borderId="0" xfId="0" applyNumberFormat="1" applyFont="1"/>
    <xf numFmtId="0" fontId="15" fillId="0" borderId="0" xfId="0" applyFont="1" applyAlignment="1">
      <alignment horizontal="center"/>
    </xf>
    <xf numFmtId="0" fontId="12" fillId="0" borderId="1" xfId="0" applyFont="1" applyBorder="1" applyAlignment="1"/>
    <xf numFmtId="3" fontId="15" fillId="0" borderId="0" xfId="0" applyNumberFormat="1" applyFont="1"/>
    <xf numFmtId="0" fontId="15" fillId="0" borderId="48" xfId="0" applyFont="1" applyBorder="1"/>
    <xf numFmtId="44" fontId="12" fillId="4" borderId="9" xfId="1" applyFont="1" applyFill="1" applyBorder="1"/>
    <xf numFmtId="0" fontId="12" fillId="4" borderId="48" xfId="0" applyFont="1" applyFill="1" applyBorder="1" applyAlignment="1">
      <alignment horizontal="right"/>
    </xf>
    <xf numFmtId="9" fontId="12" fillId="4" borderId="48" xfId="0" applyNumberFormat="1" applyFont="1" applyFill="1" applyBorder="1"/>
    <xf numFmtId="43" fontId="7" fillId="4" borderId="1" xfId="4" applyFont="1" applyFill="1" applyBorder="1" applyAlignment="1">
      <alignment horizontal="center"/>
    </xf>
    <xf numFmtId="43" fontId="6" fillId="4" borderId="8" xfId="4" applyFont="1" applyFill="1" applyBorder="1" applyAlignment="1">
      <alignment horizontal="center" vertical="center"/>
    </xf>
    <xf numFmtId="43" fontId="6" fillId="4" borderId="8" xfId="7" applyNumberFormat="1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/>
    <xf numFmtId="43" fontId="6" fillId="4" borderId="8" xfId="4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 wrapText="1" indent="1"/>
    </xf>
    <xf numFmtId="44" fontId="15" fillId="4" borderId="0" xfId="5" applyNumberFormat="1" applyFont="1" applyFill="1"/>
    <xf numFmtId="43" fontId="15" fillId="4" borderId="0" xfId="5" applyNumberFormat="1" applyFont="1" applyFill="1"/>
    <xf numFmtId="44" fontId="12" fillId="4" borderId="0" xfId="5" applyNumberFormat="1" applyFont="1" applyFill="1"/>
    <xf numFmtId="44" fontId="12" fillId="3" borderId="0" xfId="1" applyFont="1" applyFill="1"/>
    <xf numFmtId="0" fontId="15" fillId="3" borderId="0" xfId="0" applyFont="1" applyFill="1" applyAlignment="1">
      <alignment horizontal="left" indent="2"/>
    </xf>
    <xf numFmtId="44" fontId="15" fillId="3" borderId="0" xfId="1" applyFont="1" applyFill="1" applyAlignment="1">
      <alignment horizontal="left"/>
    </xf>
    <xf numFmtId="44" fontId="12" fillId="35" borderId="0" xfId="0" applyNumberFormat="1" applyFont="1" applyFill="1"/>
    <xf numFmtId="0" fontId="15" fillId="35" borderId="0" xfId="0" applyFont="1" applyFill="1"/>
    <xf numFmtId="44" fontId="15" fillId="35" borderId="0" xfId="5" applyNumberFormat="1" applyFont="1" applyFill="1"/>
    <xf numFmtId="0" fontId="15" fillId="8" borderId="0" xfId="0" applyFont="1" applyFill="1"/>
    <xf numFmtId="44" fontId="12" fillId="36" borderId="0" xfId="0" applyNumberFormat="1" applyFont="1" applyFill="1"/>
    <xf numFmtId="0" fontId="15" fillId="36" borderId="0" xfId="0" applyFont="1" applyFill="1"/>
    <xf numFmtId="44" fontId="15" fillId="36" borderId="0" xfId="5" applyNumberFormat="1" applyFont="1" applyFill="1"/>
    <xf numFmtId="0" fontId="12" fillId="36" borderId="0" xfId="0" applyFont="1" applyFill="1"/>
    <xf numFmtId="44" fontId="12" fillId="36" borderId="0" xfId="5" applyNumberFormat="1" applyFont="1" applyFill="1"/>
    <xf numFmtId="43" fontId="12" fillId="36" borderId="0" xfId="5" applyNumberFormat="1" applyFont="1" applyFill="1"/>
    <xf numFmtId="44" fontId="15" fillId="36" borderId="0" xfId="0" applyNumberFormat="1" applyFont="1" applyFill="1"/>
    <xf numFmtId="44" fontId="15" fillId="37" borderId="0" xfId="1" applyFont="1" applyFill="1"/>
    <xf numFmtId="44" fontId="15" fillId="37" borderId="0" xfId="5" applyNumberFormat="1" applyFont="1" applyFill="1"/>
    <xf numFmtId="0" fontId="15" fillId="4" borderId="1" xfId="0" applyFont="1" applyFill="1" applyBorder="1"/>
    <xf numFmtId="44" fontId="15" fillId="4" borderId="1" xfId="0" applyNumberFormat="1" applyFont="1" applyFill="1" applyBorder="1"/>
    <xf numFmtId="0" fontId="15" fillId="4" borderId="48" xfId="0" applyFont="1" applyFill="1" applyBorder="1" applyAlignment="1">
      <alignment horizontal="left"/>
    </xf>
    <xf numFmtId="43" fontId="15" fillId="37" borderId="48" xfId="0" applyNumberFormat="1" applyFont="1" applyFill="1" applyBorder="1" applyAlignment="1">
      <alignment horizontal="left"/>
    </xf>
    <xf numFmtId="44" fontId="64" fillId="22" borderId="48" xfId="0" applyNumberFormat="1" applyFont="1" applyFill="1" applyBorder="1" applyAlignment="1">
      <alignment horizontal="left"/>
    </xf>
    <xf numFmtId="0" fontId="23" fillId="4" borderId="48" xfId="0" applyFont="1" applyFill="1" applyBorder="1" applyAlignment="1">
      <alignment horizontal="left" indent="4"/>
    </xf>
    <xf numFmtId="44" fontId="15" fillId="37" borderId="48" xfId="0" applyNumberFormat="1" applyFont="1" applyFill="1" applyBorder="1" applyAlignment="1">
      <alignment horizontal="left"/>
    </xf>
    <xf numFmtId="43" fontId="15" fillId="4" borderId="48" xfId="0" applyNumberFormat="1" applyFont="1" applyFill="1" applyBorder="1" applyAlignment="1">
      <alignment horizontal="left"/>
    </xf>
    <xf numFmtId="0" fontId="15" fillId="37" borderId="48" xfId="0" applyFont="1" applyFill="1" applyBorder="1" applyAlignment="1">
      <alignment horizontal="left"/>
    </xf>
    <xf numFmtId="44" fontId="15" fillId="4" borderId="48" xfId="1" applyFont="1" applyFill="1" applyBorder="1" applyAlignment="1">
      <alignment horizontal="left"/>
    </xf>
    <xf numFmtId="43" fontId="23" fillId="4" borderId="48" xfId="0" applyNumberFormat="1" applyFont="1" applyFill="1" applyBorder="1" applyAlignment="1">
      <alignment horizontal="left" indent="4"/>
    </xf>
    <xf numFmtId="0" fontId="64" fillId="22" borderId="48" xfId="0" applyFont="1" applyFill="1" applyBorder="1" applyAlignment="1">
      <alignment horizontal="left"/>
    </xf>
    <xf numFmtId="0" fontId="8" fillId="36" borderId="0" xfId="0" applyFont="1" applyFill="1" applyAlignment="1">
      <alignment horizontal="right"/>
    </xf>
    <xf numFmtId="44" fontId="8" fillId="36" borderId="0" xfId="0" applyNumberFormat="1" applyFont="1" applyFill="1"/>
    <xf numFmtId="0" fontId="8" fillId="36" borderId="0" xfId="0" applyFont="1" applyFill="1"/>
    <xf numFmtId="43" fontId="8" fillId="36" borderId="0" xfId="0" applyNumberFormat="1" applyFont="1" applyFill="1"/>
    <xf numFmtId="181" fontId="15" fillId="4" borderId="0" xfId="5" applyNumberFormat="1" applyFont="1" applyFill="1"/>
    <xf numFmtId="0" fontId="15" fillId="39" borderId="0" xfId="0" applyFont="1" applyFill="1"/>
    <xf numFmtId="10" fontId="15" fillId="39" borderId="0" xfId="5" applyNumberFormat="1" applyFont="1" applyFill="1"/>
    <xf numFmtId="0" fontId="15" fillId="39" borderId="60" xfId="0" applyFont="1" applyFill="1" applyBorder="1"/>
    <xf numFmtId="0" fontId="15" fillId="39" borderId="61" xfId="0" applyFont="1" applyFill="1" applyBorder="1"/>
    <xf numFmtId="10" fontId="15" fillId="39" borderId="61" xfId="5" applyNumberFormat="1" applyFont="1" applyFill="1" applyBorder="1"/>
    <xf numFmtId="0" fontId="15" fillId="39" borderId="62" xfId="0" applyFont="1" applyFill="1" applyBorder="1"/>
    <xf numFmtId="0" fontId="15" fillId="39" borderId="63" xfId="0" applyFont="1" applyFill="1" applyBorder="1"/>
    <xf numFmtId="0" fontId="15" fillId="39" borderId="0" xfId="0" applyFont="1" applyFill="1" applyBorder="1"/>
    <xf numFmtId="10" fontId="15" fillId="39" borderId="0" xfId="5" applyNumberFormat="1" applyFont="1" applyFill="1" applyBorder="1"/>
    <xf numFmtId="0" fontId="15" fillId="39" borderId="64" xfId="0" applyFont="1" applyFill="1" applyBorder="1"/>
    <xf numFmtId="0" fontId="15" fillId="39" borderId="65" xfId="0" applyFont="1" applyFill="1" applyBorder="1"/>
    <xf numFmtId="0" fontId="15" fillId="39" borderId="66" xfId="0" applyFont="1" applyFill="1" applyBorder="1"/>
    <xf numFmtId="0" fontId="15" fillId="39" borderId="67" xfId="0" applyFont="1" applyFill="1" applyBorder="1"/>
    <xf numFmtId="0" fontId="24" fillId="39" borderId="0" xfId="0" applyFont="1" applyFill="1" applyBorder="1"/>
    <xf numFmtId="10" fontId="24" fillId="39" borderId="0" xfId="5" applyNumberFormat="1" applyFont="1" applyFill="1" applyBorder="1"/>
    <xf numFmtId="0" fontId="16" fillId="39" borderId="0" xfId="0" applyFont="1" applyFill="1" applyBorder="1"/>
    <xf numFmtId="0" fontId="15" fillId="39" borderId="46" xfId="0" applyFont="1" applyFill="1" applyBorder="1" applyAlignment="1">
      <alignment horizontal="center"/>
    </xf>
    <xf numFmtId="10" fontId="15" fillId="39" borderId="14" xfId="5" applyNumberFormat="1" applyFont="1" applyFill="1" applyBorder="1"/>
    <xf numFmtId="0" fontId="15" fillId="39" borderId="46" xfId="0" applyFont="1" applyFill="1" applyBorder="1" applyAlignment="1">
      <alignment horizontal="right"/>
    </xf>
    <xf numFmtId="10" fontId="12" fillId="39" borderId="14" xfId="5" applyNumberFormat="1" applyFont="1" applyFill="1" applyBorder="1" applyAlignment="1">
      <alignment horizontal="center" vertical="center"/>
    </xf>
    <xf numFmtId="0" fontId="63" fillId="39" borderId="46" xfId="0" applyFont="1" applyFill="1" applyBorder="1" applyAlignment="1">
      <alignment horizontal="center"/>
    </xf>
    <xf numFmtId="2" fontId="15" fillId="39" borderId="14" xfId="5" applyNumberFormat="1" applyFont="1" applyFill="1" applyBorder="1" applyAlignment="1">
      <alignment horizontal="center"/>
    </xf>
    <xf numFmtId="0" fontId="12" fillId="35" borderId="0" xfId="0" applyFont="1" applyFill="1"/>
    <xf numFmtId="0" fontId="12" fillId="4" borderId="0" xfId="0" applyFont="1" applyFill="1" applyBorder="1" applyAlignment="1"/>
    <xf numFmtId="0" fontId="9" fillId="35" borderId="0" xfId="0" applyFont="1" applyFill="1"/>
    <xf numFmtId="44" fontId="15" fillId="35" borderId="0" xfId="1" applyFont="1" applyFill="1"/>
    <xf numFmtId="0" fontId="12" fillId="8" borderId="0" xfId="0" applyFont="1" applyFill="1" applyAlignment="1"/>
    <xf numFmtId="0" fontId="15" fillId="8" borderId="0" xfId="0" applyFont="1" applyFill="1" applyAlignment="1"/>
    <xf numFmtId="0" fontId="16" fillId="8" borderId="0" xfId="0" applyFont="1" applyFill="1"/>
    <xf numFmtId="0" fontId="12" fillId="8" borderId="0" xfId="0" applyFont="1" applyFill="1"/>
    <xf numFmtId="1" fontId="6" fillId="38" borderId="42" xfId="11" applyNumberFormat="1" applyFont="1" applyFill="1" applyBorder="1" applyAlignment="1">
      <alignment horizontal="center" textRotation="90"/>
    </xf>
    <xf numFmtId="1" fontId="6" fillId="38" borderId="44" xfId="11" applyNumberFormat="1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44" fontId="66" fillId="4" borderId="0" xfId="1" applyFont="1" applyFill="1"/>
    <xf numFmtId="0" fontId="12" fillId="4" borderId="46" xfId="0" applyFont="1" applyFill="1" applyBorder="1"/>
    <xf numFmtId="44" fontId="12" fillId="4" borderId="14" xfId="5" applyNumberFormat="1" applyFont="1" applyFill="1" applyBorder="1"/>
    <xf numFmtId="2" fontId="15" fillId="4" borderId="0" xfId="5" applyNumberFormat="1" applyFont="1" applyFill="1"/>
    <xf numFmtId="0" fontId="7" fillId="4" borderId="2" xfId="0" applyFont="1" applyFill="1" applyBorder="1" applyAlignment="1">
      <alignment horizontal="center" vertical="center"/>
    </xf>
    <xf numFmtId="0" fontId="19" fillId="8" borderId="0" xfId="0" applyFont="1" applyFill="1"/>
    <xf numFmtId="10" fontId="15" fillId="4" borderId="0" xfId="5" applyNumberFormat="1" applyFont="1" applyFill="1" applyAlignment="1">
      <alignment horizontal="center"/>
    </xf>
    <xf numFmtId="10" fontId="28" fillId="4" borderId="2" xfId="0" applyNumberFormat="1" applyFont="1" applyFill="1" applyBorder="1" applyAlignment="1">
      <alignment horizontal="center"/>
    </xf>
    <xf numFmtId="2" fontId="28" fillId="4" borderId="2" xfId="0" applyNumberFormat="1" applyFont="1" applyFill="1" applyBorder="1" applyAlignment="1">
      <alignment horizontal="center"/>
    </xf>
    <xf numFmtId="169" fontId="28" fillId="4" borderId="2" xfId="1" applyNumberFormat="1" applyFont="1" applyFill="1" applyBorder="1" applyAlignment="1">
      <alignment horizontal="center"/>
    </xf>
    <xf numFmtId="10" fontId="28" fillId="4" borderId="2" xfId="5" applyNumberFormat="1" applyFont="1" applyFill="1" applyBorder="1" applyAlignment="1">
      <alignment horizontal="center"/>
    </xf>
    <xf numFmtId="44" fontId="7" fillId="4" borderId="0" xfId="0" applyNumberFormat="1" applyFont="1" applyFill="1" applyBorder="1" applyAlignment="1" applyProtection="1">
      <alignment horizontal="left"/>
    </xf>
    <xf numFmtId="44" fontId="7" fillId="4" borderId="1" xfId="0" applyNumberFormat="1" applyFont="1" applyFill="1" applyBorder="1" applyAlignment="1" applyProtection="1">
      <alignment horizontal="left"/>
    </xf>
    <xf numFmtId="44" fontId="7" fillId="4" borderId="0" xfId="0" applyNumberFormat="1" applyFont="1" applyFill="1" applyBorder="1" applyAlignment="1">
      <alignment horizontal="left"/>
    </xf>
    <xf numFmtId="0" fontId="0" fillId="31" borderId="2" xfId="0" applyFont="1" applyFill="1" applyBorder="1" applyAlignment="1">
      <alignment horizontal="center" vertical="center"/>
    </xf>
    <xf numFmtId="43" fontId="15" fillId="0" borderId="2" xfId="4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/>
    <xf numFmtId="0" fontId="15" fillId="4" borderId="2" xfId="0" applyFont="1" applyFill="1" applyBorder="1" applyAlignment="1">
      <alignment horizontal="left"/>
    </xf>
    <xf numFmtId="1" fontId="15" fillId="4" borderId="17" xfId="0" applyNumberFormat="1" applyFont="1" applyFill="1" applyBorder="1"/>
    <xf numFmtId="9" fontId="15" fillId="31" borderId="0" xfId="0" applyNumberFormat="1" applyFont="1" applyFill="1" applyAlignment="1">
      <alignment horizontal="center"/>
    </xf>
    <xf numFmtId="0" fontId="16" fillId="31" borderId="0" xfId="0" applyFont="1" applyFill="1"/>
    <xf numFmtId="0" fontId="19" fillId="4" borderId="0" xfId="0" applyFont="1" applyFill="1" applyAlignment="1"/>
    <xf numFmtId="0" fontId="19" fillId="4" borderId="31" xfId="0" applyFont="1" applyFill="1" applyBorder="1" applyAlignment="1">
      <alignment horizontal="center"/>
    </xf>
    <xf numFmtId="0" fontId="16" fillId="4" borderId="31" xfId="0" applyFont="1" applyFill="1" applyBorder="1"/>
    <xf numFmtId="0" fontId="16" fillId="31" borderId="31" xfId="0" applyFont="1" applyFill="1" applyBorder="1" applyAlignment="1">
      <alignment horizontal="center"/>
    </xf>
    <xf numFmtId="44" fontId="16" fillId="4" borderId="31" xfId="0" applyNumberFormat="1" applyFont="1" applyFill="1" applyBorder="1"/>
    <xf numFmtId="44" fontId="7" fillId="31" borderId="0" xfId="1" applyFont="1" applyFill="1"/>
    <xf numFmtId="1" fontId="15" fillId="4" borderId="2" xfId="4" applyNumberFormat="1" applyFont="1" applyFill="1" applyBorder="1" applyAlignment="1" applyProtection="1">
      <alignment horizontal="center" vertical="center"/>
    </xf>
    <xf numFmtId="9" fontId="16" fillId="31" borderId="8" xfId="0" applyNumberFormat="1" applyFont="1" applyFill="1" applyBorder="1" applyAlignment="1">
      <alignment horizontal="center"/>
    </xf>
    <xf numFmtId="167" fontId="61" fillId="31" borderId="0" xfId="5" applyNumberFormat="1" applyFont="1" applyFill="1" applyBorder="1" applyAlignment="1">
      <alignment horizontal="center"/>
    </xf>
    <xf numFmtId="44" fontId="19" fillId="31" borderId="14" xfId="1" applyFont="1" applyFill="1" applyBorder="1"/>
    <xf numFmtId="9" fontId="15" fillId="31" borderId="0" xfId="0" applyNumberFormat="1" applyFont="1" applyFill="1"/>
    <xf numFmtId="0" fontId="12" fillId="4" borderId="0" xfId="0" applyFont="1" applyFill="1" applyAlignment="1">
      <alignment horizontal="center"/>
    </xf>
    <xf numFmtId="0" fontId="12" fillId="4" borderId="2" xfId="0" applyFont="1" applyFill="1" applyBorder="1" applyAlignment="1">
      <alignment horizontal="center"/>
    </xf>
    <xf numFmtId="10" fontId="16" fillId="31" borderId="2" xfId="0" applyNumberFormat="1" applyFont="1" applyFill="1" applyBorder="1" applyAlignment="1">
      <alignment horizontal="center" vertical="center"/>
    </xf>
    <xf numFmtId="10" fontId="12" fillId="31" borderId="0" xfId="0" applyNumberFormat="1" applyFont="1" applyFill="1"/>
    <xf numFmtId="0" fontId="19" fillId="31" borderId="0" xfId="0" applyFont="1" applyFill="1" applyBorder="1" applyAlignment="1">
      <alignment horizontal="center"/>
    </xf>
    <xf numFmtId="10" fontId="16" fillId="31" borderId="1" xfId="0" applyNumberFormat="1" applyFont="1" applyFill="1" applyBorder="1" applyAlignment="1">
      <alignment horizontal="center"/>
    </xf>
    <xf numFmtId="10" fontId="16" fillId="31" borderId="8" xfId="0" applyNumberFormat="1" applyFont="1" applyFill="1" applyBorder="1" applyAlignment="1">
      <alignment horizontal="center"/>
    </xf>
    <xf numFmtId="0" fontId="3" fillId="8" borderId="0" xfId="2" applyFill="1"/>
    <xf numFmtId="0" fontId="16" fillId="4" borderId="0" xfId="0" applyFont="1" applyFill="1" applyAlignment="1">
      <alignment horizontal="center"/>
    </xf>
    <xf numFmtId="0" fontId="16" fillId="4" borderId="31" xfId="0" applyFont="1" applyFill="1" applyBorder="1" applyAlignment="1">
      <alignment horizontal="center"/>
    </xf>
    <xf numFmtId="168" fontId="12" fillId="4" borderId="0" xfId="1" applyNumberFormat="1" applyFont="1" applyFill="1" applyAlignment="1">
      <alignment horizontal="center"/>
    </xf>
    <xf numFmtId="0" fontId="68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9" fillId="9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34" fillId="4" borderId="0" xfId="0" applyFont="1" applyFill="1" applyBorder="1" applyAlignment="1">
      <alignment horizontal="center" vertical="center"/>
    </xf>
    <xf numFmtId="177" fontId="33" fillId="4" borderId="2" xfId="0" applyNumberFormat="1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>
      <alignment horizontal="left" vertical="center"/>
    </xf>
    <xf numFmtId="0" fontId="9" fillId="20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0" fillId="18" borderId="6" xfId="0" applyFill="1" applyBorder="1" applyAlignment="1">
      <alignment horizontal="center"/>
    </xf>
    <xf numFmtId="0" fontId="0" fillId="18" borderId="7" xfId="0" applyFill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54" fillId="15" borderId="0" xfId="0" applyFont="1" applyFill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/>
    </xf>
    <xf numFmtId="43" fontId="7" fillId="4" borderId="0" xfId="0" applyNumberFormat="1" applyFont="1" applyFill="1" applyBorder="1" applyAlignment="1">
      <alignment horizontal="center" wrapText="1"/>
    </xf>
    <xf numFmtId="43" fontId="7" fillId="4" borderId="1" xfId="0" applyNumberFormat="1" applyFont="1" applyFill="1" applyBorder="1" applyAlignment="1">
      <alignment horizontal="center" wrapText="1"/>
    </xf>
    <xf numFmtId="43" fontId="45" fillId="4" borderId="0" xfId="0" applyNumberFormat="1" applyFont="1" applyFill="1" applyBorder="1" applyAlignment="1">
      <alignment horizontal="center" wrapText="1"/>
    </xf>
    <xf numFmtId="43" fontId="45" fillId="4" borderId="1" xfId="0" applyNumberFormat="1" applyFont="1" applyFill="1" applyBorder="1" applyAlignment="1">
      <alignment horizontal="center" wrapText="1"/>
    </xf>
    <xf numFmtId="43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3" fontId="37" fillId="4" borderId="0" xfId="0" applyNumberFormat="1" applyFont="1" applyFill="1" applyBorder="1" applyAlignment="1">
      <alignment horizontal="center" wrapText="1"/>
    </xf>
    <xf numFmtId="43" fontId="37" fillId="4" borderId="1" xfId="0" applyNumberFormat="1" applyFont="1" applyFill="1" applyBorder="1" applyAlignment="1">
      <alignment horizontal="center" wrapText="1"/>
    </xf>
    <xf numFmtId="43" fontId="41" fillId="4" borderId="1" xfId="0" applyNumberFormat="1" applyFont="1" applyFill="1" applyBorder="1" applyAlignment="1">
      <alignment horizontal="center"/>
    </xf>
    <xf numFmtId="0" fontId="41" fillId="4" borderId="1" xfId="0" applyFont="1" applyFill="1" applyBorder="1" applyAlignment="1">
      <alignment horizontal="center"/>
    </xf>
    <xf numFmtId="14" fontId="41" fillId="4" borderId="1" xfId="0" applyNumberFormat="1" applyFont="1" applyFill="1" applyBorder="1" applyAlignment="1">
      <alignment horizontal="center"/>
    </xf>
    <xf numFmtId="14" fontId="37" fillId="4" borderId="1" xfId="0" applyNumberFormat="1" applyFont="1" applyFill="1" applyBorder="1" applyAlignment="1">
      <alignment horizontal="center" wrapText="1"/>
    </xf>
    <xf numFmtId="0" fontId="37" fillId="4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44" fontId="19" fillId="4" borderId="2" xfId="0" applyNumberFormat="1" applyFont="1" applyFill="1" applyBorder="1" applyAlignment="1">
      <alignment horizontal="center" vertical="center"/>
    </xf>
    <xf numFmtId="0" fontId="12" fillId="25" borderId="0" xfId="0" applyFont="1" applyFill="1" applyAlignment="1">
      <alignment horizontal="center"/>
    </xf>
    <xf numFmtId="0" fontId="12" fillId="25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left" vertical="center" wrapText="1"/>
    </xf>
    <xf numFmtId="0" fontId="29" fillId="4" borderId="0" xfId="0" applyFont="1" applyFill="1" applyAlignment="1">
      <alignment horizontal="center"/>
    </xf>
    <xf numFmtId="0" fontId="15" fillId="4" borderId="0" xfId="0" applyFont="1" applyFill="1" applyAlignment="1">
      <alignment horizontal="left" vertical="center" wrapText="1"/>
    </xf>
    <xf numFmtId="0" fontId="23" fillId="10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9" fillId="17" borderId="0" xfId="0" quotePrefix="1" applyFont="1" applyFill="1" applyAlignment="1">
      <alignment horizontal="center" vertical="center" wrapText="1"/>
    </xf>
    <xf numFmtId="0" fontId="16" fillId="4" borderId="0" xfId="0" applyFont="1" applyFill="1" applyAlignment="1">
      <alignment horizontal="right"/>
    </xf>
    <xf numFmtId="0" fontId="15" fillId="17" borderId="0" xfId="0" applyFont="1" applyFill="1" applyAlignment="1">
      <alignment horizontal="center"/>
    </xf>
    <xf numFmtId="44" fontId="15" fillId="0" borderId="0" xfId="0" applyNumberFormat="1" applyFont="1" applyFill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65" fillId="33" borderId="0" xfId="2" applyFont="1" applyFill="1" applyAlignment="1">
      <alignment horizontal="center" vertical="center"/>
    </xf>
    <xf numFmtId="0" fontId="12" fillId="17" borderId="0" xfId="0" applyFont="1" applyFill="1" applyAlignment="1">
      <alignment horizontal="center"/>
    </xf>
    <xf numFmtId="0" fontId="12" fillId="4" borderId="17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2" fillId="19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 wrapText="1"/>
    </xf>
    <xf numFmtId="0" fontId="4" fillId="23" borderId="37" xfId="0" applyFont="1" applyFill="1" applyBorder="1" applyAlignment="1">
      <alignment horizontal="center" vertical="center"/>
    </xf>
    <xf numFmtId="0" fontId="4" fillId="23" borderId="33" xfId="0" applyFont="1" applyFill="1" applyBorder="1" applyAlignment="1">
      <alignment horizontal="center" vertical="center"/>
    </xf>
    <xf numFmtId="0" fontId="4" fillId="23" borderId="34" xfId="0" applyFont="1" applyFill="1" applyBorder="1" applyAlignment="1">
      <alignment horizontal="center" vertical="center"/>
    </xf>
    <xf numFmtId="0" fontId="4" fillId="23" borderId="36" xfId="0" applyFont="1" applyFill="1" applyBorder="1" applyAlignment="1">
      <alignment horizontal="center" vertical="center"/>
    </xf>
    <xf numFmtId="0" fontId="4" fillId="23" borderId="0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9" borderId="32" xfId="0" applyFont="1" applyFill="1" applyBorder="1" applyAlignment="1">
      <alignment horizontal="center" vertical="center" textRotation="90"/>
    </xf>
    <xf numFmtId="0" fontId="4" fillId="19" borderId="35" xfId="0" applyFont="1" applyFill="1" applyBorder="1" applyAlignment="1">
      <alignment horizontal="center" vertical="center" textRotation="90"/>
    </xf>
    <xf numFmtId="0" fontId="4" fillId="19" borderId="36" xfId="0" applyFont="1" applyFill="1" applyBorder="1" applyAlignment="1">
      <alignment horizontal="center" vertical="center" textRotation="90"/>
    </xf>
    <xf numFmtId="0" fontId="4" fillId="19" borderId="38" xfId="0" applyFont="1" applyFill="1" applyBorder="1" applyAlignment="1">
      <alignment horizontal="center" vertical="center" textRotation="90"/>
    </xf>
    <xf numFmtId="0" fontId="38" fillId="0" borderId="1" xfId="0" applyFont="1" applyBorder="1" applyAlignment="1">
      <alignment horizontal="center"/>
    </xf>
    <xf numFmtId="0" fontId="16" fillId="4" borderId="0" xfId="0" applyFont="1" applyFill="1" applyAlignment="1">
      <alignment horizontal="left" wrapText="1"/>
    </xf>
    <xf numFmtId="0" fontId="19" fillId="16" borderId="0" xfId="0" applyFont="1" applyFill="1" applyBorder="1" applyAlignment="1">
      <alignment horizontal="center"/>
    </xf>
    <xf numFmtId="44" fontId="19" fillId="4" borderId="18" xfId="1" applyFont="1" applyFill="1" applyBorder="1" applyAlignment="1">
      <alignment horizontal="center"/>
    </xf>
    <xf numFmtId="44" fontId="19" fillId="4" borderId="19" xfId="1" applyFont="1" applyFill="1" applyBorder="1" applyAlignment="1">
      <alignment horizontal="center"/>
    </xf>
    <xf numFmtId="0" fontId="19" fillId="16" borderId="0" xfId="0" applyFont="1" applyFill="1" applyAlignment="1">
      <alignment horizontal="left" vertical="center"/>
    </xf>
    <xf numFmtId="0" fontId="42" fillId="4" borderId="0" xfId="0" applyFont="1" applyFill="1" applyAlignment="1">
      <alignment horizontal="center" vertical="center" textRotation="45"/>
    </xf>
    <xf numFmtId="0" fontId="12" fillId="34" borderId="0" xfId="0" applyFont="1" applyFill="1" applyAlignment="1">
      <alignment horizontal="center"/>
    </xf>
    <xf numFmtId="0" fontId="12" fillId="26" borderId="0" xfId="0" applyFont="1" applyFill="1" applyAlignment="1">
      <alignment horizontal="center"/>
    </xf>
    <xf numFmtId="0" fontId="12" fillId="26" borderId="1" xfId="0" applyFont="1" applyFill="1" applyBorder="1" applyAlignment="1">
      <alignment horizontal="center"/>
    </xf>
    <xf numFmtId="0" fontId="15" fillId="4" borderId="0" xfId="0" applyFont="1" applyFill="1" applyAlignment="1">
      <alignment horizontal="left"/>
    </xf>
    <xf numFmtId="0" fontId="25" fillId="4" borderId="46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67" fillId="36" borderId="2" xfId="0" applyFont="1" applyFill="1" applyBorder="1" applyAlignment="1">
      <alignment horizontal="center"/>
    </xf>
    <xf numFmtId="0" fontId="28" fillId="4" borderId="6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15" fillId="4" borderId="32" xfId="0" applyFont="1" applyFill="1" applyBorder="1" applyAlignment="1">
      <alignment horizontal="center" vertical="center" textRotation="255"/>
    </xf>
    <xf numFmtId="0" fontId="15" fillId="4" borderId="35" xfId="0" applyFont="1" applyFill="1" applyBorder="1" applyAlignment="1">
      <alignment horizontal="center" vertical="center" textRotation="255"/>
    </xf>
    <xf numFmtId="0" fontId="15" fillId="4" borderId="68" xfId="0" applyFont="1" applyFill="1" applyBorder="1" applyAlignment="1">
      <alignment horizontal="center" vertical="center" textRotation="255"/>
    </xf>
    <xf numFmtId="0" fontId="28" fillId="2" borderId="0" xfId="0" applyFont="1" applyFill="1" applyAlignment="1">
      <alignment horizontal="center" wrapText="1"/>
    </xf>
  </cellXfs>
  <cellStyles count="13">
    <cellStyle name="60% - Ênfase5" xfId="7" builtinId="48"/>
    <cellStyle name="Ênfase2" xfId="6" builtinId="33"/>
    <cellStyle name="Hiperlink" xfId="2" builtinId="8"/>
    <cellStyle name="Moeda" xfId="1" builtinId="4"/>
    <cellStyle name="Moeda 2" xfId="8"/>
    <cellStyle name="Moeda 3" xfId="12"/>
    <cellStyle name="Normal" xfId="0" builtinId="0"/>
    <cellStyle name="Normal 2" xfId="3"/>
    <cellStyle name="Normal 3" xfId="11"/>
    <cellStyle name="Porcentagem" xfId="5" builtinId="5"/>
    <cellStyle name="Porcentagem 2" xfId="9"/>
    <cellStyle name="Vírgula" xfId="4" builtinId="3"/>
    <cellStyle name="Vírgula 2" xfId="10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mruColors>
      <color rgb="FFCCFFFF"/>
      <color rgb="FFFFBC8F"/>
      <color rgb="FF66FF99"/>
      <color rgb="FF66FF66"/>
      <color rgb="FFFFFF66"/>
      <color rgb="FFCC66FF"/>
      <color rgb="FFF33C29"/>
      <color rgb="FF00FF99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Style="combo" dx="16" fmlaLink="$E$23" fmlaRange="Parâmetros!$C$31:$C$34" noThreeD="1" sel="1" val="0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 de Venda'!B10"/><Relationship Id="rId13" Type="http://schemas.openxmlformats.org/officeDocument/2006/relationships/hyperlink" Target="#Financiamento!F12"/><Relationship Id="rId3" Type="http://schemas.openxmlformats.org/officeDocument/2006/relationships/hyperlink" Target="#Decis&#245;es!F12"/><Relationship Id="rId7" Type="http://schemas.openxmlformats.org/officeDocument/2006/relationships/hyperlink" Target="#Tributos!B10"/><Relationship Id="rId12" Type="http://schemas.openxmlformats.org/officeDocument/2006/relationships/hyperlink" Target="#'Estoque de PA'!B10"/><Relationship Id="rId2" Type="http://schemas.openxmlformats.org/officeDocument/2006/relationships/hyperlink" Target="#Instru&#231;&#245;es!B1"/><Relationship Id="rId1" Type="http://schemas.openxmlformats.org/officeDocument/2006/relationships/hyperlink" Target="#Sal&#225;rios!B10"/><Relationship Id="rId6" Type="http://schemas.openxmlformats.org/officeDocument/2006/relationships/hyperlink" Target="#'Estoque de MP'!C12"/><Relationship Id="rId11" Type="http://schemas.openxmlformats.org/officeDocument/2006/relationships/hyperlink" Target="#Indicadores!B5"/><Relationship Id="rId5" Type="http://schemas.openxmlformats.org/officeDocument/2006/relationships/hyperlink" Target="#'Lan&#231;amentos e Razonetes'!B10"/><Relationship Id="rId10" Type="http://schemas.openxmlformats.org/officeDocument/2006/relationships/hyperlink" Target="#DRE!B10"/><Relationship Id="rId4" Type="http://schemas.openxmlformats.org/officeDocument/2006/relationships/hyperlink" Target="#'Plano de Contas'!C12"/><Relationship Id="rId9" Type="http://schemas.openxmlformats.org/officeDocument/2006/relationships/hyperlink" Target="#'Balan&#231;o Patrimonial'!B10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 de Venda'!B1"/><Relationship Id="rId13" Type="http://schemas.openxmlformats.org/officeDocument/2006/relationships/hyperlink" Target="#Financiamento!B10"/><Relationship Id="rId3" Type="http://schemas.openxmlformats.org/officeDocument/2006/relationships/hyperlink" Target="#'Plano de Contas'!B10"/><Relationship Id="rId7" Type="http://schemas.openxmlformats.org/officeDocument/2006/relationships/hyperlink" Target="#Tributos!B10"/><Relationship Id="rId12" Type="http://schemas.openxmlformats.org/officeDocument/2006/relationships/hyperlink" Target="#'Estoque de PA'!B10"/><Relationship Id="rId2" Type="http://schemas.openxmlformats.org/officeDocument/2006/relationships/hyperlink" Target="#Decis&#245;es!B10"/><Relationship Id="rId1" Type="http://schemas.openxmlformats.org/officeDocument/2006/relationships/hyperlink" Target="#Instru&#231;&#245;es!B10"/><Relationship Id="rId6" Type="http://schemas.openxmlformats.org/officeDocument/2006/relationships/hyperlink" Target="#Sal&#225;rios!B10"/><Relationship Id="rId11" Type="http://schemas.openxmlformats.org/officeDocument/2006/relationships/hyperlink" Target="#Indicadores!B10"/><Relationship Id="rId5" Type="http://schemas.openxmlformats.org/officeDocument/2006/relationships/hyperlink" Target="#'Estoque de MP'!B10"/><Relationship Id="rId15" Type="http://schemas.openxmlformats.org/officeDocument/2006/relationships/hyperlink" Target="#'Pre&#231;o de Venda'!G17"/><Relationship Id="rId10" Type="http://schemas.openxmlformats.org/officeDocument/2006/relationships/hyperlink" Target="#DRE!B10"/><Relationship Id="rId4" Type="http://schemas.openxmlformats.org/officeDocument/2006/relationships/hyperlink" Target="#'Lan&#231;amentos e Razonetes'!B10"/><Relationship Id="rId9" Type="http://schemas.openxmlformats.org/officeDocument/2006/relationships/hyperlink" Target="#'Balan&#231;o Patrimonial'!B10"/><Relationship Id="rId14" Type="http://schemas.openxmlformats.org/officeDocument/2006/relationships/hyperlink" Target="#'Pre&#231;o de Venda'!G3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 de Venda'!B10"/><Relationship Id="rId13" Type="http://schemas.openxmlformats.org/officeDocument/2006/relationships/hyperlink" Target="#Financiamento!B10"/><Relationship Id="rId3" Type="http://schemas.openxmlformats.org/officeDocument/2006/relationships/hyperlink" Target="#'Plano de Contas'!B10"/><Relationship Id="rId7" Type="http://schemas.openxmlformats.org/officeDocument/2006/relationships/hyperlink" Target="#Tributos!B10"/><Relationship Id="rId12" Type="http://schemas.openxmlformats.org/officeDocument/2006/relationships/hyperlink" Target="#'Estoque de PA'!B10"/><Relationship Id="rId2" Type="http://schemas.openxmlformats.org/officeDocument/2006/relationships/hyperlink" Target="#Decis&#245;es!B10"/><Relationship Id="rId1" Type="http://schemas.openxmlformats.org/officeDocument/2006/relationships/hyperlink" Target="#Instru&#231;&#245;es!B10"/><Relationship Id="rId6" Type="http://schemas.openxmlformats.org/officeDocument/2006/relationships/hyperlink" Target="#Sal&#225;rios!B10"/><Relationship Id="rId11" Type="http://schemas.openxmlformats.org/officeDocument/2006/relationships/hyperlink" Target="#Indicadores!B10"/><Relationship Id="rId5" Type="http://schemas.openxmlformats.org/officeDocument/2006/relationships/hyperlink" Target="#'Estoque de MP'!B10"/><Relationship Id="rId10" Type="http://schemas.openxmlformats.org/officeDocument/2006/relationships/hyperlink" Target="#DRE!B10"/><Relationship Id="rId4" Type="http://schemas.openxmlformats.org/officeDocument/2006/relationships/hyperlink" Target="#'Lan&#231;amentos e Razonetes'!B10"/><Relationship Id="rId9" Type="http://schemas.openxmlformats.org/officeDocument/2006/relationships/hyperlink" Target="#'Balan&#231;o Patrimonial'!B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 de Venda'!B10"/><Relationship Id="rId13" Type="http://schemas.openxmlformats.org/officeDocument/2006/relationships/hyperlink" Target="#Financiamento!B10"/><Relationship Id="rId3" Type="http://schemas.openxmlformats.org/officeDocument/2006/relationships/hyperlink" Target="#'Plano de Contas'!B10"/><Relationship Id="rId7" Type="http://schemas.openxmlformats.org/officeDocument/2006/relationships/hyperlink" Target="#Tributos!B10"/><Relationship Id="rId12" Type="http://schemas.openxmlformats.org/officeDocument/2006/relationships/hyperlink" Target="#'Estoque de PA'!B10"/><Relationship Id="rId2" Type="http://schemas.openxmlformats.org/officeDocument/2006/relationships/hyperlink" Target="#Decis&#245;es!B10"/><Relationship Id="rId1" Type="http://schemas.openxmlformats.org/officeDocument/2006/relationships/hyperlink" Target="#Instru&#231;&#245;es!B10"/><Relationship Id="rId6" Type="http://schemas.openxmlformats.org/officeDocument/2006/relationships/hyperlink" Target="#Sal&#225;rios!B10"/><Relationship Id="rId11" Type="http://schemas.openxmlformats.org/officeDocument/2006/relationships/hyperlink" Target="#Indicadores!B10"/><Relationship Id="rId5" Type="http://schemas.openxmlformats.org/officeDocument/2006/relationships/hyperlink" Target="#'Estoque de MP'!B10"/><Relationship Id="rId10" Type="http://schemas.openxmlformats.org/officeDocument/2006/relationships/hyperlink" Target="#DRE!B1"/><Relationship Id="rId4" Type="http://schemas.openxmlformats.org/officeDocument/2006/relationships/hyperlink" Target="#'Lan&#231;amentos e Razonetes'!B10"/><Relationship Id="rId9" Type="http://schemas.openxmlformats.org/officeDocument/2006/relationships/hyperlink" Target="#'Balan&#231;o Patrimonial'!B10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 de Venda'!B10"/><Relationship Id="rId13" Type="http://schemas.openxmlformats.org/officeDocument/2006/relationships/hyperlink" Target="#Financiamento!B10"/><Relationship Id="rId3" Type="http://schemas.openxmlformats.org/officeDocument/2006/relationships/hyperlink" Target="#'Plano de Contas'!B10"/><Relationship Id="rId7" Type="http://schemas.openxmlformats.org/officeDocument/2006/relationships/hyperlink" Target="#Tributos!B10"/><Relationship Id="rId12" Type="http://schemas.openxmlformats.org/officeDocument/2006/relationships/hyperlink" Target="#'Estoque de PA'!B10"/><Relationship Id="rId17" Type="http://schemas.openxmlformats.org/officeDocument/2006/relationships/hyperlink" Target="#Indicadores!E147"/><Relationship Id="rId2" Type="http://schemas.openxmlformats.org/officeDocument/2006/relationships/hyperlink" Target="#Decis&#245;es!B10"/><Relationship Id="rId16" Type="http://schemas.openxmlformats.org/officeDocument/2006/relationships/hyperlink" Target="#Indicadores!E120"/><Relationship Id="rId1" Type="http://schemas.openxmlformats.org/officeDocument/2006/relationships/hyperlink" Target="#Instru&#231;&#245;es!B10"/><Relationship Id="rId6" Type="http://schemas.openxmlformats.org/officeDocument/2006/relationships/hyperlink" Target="#Sal&#225;rios!B10"/><Relationship Id="rId11" Type="http://schemas.openxmlformats.org/officeDocument/2006/relationships/hyperlink" Target="#Indicadores!B1"/><Relationship Id="rId5" Type="http://schemas.openxmlformats.org/officeDocument/2006/relationships/hyperlink" Target="#'Estoque de MP'!B10"/><Relationship Id="rId15" Type="http://schemas.openxmlformats.org/officeDocument/2006/relationships/hyperlink" Target="#Indicadores!E107"/><Relationship Id="rId10" Type="http://schemas.openxmlformats.org/officeDocument/2006/relationships/hyperlink" Target="#DRE!B10"/><Relationship Id="rId4" Type="http://schemas.openxmlformats.org/officeDocument/2006/relationships/hyperlink" Target="#'Lan&#231;amentos e Razonetes'!B10"/><Relationship Id="rId9" Type="http://schemas.openxmlformats.org/officeDocument/2006/relationships/hyperlink" Target="#'Balan&#231;o Patrimonial'!B10"/><Relationship Id="rId14" Type="http://schemas.openxmlformats.org/officeDocument/2006/relationships/hyperlink" Target="#Indicadores!E17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Tributos!B10"/><Relationship Id="rId13" Type="http://schemas.openxmlformats.org/officeDocument/2006/relationships/hyperlink" Target="#'Estoque de PA'!B10"/><Relationship Id="rId3" Type="http://schemas.openxmlformats.org/officeDocument/2006/relationships/hyperlink" Target="#Instru&#231;&#245;es!F12"/><Relationship Id="rId7" Type="http://schemas.openxmlformats.org/officeDocument/2006/relationships/hyperlink" Target="#Sal&#225;rios!B10"/><Relationship Id="rId12" Type="http://schemas.openxmlformats.org/officeDocument/2006/relationships/hyperlink" Target="#Indicadores!B10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Estoque de MP'!B10"/><Relationship Id="rId11" Type="http://schemas.openxmlformats.org/officeDocument/2006/relationships/hyperlink" Target="#DRE!B10"/><Relationship Id="rId5" Type="http://schemas.openxmlformats.org/officeDocument/2006/relationships/hyperlink" Target="#'Plano de Contas'!B10"/><Relationship Id="rId10" Type="http://schemas.openxmlformats.org/officeDocument/2006/relationships/hyperlink" Target="#'Balan&#231;o Patrimonial'!B10"/><Relationship Id="rId4" Type="http://schemas.openxmlformats.org/officeDocument/2006/relationships/hyperlink" Target="#Decis&#245;es!B1"/><Relationship Id="rId9" Type="http://schemas.openxmlformats.org/officeDocument/2006/relationships/hyperlink" Target="#'Pre&#231;o de Venda'!B10"/><Relationship Id="rId14" Type="http://schemas.openxmlformats.org/officeDocument/2006/relationships/hyperlink" Target="#Financiamento!B10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 de Venda'!B10"/><Relationship Id="rId13" Type="http://schemas.openxmlformats.org/officeDocument/2006/relationships/hyperlink" Target="#Financiamento!B1"/><Relationship Id="rId3" Type="http://schemas.openxmlformats.org/officeDocument/2006/relationships/hyperlink" Target="#'Plano de Contas'!B10"/><Relationship Id="rId7" Type="http://schemas.openxmlformats.org/officeDocument/2006/relationships/hyperlink" Target="#Tributos!B10"/><Relationship Id="rId12" Type="http://schemas.openxmlformats.org/officeDocument/2006/relationships/hyperlink" Target="#'Estoque de PA'!B10"/><Relationship Id="rId2" Type="http://schemas.openxmlformats.org/officeDocument/2006/relationships/hyperlink" Target="#Decis&#245;es!B10"/><Relationship Id="rId1" Type="http://schemas.openxmlformats.org/officeDocument/2006/relationships/hyperlink" Target="#Instru&#231;&#245;es!F12"/><Relationship Id="rId6" Type="http://schemas.openxmlformats.org/officeDocument/2006/relationships/hyperlink" Target="#Sal&#225;rios!B10"/><Relationship Id="rId11" Type="http://schemas.openxmlformats.org/officeDocument/2006/relationships/hyperlink" Target="#Indicadores!B10"/><Relationship Id="rId5" Type="http://schemas.openxmlformats.org/officeDocument/2006/relationships/hyperlink" Target="#'Estoque de MP'!B10"/><Relationship Id="rId10" Type="http://schemas.openxmlformats.org/officeDocument/2006/relationships/hyperlink" Target="#DRE!B10"/><Relationship Id="rId4" Type="http://schemas.openxmlformats.org/officeDocument/2006/relationships/hyperlink" Target="#'Lan&#231;amentos e Razonetes'!B10"/><Relationship Id="rId9" Type="http://schemas.openxmlformats.org/officeDocument/2006/relationships/hyperlink" Target="#'Balan&#231;o Patrimonial'!B10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Decis&#245;es!B10"/><Relationship Id="rId13" Type="http://schemas.openxmlformats.org/officeDocument/2006/relationships/hyperlink" Target="#Tributos!B10"/><Relationship Id="rId18" Type="http://schemas.openxmlformats.org/officeDocument/2006/relationships/hyperlink" Target="#'Estoque de PA'!B10"/><Relationship Id="rId3" Type="http://schemas.openxmlformats.org/officeDocument/2006/relationships/hyperlink" Target="#'Plano de Contas'!B86"/><Relationship Id="rId7" Type="http://schemas.openxmlformats.org/officeDocument/2006/relationships/hyperlink" Target="#Instru&#231;&#245;es!F12"/><Relationship Id="rId12" Type="http://schemas.openxmlformats.org/officeDocument/2006/relationships/hyperlink" Target="#Sal&#225;rios!B10"/><Relationship Id="rId17" Type="http://schemas.openxmlformats.org/officeDocument/2006/relationships/hyperlink" Target="#Indicadores!B10"/><Relationship Id="rId2" Type="http://schemas.openxmlformats.org/officeDocument/2006/relationships/hyperlink" Target="#'Plano de Contas'!B45"/><Relationship Id="rId16" Type="http://schemas.openxmlformats.org/officeDocument/2006/relationships/hyperlink" Target="#DRE!B10"/><Relationship Id="rId1" Type="http://schemas.openxmlformats.org/officeDocument/2006/relationships/hyperlink" Target="#'Plano de Contas'!B4"/><Relationship Id="rId6" Type="http://schemas.openxmlformats.org/officeDocument/2006/relationships/hyperlink" Target="#'Plano de Contas'!E190"/><Relationship Id="rId11" Type="http://schemas.openxmlformats.org/officeDocument/2006/relationships/hyperlink" Target="#'Estoque de MP'!B10"/><Relationship Id="rId5" Type="http://schemas.openxmlformats.org/officeDocument/2006/relationships/hyperlink" Target="#'Plano de Contas'!B192"/><Relationship Id="rId15" Type="http://schemas.openxmlformats.org/officeDocument/2006/relationships/hyperlink" Target="#'Balan&#231;o Patrimonial'!B10"/><Relationship Id="rId10" Type="http://schemas.openxmlformats.org/officeDocument/2006/relationships/hyperlink" Target="#'Lan&#231;amentos e Razonetes'!B10"/><Relationship Id="rId19" Type="http://schemas.openxmlformats.org/officeDocument/2006/relationships/hyperlink" Target="#Financiamento!B10"/><Relationship Id="rId4" Type="http://schemas.openxmlformats.org/officeDocument/2006/relationships/hyperlink" Target="#'Plano de Contas'!B155"/><Relationship Id="rId9" Type="http://schemas.openxmlformats.org/officeDocument/2006/relationships/hyperlink" Target="#'Plano de Contas'!B1"/><Relationship Id="rId14" Type="http://schemas.openxmlformats.org/officeDocument/2006/relationships/hyperlink" Target="#'Pre&#231;o de Venda'!B10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 de Venda'!B10"/><Relationship Id="rId13" Type="http://schemas.openxmlformats.org/officeDocument/2006/relationships/hyperlink" Target="#Financiamento!B10"/><Relationship Id="rId3" Type="http://schemas.openxmlformats.org/officeDocument/2006/relationships/hyperlink" Target="#Decis&#245;es!B10"/><Relationship Id="rId7" Type="http://schemas.openxmlformats.org/officeDocument/2006/relationships/hyperlink" Target="#Sal&#225;rios!B10"/><Relationship Id="rId12" Type="http://schemas.openxmlformats.org/officeDocument/2006/relationships/hyperlink" Target="#'Estoque de PA'!B10"/><Relationship Id="rId2" Type="http://schemas.openxmlformats.org/officeDocument/2006/relationships/hyperlink" Target="#Instru&#231;&#245;es!B10"/><Relationship Id="rId1" Type="http://schemas.openxmlformats.org/officeDocument/2006/relationships/hyperlink" Target="#Tributos!B10"/><Relationship Id="rId6" Type="http://schemas.openxmlformats.org/officeDocument/2006/relationships/hyperlink" Target="#'Estoque de MP'!B10"/><Relationship Id="rId11" Type="http://schemas.openxmlformats.org/officeDocument/2006/relationships/hyperlink" Target="#Indicadores!B10"/><Relationship Id="rId5" Type="http://schemas.openxmlformats.org/officeDocument/2006/relationships/hyperlink" Target="#'Lan&#231;amentos e Razonetes'!B1"/><Relationship Id="rId15" Type="http://schemas.openxmlformats.org/officeDocument/2006/relationships/hyperlink" Target="#'Lan&#231;amentos e Razonetes'!U1"/><Relationship Id="rId10" Type="http://schemas.openxmlformats.org/officeDocument/2006/relationships/hyperlink" Target="#DRE!B10"/><Relationship Id="rId4" Type="http://schemas.openxmlformats.org/officeDocument/2006/relationships/hyperlink" Target="#'Plano de Contas'!B10"/><Relationship Id="rId9" Type="http://schemas.openxmlformats.org/officeDocument/2006/relationships/hyperlink" Target="#'Balan&#231;o Patrimonial'!B10"/><Relationship Id="rId14" Type="http://schemas.openxmlformats.org/officeDocument/2006/relationships/hyperlink" Target="#'Lan&#231;amentos e Razonetes'!H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 de Venda'!B10"/><Relationship Id="rId13" Type="http://schemas.openxmlformats.org/officeDocument/2006/relationships/hyperlink" Target="#Financiamento!B10"/><Relationship Id="rId3" Type="http://schemas.openxmlformats.org/officeDocument/2006/relationships/hyperlink" Target="#'Plano de Contas'!B10"/><Relationship Id="rId7" Type="http://schemas.openxmlformats.org/officeDocument/2006/relationships/hyperlink" Target="#Tributos!B10"/><Relationship Id="rId12" Type="http://schemas.openxmlformats.org/officeDocument/2006/relationships/hyperlink" Target="#'Estoque de PA'!B10"/><Relationship Id="rId2" Type="http://schemas.openxmlformats.org/officeDocument/2006/relationships/hyperlink" Target="#Decis&#245;es!B10"/><Relationship Id="rId1" Type="http://schemas.openxmlformats.org/officeDocument/2006/relationships/hyperlink" Target="#Instru&#231;&#245;es!B10"/><Relationship Id="rId6" Type="http://schemas.openxmlformats.org/officeDocument/2006/relationships/hyperlink" Target="#Sal&#225;rios!B10"/><Relationship Id="rId11" Type="http://schemas.openxmlformats.org/officeDocument/2006/relationships/hyperlink" Target="#Indicadores!B10"/><Relationship Id="rId5" Type="http://schemas.openxmlformats.org/officeDocument/2006/relationships/hyperlink" Target="#'Estoque de MP'!B1"/><Relationship Id="rId10" Type="http://schemas.openxmlformats.org/officeDocument/2006/relationships/hyperlink" Target="#DRE!B10"/><Relationship Id="rId4" Type="http://schemas.openxmlformats.org/officeDocument/2006/relationships/hyperlink" Target="#'Lan&#231;amentos e Razonetes'!B10"/><Relationship Id="rId9" Type="http://schemas.openxmlformats.org/officeDocument/2006/relationships/hyperlink" Target="#'Balan&#231;o Patrimonial'!B10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 de Venda'!B10"/><Relationship Id="rId13" Type="http://schemas.openxmlformats.org/officeDocument/2006/relationships/hyperlink" Target="#Financiamento!B10"/><Relationship Id="rId3" Type="http://schemas.openxmlformats.org/officeDocument/2006/relationships/hyperlink" Target="#'Plano de Contas'!B10"/><Relationship Id="rId7" Type="http://schemas.openxmlformats.org/officeDocument/2006/relationships/hyperlink" Target="#Tributos!B10"/><Relationship Id="rId12" Type="http://schemas.openxmlformats.org/officeDocument/2006/relationships/hyperlink" Target="#'Estoque de PA'!B1"/><Relationship Id="rId2" Type="http://schemas.openxmlformats.org/officeDocument/2006/relationships/hyperlink" Target="#Decis&#245;es!B10"/><Relationship Id="rId1" Type="http://schemas.openxmlformats.org/officeDocument/2006/relationships/hyperlink" Target="#Instru&#231;&#245;es!B10"/><Relationship Id="rId6" Type="http://schemas.openxmlformats.org/officeDocument/2006/relationships/hyperlink" Target="#Sal&#225;rios!B10"/><Relationship Id="rId11" Type="http://schemas.openxmlformats.org/officeDocument/2006/relationships/hyperlink" Target="#Indicadores!B10"/><Relationship Id="rId5" Type="http://schemas.openxmlformats.org/officeDocument/2006/relationships/hyperlink" Target="#'Estoque de MP'!B10"/><Relationship Id="rId10" Type="http://schemas.openxmlformats.org/officeDocument/2006/relationships/hyperlink" Target="#DRE!B10"/><Relationship Id="rId4" Type="http://schemas.openxmlformats.org/officeDocument/2006/relationships/hyperlink" Target="#'Lan&#231;amentos e Razonetes'!B10"/><Relationship Id="rId9" Type="http://schemas.openxmlformats.org/officeDocument/2006/relationships/hyperlink" Target="#'Balan&#231;o Patrimonial'!B10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Lan&#231;amentos e Razonetes'!B10"/><Relationship Id="rId13" Type="http://schemas.openxmlformats.org/officeDocument/2006/relationships/hyperlink" Target="#'Balan&#231;o Patrimonial'!B10"/><Relationship Id="rId3" Type="http://schemas.openxmlformats.org/officeDocument/2006/relationships/hyperlink" Target="#Sal&#225;rios!N12"/><Relationship Id="rId7" Type="http://schemas.openxmlformats.org/officeDocument/2006/relationships/hyperlink" Target="#'Plano de Contas'!B10"/><Relationship Id="rId12" Type="http://schemas.openxmlformats.org/officeDocument/2006/relationships/hyperlink" Target="#'Pre&#231;o de Venda'!B10"/><Relationship Id="rId17" Type="http://schemas.openxmlformats.org/officeDocument/2006/relationships/hyperlink" Target="#Financiamento!B10"/><Relationship Id="rId2" Type="http://schemas.openxmlformats.org/officeDocument/2006/relationships/hyperlink" Target="#Sal&#225;rios!U12"/><Relationship Id="rId16" Type="http://schemas.openxmlformats.org/officeDocument/2006/relationships/hyperlink" Target="#'Estoque de PA'!B10"/><Relationship Id="rId1" Type="http://schemas.openxmlformats.org/officeDocument/2006/relationships/hyperlink" Target="#Sal&#225;rios!D1"/><Relationship Id="rId6" Type="http://schemas.openxmlformats.org/officeDocument/2006/relationships/hyperlink" Target="#Decis&#245;es!B10"/><Relationship Id="rId11" Type="http://schemas.openxmlformats.org/officeDocument/2006/relationships/hyperlink" Target="#Tributos!B10"/><Relationship Id="rId5" Type="http://schemas.openxmlformats.org/officeDocument/2006/relationships/hyperlink" Target="#Instru&#231;&#245;es!B10"/><Relationship Id="rId15" Type="http://schemas.openxmlformats.org/officeDocument/2006/relationships/hyperlink" Target="#Indicadores!B10"/><Relationship Id="rId10" Type="http://schemas.openxmlformats.org/officeDocument/2006/relationships/hyperlink" Target="#Sal&#225;rios!B1"/><Relationship Id="rId4" Type="http://schemas.openxmlformats.org/officeDocument/2006/relationships/hyperlink" Target="#Sal&#225;rios!E60"/><Relationship Id="rId9" Type="http://schemas.openxmlformats.org/officeDocument/2006/relationships/hyperlink" Target="#'Estoque de MP'!B10"/><Relationship Id="rId14" Type="http://schemas.openxmlformats.org/officeDocument/2006/relationships/hyperlink" Target="#DRE!B10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Sal&#225;rios!B10"/><Relationship Id="rId13" Type="http://schemas.openxmlformats.org/officeDocument/2006/relationships/hyperlink" Target="#Indicadores!B10"/><Relationship Id="rId3" Type="http://schemas.openxmlformats.org/officeDocument/2006/relationships/hyperlink" Target="#Instru&#231;&#245;es!B10"/><Relationship Id="rId7" Type="http://schemas.openxmlformats.org/officeDocument/2006/relationships/hyperlink" Target="#'Estoque de MP'!B10"/><Relationship Id="rId12" Type="http://schemas.openxmlformats.org/officeDocument/2006/relationships/hyperlink" Target="#DRE!B10"/><Relationship Id="rId2" Type="http://schemas.openxmlformats.org/officeDocument/2006/relationships/hyperlink" Target="#Tributos!H95"/><Relationship Id="rId1" Type="http://schemas.openxmlformats.org/officeDocument/2006/relationships/hyperlink" Target="#Tributos!D17"/><Relationship Id="rId6" Type="http://schemas.openxmlformats.org/officeDocument/2006/relationships/hyperlink" Target="#'Lan&#231;amentos e Razonetes'!B10"/><Relationship Id="rId11" Type="http://schemas.openxmlformats.org/officeDocument/2006/relationships/hyperlink" Target="#'Balan&#231;o Patrimonial'!B10"/><Relationship Id="rId5" Type="http://schemas.openxmlformats.org/officeDocument/2006/relationships/hyperlink" Target="#'Plano de Contas'!B10"/><Relationship Id="rId15" Type="http://schemas.openxmlformats.org/officeDocument/2006/relationships/hyperlink" Target="#Financiamento!B10"/><Relationship Id="rId10" Type="http://schemas.openxmlformats.org/officeDocument/2006/relationships/hyperlink" Target="#'Pre&#231;o de Venda'!B10"/><Relationship Id="rId4" Type="http://schemas.openxmlformats.org/officeDocument/2006/relationships/hyperlink" Target="#Decis&#245;es!B10"/><Relationship Id="rId9" Type="http://schemas.openxmlformats.org/officeDocument/2006/relationships/hyperlink" Target="#Tributos!B1"/><Relationship Id="rId14" Type="http://schemas.openxmlformats.org/officeDocument/2006/relationships/hyperlink" Target="#'Estoque de PA'!B1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76200</xdr:rowOff>
    </xdr:from>
    <xdr:to>
      <xdr:col>0</xdr:col>
      <xdr:colOff>1958066</xdr:colOff>
      <xdr:row>40</xdr:row>
      <xdr:rowOff>31295</xdr:rowOff>
    </xdr:to>
    <xdr:grpSp>
      <xdr:nvGrpSpPr>
        <xdr:cNvPr id="43" name="Agrupar 42">
          <a:hlinkClick xmlns:r="http://schemas.openxmlformats.org/officeDocument/2006/relationships" r:id="rId1"/>
        </xdr:cNvPr>
        <xdr:cNvGrpSpPr/>
      </xdr:nvGrpSpPr>
      <xdr:grpSpPr>
        <a:xfrm>
          <a:off x="114300" y="276225"/>
          <a:ext cx="1843766" cy="7756070"/>
          <a:chOff x="228600" y="314325"/>
          <a:chExt cx="1369148" cy="5038725"/>
        </a:xfrm>
      </xdr:grpSpPr>
      <xdr:sp macro="" textlink="">
        <xdr:nvSpPr>
          <xdr:cNvPr id="44" name="Retângulo 43"/>
          <xdr:cNvSpPr/>
        </xdr:nvSpPr>
        <xdr:spPr>
          <a:xfrm>
            <a:off x="228600" y="314325"/>
            <a:ext cx="1162050" cy="443865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5" name="Retângulo Arredondado 44">
            <a:hlinkClick xmlns:r="http://schemas.openxmlformats.org/officeDocument/2006/relationships" r:id="rId2"/>
          </xdr:cNvPr>
          <xdr:cNvSpPr/>
        </xdr:nvSpPr>
        <xdr:spPr>
          <a:xfrm>
            <a:off x="285750" y="447675"/>
            <a:ext cx="971550" cy="314325"/>
          </a:xfrm>
          <a:prstGeom prst="round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Instruções</a:t>
            </a:r>
          </a:p>
        </xdr:txBody>
      </xdr:sp>
      <xdr:sp macro="" textlink="">
        <xdr:nvSpPr>
          <xdr:cNvPr id="46" name="Retângulo Arredondado 45">
            <a:hlinkClick xmlns:r="http://schemas.openxmlformats.org/officeDocument/2006/relationships" r:id="rId3"/>
          </xdr:cNvPr>
          <xdr:cNvSpPr/>
        </xdr:nvSpPr>
        <xdr:spPr>
          <a:xfrm>
            <a:off x="276225" y="800100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Decisões</a:t>
            </a:r>
          </a:p>
        </xdr:txBody>
      </xdr:sp>
      <xdr:sp macro="" textlink="">
        <xdr:nvSpPr>
          <xdr:cNvPr id="47" name="Retângulo Arredondado 46">
            <a:hlinkClick xmlns:r="http://schemas.openxmlformats.org/officeDocument/2006/relationships" r:id="rId4"/>
          </xdr:cNvPr>
          <xdr:cNvSpPr/>
        </xdr:nvSpPr>
        <xdr:spPr>
          <a:xfrm>
            <a:off x="276225" y="1504950"/>
            <a:ext cx="971550" cy="3143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Plano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Contas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8" name="Retângulo Arredondado 47">
            <a:hlinkClick xmlns:r="http://schemas.openxmlformats.org/officeDocument/2006/relationships" r:id="rId5"/>
          </xdr:cNvPr>
          <xdr:cNvSpPr/>
        </xdr:nvSpPr>
        <xdr:spPr>
          <a:xfrm>
            <a:off x="266700" y="1847850"/>
            <a:ext cx="971550" cy="3905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Lançamentos 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Razonetes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9" name="Retângulo Arredondado 48">
            <a:hlinkClick xmlns:r="http://schemas.openxmlformats.org/officeDocument/2006/relationships" r:id="rId6"/>
          </xdr:cNvPr>
          <xdr:cNvSpPr/>
        </xdr:nvSpPr>
        <xdr:spPr>
          <a:xfrm>
            <a:off x="257175" y="2266950"/>
            <a:ext cx="971550" cy="476250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Matéria Prima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0" name="Retângulo Arredondado 49">
            <a:hlinkClick xmlns:r="http://schemas.openxmlformats.org/officeDocument/2006/relationships" r:id="rId1"/>
          </xdr:cNvPr>
          <xdr:cNvSpPr/>
        </xdr:nvSpPr>
        <xdr:spPr>
          <a:xfrm>
            <a:off x="257175" y="324802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Salários</a:t>
            </a:r>
          </a:p>
        </xdr:txBody>
      </xdr:sp>
      <xdr:sp macro="" textlink="">
        <xdr:nvSpPr>
          <xdr:cNvPr id="51" name="Retângulo Arredondado 50">
            <a:hlinkClick xmlns:r="http://schemas.openxmlformats.org/officeDocument/2006/relationships" r:id="rId7"/>
          </xdr:cNvPr>
          <xdr:cNvSpPr/>
        </xdr:nvSpPr>
        <xdr:spPr>
          <a:xfrm>
            <a:off x="247650" y="360997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Tributos</a:t>
            </a:r>
          </a:p>
        </xdr:txBody>
      </xdr:sp>
      <xdr:sp macro="" textlink="">
        <xdr:nvSpPr>
          <xdr:cNvPr id="52" name="Retângulo Arredondado 51">
            <a:hlinkClick xmlns:r="http://schemas.openxmlformats.org/officeDocument/2006/relationships" r:id="rId8"/>
          </xdr:cNvPr>
          <xdr:cNvSpPr/>
        </xdr:nvSpPr>
        <xdr:spPr>
          <a:xfrm>
            <a:off x="247650" y="3962400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Preço de Venda</a:t>
            </a:r>
          </a:p>
        </xdr:txBody>
      </xdr:sp>
      <xdr:sp macro="" textlink="">
        <xdr:nvSpPr>
          <xdr:cNvPr id="53" name="Retângulo Arredondado 52">
            <a:hlinkClick xmlns:r="http://schemas.openxmlformats.org/officeDocument/2006/relationships" r:id="rId9"/>
          </xdr:cNvPr>
          <xdr:cNvSpPr/>
        </xdr:nvSpPr>
        <xdr:spPr>
          <a:xfrm>
            <a:off x="228600" y="43148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BP</a:t>
            </a:r>
          </a:p>
        </xdr:txBody>
      </xdr:sp>
      <xdr:sp macro="" textlink="">
        <xdr:nvSpPr>
          <xdr:cNvPr id="54" name="Retângulo Arredondado 53">
            <a:hlinkClick xmlns:r="http://schemas.openxmlformats.org/officeDocument/2006/relationships" r:id="rId10"/>
          </xdr:cNvPr>
          <xdr:cNvSpPr/>
        </xdr:nvSpPr>
        <xdr:spPr>
          <a:xfrm>
            <a:off x="238125" y="467677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DRE</a:t>
            </a:r>
          </a:p>
        </xdr:txBody>
      </xdr:sp>
      <xdr:sp macro="" textlink="">
        <xdr:nvSpPr>
          <xdr:cNvPr id="55" name="Retângulo Arredondado 54">
            <a:hlinkClick xmlns:r="http://schemas.openxmlformats.org/officeDocument/2006/relationships" r:id="rId11"/>
          </xdr:cNvPr>
          <xdr:cNvSpPr/>
        </xdr:nvSpPr>
        <xdr:spPr>
          <a:xfrm>
            <a:off x="247650" y="50387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Indicadores</a:t>
            </a:r>
          </a:p>
        </xdr:txBody>
      </xdr:sp>
      <xdr:sp macro="" textlink="">
        <xdr:nvSpPr>
          <xdr:cNvPr id="56" name="Retângulo 55"/>
          <xdr:cNvSpPr/>
        </xdr:nvSpPr>
        <xdr:spPr>
          <a:xfrm>
            <a:off x="1331048" y="1524000"/>
            <a:ext cx="266700" cy="7239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Reconhecimento</a:t>
            </a:r>
          </a:p>
        </xdr:txBody>
      </xdr:sp>
      <xdr:sp macro="" textlink="">
        <xdr:nvSpPr>
          <xdr:cNvPr id="57" name="Retângulo 56"/>
          <xdr:cNvSpPr/>
        </xdr:nvSpPr>
        <xdr:spPr>
          <a:xfrm>
            <a:off x="1323974" y="2286000"/>
            <a:ext cx="266701" cy="197167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Mensuração</a:t>
            </a:r>
          </a:p>
        </xdr:txBody>
      </xdr:sp>
      <xdr:sp macro="" textlink="">
        <xdr:nvSpPr>
          <xdr:cNvPr id="58" name="Retângulo 57"/>
          <xdr:cNvSpPr/>
        </xdr:nvSpPr>
        <xdr:spPr>
          <a:xfrm>
            <a:off x="1323974" y="4295775"/>
            <a:ext cx="266702" cy="7334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Evidenciação</a:t>
            </a:r>
          </a:p>
        </xdr:txBody>
      </xdr:sp>
      <xdr:sp macro="" textlink="">
        <xdr:nvSpPr>
          <xdr:cNvPr id="59" name="Retângulo Arredondado 58">
            <a:hlinkClick xmlns:r="http://schemas.openxmlformats.org/officeDocument/2006/relationships" r:id="rId12"/>
          </xdr:cNvPr>
          <xdr:cNvSpPr/>
        </xdr:nvSpPr>
        <xdr:spPr>
          <a:xfrm>
            <a:off x="266701" y="2771774"/>
            <a:ext cx="971550" cy="438151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 de Produtos Acabados</a:t>
            </a:r>
          </a:p>
        </xdr:txBody>
      </xdr:sp>
      <xdr:sp macro="" textlink="">
        <xdr:nvSpPr>
          <xdr:cNvPr id="60" name="Retângulo Arredondado 59">
            <a:hlinkClick xmlns:r="http://schemas.openxmlformats.org/officeDocument/2006/relationships" r:id="rId13"/>
          </xdr:cNvPr>
          <xdr:cNvSpPr/>
        </xdr:nvSpPr>
        <xdr:spPr>
          <a:xfrm>
            <a:off x="276225" y="1152525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Financiamento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29</xdr:row>
      <xdr:rowOff>28575</xdr:rowOff>
    </xdr:from>
    <xdr:to>
      <xdr:col>0</xdr:col>
      <xdr:colOff>1990725</xdr:colOff>
      <xdr:row>29</xdr:row>
      <xdr:rowOff>1619250</xdr:rowOff>
    </xdr:to>
    <xdr:sp macro="" textlink="">
      <xdr:nvSpPr>
        <xdr:cNvPr id="2" name="Texto 3"/>
        <xdr:cNvSpPr txBox="1">
          <a:spLocks noChangeArrowheads="1"/>
        </xdr:cNvSpPr>
      </xdr:nvSpPr>
      <xdr:spPr bwMode="auto">
        <a:xfrm>
          <a:off x="47625" y="23060025"/>
          <a:ext cx="1943100" cy="1590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 DISTÂNCIA ENTRE DUAS CIDADES É MEDIDA DE CENTRO A CENTRO,    OS CAMINHOS SÃO MAIS  CURTOS PELAS AS RODOVIAS ALFALTADAS</a:t>
          </a:r>
        </a:p>
      </xdr:txBody>
    </xdr:sp>
    <xdr:clientData/>
  </xdr:twoCellAnchor>
  <xdr:twoCellAnchor>
    <xdr:from>
      <xdr:col>28</xdr:col>
      <xdr:colOff>47625</xdr:colOff>
      <xdr:row>29</xdr:row>
      <xdr:rowOff>38100</xdr:rowOff>
    </xdr:from>
    <xdr:to>
      <xdr:col>28</xdr:col>
      <xdr:colOff>1990725</xdr:colOff>
      <xdr:row>29</xdr:row>
      <xdr:rowOff>1619250</xdr:rowOff>
    </xdr:to>
    <xdr:sp macro="" textlink="">
      <xdr:nvSpPr>
        <xdr:cNvPr id="3" name="Texto 4"/>
        <xdr:cNvSpPr txBox="1">
          <a:spLocks noChangeArrowheads="1"/>
        </xdr:cNvSpPr>
      </xdr:nvSpPr>
      <xdr:spPr bwMode="auto">
        <a:xfrm>
          <a:off x="21793200" y="23069550"/>
          <a:ext cx="1943100" cy="1581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MENOR DISTÂNCIA</a:t>
          </a: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PAVIMENTADA</a:t>
          </a: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USANDO RODOVIAS</a:t>
          </a: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FEDERAIS, ESTADUAIS OU</a:t>
          </a: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MUNICIPAIS</a:t>
          </a:r>
        </a:p>
      </xdr:txBody>
    </xdr:sp>
    <xdr:clientData/>
  </xdr:twoCellAnchor>
  <xdr:twoCellAnchor>
    <xdr:from>
      <xdr:col>28</xdr:col>
      <xdr:colOff>28575</xdr:colOff>
      <xdr:row>1</xdr:row>
      <xdr:rowOff>28575</xdr:rowOff>
    </xdr:from>
    <xdr:to>
      <xdr:col>28</xdr:col>
      <xdr:colOff>1990725</xdr:colOff>
      <xdr:row>1</xdr:row>
      <xdr:rowOff>1628775</xdr:rowOff>
    </xdr:to>
    <xdr:sp macro="" textlink="">
      <xdr:nvSpPr>
        <xdr:cNvPr id="4" name="Texto 7"/>
        <xdr:cNvSpPr txBox="1">
          <a:spLocks noChangeArrowheads="1"/>
        </xdr:cNvSpPr>
      </xdr:nvSpPr>
      <xdr:spPr bwMode="auto">
        <a:xfrm>
          <a:off x="21774150" y="276225"/>
          <a:ext cx="1962150" cy="1600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MENOR DISTÂNCIA</a:t>
          </a: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PAVIMENTADA</a:t>
          </a: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USANDO RODOVIAS</a:t>
          </a: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FEDERAIS, ESTADUAIS OU</a:t>
          </a:r>
        </a:p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MUNICIPAIS</a:t>
          </a:r>
        </a:p>
      </xdr:txBody>
    </xdr:sp>
    <xdr:clientData/>
  </xdr:twoCellAnchor>
  <xdr:twoCellAnchor>
    <xdr:from>
      <xdr:col>0</xdr:col>
      <xdr:colOff>285750</xdr:colOff>
      <xdr:row>1</xdr:row>
      <xdr:rowOff>457200</xdr:rowOff>
    </xdr:from>
    <xdr:to>
      <xdr:col>0</xdr:col>
      <xdr:colOff>1714500</xdr:colOff>
      <xdr:row>1</xdr:row>
      <xdr:rowOff>1133475</xdr:rowOff>
    </xdr:to>
    <xdr:pic>
      <xdr:nvPicPr>
        <xdr:cNvPr id="5" name="Picture 10" descr="Logo_DN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04850"/>
          <a:ext cx="14287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1</xdr:row>
      <xdr:rowOff>152399</xdr:rowOff>
    </xdr:from>
    <xdr:to>
      <xdr:col>11</xdr:col>
      <xdr:colOff>85725</xdr:colOff>
      <xdr:row>11</xdr:row>
      <xdr:rowOff>104774</xdr:rowOff>
    </xdr:to>
    <xdr:sp macro="" textlink="">
      <xdr:nvSpPr>
        <xdr:cNvPr id="2" name="CaixaDeTexto 1"/>
        <xdr:cNvSpPr txBox="1"/>
      </xdr:nvSpPr>
      <xdr:spPr>
        <a:xfrm>
          <a:off x="9896475" y="352424"/>
          <a:ext cx="2400300" cy="18764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IMPORTANTE!!</a:t>
          </a:r>
        </a:p>
        <a:p>
          <a:pPr algn="ctr"/>
          <a:r>
            <a:rPr lang="pt-BR" sz="1100">
              <a:latin typeface="+mn-lt"/>
              <a:cs typeface="Arial" panose="020B0604020202020204" pitchFamily="34" charset="0"/>
            </a:rPr>
            <a:t>Vocês</a:t>
          </a:r>
          <a:r>
            <a:rPr lang="pt-BR" sz="1100" baseline="0">
              <a:latin typeface="+mn-lt"/>
              <a:cs typeface="Arial" panose="020B0604020202020204" pitchFamily="34" charset="0"/>
            </a:rPr>
            <a:t> devem pensar também no percentual que vocês precisam para cobrir as despesas (não estão embutidas no custo unitário) e colocar no percentual de lucro.</a:t>
          </a:r>
        </a:p>
        <a:p>
          <a:pPr algn="ctr"/>
          <a:endParaRPr lang="pt-BR" sz="1100" baseline="0">
            <a:latin typeface="+mn-lt"/>
            <a:cs typeface="Arial" panose="020B0604020202020204" pitchFamily="34" charset="0"/>
          </a:endParaRPr>
        </a:p>
        <a:p>
          <a:pPr algn="ctr"/>
          <a:r>
            <a:rPr lang="pt-BR" sz="1100" baseline="0">
              <a:latin typeface="+mn-lt"/>
              <a:cs typeface="Arial" panose="020B0604020202020204" pitchFamily="34" charset="0"/>
            </a:rPr>
            <a:t>O ICMS deve ser uma média considerando as vendas dentro e fora do estado.</a:t>
          </a:r>
          <a:endParaRPr lang="pt-BR" sz="110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1171574</xdr:colOff>
      <xdr:row>22</xdr:row>
      <xdr:rowOff>142876</xdr:rowOff>
    </xdr:from>
    <xdr:to>
      <xdr:col>9</xdr:col>
      <xdr:colOff>1314449</xdr:colOff>
      <xdr:row>25</xdr:row>
      <xdr:rowOff>28576</xdr:rowOff>
    </xdr:to>
    <xdr:sp macro="" textlink="">
      <xdr:nvSpPr>
        <xdr:cNvPr id="3" name="CaixaDeTexto 2"/>
        <xdr:cNvSpPr txBox="1"/>
      </xdr:nvSpPr>
      <xdr:spPr>
        <a:xfrm>
          <a:off x="6534149" y="4381501"/>
          <a:ext cx="26193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 frete é calculado com base na</a:t>
          </a:r>
          <a:r>
            <a:rPr lang="pt-BR" sz="1100" baseline="0"/>
            <a:t> distância entre a cidade de origem e destino. </a:t>
          </a:r>
          <a:endParaRPr lang="pt-BR" sz="1100"/>
        </a:p>
      </xdr:txBody>
    </xdr:sp>
    <xdr:clientData/>
  </xdr:twoCellAnchor>
  <xdr:twoCellAnchor>
    <xdr:from>
      <xdr:col>7</xdr:col>
      <xdr:colOff>1190625</xdr:colOff>
      <xdr:row>26</xdr:row>
      <xdr:rowOff>38100</xdr:rowOff>
    </xdr:from>
    <xdr:to>
      <xdr:col>9</xdr:col>
      <xdr:colOff>1323975</xdr:colOff>
      <xdr:row>27</xdr:row>
      <xdr:rowOff>95250</xdr:rowOff>
    </xdr:to>
    <xdr:sp macro="" textlink="">
      <xdr:nvSpPr>
        <xdr:cNvPr id="4" name="CaixaDeTexto 3"/>
        <xdr:cNvSpPr txBox="1"/>
      </xdr:nvSpPr>
      <xdr:spPr>
        <a:xfrm>
          <a:off x="6553200" y="5038725"/>
          <a:ext cx="2609850" cy="247650"/>
        </a:xfrm>
        <a:prstGeom prst="rect">
          <a:avLst/>
        </a:prstGeom>
        <a:solidFill>
          <a:srgbClr val="F33C2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CALCULE AQUI O</a:t>
          </a:r>
          <a:r>
            <a:rPr lang="pt-BR" sz="1100" b="1" baseline="0">
              <a:solidFill>
                <a:schemeClr val="bg1"/>
              </a:solidFill>
            </a:rPr>
            <a:t> FRETE</a:t>
          </a:r>
          <a:endParaRPr lang="pt-B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31</xdr:row>
      <xdr:rowOff>95250</xdr:rowOff>
    </xdr:from>
    <xdr:to>
      <xdr:col>9</xdr:col>
      <xdr:colOff>1333500</xdr:colOff>
      <xdr:row>32</xdr:row>
      <xdr:rowOff>152400</xdr:rowOff>
    </xdr:to>
    <xdr:sp macro="" textlink="">
      <xdr:nvSpPr>
        <xdr:cNvPr id="5" name="CaixaDeTexto 4"/>
        <xdr:cNvSpPr txBox="1"/>
      </xdr:nvSpPr>
      <xdr:spPr>
        <a:xfrm>
          <a:off x="6562725" y="6076950"/>
          <a:ext cx="2609850" cy="247650"/>
        </a:xfrm>
        <a:prstGeom prst="rect">
          <a:avLst/>
        </a:prstGeom>
        <a:solidFill>
          <a:schemeClr val="lt1"/>
        </a:solidFill>
        <a:ln w="9525" cmpd="sng">
          <a:solidFill>
            <a:srgbClr val="F33C2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Transfira</a:t>
          </a:r>
          <a:r>
            <a:rPr lang="pt-BR" sz="1100" baseline="0"/>
            <a:t> o valor para os mercados</a:t>
          </a:r>
        </a:p>
        <a:p>
          <a:pPr algn="ctr"/>
          <a:endParaRPr lang="pt-BR" sz="1100"/>
        </a:p>
      </xdr:txBody>
    </xdr:sp>
    <xdr:clientData/>
  </xdr:twoCellAnchor>
  <xdr:twoCellAnchor>
    <xdr:from>
      <xdr:col>7</xdr:col>
      <xdr:colOff>323850</xdr:colOff>
      <xdr:row>32</xdr:row>
      <xdr:rowOff>152401</xdr:rowOff>
    </xdr:from>
    <xdr:to>
      <xdr:col>9</xdr:col>
      <xdr:colOff>28575</xdr:colOff>
      <xdr:row>34</xdr:row>
      <xdr:rowOff>57151</xdr:rowOff>
    </xdr:to>
    <xdr:cxnSp macro="">
      <xdr:nvCxnSpPr>
        <xdr:cNvPr id="7" name="Conector Angulado 6"/>
        <xdr:cNvCxnSpPr>
          <a:stCxn id="5" idx="2"/>
        </xdr:cNvCxnSpPr>
      </xdr:nvCxnSpPr>
      <xdr:spPr>
        <a:xfrm rot="5400000">
          <a:off x="6634163" y="5376863"/>
          <a:ext cx="285750" cy="2181225"/>
        </a:xfrm>
        <a:prstGeom prst="bentConnector2">
          <a:avLst/>
        </a:prstGeom>
        <a:ln>
          <a:solidFill>
            <a:srgbClr val="F33C2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66674</xdr:rowOff>
    </xdr:from>
    <xdr:to>
      <xdr:col>0</xdr:col>
      <xdr:colOff>1695450</xdr:colOff>
      <xdr:row>47</xdr:row>
      <xdr:rowOff>117019</xdr:rowOff>
    </xdr:to>
    <xdr:grpSp>
      <xdr:nvGrpSpPr>
        <xdr:cNvPr id="26" name="Agrupar 25"/>
        <xdr:cNvGrpSpPr/>
      </xdr:nvGrpSpPr>
      <xdr:grpSpPr>
        <a:xfrm>
          <a:off x="9525" y="266699"/>
          <a:ext cx="1685925" cy="8880020"/>
          <a:chOff x="228600" y="314325"/>
          <a:chExt cx="1362076" cy="5038725"/>
        </a:xfrm>
      </xdr:grpSpPr>
      <xdr:sp macro="" textlink="">
        <xdr:nvSpPr>
          <xdr:cNvPr id="27" name="Retângulo 26"/>
          <xdr:cNvSpPr/>
        </xdr:nvSpPr>
        <xdr:spPr>
          <a:xfrm>
            <a:off x="228600" y="314325"/>
            <a:ext cx="1162050" cy="443865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8" name="Retângulo Arredondado 27">
            <a:hlinkClick xmlns:r="http://schemas.openxmlformats.org/officeDocument/2006/relationships" r:id="rId1"/>
          </xdr:cNvPr>
          <xdr:cNvSpPr/>
        </xdr:nvSpPr>
        <xdr:spPr>
          <a:xfrm>
            <a:off x="285750" y="447675"/>
            <a:ext cx="971550" cy="314325"/>
          </a:xfrm>
          <a:prstGeom prst="round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Instruções</a:t>
            </a:r>
          </a:p>
        </xdr:txBody>
      </xdr:sp>
      <xdr:sp macro="" textlink="">
        <xdr:nvSpPr>
          <xdr:cNvPr id="29" name="Retângulo Arredondado 28">
            <a:hlinkClick xmlns:r="http://schemas.openxmlformats.org/officeDocument/2006/relationships" r:id="rId2"/>
          </xdr:cNvPr>
          <xdr:cNvSpPr/>
        </xdr:nvSpPr>
        <xdr:spPr>
          <a:xfrm>
            <a:off x="276225" y="800100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Decisões</a:t>
            </a:r>
          </a:p>
        </xdr:txBody>
      </xdr:sp>
      <xdr:sp macro="" textlink="">
        <xdr:nvSpPr>
          <xdr:cNvPr id="30" name="Retângulo Arredondado 29">
            <a:hlinkClick xmlns:r="http://schemas.openxmlformats.org/officeDocument/2006/relationships" r:id="rId3"/>
          </xdr:cNvPr>
          <xdr:cNvSpPr/>
        </xdr:nvSpPr>
        <xdr:spPr>
          <a:xfrm>
            <a:off x="276225" y="1504950"/>
            <a:ext cx="971550" cy="3143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Plano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Contas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1" name="Retângulo Arredondado 30">
            <a:hlinkClick xmlns:r="http://schemas.openxmlformats.org/officeDocument/2006/relationships" r:id="rId4"/>
          </xdr:cNvPr>
          <xdr:cNvSpPr/>
        </xdr:nvSpPr>
        <xdr:spPr>
          <a:xfrm>
            <a:off x="266700" y="1847850"/>
            <a:ext cx="971550" cy="3905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Lançamentos 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Razonetes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2" name="Retângulo Arredondado 31">
            <a:hlinkClick xmlns:r="http://schemas.openxmlformats.org/officeDocument/2006/relationships" r:id="rId5"/>
          </xdr:cNvPr>
          <xdr:cNvSpPr/>
        </xdr:nvSpPr>
        <xdr:spPr>
          <a:xfrm>
            <a:off x="257175" y="2266950"/>
            <a:ext cx="971550" cy="476250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Matéria Prima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3" name="Retângulo Arredondado 32">
            <a:hlinkClick xmlns:r="http://schemas.openxmlformats.org/officeDocument/2006/relationships" r:id="rId6"/>
          </xdr:cNvPr>
          <xdr:cNvSpPr/>
        </xdr:nvSpPr>
        <xdr:spPr>
          <a:xfrm>
            <a:off x="257175" y="324802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Salários</a:t>
            </a:r>
          </a:p>
        </xdr:txBody>
      </xdr:sp>
      <xdr:sp macro="" textlink="">
        <xdr:nvSpPr>
          <xdr:cNvPr id="34" name="Retângulo Arredondado 33">
            <a:hlinkClick xmlns:r="http://schemas.openxmlformats.org/officeDocument/2006/relationships" r:id="rId7"/>
          </xdr:cNvPr>
          <xdr:cNvSpPr/>
        </xdr:nvSpPr>
        <xdr:spPr>
          <a:xfrm>
            <a:off x="247650" y="360997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Tributos</a:t>
            </a:r>
          </a:p>
        </xdr:txBody>
      </xdr:sp>
      <xdr:sp macro="" textlink="">
        <xdr:nvSpPr>
          <xdr:cNvPr id="35" name="Retângulo Arredondado 34">
            <a:hlinkClick xmlns:r="http://schemas.openxmlformats.org/officeDocument/2006/relationships" r:id="rId8"/>
          </xdr:cNvPr>
          <xdr:cNvSpPr/>
        </xdr:nvSpPr>
        <xdr:spPr>
          <a:xfrm>
            <a:off x="247650" y="3962400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Preço de Venda</a:t>
            </a:r>
          </a:p>
        </xdr:txBody>
      </xdr:sp>
      <xdr:sp macro="" textlink="">
        <xdr:nvSpPr>
          <xdr:cNvPr id="36" name="Retângulo Arredondado 35">
            <a:hlinkClick xmlns:r="http://schemas.openxmlformats.org/officeDocument/2006/relationships" r:id="rId9"/>
          </xdr:cNvPr>
          <xdr:cNvSpPr/>
        </xdr:nvSpPr>
        <xdr:spPr>
          <a:xfrm>
            <a:off x="228600" y="43148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BP</a:t>
            </a:r>
          </a:p>
        </xdr:txBody>
      </xdr:sp>
      <xdr:sp macro="" textlink="">
        <xdr:nvSpPr>
          <xdr:cNvPr id="37" name="Retângulo Arredondado 36">
            <a:hlinkClick xmlns:r="http://schemas.openxmlformats.org/officeDocument/2006/relationships" r:id="rId10"/>
          </xdr:cNvPr>
          <xdr:cNvSpPr/>
        </xdr:nvSpPr>
        <xdr:spPr>
          <a:xfrm>
            <a:off x="238125" y="467677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DRE</a:t>
            </a:r>
          </a:p>
        </xdr:txBody>
      </xdr:sp>
      <xdr:sp macro="" textlink="">
        <xdr:nvSpPr>
          <xdr:cNvPr id="38" name="Retângulo Arredondado 37">
            <a:hlinkClick xmlns:r="http://schemas.openxmlformats.org/officeDocument/2006/relationships" r:id="rId11"/>
          </xdr:cNvPr>
          <xdr:cNvSpPr/>
        </xdr:nvSpPr>
        <xdr:spPr>
          <a:xfrm>
            <a:off x="247650" y="50387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Indicadores</a:t>
            </a:r>
          </a:p>
        </xdr:txBody>
      </xdr:sp>
      <xdr:sp macro="" textlink="">
        <xdr:nvSpPr>
          <xdr:cNvPr id="39" name="Retângulo 38"/>
          <xdr:cNvSpPr/>
        </xdr:nvSpPr>
        <xdr:spPr>
          <a:xfrm>
            <a:off x="1323975" y="1524000"/>
            <a:ext cx="266700" cy="7239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Reconhecimento</a:t>
            </a:r>
          </a:p>
        </xdr:txBody>
      </xdr:sp>
      <xdr:sp macro="" textlink="">
        <xdr:nvSpPr>
          <xdr:cNvPr id="40" name="Retângulo 39"/>
          <xdr:cNvSpPr/>
        </xdr:nvSpPr>
        <xdr:spPr>
          <a:xfrm>
            <a:off x="1323974" y="2286000"/>
            <a:ext cx="266701" cy="197167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Mensuração</a:t>
            </a:r>
          </a:p>
        </xdr:txBody>
      </xdr:sp>
      <xdr:sp macro="" textlink="">
        <xdr:nvSpPr>
          <xdr:cNvPr id="41" name="Retângulo 40"/>
          <xdr:cNvSpPr/>
        </xdr:nvSpPr>
        <xdr:spPr>
          <a:xfrm>
            <a:off x="1323974" y="4295775"/>
            <a:ext cx="266702" cy="7334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Evidenciação</a:t>
            </a:r>
          </a:p>
        </xdr:txBody>
      </xdr:sp>
      <xdr:sp macro="" textlink="">
        <xdr:nvSpPr>
          <xdr:cNvPr id="42" name="Retângulo Arredondado 41">
            <a:hlinkClick xmlns:r="http://schemas.openxmlformats.org/officeDocument/2006/relationships" r:id="rId12"/>
          </xdr:cNvPr>
          <xdr:cNvSpPr/>
        </xdr:nvSpPr>
        <xdr:spPr>
          <a:xfrm>
            <a:off x="266701" y="2771774"/>
            <a:ext cx="971550" cy="438151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 de Produtos Acabados</a:t>
            </a:r>
          </a:p>
        </xdr:txBody>
      </xdr:sp>
      <xdr:sp macro="" textlink="">
        <xdr:nvSpPr>
          <xdr:cNvPr id="43" name="Retângulo Arredondado 42">
            <a:hlinkClick xmlns:r="http://schemas.openxmlformats.org/officeDocument/2006/relationships" r:id="rId13"/>
          </xdr:cNvPr>
          <xdr:cNvSpPr/>
        </xdr:nvSpPr>
        <xdr:spPr>
          <a:xfrm>
            <a:off x="276225" y="1152525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Financiamento</a:t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47625</xdr:rowOff>
    </xdr:from>
    <xdr:to>
      <xdr:col>2</xdr:col>
      <xdr:colOff>666750</xdr:colOff>
      <xdr:row>4</xdr:row>
      <xdr:rowOff>171450</xdr:rowOff>
    </xdr:to>
    <xdr:sp macro="" textlink="">
      <xdr:nvSpPr>
        <xdr:cNvPr id="6" name="Retângulo Arredondado 5">
          <a:hlinkClick xmlns:r="http://schemas.openxmlformats.org/officeDocument/2006/relationships" r:id="rId14"/>
        </xdr:cNvPr>
        <xdr:cNvSpPr/>
      </xdr:nvSpPr>
      <xdr:spPr>
        <a:xfrm>
          <a:off x="1866900" y="438150"/>
          <a:ext cx="1038225" cy="504825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Cálculo</a:t>
          </a:r>
          <a:r>
            <a:rPr lang="pt-B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do PV</a:t>
          </a:r>
          <a:endParaRPr lang="pt-B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5</xdr:row>
      <xdr:rowOff>47625</xdr:rowOff>
    </xdr:from>
    <xdr:to>
      <xdr:col>2</xdr:col>
      <xdr:colOff>666750</xdr:colOff>
      <xdr:row>7</xdr:row>
      <xdr:rowOff>171450</xdr:rowOff>
    </xdr:to>
    <xdr:sp macro="" textlink="">
      <xdr:nvSpPr>
        <xdr:cNvPr id="44" name="Retângulo Arredondado 43">
          <a:hlinkClick xmlns:r="http://schemas.openxmlformats.org/officeDocument/2006/relationships" r:id="rId15"/>
        </xdr:cNvPr>
        <xdr:cNvSpPr/>
      </xdr:nvSpPr>
      <xdr:spPr>
        <a:xfrm>
          <a:off x="1866900" y="1009650"/>
          <a:ext cx="1038225" cy="504825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Times New Roman" panose="02020603050405020304" pitchFamily="18" charset="0"/>
              <a:cs typeface="Times New Roman" panose="02020603050405020304" pitchFamily="18" charset="0"/>
            </a:rPr>
            <a:t>Lances para</a:t>
          </a:r>
          <a:r>
            <a:rPr lang="pt-BR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o Mercado</a:t>
          </a:r>
          <a:endParaRPr lang="pt-BR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340179</xdr:colOff>
      <xdr:row>1</xdr:row>
      <xdr:rowOff>81643</xdr:rowOff>
    </xdr:from>
    <xdr:to>
      <xdr:col>0</xdr:col>
      <xdr:colOff>2517321</xdr:colOff>
      <xdr:row>39</xdr:row>
      <xdr:rowOff>176892</xdr:rowOff>
    </xdr:to>
    <xdr:grpSp>
      <xdr:nvGrpSpPr>
        <xdr:cNvPr id="2" name="Agrupar 1"/>
        <xdr:cNvGrpSpPr/>
      </xdr:nvGrpSpPr>
      <xdr:grpSpPr>
        <a:xfrm>
          <a:off x="340179" y="326572"/>
          <a:ext cx="2177142" cy="7851320"/>
          <a:chOff x="228600" y="314325"/>
          <a:chExt cx="1362076" cy="5038725"/>
        </a:xfrm>
      </xdr:grpSpPr>
      <xdr:sp macro="" textlink="">
        <xdr:nvSpPr>
          <xdr:cNvPr id="3" name="Retângulo 2"/>
          <xdr:cNvSpPr/>
        </xdr:nvSpPr>
        <xdr:spPr>
          <a:xfrm>
            <a:off x="228600" y="314325"/>
            <a:ext cx="1162050" cy="443865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Retângulo Arredondado 3">
            <a:hlinkClick xmlns:r="http://schemas.openxmlformats.org/officeDocument/2006/relationships" r:id="rId1"/>
          </xdr:cNvPr>
          <xdr:cNvSpPr/>
        </xdr:nvSpPr>
        <xdr:spPr>
          <a:xfrm>
            <a:off x="285750" y="447675"/>
            <a:ext cx="971550" cy="314325"/>
          </a:xfrm>
          <a:prstGeom prst="round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Instruções</a:t>
            </a: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</xdr:cNvPr>
          <xdr:cNvSpPr/>
        </xdr:nvSpPr>
        <xdr:spPr>
          <a:xfrm>
            <a:off x="276225" y="800100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Decisões</a:t>
            </a:r>
          </a:p>
        </xdr:txBody>
      </xdr:sp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276225" y="1504950"/>
            <a:ext cx="971550" cy="3143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Plano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Contas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Retângulo Arredondado 6">
            <a:hlinkClick xmlns:r="http://schemas.openxmlformats.org/officeDocument/2006/relationships" r:id="rId4"/>
          </xdr:cNvPr>
          <xdr:cNvSpPr/>
        </xdr:nvSpPr>
        <xdr:spPr>
          <a:xfrm>
            <a:off x="266700" y="1847850"/>
            <a:ext cx="971550" cy="3905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Lançamentos 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Razonetes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Retângulo Arredondado 7">
            <a:hlinkClick xmlns:r="http://schemas.openxmlformats.org/officeDocument/2006/relationships" r:id="rId5"/>
          </xdr:cNvPr>
          <xdr:cNvSpPr/>
        </xdr:nvSpPr>
        <xdr:spPr>
          <a:xfrm>
            <a:off x="257175" y="2266950"/>
            <a:ext cx="971550" cy="476250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Matéria Prima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Retângulo Arredondado 8">
            <a:hlinkClick xmlns:r="http://schemas.openxmlformats.org/officeDocument/2006/relationships" r:id="rId6"/>
          </xdr:cNvPr>
          <xdr:cNvSpPr/>
        </xdr:nvSpPr>
        <xdr:spPr>
          <a:xfrm>
            <a:off x="257175" y="324802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Salários</a:t>
            </a:r>
          </a:p>
        </xdr:txBody>
      </xdr:sp>
      <xdr:sp macro="" textlink="">
        <xdr:nvSpPr>
          <xdr:cNvPr id="10" name="Retângulo Arredondado 9">
            <a:hlinkClick xmlns:r="http://schemas.openxmlformats.org/officeDocument/2006/relationships" r:id="rId7"/>
          </xdr:cNvPr>
          <xdr:cNvSpPr/>
        </xdr:nvSpPr>
        <xdr:spPr>
          <a:xfrm>
            <a:off x="247650" y="360997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Tributos</a:t>
            </a:r>
          </a:p>
        </xdr:txBody>
      </xdr:sp>
      <xdr:sp macro="" textlink="">
        <xdr:nvSpPr>
          <xdr:cNvPr id="11" name="Retângulo Arredondado 10">
            <a:hlinkClick xmlns:r="http://schemas.openxmlformats.org/officeDocument/2006/relationships" r:id="rId8"/>
          </xdr:cNvPr>
          <xdr:cNvSpPr/>
        </xdr:nvSpPr>
        <xdr:spPr>
          <a:xfrm>
            <a:off x="247650" y="3962400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Preço de Venda</a:t>
            </a:r>
          </a:p>
        </xdr:txBody>
      </xdr:sp>
      <xdr:sp macro="" textlink="">
        <xdr:nvSpPr>
          <xdr:cNvPr id="12" name="Retângulo Arredondado 11">
            <a:hlinkClick xmlns:r="http://schemas.openxmlformats.org/officeDocument/2006/relationships" r:id="rId9"/>
          </xdr:cNvPr>
          <xdr:cNvSpPr/>
        </xdr:nvSpPr>
        <xdr:spPr>
          <a:xfrm>
            <a:off x="228600" y="43148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BP</a:t>
            </a:r>
          </a:p>
        </xdr:txBody>
      </xdr:sp>
      <xdr:sp macro="" textlink="">
        <xdr:nvSpPr>
          <xdr:cNvPr id="13" name="Retângulo Arredondado 12">
            <a:hlinkClick xmlns:r="http://schemas.openxmlformats.org/officeDocument/2006/relationships" r:id="rId10"/>
          </xdr:cNvPr>
          <xdr:cNvSpPr/>
        </xdr:nvSpPr>
        <xdr:spPr>
          <a:xfrm>
            <a:off x="238125" y="467677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DRE</a:t>
            </a:r>
          </a:p>
        </xdr:txBody>
      </xdr:sp>
      <xdr:sp macro="" textlink="">
        <xdr:nvSpPr>
          <xdr:cNvPr id="14" name="Retângulo Arredondado 13">
            <a:hlinkClick xmlns:r="http://schemas.openxmlformats.org/officeDocument/2006/relationships" r:id="rId11"/>
          </xdr:cNvPr>
          <xdr:cNvSpPr/>
        </xdr:nvSpPr>
        <xdr:spPr>
          <a:xfrm>
            <a:off x="247650" y="50387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Indicadores</a:t>
            </a:r>
          </a:p>
        </xdr:txBody>
      </xdr:sp>
      <xdr:sp macro="" textlink="">
        <xdr:nvSpPr>
          <xdr:cNvPr id="15" name="Retângulo 14"/>
          <xdr:cNvSpPr/>
        </xdr:nvSpPr>
        <xdr:spPr>
          <a:xfrm>
            <a:off x="1323975" y="1524000"/>
            <a:ext cx="266700" cy="7239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Reconhecimento</a:t>
            </a:r>
          </a:p>
        </xdr:txBody>
      </xdr:sp>
      <xdr:sp macro="" textlink="">
        <xdr:nvSpPr>
          <xdr:cNvPr id="16" name="Retângulo 15"/>
          <xdr:cNvSpPr/>
        </xdr:nvSpPr>
        <xdr:spPr>
          <a:xfrm>
            <a:off x="1323974" y="2286000"/>
            <a:ext cx="266701" cy="197167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Mensuração</a:t>
            </a:r>
          </a:p>
        </xdr:txBody>
      </xdr:sp>
      <xdr:sp macro="" textlink="">
        <xdr:nvSpPr>
          <xdr:cNvPr id="17" name="Retângulo 16"/>
          <xdr:cNvSpPr/>
        </xdr:nvSpPr>
        <xdr:spPr>
          <a:xfrm>
            <a:off x="1323974" y="4295775"/>
            <a:ext cx="266702" cy="7334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Evidenciação</a:t>
            </a:r>
          </a:p>
        </xdr:txBody>
      </xdr:sp>
      <xdr:sp macro="" textlink="">
        <xdr:nvSpPr>
          <xdr:cNvPr id="18" name="Retângulo Arredondado 17">
            <a:hlinkClick xmlns:r="http://schemas.openxmlformats.org/officeDocument/2006/relationships" r:id="rId12"/>
          </xdr:cNvPr>
          <xdr:cNvSpPr/>
        </xdr:nvSpPr>
        <xdr:spPr>
          <a:xfrm>
            <a:off x="266701" y="2771774"/>
            <a:ext cx="971550" cy="438151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 de Produtos Acabados</a:t>
            </a:r>
          </a:p>
        </xdr:txBody>
      </xdr:sp>
      <xdr:sp macro="" textlink="">
        <xdr:nvSpPr>
          <xdr:cNvPr id="19" name="Retângulo Arredondado 18">
            <a:hlinkClick xmlns:r="http://schemas.openxmlformats.org/officeDocument/2006/relationships" r:id="rId13"/>
          </xdr:cNvPr>
          <xdr:cNvSpPr/>
        </xdr:nvSpPr>
        <xdr:spPr>
          <a:xfrm>
            <a:off x="276225" y="1152525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Financiamento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19050</xdr:rowOff>
    </xdr:from>
    <xdr:to>
      <xdr:col>0</xdr:col>
      <xdr:colOff>1910442</xdr:colOff>
      <xdr:row>39</xdr:row>
      <xdr:rowOff>174170</xdr:rowOff>
    </xdr:to>
    <xdr:grpSp>
      <xdr:nvGrpSpPr>
        <xdr:cNvPr id="2" name="Agrupar 1"/>
        <xdr:cNvGrpSpPr/>
      </xdr:nvGrpSpPr>
      <xdr:grpSpPr>
        <a:xfrm>
          <a:off x="76200" y="219075"/>
          <a:ext cx="1834242" cy="7756070"/>
          <a:chOff x="228600" y="314325"/>
          <a:chExt cx="1362076" cy="5038725"/>
        </a:xfrm>
      </xdr:grpSpPr>
      <xdr:sp macro="" textlink="">
        <xdr:nvSpPr>
          <xdr:cNvPr id="3" name="Retângulo 2"/>
          <xdr:cNvSpPr/>
        </xdr:nvSpPr>
        <xdr:spPr>
          <a:xfrm>
            <a:off x="228600" y="314325"/>
            <a:ext cx="1162050" cy="443865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Retângulo Arredondado 3">
            <a:hlinkClick xmlns:r="http://schemas.openxmlformats.org/officeDocument/2006/relationships" r:id="rId1"/>
          </xdr:cNvPr>
          <xdr:cNvSpPr/>
        </xdr:nvSpPr>
        <xdr:spPr>
          <a:xfrm>
            <a:off x="285750" y="447675"/>
            <a:ext cx="971550" cy="314325"/>
          </a:xfrm>
          <a:prstGeom prst="round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Instruções</a:t>
            </a: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</xdr:cNvPr>
          <xdr:cNvSpPr/>
        </xdr:nvSpPr>
        <xdr:spPr>
          <a:xfrm>
            <a:off x="276225" y="800100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Decisões</a:t>
            </a:r>
          </a:p>
        </xdr:txBody>
      </xdr:sp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276225" y="1504950"/>
            <a:ext cx="971550" cy="3143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Plano</a:t>
            </a:r>
            <a:r>
              <a:rPr lang="pt-BR" sz="105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Contas</a:t>
            </a:r>
            <a:endParaRPr lang="pt-BR" sz="105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Retângulo Arredondado 6">
            <a:hlinkClick xmlns:r="http://schemas.openxmlformats.org/officeDocument/2006/relationships" r:id="rId4"/>
          </xdr:cNvPr>
          <xdr:cNvSpPr/>
        </xdr:nvSpPr>
        <xdr:spPr>
          <a:xfrm>
            <a:off x="266700" y="1847850"/>
            <a:ext cx="971550" cy="3905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Lançamentos e</a:t>
            </a:r>
            <a:r>
              <a:rPr lang="pt-BR" sz="105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Razonetes</a:t>
            </a:r>
            <a:endParaRPr lang="pt-BR" sz="105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Retângulo Arredondado 7">
            <a:hlinkClick xmlns:r="http://schemas.openxmlformats.org/officeDocument/2006/relationships" r:id="rId5"/>
          </xdr:cNvPr>
          <xdr:cNvSpPr/>
        </xdr:nvSpPr>
        <xdr:spPr>
          <a:xfrm>
            <a:off x="257175" y="2266950"/>
            <a:ext cx="971550" cy="476250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</a:t>
            </a:r>
            <a:r>
              <a:rPr lang="pt-BR" sz="105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Matéria Prima</a:t>
            </a:r>
            <a:endParaRPr lang="pt-BR" sz="105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Retângulo Arredondado 8">
            <a:hlinkClick xmlns:r="http://schemas.openxmlformats.org/officeDocument/2006/relationships" r:id="rId6"/>
          </xdr:cNvPr>
          <xdr:cNvSpPr/>
        </xdr:nvSpPr>
        <xdr:spPr>
          <a:xfrm>
            <a:off x="257175" y="324802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Salários</a:t>
            </a:r>
          </a:p>
        </xdr:txBody>
      </xdr:sp>
      <xdr:sp macro="" textlink="">
        <xdr:nvSpPr>
          <xdr:cNvPr id="10" name="Retângulo Arredondado 9">
            <a:hlinkClick xmlns:r="http://schemas.openxmlformats.org/officeDocument/2006/relationships" r:id="rId7"/>
          </xdr:cNvPr>
          <xdr:cNvSpPr/>
        </xdr:nvSpPr>
        <xdr:spPr>
          <a:xfrm>
            <a:off x="247650" y="360997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Tributos</a:t>
            </a:r>
          </a:p>
        </xdr:txBody>
      </xdr:sp>
      <xdr:sp macro="" textlink="">
        <xdr:nvSpPr>
          <xdr:cNvPr id="11" name="Retângulo Arredondado 10">
            <a:hlinkClick xmlns:r="http://schemas.openxmlformats.org/officeDocument/2006/relationships" r:id="rId8"/>
          </xdr:cNvPr>
          <xdr:cNvSpPr/>
        </xdr:nvSpPr>
        <xdr:spPr>
          <a:xfrm>
            <a:off x="247650" y="3962400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Preço de Venda</a:t>
            </a:r>
          </a:p>
        </xdr:txBody>
      </xdr:sp>
      <xdr:sp macro="" textlink="">
        <xdr:nvSpPr>
          <xdr:cNvPr id="12" name="Retângulo Arredondado 11">
            <a:hlinkClick xmlns:r="http://schemas.openxmlformats.org/officeDocument/2006/relationships" r:id="rId9"/>
          </xdr:cNvPr>
          <xdr:cNvSpPr/>
        </xdr:nvSpPr>
        <xdr:spPr>
          <a:xfrm>
            <a:off x="228600" y="43148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BP</a:t>
            </a:r>
          </a:p>
        </xdr:txBody>
      </xdr:sp>
      <xdr:sp macro="" textlink="">
        <xdr:nvSpPr>
          <xdr:cNvPr id="13" name="Retângulo Arredondado 12">
            <a:hlinkClick xmlns:r="http://schemas.openxmlformats.org/officeDocument/2006/relationships" r:id="rId10"/>
          </xdr:cNvPr>
          <xdr:cNvSpPr/>
        </xdr:nvSpPr>
        <xdr:spPr>
          <a:xfrm>
            <a:off x="238125" y="467677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DRE</a:t>
            </a:r>
          </a:p>
        </xdr:txBody>
      </xdr:sp>
      <xdr:sp macro="" textlink="">
        <xdr:nvSpPr>
          <xdr:cNvPr id="14" name="Retângulo Arredondado 13">
            <a:hlinkClick xmlns:r="http://schemas.openxmlformats.org/officeDocument/2006/relationships" r:id="rId11"/>
          </xdr:cNvPr>
          <xdr:cNvSpPr/>
        </xdr:nvSpPr>
        <xdr:spPr>
          <a:xfrm>
            <a:off x="247650" y="50387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Indicadores</a:t>
            </a:r>
          </a:p>
        </xdr:txBody>
      </xdr:sp>
      <xdr:sp macro="" textlink="">
        <xdr:nvSpPr>
          <xdr:cNvPr id="15" name="Retângulo 14"/>
          <xdr:cNvSpPr/>
        </xdr:nvSpPr>
        <xdr:spPr>
          <a:xfrm>
            <a:off x="1323975" y="1524000"/>
            <a:ext cx="266700" cy="7239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05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Reconhecimento</a:t>
            </a:r>
          </a:p>
        </xdr:txBody>
      </xdr:sp>
      <xdr:sp macro="" textlink="">
        <xdr:nvSpPr>
          <xdr:cNvPr id="16" name="Retângulo 15"/>
          <xdr:cNvSpPr/>
        </xdr:nvSpPr>
        <xdr:spPr>
          <a:xfrm>
            <a:off x="1323974" y="2286000"/>
            <a:ext cx="266701" cy="197167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05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Mensuração</a:t>
            </a:r>
          </a:p>
        </xdr:txBody>
      </xdr:sp>
      <xdr:sp macro="" textlink="">
        <xdr:nvSpPr>
          <xdr:cNvPr id="17" name="Retângulo 16"/>
          <xdr:cNvSpPr/>
        </xdr:nvSpPr>
        <xdr:spPr>
          <a:xfrm>
            <a:off x="1323974" y="4295775"/>
            <a:ext cx="266702" cy="7334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05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Evidenciação</a:t>
            </a:r>
          </a:p>
        </xdr:txBody>
      </xdr:sp>
      <xdr:sp macro="" textlink="">
        <xdr:nvSpPr>
          <xdr:cNvPr id="18" name="Retângulo Arredondado 17">
            <a:hlinkClick xmlns:r="http://schemas.openxmlformats.org/officeDocument/2006/relationships" r:id="rId12"/>
          </xdr:cNvPr>
          <xdr:cNvSpPr/>
        </xdr:nvSpPr>
        <xdr:spPr>
          <a:xfrm>
            <a:off x="266701" y="2771774"/>
            <a:ext cx="971550" cy="438151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 de Produtos Acabados</a:t>
            </a:r>
          </a:p>
        </xdr:txBody>
      </xdr:sp>
      <xdr:sp macro="" textlink="">
        <xdr:nvSpPr>
          <xdr:cNvPr id="19" name="Retângulo Arredondado 18">
            <a:hlinkClick xmlns:r="http://schemas.openxmlformats.org/officeDocument/2006/relationships" r:id="rId13"/>
          </xdr:cNvPr>
          <xdr:cNvSpPr/>
        </xdr:nvSpPr>
        <xdr:spPr>
          <a:xfrm>
            <a:off x="276225" y="1152525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Financiamento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114300</xdr:rowOff>
    </xdr:from>
    <xdr:to>
      <xdr:col>0</xdr:col>
      <xdr:colOff>1967592</xdr:colOff>
      <xdr:row>42</xdr:row>
      <xdr:rowOff>50345</xdr:rowOff>
    </xdr:to>
    <xdr:grpSp>
      <xdr:nvGrpSpPr>
        <xdr:cNvPr id="20" name="Agrupar 19"/>
        <xdr:cNvGrpSpPr/>
      </xdr:nvGrpSpPr>
      <xdr:grpSpPr>
        <a:xfrm>
          <a:off x="133350" y="318407"/>
          <a:ext cx="1834242" cy="8821509"/>
          <a:chOff x="228600" y="314325"/>
          <a:chExt cx="1362076" cy="5038725"/>
        </a:xfrm>
      </xdr:grpSpPr>
      <xdr:sp macro="" textlink="">
        <xdr:nvSpPr>
          <xdr:cNvPr id="21" name="Retângulo 20"/>
          <xdr:cNvSpPr/>
        </xdr:nvSpPr>
        <xdr:spPr>
          <a:xfrm>
            <a:off x="228600" y="314325"/>
            <a:ext cx="1162050" cy="443865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Retângulo Arredondado 21">
            <a:hlinkClick xmlns:r="http://schemas.openxmlformats.org/officeDocument/2006/relationships" r:id="rId1"/>
          </xdr:cNvPr>
          <xdr:cNvSpPr/>
        </xdr:nvSpPr>
        <xdr:spPr>
          <a:xfrm>
            <a:off x="285750" y="447675"/>
            <a:ext cx="971550" cy="314325"/>
          </a:xfrm>
          <a:prstGeom prst="round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Instruções</a:t>
            </a:r>
          </a:p>
        </xdr:txBody>
      </xdr:sp>
      <xdr:sp macro="" textlink="">
        <xdr:nvSpPr>
          <xdr:cNvPr id="23" name="Retângulo Arredondado 22">
            <a:hlinkClick xmlns:r="http://schemas.openxmlformats.org/officeDocument/2006/relationships" r:id="rId2"/>
          </xdr:cNvPr>
          <xdr:cNvSpPr/>
        </xdr:nvSpPr>
        <xdr:spPr>
          <a:xfrm>
            <a:off x="276225" y="800100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Decisões</a:t>
            </a:r>
          </a:p>
        </xdr:txBody>
      </xdr:sp>
      <xdr:sp macro="" textlink="">
        <xdr:nvSpPr>
          <xdr:cNvPr id="24" name="Retângulo Arredondado 23">
            <a:hlinkClick xmlns:r="http://schemas.openxmlformats.org/officeDocument/2006/relationships" r:id="rId3"/>
          </xdr:cNvPr>
          <xdr:cNvSpPr/>
        </xdr:nvSpPr>
        <xdr:spPr>
          <a:xfrm>
            <a:off x="276225" y="1504950"/>
            <a:ext cx="971550" cy="3143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Plano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Contas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5" name="Retângulo Arredondado 24">
            <a:hlinkClick xmlns:r="http://schemas.openxmlformats.org/officeDocument/2006/relationships" r:id="rId4"/>
          </xdr:cNvPr>
          <xdr:cNvSpPr/>
        </xdr:nvSpPr>
        <xdr:spPr>
          <a:xfrm>
            <a:off x="266700" y="1847850"/>
            <a:ext cx="971550" cy="3905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Lançamentos 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Razonetes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Retângulo Arredondado 25">
            <a:hlinkClick xmlns:r="http://schemas.openxmlformats.org/officeDocument/2006/relationships" r:id="rId5"/>
          </xdr:cNvPr>
          <xdr:cNvSpPr/>
        </xdr:nvSpPr>
        <xdr:spPr>
          <a:xfrm>
            <a:off x="257175" y="2266950"/>
            <a:ext cx="971550" cy="476250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Matéria Prima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Retângulo Arredondado 26">
            <a:hlinkClick xmlns:r="http://schemas.openxmlformats.org/officeDocument/2006/relationships" r:id="rId6"/>
          </xdr:cNvPr>
          <xdr:cNvSpPr/>
        </xdr:nvSpPr>
        <xdr:spPr>
          <a:xfrm>
            <a:off x="257175" y="324802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Salários</a:t>
            </a:r>
          </a:p>
        </xdr:txBody>
      </xdr:sp>
      <xdr:sp macro="" textlink="">
        <xdr:nvSpPr>
          <xdr:cNvPr id="28" name="Retângulo Arredondado 27">
            <a:hlinkClick xmlns:r="http://schemas.openxmlformats.org/officeDocument/2006/relationships" r:id="rId7"/>
          </xdr:cNvPr>
          <xdr:cNvSpPr/>
        </xdr:nvSpPr>
        <xdr:spPr>
          <a:xfrm>
            <a:off x="247650" y="360997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Tributos</a:t>
            </a:r>
          </a:p>
        </xdr:txBody>
      </xdr:sp>
      <xdr:sp macro="" textlink="">
        <xdr:nvSpPr>
          <xdr:cNvPr id="29" name="Retângulo Arredondado 28">
            <a:hlinkClick xmlns:r="http://schemas.openxmlformats.org/officeDocument/2006/relationships" r:id="rId8"/>
          </xdr:cNvPr>
          <xdr:cNvSpPr/>
        </xdr:nvSpPr>
        <xdr:spPr>
          <a:xfrm>
            <a:off x="247650" y="3962400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Preço de Venda</a:t>
            </a:r>
          </a:p>
        </xdr:txBody>
      </xdr:sp>
      <xdr:sp macro="" textlink="">
        <xdr:nvSpPr>
          <xdr:cNvPr id="30" name="Retângulo Arredondado 29">
            <a:hlinkClick xmlns:r="http://schemas.openxmlformats.org/officeDocument/2006/relationships" r:id="rId9"/>
          </xdr:cNvPr>
          <xdr:cNvSpPr/>
        </xdr:nvSpPr>
        <xdr:spPr>
          <a:xfrm>
            <a:off x="228600" y="43148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BP</a:t>
            </a:r>
          </a:p>
        </xdr:txBody>
      </xdr:sp>
      <xdr:sp macro="" textlink="">
        <xdr:nvSpPr>
          <xdr:cNvPr id="31" name="Retângulo Arredondado 30">
            <a:hlinkClick xmlns:r="http://schemas.openxmlformats.org/officeDocument/2006/relationships" r:id="rId10"/>
          </xdr:cNvPr>
          <xdr:cNvSpPr/>
        </xdr:nvSpPr>
        <xdr:spPr>
          <a:xfrm>
            <a:off x="238125" y="467677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DRE</a:t>
            </a:r>
          </a:p>
        </xdr:txBody>
      </xdr:sp>
      <xdr:sp macro="" textlink="">
        <xdr:nvSpPr>
          <xdr:cNvPr id="32" name="Retângulo Arredondado 31">
            <a:hlinkClick xmlns:r="http://schemas.openxmlformats.org/officeDocument/2006/relationships" r:id="rId11"/>
          </xdr:cNvPr>
          <xdr:cNvSpPr/>
        </xdr:nvSpPr>
        <xdr:spPr>
          <a:xfrm>
            <a:off x="247650" y="50387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Indicadores</a:t>
            </a:r>
          </a:p>
        </xdr:txBody>
      </xdr:sp>
      <xdr:sp macro="" textlink="">
        <xdr:nvSpPr>
          <xdr:cNvPr id="33" name="Retângulo 32"/>
          <xdr:cNvSpPr/>
        </xdr:nvSpPr>
        <xdr:spPr>
          <a:xfrm>
            <a:off x="1323975" y="1524000"/>
            <a:ext cx="266700" cy="7239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Reconhecimento</a:t>
            </a:r>
          </a:p>
        </xdr:txBody>
      </xdr:sp>
      <xdr:sp macro="" textlink="">
        <xdr:nvSpPr>
          <xdr:cNvPr id="34" name="Retângulo 33"/>
          <xdr:cNvSpPr/>
        </xdr:nvSpPr>
        <xdr:spPr>
          <a:xfrm>
            <a:off x="1323974" y="2286000"/>
            <a:ext cx="266701" cy="197167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Mensuração</a:t>
            </a:r>
          </a:p>
        </xdr:txBody>
      </xdr:sp>
      <xdr:sp macro="" textlink="">
        <xdr:nvSpPr>
          <xdr:cNvPr id="35" name="Retângulo 34"/>
          <xdr:cNvSpPr/>
        </xdr:nvSpPr>
        <xdr:spPr>
          <a:xfrm>
            <a:off x="1323974" y="4295775"/>
            <a:ext cx="266702" cy="7334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Evidenciação</a:t>
            </a:r>
          </a:p>
        </xdr:txBody>
      </xdr:sp>
      <xdr:sp macro="" textlink="">
        <xdr:nvSpPr>
          <xdr:cNvPr id="36" name="Retângulo Arredondado 35">
            <a:hlinkClick xmlns:r="http://schemas.openxmlformats.org/officeDocument/2006/relationships" r:id="rId12"/>
          </xdr:cNvPr>
          <xdr:cNvSpPr/>
        </xdr:nvSpPr>
        <xdr:spPr>
          <a:xfrm>
            <a:off x="266701" y="2771774"/>
            <a:ext cx="971550" cy="438151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 de Produtos Acabados</a:t>
            </a:r>
          </a:p>
        </xdr:txBody>
      </xdr:sp>
      <xdr:sp macro="" textlink="">
        <xdr:nvSpPr>
          <xdr:cNvPr id="37" name="Retângulo Arredondado 36">
            <a:hlinkClick xmlns:r="http://schemas.openxmlformats.org/officeDocument/2006/relationships" r:id="rId13"/>
          </xdr:cNvPr>
          <xdr:cNvSpPr/>
        </xdr:nvSpPr>
        <xdr:spPr>
          <a:xfrm>
            <a:off x="276225" y="1152525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Financiamento</a:t>
            </a:r>
          </a:p>
        </xdr:txBody>
      </xdr:sp>
    </xdr:grpSp>
    <xdr:clientData/>
  </xdr:twoCellAnchor>
  <xdr:twoCellAnchor>
    <xdr:from>
      <xdr:col>4</xdr:col>
      <xdr:colOff>219075</xdr:colOff>
      <xdr:row>57</xdr:row>
      <xdr:rowOff>114300</xdr:rowOff>
    </xdr:from>
    <xdr:to>
      <xdr:col>4</xdr:col>
      <xdr:colOff>704850</xdr:colOff>
      <xdr:row>59</xdr:row>
      <xdr:rowOff>85725</xdr:rowOff>
    </xdr:to>
    <xdr:sp macro="" textlink="">
      <xdr:nvSpPr>
        <xdr:cNvPr id="40" name="Seta para a Direita 39"/>
        <xdr:cNvSpPr/>
      </xdr:nvSpPr>
      <xdr:spPr>
        <a:xfrm>
          <a:off x="7248525" y="8115300"/>
          <a:ext cx="485775" cy="371475"/>
        </a:xfrm>
        <a:prstGeom prst="rightArrow">
          <a:avLst/>
        </a:prstGeom>
        <a:solidFill>
          <a:srgbClr val="66FF99"/>
        </a:solidFill>
        <a:ln>
          <a:solidFill>
            <a:srgbClr val="66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295275</xdr:colOff>
      <xdr:row>82</xdr:row>
      <xdr:rowOff>153761</xdr:rowOff>
    </xdr:from>
    <xdr:to>
      <xdr:col>4</xdr:col>
      <xdr:colOff>928008</xdr:colOff>
      <xdr:row>84</xdr:row>
      <xdr:rowOff>191860</xdr:rowOff>
    </xdr:to>
    <xdr:sp macro="" textlink="">
      <xdr:nvSpPr>
        <xdr:cNvPr id="41" name="Seta para a Direita 40"/>
        <xdr:cNvSpPr/>
      </xdr:nvSpPr>
      <xdr:spPr>
        <a:xfrm>
          <a:off x="7384596" y="17244332"/>
          <a:ext cx="632733" cy="446314"/>
        </a:xfrm>
        <a:prstGeom prst="rightArrow">
          <a:avLst/>
        </a:prstGeom>
        <a:solidFill>
          <a:srgbClr val="66FF99"/>
        </a:solidFill>
        <a:ln>
          <a:solidFill>
            <a:srgbClr val="66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95249</xdr:colOff>
      <xdr:row>78</xdr:row>
      <xdr:rowOff>40821</xdr:rowOff>
    </xdr:from>
    <xdr:to>
      <xdr:col>9</xdr:col>
      <xdr:colOff>340178</xdr:colOff>
      <xdr:row>87</xdr:row>
      <xdr:rowOff>54428</xdr:rowOff>
    </xdr:to>
    <xdr:sp macro="" textlink="">
      <xdr:nvSpPr>
        <xdr:cNvPr id="42" name="CaixaDeTexto 41"/>
        <xdr:cNvSpPr txBox="1"/>
      </xdr:nvSpPr>
      <xdr:spPr>
        <a:xfrm>
          <a:off x="9729106" y="16682357"/>
          <a:ext cx="8382001" cy="1850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400">
              <a:latin typeface="Times New Roman" panose="02020603050405020304" pitchFamily="18" charset="0"/>
              <a:cs typeface="Times New Roman" panose="02020603050405020304" pitchFamily="18" charset="0"/>
            </a:rPr>
            <a:t>O </a:t>
          </a:r>
          <a:r>
            <a:rPr lang="pt-BR" sz="1400" i="1">
              <a:latin typeface="Times New Roman" panose="02020603050405020304" pitchFamily="18" charset="0"/>
              <a:cs typeface="Times New Roman" panose="02020603050405020304" pitchFamily="18" charset="0"/>
            </a:rPr>
            <a:t>spread</a:t>
          </a:r>
          <a:r>
            <a:rPr lang="pt-BR" sz="14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pt-BR" sz="14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é o diferencial de retorno comparado ao custo da dívida. Quando positivo, esse diferencial é direcionado aos sócios/acionistas. Ao contrário, se negativo, é ônus para a rentabilidade dos sócios/acionistas. </a:t>
          </a:r>
        </a:p>
        <a:p>
          <a:endParaRPr lang="pt-BR" sz="1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4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r>
            <a:rPr lang="pt-BR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alavancagem financeira mostra como o </a:t>
          </a:r>
          <a:r>
            <a:rPr lang="pt-BR" sz="14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spread</a:t>
          </a:r>
          <a:r>
            <a:rPr lang="pt-BR" sz="14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afeta a rentabilidade do capital próprio. Para isso, calcula-se o grau de alavancagem finaceira. Se </a:t>
          </a:r>
          <a:r>
            <a:rPr lang="pt-BR" sz="14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for maior que 1</a:t>
          </a:r>
          <a:r>
            <a:rPr lang="pt-BR" sz="14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, a captação de recursos de terceiros influencia positivamente a rentabilidade dos sócios. Ao contrário, se o GAF </a:t>
          </a:r>
          <a:r>
            <a:rPr lang="pt-BR" sz="14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for menor que 1, </a:t>
          </a:r>
          <a:r>
            <a:rPr lang="pt-BR" sz="14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o custo da dívida está sendo maior que o retorno dos investimentos decorrentes desses recursos. </a:t>
          </a:r>
          <a:endParaRPr lang="pt-BR" sz="14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100854</xdr:colOff>
      <xdr:row>94</xdr:row>
      <xdr:rowOff>145676</xdr:rowOff>
    </xdr:from>
    <xdr:to>
      <xdr:col>4</xdr:col>
      <xdr:colOff>907677</xdr:colOff>
      <xdr:row>98</xdr:row>
      <xdr:rowOff>44822</xdr:rowOff>
    </xdr:to>
    <xdr:sp macro="" textlink="">
      <xdr:nvSpPr>
        <xdr:cNvPr id="47" name="Seta para a Direita 46"/>
        <xdr:cNvSpPr/>
      </xdr:nvSpPr>
      <xdr:spPr>
        <a:xfrm>
          <a:off x="7126942" y="19543058"/>
          <a:ext cx="806823" cy="705970"/>
        </a:xfrm>
        <a:prstGeom prst="rightArrow">
          <a:avLst/>
        </a:prstGeom>
        <a:solidFill>
          <a:srgbClr val="CCFFFF"/>
        </a:solidFill>
        <a:ln>
          <a:solidFill>
            <a:srgbClr val="CC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173492</xdr:colOff>
      <xdr:row>1</xdr:row>
      <xdr:rowOff>226951</xdr:rowOff>
    </xdr:from>
    <xdr:to>
      <xdr:col>2</xdr:col>
      <xdr:colOff>2109108</xdr:colOff>
      <xdr:row>4</xdr:row>
      <xdr:rowOff>187098</xdr:rowOff>
    </xdr:to>
    <xdr:sp macro="" textlink="">
      <xdr:nvSpPr>
        <xdr:cNvPr id="48" name="Retângulo Arredondado 47">
          <a:hlinkClick xmlns:r="http://schemas.openxmlformats.org/officeDocument/2006/relationships" r:id="rId14"/>
        </xdr:cNvPr>
        <xdr:cNvSpPr/>
      </xdr:nvSpPr>
      <xdr:spPr>
        <a:xfrm>
          <a:off x="2745242" y="431058"/>
          <a:ext cx="1935616" cy="613290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Times New Roman" panose="02020603050405020304" pitchFamily="18" charset="0"/>
              <a:cs typeface="Times New Roman" panose="02020603050405020304" pitchFamily="18" charset="0"/>
            </a:rPr>
            <a:t>Desempenho econômico</a:t>
          </a:r>
          <a:r>
            <a:rPr lang="pt-BR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da empresa</a:t>
          </a:r>
          <a:endParaRPr lang="pt-BR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183018</xdr:colOff>
      <xdr:row>5</xdr:row>
      <xdr:rowOff>81644</xdr:rowOff>
    </xdr:from>
    <xdr:to>
      <xdr:col>2</xdr:col>
      <xdr:colOff>2118634</xdr:colOff>
      <xdr:row>8</xdr:row>
      <xdr:rowOff>87766</xdr:rowOff>
    </xdr:to>
    <xdr:sp macro="" textlink="">
      <xdr:nvSpPr>
        <xdr:cNvPr id="50" name="Retângulo Arredondado 49">
          <a:hlinkClick xmlns:r="http://schemas.openxmlformats.org/officeDocument/2006/relationships" r:id="rId15"/>
        </xdr:cNvPr>
        <xdr:cNvSpPr/>
      </xdr:nvSpPr>
      <xdr:spPr>
        <a:xfrm>
          <a:off x="2754768" y="1143001"/>
          <a:ext cx="1935616" cy="618444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Times New Roman" panose="02020603050405020304" pitchFamily="18" charset="0"/>
              <a:cs typeface="Times New Roman" panose="02020603050405020304" pitchFamily="18" charset="0"/>
            </a:rPr>
            <a:t>Liquidez</a:t>
          </a:r>
        </a:p>
      </xdr:txBody>
    </xdr:sp>
    <xdr:clientData/>
  </xdr:twoCellAnchor>
  <xdr:twoCellAnchor>
    <xdr:from>
      <xdr:col>2</xdr:col>
      <xdr:colOff>217034</xdr:colOff>
      <xdr:row>8</xdr:row>
      <xdr:rowOff>200024</xdr:rowOff>
    </xdr:from>
    <xdr:to>
      <xdr:col>2</xdr:col>
      <xdr:colOff>2117507</xdr:colOff>
      <xdr:row>12</xdr:row>
      <xdr:rowOff>2039</xdr:rowOff>
    </xdr:to>
    <xdr:sp macro="" textlink="">
      <xdr:nvSpPr>
        <xdr:cNvPr id="51" name="Retângulo Arredondado 50">
          <a:hlinkClick xmlns:r="http://schemas.openxmlformats.org/officeDocument/2006/relationships" r:id="rId16"/>
        </xdr:cNvPr>
        <xdr:cNvSpPr/>
      </xdr:nvSpPr>
      <xdr:spPr>
        <a:xfrm>
          <a:off x="2788784" y="1873703"/>
          <a:ext cx="1900473" cy="618443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Times New Roman" panose="02020603050405020304" pitchFamily="18" charset="0"/>
              <a:cs typeface="Times New Roman" panose="02020603050405020304" pitchFamily="18" charset="0"/>
            </a:rPr>
            <a:t>Carga tributária</a:t>
          </a:r>
        </a:p>
      </xdr:txBody>
    </xdr:sp>
    <xdr:clientData/>
  </xdr:twoCellAnchor>
  <xdr:twoCellAnchor>
    <xdr:from>
      <xdr:col>7</xdr:col>
      <xdr:colOff>1102178</xdr:colOff>
      <xdr:row>35</xdr:row>
      <xdr:rowOff>27214</xdr:rowOff>
    </xdr:from>
    <xdr:to>
      <xdr:col>17</xdr:col>
      <xdr:colOff>598714</xdr:colOff>
      <xdr:row>52</xdr:row>
      <xdr:rowOff>40820</xdr:rowOff>
    </xdr:to>
    <xdr:sp macro="" textlink="">
      <xdr:nvSpPr>
        <xdr:cNvPr id="54" name="Retângulo 53"/>
        <xdr:cNvSpPr/>
      </xdr:nvSpPr>
      <xdr:spPr>
        <a:xfrm>
          <a:off x="13008428" y="7279821"/>
          <a:ext cx="9212036" cy="3483428"/>
        </a:xfrm>
        <a:prstGeom prst="rect">
          <a:avLst/>
        </a:prstGeom>
        <a:solidFill>
          <a:schemeClr val="bg1"/>
        </a:solidFill>
        <a:ln w="28575">
          <a:solidFill>
            <a:srgbClr val="CCFF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 que é isso?</a:t>
          </a:r>
        </a:p>
        <a:p>
          <a:pPr algn="ctr"/>
          <a:r>
            <a:rPr lang="pt-BR" sz="16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 análise</a:t>
          </a:r>
          <a:r>
            <a:rPr lang="pt-BR" sz="16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da viabilidade econômica-financeira de uma empresa possui diversos conceitos, metodologias e instrumentos para alcançar esse objetivo. Como exemplo, temos assuntos como: capital de giro, necessidade de investimento em giro, saldo disponível em tesouraria, EBTIDA (Earnings Before Interest, Taxes, Depreciation/Depletion and Amortization), avaliação do desempenho econômico, formulações da alavancagem financeira e mensuração do valor econômico agregado. </a:t>
          </a:r>
        </a:p>
        <a:p>
          <a:pPr algn="ctr"/>
          <a:r>
            <a:rPr lang="pt-BR" sz="16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Ao lado, utilizou-se os conceitos de avaliação do desempenho econômico que tem por objetivo analisar de forma analítica a atratividade dos investimentos e os indicadores de retorno. </a:t>
          </a:r>
        </a:p>
        <a:p>
          <a:pPr algn="ctr"/>
          <a:endParaRPr lang="pt-BR" sz="1600" b="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t-BR" sz="16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 que é investimento?</a:t>
          </a:r>
        </a:p>
        <a:p>
          <a:pPr algn="ctr"/>
          <a:r>
            <a:rPr lang="pt-BR" sz="16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"O investimento é o montante efetivamente investido na atividade da empresa, sendo originado de recursos de terceiros disponíveis no mercado financeiro (empréstimos e financiamentos) e junto aos proprietários (sócios/acionistas)". O cálculo do investimento total = Ativo total - passivo de financiamento (passivos não onerosos como fornecedores, salários e encargos a recolher, dividendos, etc). </a:t>
          </a:r>
        </a:p>
        <a:p>
          <a:pPr algn="ctr"/>
          <a:endParaRPr lang="pt-BR" sz="1600" b="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pt-BR" sz="1600" b="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pt-BR" sz="14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1104900</xdr:colOff>
      <xdr:row>52</xdr:row>
      <xdr:rowOff>152401</xdr:rowOff>
    </xdr:from>
    <xdr:to>
      <xdr:col>18</xdr:col>
      <xdr:colOff>84365</xdr:colOff>
      <xdr:row>69</xdr:row>
      <xdr:rowOff>125187</xdr:rowOff>
    </xdr:to>
    <xdr:sp macro="" textlink="">
      <xdr:nvSpPr>
        <xdr:cNvPr id="55" name="Retângulo 54"/>
        <xdr:cNvSpPr/>
      </xdr:nvSpPr>
      <xdr:spPr>
        <a:xfrm>
          <a:off x="13011150" y="10874830"/>
          <a:ext cx="9307286" cy="3483428"/>
        </a:xfrm>
        <a:prstGeom prst="rect">
          <a:avLst/>
        </a:prstGeom>
        <a:solidFill>
          <a:schemeClr val="bg1"/>
        </a:solidFill>
        <a:ln w="28575">
          <a:solidFill>
            <a:srgbClr val="CCFF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 que foi calculado?</a:t>
          </a:r>
          <a:endParaRPr lang="pt-BR" sz="16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t-BR" sz="16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Para cálculo das taxas de retorno (sobre o investimento ROI, sobre o patrimônio líquido ROE/RSPL) e  do custo da dívida em utilizar capital de terceiros, é necessário o cálculo da DRE AJUSTADA (ao lado). Essa DRE ajustada encontra o resultado operacional desconsiderando as despesas financeiras, receitas financeiras, resultado decorrente do metódo de equivalência patrimonial. E, como esses itens são considerados na DRE para fins de IR e CSLL, necessitou-se fazer um ajuste. Para mais detalhamentos sobre esse assunto olhar a referência desses dois quadros. </a:t>
          </a:r>
        </a:p>
        <a:p>
          <a:pPr algn="ctr"/>
          <a:r>
            <a:rPr lang="pt-BR" sz="16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No ajuste, usou-se a alíquota de 34% para corresponder os valores dos resultados (operacionais e líquidos) com as demonstrações contábeis publicadas.</a:t>
          </a:r>
        </a:p>
        <a:p>
          <a:pPr algn="ctr"/>
          <a:endParaRPr lang="pt-BR" sz="1600" b="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t-BR" sz="16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ASSAF NETO, A. Estrutura e análise de balanços: um enfoque econômico-financeiro. 10. ed. </a:t>
          </a:r>
        </a:p>
        <a:p>
          <a:pPr algn="ctr"/>
          <a:endParaRPr lang="pt-BR" sz="14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217714</xdr:colOff>
      <xdr:row>12</xdr:row>
      <xdr:rowOff>95250</xdr:rowOff>
    </xdr:from>
    <xdr:to>
      <xdr:col>2</xdr:col>
      <xdr:colOff>2118187</xdr:colOff>
      <xdr:row>15</xdr:row>
      <xdr:rowOff>101371</xdr:rowOff>
    </xdr:to>
    <xdr:sp macro="" textlink="">
      <xdr:nvSpPr>
        <xdr:cNvPr id="38" name="Retângulo Arredondado 37">
          <a:hlinkClick xmlns:r="http://schemas.openxmlformats.org/officeDocument/2006/relationships" r:id="rId17"/>
        </xdr:cNvPr>
        <xdr:cNvSpPr/>
      </xdr:nvSpPr>
      <xdr:spPr>
        <a:xfrm>
          <a:off x="2789464" y="2585357"/>
          <a:ext cx="1900473" cy="618443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Times New Roman" panose="02020603050405020304" pitchFamily="18" charset="0"/>
              <a:cs typeface="Times New Roman" panose="02020603050405020304" pitchFamily="18" charset="0"/>
            </a:rPr>
            <a:t>Margem</a:t>
          </a:r>
        </a:p>
      </xdr:txBody>
    </xdr:sp>
    <xdr:clientData/>
  </xdr:twoCellAnchor>
  <xdr:twoCellAnchor>
    <xdr:from>
      <xdr:col>5</xdr:col>
      <xdr:colOff>666751</xdr:colOff>
      <xdr:row>147</xdr:row>
      <xdr:rowOff>95250</xdr:rowOff>
    </xdr:from>
    <xdr:to>
      <xdr:col>7</xdr:col>
      <xdr:colOff>1483179</xdr:colOff>
      <xdr:row>151</xdr:row>
      <xdr:rowOff>0</xdr:rowOff>
    </xdr:to>
    <xdr:sp macro="" textlink="">
      <xdr:nvSpPr>
        <xdr:cNvPr id="2" name="CaixaDeTexto 1"/>
        <xdr:cNvSpPr txBox="1"/>
      </xdr:nvSpPr>
      <xdr:spPr>
        <a:xfrm>
          <a:off x="10300608" y="30765750"/>
          <a:ext cx="4667250" cy="721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/>
            <a:t>A margem líquida evidencia</a:t>
          </a:r>
          <a:r>
            <a:rPr lang="pt-BR" sz="1200" baseline="0"/>
            <a:t> qual o percentual da Receita Bruta de Vendas que sobra para a empresa. 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análise desse índice depende da operação de cada empresa.</a:t>
          </a:r>
          <a:endParaRPr lang="pt-BR" sz="1200">
            <a:effectLst/>
          </a:endParaRPr>
        </a:p>
      </xdr:txBody>
    </xdr:sp>
    <xdr:clientData/>
  </xdr:twoCellAnchor>
  <xdr:twoCellAnchor>
    <xdr:from>
      <xdr:col>5</xdr:col>
      <xdr:colOff>669471</xdr:colOff>
      <xdr:row>153</xdr:row>
      <xdr:rowOff>111578</xdr:rowOff>
    </xdr:from>
    <xdr:to>
      <xdr:col>7</xdr:col>
      <xdr:colOff>1485899</xdr:colOff>
      <xdr:row>157</xdr:row>
      <xdr:rowOff>16329</xdr:rowOff>
    </xdr:to>
    <xdr:sp macro="" textlink="">
      <xdr:nvSpPr>
        <xdr:cNvPr id="39" name="CaixaDeTexto 38"/>
        <xdr:cNvSpPr txBox="1"/>
      </xdr:nvSpPr>
      <xdr:spPr>
        <a:xfrm>
          <a:off x="10303328" y="32074757"/>
          <a:ext cx="4667250" cy="721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/>
            <a:t>O prazo médio de estocagem evidencia o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prazo médio que os produtos ficam parados no estoque ao longo do ano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 análise desse índice depende da operação de cada empresa.</a:t>
          </a:r>
          <a:endParaRPr lang="pt-B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0</xdr:rowOff>
        </xdr:from>
        <xdr:to>
          <xdr:col>4</xdr:col>
          <xdr:colOff>1238250</xdr:colOff>
          <xdr:row>22</xdr:row>
          <xdr:rowOff>190500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10</xdr:row>
          <xdr:rowOff>66675</xdr:rowOff>
        </xdr:from>
        <xdr:to>
          <xdr:col>3</xdr:col>
          <xdr:colOff>752475</xdr:colOff>
          <xdr:row>12</xdr:row>
          <xdr:rowOff>135540</xdr:rowOff>
        </xdr:to>
        <xdr:grpSp>
          <xdr:nvGrpSpPr>
            <xdr:cNvPr id="8" name="Agrupar 7"/>
            <xdr:cNvGrpSpPr/>
          </xdr:nvGrpSpPr>
          <xdr:grpSpPr>
            <a:xfrm>
              <a:off x="2945606" y="2138363"/>
              <a:ext cx="723900" cy="473677"/>
              <a:chOff x="1771650" y="1323965"/>
              <a:chExt cx="720000" cy="360971"/>
            </a:xfrm>
          </xdr:grpSpPr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</a:extLst>
              </xdr:cNvPr>
              <xdr:cNvSpPr/>
            </xdr:nvSpPr>
            <xdr:spPr bwMode="auto">
              <a:xfrm>
                <a:off x="1771650" y="1323965"/>
                <a:ext cx="72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Estado</a:t>
                </a:r>
              </a:p>
            </xdr:txBody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 bwMode="auto">
              <a:xfrm>
                <a:off x="1771650" y="1504936"/>
                <a:ext cx="72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Nacional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6</xdr:col>
      <xdr:colOff>241188</xdr:colOff>
      <xdr:row>0</xdr:row>
      <xdr:rowOff>123825</xdr:rowOff>
    </xdr:from>
    <xdr:to>
      <xdr:col>13</xdr:col>
      <xdr:colOff>57150</xdr:colOff>
      <xdr:row>21</xdr:row>
      <xdr:rowOff>145633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513" y="123825"/>
          <a:ext cx="4530837" cy="4279483"/>
        </a:xfrm>
        <a:prstGeom prst="rect">
          <a:avLst/>
        </a:prstGeom>
        <a:ln w="28575">
          <a:solidFill>
            <a:schemeClr val="tx1"/>
          </a:solidFill>
          <a:prstDash val="dash"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60</xdr:row>
          <xdr:rowOff>0</xdr:rowOff>
        </xdr:from>
        <xdr:to>
          <xdr:col>5</xdr:col>
          <xdr:colOff>66675</xdr:colOff>
          <xdr:row>60</xdr:row>
          <xdr:rowOff>190500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 vista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28533</xdr:colOff>
      <xdr:row>54</xdr:row>
      <xdr:rowOff>85725</xdr:rowOff>
    </xdr:from>
    <xdr:to>
      <xdr:col>8</xdr:col>
      <xdr:colOff>304800</xdr:colOff>
      <xdr:row>65</xdr:row>
      <xdr:rowOff>38100</xdr:rowOff>
    </xdr:to>
    <xdr:pic>
      <xdr:nvPicPr>
        <xdr:cNvPr id="14" name="Imagem 13" descr="Mercedes-Benz Sprint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33" y="10944225"/>
          <a:ext cx="2867067" cy="215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9525</xdr:colOff>
      <xdr:row>21</xdr:row>
      <xdr:rowOff>190500</xdr:rowOff>
    </xdr:from>
    <xdr:to>
      <xdr:col>7</xdr:col>
      <xdr:colOff>590550</xdr:colOff>
      <xdr:row>27</xdr:row>
      <xdr:rowOff>9525</xdr:rowOff>
    </xdr:to>
    <xdr:sp macro="" textlink="">
      <xdr:nvSpPr>
        <xdr:cNvPr id="3" name="CaixaDeTexto 2"/>
        <xdr:cNvSpPr txBox="1"/>
      </xdr:nvSpPr>
      <xdr:spPr>
        <a:xfrm>
          <a:off x="5572125" y="4448175"/>
          <a:ext cx="2562225" cy="10191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/>
            <a:t>O </a:t>
          </a:r>
          <a:r>
            <a:rPr lang="pt-BR" sz="1100" b="1"/>
            <a:t>preço</a:t>
          </a:r>
          <a:r>
            <a:rPr lang="pt-BR" sz="1100" b="1" baseline="0"/>
            <a:t> do imóvel </a:t>
          </a:r>
          <a:r>
            <a:rPr lang="pt-BR" sz="1100" baseline="0"/>
            <a:t>é determinado pela localização (capital do Estado da matriz) e pela área. </a:t>
          </a:r>
        </a:p>
        <a:p>
          <a:pPr algn="ctr"/>
          <a:r>
            <a:rPr lang="pt-BR" sz="1100" baseline="0"/>
            <a:t>A </a:t>
          </a:r>
          <a:r>
            <a:rPr lang="pt-BR" sz="1100" b="1" baseline="0"/>
            <a:t>capacidade produtiva </a:t>
          </a:r>
          <a:r>
            <a:rPr lang="pt-BR" sz="1100" baseline="0"/>
            <a:t>é determinada pela área do imóvel. </a:t>
          </a:r>
          <a:endParaRPr lang="pt-BR" sz="1100"/>
        </a:p>
      </xdr:txBody>
    </xdr:sp>
    <xdr:clientData/>
  </xdr:twoCellAnchor>
  <xdr:twoCellAnchor>
    <xdr:from>
      <xdr:col>5</xdr:col>
      <xdr:colOff>1</xdr:colOff>
      <xdr:row>33</xdr:row>
      <xdr:rowOff>0</xdr:rowOff>
    </xdr:from>
    <xdr:to>
      <xdr:col>7</xdr:col>
      <xdr:colOff>495301</xdr:colOff>
      <xdr:row>35</xdr:row>
      <xdr:rowOff>85725</xdr:rowOff>
    </xdr:to>
    <xdr:sp macro="" textlink="">
      <xdr:nvSpPr>
        <xdr:cNvPr id="10" name="CaixaDeTexto 9"/>
        <xdr:cNvSpPr txBox="1"/>
      </xdr:nvSpPr>
      <xdr:spPr>
        <a:xfrm>
          <a:off x="5562601" y="6657975"/>
          <a:ext cx="2476500" cy="4857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/>
            <a:t>Os</a:t>
          </a:r>
          <a:r>
            <a:rPr lang="pt-BR" sz="1100" baseline="0"/>
            <a:t> </a:t>
          </a:r>
          <a:r>
            <a:rPr lang="pt-BR" sz="1100" b="1" baseline="0"/>
            <a:t>gastos</a:t>
          </a:r>
          <a:r>
            <a:rPr lang="pt-BR" sz="1100" baseline="0"/>
            <a:t> são determinados pela área do imóvel.</a:t>
          </a:r>
          <a:endParaRPr lang="pt-BR" sz="1100"/>
        </a:p>
      </xdr:txBody>
    </xdr:sp>
    <xdr:clientData/>
  </xdr:twoCellAnchor>
  <xdr:twoCellAnchor>
    <xdr:from>
      <xdr:col>8</xdr:col>
      <xdr:colOff>123825</xdr:colOff>
      <xdr:row>50</xdr:row>
      <xdr:rowOff>19050</xdr:rowOff>
    </xdr:from>
    <xdr:to>
      <xdr:col>12</xdr:col>
      <xdr:colOff>314324</xdr:colOff>
      <xdr:row>54</xdr:row>
      <xdr:rowOff>9525</xdr:rowOff>
    </xdr:to>
    <xdr:sp macro="" textlink="">
      <xdr:nvSpPr>
        <xdr:cNvPr id="11" name="CaixaDeTexto 10"/>
        <xdr:cNvSpPr txBox="1"/>
      </xdr:nvSpPr>
      <xdr:spPr>
        <a:xfrm>
          <a:off x="8963025" y="10077450"/>
          <a:ext cx="3009899" cy="7905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/>
            <a:t>A</a:t>
          </a:r>
          <a:r>
            <a:rPr lang="pt-BR" sz="1100" baseline="0"/>
            <a:t>s substâncias D-Fenilalanina e L-Fenilalanina </a:t>
          </a:r>
          <a:r>
            <a:rPr lang="pt-BR" sz="1100" b="1" baseline="0"/>
            <a:t>apenas</a:t>
          </a:r>
          <a:r>
            <a:rPr lang="pt-BR" sz="1100" baseline="0"/>
            <a:t> são vendidas em pacotes com </a:t>
          </a:r>
          <a:r>
            <a:rPr lang="pt-BR" sz="1100" b="1" baseline="0"/>
            <a:t>100kg</a:t>
          </a:r>
          <a:r>
            <a:rPr lang="pt-BR" sz="1100" baseline="0"/>
            <a:t>. </a:t>
          </a:r>
          <a:br>
            <a:rPr lang="pt-BR" sz="1100" baseline="0"/>
          </a:br>
          <a:r>
            <a:rPr lang="pt-BR" sz="1100" baseline="0"/>
            <a:t>As embalagens são vendidas </a:t>
          </a:r>
          <a:r>
            <a:rPr lang="pt-BR" sz="1100" b="1" baseline="0"/>
            <a:t>apenas</a:t>
          </a:r>
          <a:r>
            <a:rPr lang="pt-BR" sz="1100" baseline="0"/>
            <a:t> em pacotes com </a:t>
          </a:r>
          <a:r>
            <a:rPr lang="pt-BR" sz="1100" b="1" baseline="0"/>
            <a:t>500</a:t>
          </a:r>
          <a:r>
            <a:rPr lang="pt-BR" sz="1100" baseline="0"/>
            <a:t> </a:t>
          </a:r>
          <a:r>
            <a:rPr lang="pt-BR" sz="1100" b="1" baseline="0"/>
            <a:t>unidades</a:t>
          </a:r>
          <a:r>
            <a:rPr lang="pt-BR" sz="1100" baseline="0"/>
            <a:t>. </a:t>
          </a:r>
          <a:endParaRPr lang="pt-BR" sz="1100"/>
        </a:p>
      </xdr:txBody>
    </xdr:sp>
    <xdr:clientData/>
  </xdr:twoCellAnchor>
  <xdr:twoCellAnchor>
    <xdr:from>
      <xdr:col>0</xdr:col>
      <xdr:colOff>285750</xdr:colOff>
      <xdr:row>1</xdr:row>
      <xdr:rowOff>76200</xdr:rowOff>
    </xdr:from>
    <xdr:to>
      <xdr:col>0</xdr:col>
      <xdr:colOff>2119992</xdr:colOff>
      <xdr:row>40</xdr:row>
      <xdr:rowOff>12245</xdr:rowOff>
    </xdr:to>
    <xdr:grpSp>
      <xdr:nvGrpSpPr>
        <xdr:cNvPr id="49" name="Agrupar 48"/>
        <xdr:cNvGrpSpPr/>
      </xdr:nvGrpSpPr>
      <xdr:grpSpPr>
        <a:xfrm>
          <a:off x="285750" y="314325"/>
          <a:ext cx="1834242" cy="7841795"/>
          <a:chOff x="228600" y="314325"/>
          <a:chExt cx="1362076" cy="5038725"/>
        </a:xfrm>
      </xdr:grpSpPr>
      <xdr:sp macro="" textlink="">
        <xdr:nvSpPr>
          <xdr:cNvPr id="50" name="Retângulo 49"/>
          <xdr:cNvSpPr/>
        </xdr:nvSpPr>
        <xdr:spPr>
          <a:xfrm>
            <a:off x="228600" y="314325"/>
            <a:ext cx="1162050" cy="443865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1" name="Retângulo Arredondado 50">
            <a:hlinkClick xmlns:r="http://schemas.openxmlformats.org/officeDocument/2006/relationships" r:id="rId3"/>
          </xdr:cNvPr>
          <xdr:cNvSpPr/>
        </xdr:nvSpPr>
        <xdr:spPr>
          <a:xfrm>
            <a:off x="285750" y="447675"/>
            <a:ext cx="971550" cy="314325"/>
          </a:xfrm>
          <a:prstGeom prst="round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Instruções</a:t>
            </a:r>
          </a:p>
        </xdr:txBody>
      </xdr:sp>
      <xdr:sp macro="" textlink="">
        <xdr:nvSpPr>
          <xdr:cNvPr id="52" name="Retângulo Arredondado 51">
            <a:hlinkClick xmlns:r="http://schemas.openxmlformats.org/officeDocument/2006/relationships" r:id="rId4"/>
          </xdr:cNvPr>
          <xdr:cNvSpPr/>
        </xdr:nvSpPr>
        <xdr:spPr>
          <a:xfrm>
            <a:off x="276225" y="800100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Decisões</a:t>
            </a:r>
          </a:p>
        </xdr:txBody>
      </xdr:sp>
      <xdr:sp macro="" textlink="">
        <xdr:nvSpPr>
          <xdr:cNvPr id="53" name="Retângulo Arredondado 52">
            <a:hlinkClick xmlns:r="http://schemas.openxmlformats.org/officeDocument/2006/relationships" r:id="rId5"/>
          </xdr:cNvPr>
          <xdr:cNvSpPr/>
        </xdr:nvSpPr>
        <xdr:spPr>
          <a:xfrm>
            <a:off x="276225" y="1504950"/>
            <a:ext cx="971550" cy="3143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Plano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Contas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4" name="Retângulo Arredondado 53">
            <a:hlinkClick xmlns:r="http://schemas.openxmlformats.org/officeDocument/2006/relationships" r:id="rId5"/>
          </xdr:cNvPr>
          <xdr:cNvSpPr/>
        </xdr:nvSpPr>
        <xdr:spPr>
          <a:xfrm>
            <a:off x="266700" y="1847850"/>
            <a:ext cx="971550" cy="3905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Lançamentos 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Razonetes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5" name="Retângulo Arredondado 54">
            <a:hlinkClick xmlns:r="http://schemas.openxmlformats.org/officeDocument/2006/relationships" r:id="rId6"/>
          </xdr:cNvPr>
          <xdr:cNvSpPr/>
        </xdr:nvSpPr>
        <xdr:spPr>
          <a:xfrm>
            <a:off x="257175" y="2266950"/>
            <a:ext cx="971550" cy="476250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Matéria Prima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6" name="Retângulo Arredondado 55">
            <a:hlinkClick xmlns:r="http://schemas.openxmlformats.org/officeDocument/2006/relationships" r:id="rId7"/>
          </xdr:cNvPr>
          <xdr:cNvSpPr/>
        </xdr:nvSpPr>
        <xdr:spPr>
          <a:xfrm>
            <a:off x="257175" y="324802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Salários</a:t>
            </a:r>
          </a:p>
        </xdr:txBody>
      </xdr:sp>
      <xdr:sp macro="" textlink="">
        <xdr:nvSpPr>
          <xdr:cNvPr id="57" name="Retângulo Arredondado 56">
            <a:hlinkClick xmlns:r="http://schemas.openxmlformats.org/officeDocument/2006/relationships" r:id="rId8"/>
          </xdr:cNvPr>
          <xdr:cNvSpPr/>
        </xdr:nvSpPr>
        <xdr:spPr>
          <a:xfrm>
            <a:off x="247650" y="360997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Tributos</a:t>
            </a:r>
          </a:p>
        </xdr:txBody>
      </xdr:sp>
      <xdr:sp macro="" textlink="">
        <xdr:nvSpPr>
          <xdr:cNvPr id="58" name="Retângulo Arredondado 57">
            <a:hlinkClick xmlns:r="http://schemas.openxmlformats.org/officeDocument/2006/relationships" r:id="rId9"/>
          </xdr:cNvPr>
          <xdr:cNvSpPr/>
        </xdr:nvSpPr>
        <xdr:spPr>
          <a:xfrm>
            <a:off x="247650" y="3962400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Preço de Venda</a:t>
            </a:r>
          </a:p>
        </xdr:txBody>
      </xdr:sp>
      <xdr:sp macro="" textlink="">
        <xdr:nvSpPr>
          <xdr:cNvPr id="59" name="Retângulo Arredondado 58">
            <a:hlinkClick xmlns:r="http://schemas.openxmlformats.org/officeDocument/2006/relationships" r:id="rId10"/>
          </xdr:cNvPr>
          <xdr:cNvSpPr/>
        </xdr:nvSpPr>
        <xdr:spPr>
          <a:xfrm>
            <a:off x="228600" y="43148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BP</a:t>
            </a:r>
          </a:p>
        </xdr:txBody>
      </xdr:sp>
      <xdr:sp macro="" textlink="">
        <xdr:nvSpPr>
          <xdr:cNvPr id="60" name="Retângulo Arredondado 59">
            <a:hlinkClick xmlns:r="http://schemas.openxmlformats.org/officeDocument/2006/relationships" r:id="rId11"/>
          </xdr:cNvPr>
          <xdr:cNvSpPr/>
        </xdr:nvSpPr>
        <xdr:spPr>
          <a:xfrm>
            <a:off x="238125" y="467677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DRE</a:t>
            </a:r>
          </a:p>
        </xdr:txBody>
      </xdr:sp>
      <xdr:sp macro="" textlink="">
        <xdr:nvSpPr>
          <xdr:cNvPr id="61" name="Retângulo Arredondado 60">
            <a:hlinkClick xmlns:r="http://schemas.openxmlformats.org/officeDocument/2006/relationships" r:id="rId12"/>
          </xdr:cNvPr>
          <xdr:cNvSpPr/>
        </xdr:nvSpPr>
        <xdr:spPr>
          <a:xfrm>
            <a:off x="247650" y="50387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Indicadores</a:t>
            </a:r>
          </a:p>
        </xdr:txBody>
      </xdr:sp>
      <xdr:sp macro="" textlink="">
        <xdr:nvSpPr>
          <xdr:cNvPr id="62" name="Retângulo 61"/>
          <xdr:cNvSpPr/>
        </xdr:nvSpPr>
        <xdr:spPr>
          <a:xfrm>
            <a:off x="1323975" y="1524000"/>
            <a:ext cx="266700" cy="7239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Reconhecimento</a:t>
            </a:r>
          </a:p>
        </xdr:txBody>
      </xdr:sp>
      <xdr:sp macro="" textlink="">
        <xdr:nvSpPr>
          <xdr:cNvPr id="63" name="Retângulo 62"/>
          <xdr:cNvSpPr/>
        </xdr:nvSpPr>
        <xdr:spPr>
          <a:xfrm>
            <a:off x="1323974" y="2286000"/>
            <a:ext cx="266701" cy="197167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Mensuração</a:t>
            </a:r>
          </a:p>
        </xdr:txBody>
      </xdr:sp>
      <xdr:sp macro="" textlink="">
        <xdr:nvSpPr>
          <xdr:cNvPr id="64" name="Retângulo 63"/>
          <xdr:cNvSpPr/>
        </xdr:nvSpPr>
        <xdr:spPr>
          <a:xfrm>
            <a:off x="1323974" y="4295775"/>
            <a:ext cx="266702" cy="7334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Evidenciação</a:t>
            </a:r>
          </a:p>
        </xdr:txBody>
      </xdr:sp>
      <xdr:sp macro="" textlink="">
        <xdr:nvSpPr>
          <xdr:cNvPr id="65" name="Retângulo Arredondado 64">
            <a:hlinkClick xmlns:r="http://schemas.openxmlformats.org/officeDocument/2006/relationships" r:id="rId13"/>
          </xdr:cNvPr>
          <xdr:cNvSpPr/>
        </xdr:nvSpPr>
        <xdr:spPr>
          <a:xfrm>
            <a:off x="266701" y="2771774"/>
            <a:ext cx="971550" cy="438151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 de Produtos Acabados</a:t>
            </a:r>
          </a:p>
        </xdr:txBody>
      </xdr:sp>
      <xdr:sp macro="" textlink="">
        <xdr:nvSpPr>
          <xdr:cNvPr id="66" name="Retângulo Arredondado 65">
            <a:hlinkClick xmlns:r="http://schemas.openxmlformats.org/officeDocument/2006/relationships" r:id="rId14"/>
          </xdr:cNvPr>
          <xdr:cNvSpPr/>
        </xdr:nvSpPr>
        <xdr:spPr>
          <a:xfrm>
            <a:off x="276225" y="1152525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Financiamento</a:t>
            </a:r>
          </a:p>
        </xdr:txBody>
      </xdr:sp>
    </xdr:grpSp>
    <xdr:clientData/>
  </xdr:twoCellAnchor>
  <xdr:twoCellAnchor>
    <xdr:from>
      <xdr:col>1</xdr:col>
      <xdr:colOff>266700</xdr:colOff>
      <xdr:row>3</xdr:row>
      <xdr:rowOff>190500</xdr:rowOff>
    </xdr:from>
    <xdr:to>
      <xdr:col>5</xdr:col>
      <xdr:colOff>342900</xdr:colOff>
      <xdr:row>19</xdr:row>
      <xdr:rowOff>95250</xdr:rowOff>
    </xdr:to>
    <xdr:sp macro="" textlink="">
      <xdr:nvSpPr>
        <xdr:cNvPr id="4" name="Retângulo 3"/>
        <xdr:cNvSpPr/>
      </xdr:nvSpPr>
      <xdr:spPr>
        <a:xfrm>
          <a:off x="2590800" y="828675"/>
          <a:ext cx="4000500" cy="3124200"/>
        </a:xfrm>
        <a:prstGeom prst="rect">
          <a:avLst/>
        </a:prstGeom>
        <a:noFill/>
        <a:ln>
          <a:solidFill>
            <a:sysClr val="windowText" lastClr="000000"/>
          </a:solidFill>
          <a:prstDash val="dash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238125</xdr:colOff>
      <xdr:row>48</xdr:row>
      <xdr:rowOff>130968</xdr:rowOff>
    </xdr:from>
    <xdr:to>
      <xdr:col>12</xdr:col>
      <xdr:colOff>107156</xdr:colOff>
      <xdr:row>49</xdr:row>
      <xdr:rowOff>190500</xdr:rowOff>
    </xdr:to>
    <xdr:sp macro="" textlink="">
      <xdr:nvSpPr>
        <xdr:cNvPr id="5" name="CaixaDeTexto 4"/>
        <xdr:cNvSpPr txBox="1"/>
      </xdr:nvSpPr>
      <xdr:spPr>
        <a:xfrm>
          <a:off x="9084469" y="9894093"/>
          <a:ext cx="2678906" cy="261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 b="1">
              <a:solidFill>
                <a:srgbClr val="FF0000"/>
              </a:solidFill>
            </a:rPr>
            <a:t>IMPORTANTE!!!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173934</xdr:colOff>
      <xdr:row>15</xdr:row>
      <xdr:rowOff>132521</xdr:rowOff>
    </xdr:from>
    <xdr:to>
      <xdr:col>11</xdr:col>
      <xdr:colOff>1184413</xdr:colOff>
      <xdr:row>20</xdr:row>
      <xdr:rowOff>173935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184459" y="2713796"/>
          <a:ext cx="2391604" cy="9462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Principal devido 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 o valor de Empréstimos a Pagar (passivo)</a:t>
          </a:r>
        </a:p>
        <a:p>
          <a:r>
            <a:rPr lang="pt-B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Juros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devidos é o valor de Juros a Pagar, que devem ser apropriados mensalmente</a:t>
          </a:r>
          <a:endParaRPr lang="pt-BR" sz="1100"/>
        </a:p>
      </xdr:txBody>
    </xdr:sp>
    <xdr:clientData/>
  </xdr:twoCellAnchor>
  <xdr:twoCellAnchor>
    <xdr:from>
      <xdr:col>0</xdr:col>
      <xdr:colOff>285750</xdr:colOff>
      <xdr:row>8</xdr:row>
      <xdr:rowOff>107156</xdr:rowOff>
    </xdr:from>
    <xdr:to>
      <xdr:col>0</xdr:col>
      <xdr:colOff>2119992</xdr:colOff>
      <xdr:row>46</xdr:row>
      <xdr:rowOff>171788</xdr:rowOff>
    </xdr:to>
    <xdr:grpSp>
      <xdr:nvGrpSpPr>
        <xdr:cNvPr id="22" name="Agrupar 21"/>
        <xdr:cNvGrpSpPr/>
      </xdr:nvGrpSpPr>
      <xdr:grpSpPr>
        <a:xfrm>
          <a:off x="285750" y="1785937"/>
          <a:ext cx="1834242" cy="7756070"/>
          <a:chOff x="228600" y="314325"/>
          <a:chExt cx="1362076" cy="5038725"/>
        </a:xfrm>
      </xdr:grpSpPr>
      <xdr:sp macro="" textlink="">
        <xdr:nvSpPr>
          <xdr:cNvPr id="23" name="Retângulo 22"/>
          <xdr:cNvSpPr/>
        </xdr:nvSpPr>
        <xdr:spPr>
          <a:xfrm>
            <a:off x="228600" y="314325"/>
            <a:ext cx="1162050" cy="443865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4" name="Retângulo Arredondado 23">
            <a:hlinkClick xmlns:r="http://schemas.openxmlformats.org/officeDocument/2006/relationships" r:id="rId1"/>
          </xdr:cNvPr>
          <xdr:cNvSpPr/>
        </xdr:nvSpPr>
        <xdr:spPr>
          <a:xfrm>
            <a:off x="285750" y="447675"/>
            <a:ext cx="971550" cy="314325"/>
          </a:xfrm>
          <a:prstGeom prst="round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Instruções</a:t>
            </a:r>
          </a:p>
        </xdr:txBody>
      </xdr:sp>
      <xdr:sp macro="" textlink="">
        <xdr:nvSpPr>
          <xdr:cNvPr id="25" name="Retângulo Arredondado 24">
            <a:hlinkClick xmlns:r="http://schemas.openxmlformats.org/officeDocument/2006/relationships" r:id="rId2"/>
          </xdr:cNvPr>
          <xdr:cNvSpPr/>
        </xdr:nvSpPr>
        <xdr:spPr>
          <a:xfrm>
            <a:off x="276225" y="800100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Decisões</a:t>
            </a:r>
          </a:p>
        </xdr:txBody>
      </xdr:sp>
      <xdr:sp macro="" textlink="">
        <xdr:nvSpPr>
          <xdr:cNvPr id="26" name="Retângulo Arredondado 25">
            <a:hlinkClick xmlns:r="http://schemas.openxmlformats.org/officeDocument/2006/relationships" r:id="rId3"/>
          </xdr:cNvPr>
          <xdr:cNvSpPr/>
        </xdr:nvSpPr>
        <xdr:spPr>
          <a:xfrm>
            <a:off x="276225" y="1504950"/>
            <a:ext cx="971550" cy="3143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Plano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Contas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Retângulo Arredondado 26">
            <a:hlinkClick xmlns:r="http://schemas.openxmlformats.org/officeDocument/2006/relationships" r:id="rId4"/>
          </xdr:cNvPr>
          <xdr:cNvSpPr/>
        </xdr:nvSpPr>
        <xdr:spPr>
          <a:xfrm>
            <a:off x="266700" y="1847850"/>
            <a:ext cx="971550" cy="3905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Lançamentos 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Razonetes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8" name="Retângulo Arredondado 27">
            <a:hlinkClick xmlns:r="http://schemas.openxmlformats.org/officeDocument/2006/relationships" r:id="rId5"/>
          </xdr:cNvPr>
          <xdr:cNvSpPr/>
        </xdr:nvSpPr>
        <xdr:spPr>
          <a:xfrm>
            <a:off x="257175" y="2266950"/>
            <a:ext cx="971550" cy="476250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Matéria Prima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Retângulo Arredondado 28">
            <a:hlinkClick xmlns:r="http://schemas.openxmlformats.org/officeDocument/2006/relationships" r:id="rId6"/>
          </xdr:cNvPr>
          <xdr:cNvSpPr/>
        </xdr:nvSpPr>
        <xdr:spPr>
          <a:xfrm>
            <a:off x="257175" y="324802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Salários</a:t>
            </a:r>
          </a:p>
        </xdr:txBody>
      </xdr:sp>
      <xdr:sp macro="" textlink="">
        <xdr:nvSpPr>
          <xdr:cNvPr id="30" name="Retângulo Arredondado 29">
            <a:hlinkClick xmlns:r="http://schemas.openxmlformats.org/officeDocument/2006/relationships" r:id="rId7"/>
          </xdr:cNvPr>
          <xdr:cNvSpPr/>
        </xdr:nvSpPr>
        <xdr:spPr>
          <a:xfrm>
            <a:off x="247650" y="360997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Tributos</a:t>
            </a:r>
          </a:p>
        </xdr:txBody>
      </xdr:sp>
      <xdr:sp macro="" textlink="">
        <xdr:nvSpPr>
          <xdr:cNvPr id="31" name="Retângulo Arredondado 30">
            <a:hlinkClick xmlns:r="http://schemas.openxmlformats.org/officeDocument/2006/relationships" r:id="rId8"/>
          </xdr:cNvPr>
          <xdr:cNvSpPr/>
        </xdr:nvSpPr>
        <xdr:spPr>
          <a:xfrm>
            <a:off x="247650" y="3962400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Preço de Venda</a:t>
            </a:r>
          </a:p>
        </xdr:txBody>
      </xdr:sp>
      <xdr:sp macro="" textlink="">
        <xdr:nvSpPr>
          <xdr:cNvPr id="32" name="Retângulo Arredondado 31">
            <a:hlinkClick xmlns:r="http://schemas.openxmlformats.org/officeDocument/2006/relationships" r:id="rId9"/>
          </xdr:cNvPr>
          <xdr:cNvSpPr/>
        </xdr:nvSpPr>
        <xdr:spPr>
          <a:xfrm>
            <a:off x="228600" y="43148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BP</a:t>
            </a:r>
          </a:p>
        </xdr:txBody>
      </xdr:sp>
      <xdr:sp macro="" textlink="">
        <xdr:nvSpPr>
          <xdr:cNvPr id="33" name="Retângulo Arredondado 32">
            <a:hlinkClick xmlns:r="http://schemas.openxmlformats.org/officeDocument/2006/relationships" r:id="rId10"/>
          </xdr:cNvPr>
          <xdr:cNvSpPr/>
        </xdr:nvSpPr>
        <xdr:spPr>
          <a:xfrm>
            <a:off x="238125" y="467677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DRE</a:t>
            </a:r>
          </a:p>
        </xdr:txBody>
      </xdr:sp>
      <xdr:sp macro="" textlink="">
        <xdr:nvSpPr>
          <xdr:cNvPr id="34" name="Retângulo Arredondado 33">
            <a:hlinkClick xmlns:r="http://schemas.openxmlformats.org/officeDocument/2006/relationships" r:id="rId11"/>
          </xdr:cNvPr>
          <xdr:cNvSpPr/>
        </xdr:nvSpPr>
        <xdr:spPr>
          <a:xfrm>
            <a:off x="247650" y="50387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Indicadores</a:t>
            </a:r>
          </a:p>
        </xdr:txBody>
      </xdr:sp>
      <xdr:sp macro="" textlink="">
        <xdr:nvSpPr>
          <xdr:cNvPr id="35" name="Retângulo 34"/>
          <xdr:cNvSpPr/>
        </xdr:nvSpPr>
        <xdr:spPr>
          <a:xfrm>
            <a:off x="1323975" y="1524000"/>
            <a:ext cx="266700" cy="7239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Reconhecimento</a:t>
            </a:r>
          </a:p>
        </xdr:txBody>
      </xdr:sp>
      <xdr:sp macro="" textlink="">
        <xdr:nvSpPr>
          <xdr:cNvPr id="36" name="Retângulo 35"/>
          <xdr:cNvSpPr/>
        </xdr:nvSpPr>
        <xdr:spPr>
          <a:xfrm>
            <a:off x="1323974" y="2286000"/>
            <a:ext cx="266701" cy="197167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Mensuração</a:t>
            </a:r>
          </a:p>
        </xdr:txBody>
      </xdr:sp>
      <xdr:sp macro="" textlink="">
        <xdr:nvSpPr>
          <xdr:cNvPr id="37" name="Retângulo 36"/>
          <xdr:cNvSpPr/>
        </xdr:nvSpPr>
        <xdr:spPr>
          <a:xfrm>
            <a:off x="1323974" y="4295775"/>
            <a:ext cx="266702" cy="7334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Evidenciação</a:t>
            </a:r>
          </a:p>
        </xdr:txBody>
      </xdr:sp>
      <xdr:sp macro="" textlink="">
        <xdr:nvSpPr>
          <xdr:cNvPr id="38" name="Retângulo Arredondado 37">
            <a:hlinkClick xmlns:r="http://schemas.openxmlformats.org/officeDocument/2006/relationships" r:id="rId12"/>
          </xdr:cNvPr>
          <xdr:cNvSpPr/>
        </xdr:nvSpPr>
        <xdr:spPr>
          <a:xfrm>
            <a:off x="266701" y="2771774"/>
            <a:ext cx="971550" cy="438151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 de Produtos Acabados</a:t>
            </a:r>
          </a:p>
        </xdr:txBody>
      </xdr:sp>
      <xdr:sp macro="" textlink="">
        <xdr:nvSpPr>
          <xdr:cNvPr id="39" name="Retângulo Arredondado 38">
            <a:hlinkClick xmlns:r="http://schemas.openxmlformats.org/officeDocument/2006/relationships" r:id="rId13"/>
          </xdr:cNvPr>
          <xdr:cNvSpPr/>
        </xdr:nvSpPr>
        <xdr:spPr>
          <a:xfrm>
            <a:off x="276225" y="1152525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Financiamento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89086</xdr:colOff>
      <xdr:row>0</xdr:row>
      <xdr:rowOff>217954</xdr:rowOff>
    </xdr:from>
    <xdr:to>
      <xdr:col>2</xdr:col>
      <xdr:colOff>1346386</xdr:colOff>
      <xdr:row>22</xdr:row>
      <xdr:rowOff>123264</xdr:rowOff>
    </xdr:to>
    <xdr:grpSp>
      <xdr:nvGrpSpPr>
        <xdr:cNvPr id="11" name="Agrupar 10"/>
        <xdr:cNvGrpSpPr/>
      </xdr:nvGrpSpPr>
      <xdr:grpSpPr>
        <a:xfrm>
          <a:off x="2879351" y="217954"/>
          <a:ext cx="1257300" cy="4197163"/>
          <a:chOff x="-95250" y="352426"/>
          <a:chExt cx="1257300" cy="3019426"/>
        </a:xfrm>
      </xdr:grpSpPr>
      <xdr:sp macro="" textlink="">
        <xdr:nvSpPr>
          <xdr:cNvPr id="2" name="Retângulo 1"/>
          <xdr:cNvSpPr/>
        </xdr:nvSpPr>
        <xdr:spPr>
          <a:xfrm>
            <a:off x="-95250" y="352426"/>
            <a:ext cx="1257300" cy="3019426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10" name="Agrupar 9"/>
          <xdr:cNvGrpSpPr/>
        </xdr:nvGrpSpPr>
        <xdr:grpSpPr>
          <a:xfrm>
            <a:off x="47625" y="476250"/>
            <a:ext cx="962025" cy="2781300"/>
            <a:chOff x="47625" y="476250"/>
            <a:chExt cx="962025" cy="2781300"/>
          </a:xfrm>
        </xdr:grpSpPr>
        <xdr:sp macro="" textlink="">
          <xdr:nvSpPr>
            <xdr:cNvPr id="3" name="Retângulo Arredondado 2">
              <a:hlinkClick xmlns:r="http://schemas.openxmlformats.org/officeDocument/2006/relationships" r:id="rId1"/>
            </xdr:cNvPr>
            <xdr:cNvSpPr/>
          </xdr:nvSpPr>
          <xdr:spPr>
            <a:xfrm>
              <a:off x="66675" y="476250"/>
              <a:ext cx="942975" cy="400050"/>
            </a:xfrm>
            <a:prstGeom prst="roundRect">
              <a:avLst/>
            </a:pr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05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Ativo Circulante</a:t>
              </a:r>
            </a:p>
          </xdr:txBody>
        </xdr:sp>
        <xdr:sp macro="" textlink="">
          <xdr:nvSpPr>
            <xdr:cNvPr id="4" name="Retângulo Arredondado 3">
              <a:hlinkClick xmlns:r="http://schemas.openxmlformats.org/officeDocument/2006/relationships" r:id="rId2"/>
            </xdr:cNvPr>
            <xdr:cNvSpPr/>
          </xdr:nvSpPr>
          <xdr:spPr>
            <a:xfrm>
              <a:off x="66675" y="952500"/>
              <a:ext cx="942975" cy="400050"/>
            </a:xfrm>
            <a:prstGeom prst="roundRect">
              <a:avLst/>
            </a:pr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pt-BR" sz="105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Ativo Não Circulante</a:t>
              </a:r>
            </a:p>
          </xdr:txBody>
        </xdr:sp>
        <xdr:sp macro="" textlink="">
          <xdr:nvSpPr>
            <xdr:cNvPr id="5" name="Retângulo Arredondado 4">
              <a:hlinkClick xmlns:r="http://schemas.openxmlformats.org/officeDocument/2006/relationships" r:id="rId3"/>
            </xdr:cNvPr>
            <xdr:cNvSpPr/>
          </xdr:nvSpPr>
          <xdr:spPr>
            <a:xfrm>
              <a:off x="57150" y="1447800"/>
              <a:ext cx="942975" cy="400050"/>
            </a:xfrm>
            <a:prstGeom prst="roundRect">
              <a:avLst/>
            </a:pr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05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Passivo Circulante</a:t>
              </a:r>
            </a:p>
          </xdr:txBody>
        </xdr:sp>
        <xdr:sp macro="" textlink="">
          <xdr:nvSpPr>
            <xdr:cNvPr id="6" name="Retângulo Arredondado 5">
              <a:hlinkClick xmlns:r="http://schemas.openxmlformats.org/officeDocument/2006/relationships" r:id="rId4"/>
            </xdr:cNvPr>
            <xdr:cNvSpPr/>
          </xdr:nvSpPr>
          <xdr:spPr>
            <a:xfrm>
              <a:off x="47625" y="1914525"/>
              <a:ext cx="942975" cy="400050"/>
            </a:xfrm>
            <a:prstGeom prst="roundRect">
              <a:avLst/>
            </a:pr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05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Passivo Não Circulante</a:t>
              </a:r>
            </a:p>
          </xdr:txBody>
        </xdr:sp>
        <xdr:sp macro="" textlink="">
          <xdr:nvSpPr>
            <xdr:cNvPr id="7" name="Retângulo Arredondado 6">
              <a:hlinkClick xmlns:r="http://schemas.openxmlformats.org/officeDocument/2006/relationships" r:id="rId5"/>
            </xdr:cNvPr>
            <xdr:cNvSpPr/>
          </xdr:nvSpPr>
          <xdr:spPr>
            <a:xfrm>
              <a:off x="66675" y="2371725"/>
              <a:ext cx="942975" cy="400050"/>
            </a:xfrm>
            <a:prstGeom prst="roundRect">
              <a:avLst/>
            </a:pr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05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Patrimônio Líquido</a:t>
              </a:r>
            </a:p>
          </xdr:txBody>
        </xdr:sp>
        <xdr:sp macro="" textlink="">
          <xdr:nvSpPr>
            <xdr:cNvPr id="8" name="Retângulo Arredondado 7">
              <a:hlinkClick xmlns:r="http://schemas.openxmlformats.org/officeDocument/2006/relationships" r:id="rId6"/>
            </xdr:cNvPr>
            <xdr:cNvSpPr/>
          </xdr:nvSpPr>
          <xdr:spPr>
            <a:xfrm>
              <a:off x="66675" y="2857500"/>
              <a:ext cx="942975" cy="400050"/>
            </a:xfrm>
            <a:prstGeom prst="roundRect">
              <a:avLst/>
            </a:prstGeom>
            <a:solidFill>
              <a:srgbClr val="002060"/>
            </a:solidFill>
            <a:ln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05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Contas de Resultado</a:t>
              </a:r>
            </a:p>
          </xdr:txBody>
        </xdr:sp>
      </xdr:grpSp>
    </xdr:grpSp>
    <xdr:clientData/>
  </xdr:twoCellAnchor>
  <xdr:twoCellAnchor>
    <xdr:from>
      <xdr:col>0</xdr:col>
      <xdr:colOff>11207</xdr:colOff>
      <xdr:row>1</xdr:row>
      <xdr:rowOff>100853</xdr:rowOff>
    </xdr:from>
    <xdr:to>
      <xdr:col>0</xdr:col>
      <xdr:colOff>2186108</xdr:colOff>
      <xdr:row>63</xdr:row>
      <xdr:rowOff>141673</xdr:rowOff>
    </xdr:to>
    <xdr:grpSp>
      <xdr:nvGrpSpPr>
        <xdr:cNvPr id="30" name="Agrupar 29"/>
        <xdr:cNvGrpSpPr/>
      </xdr:nvGrpSpPr>
      <xdr:grpSpPr>
        <a:xfrm>
          <a:off x="11207" y="392206"/>
          <a:ext cx="2174901" cy="7851320"/>
          <a:chOff x="228600" y="314325"/>
          <a:chExt cx="1362076" cy="5038725"/>
        </a:xfrm>
      </xdr:grpSpPr>
      <xdr:sp macro="" textlink="">
        <xdr:nvSpPr>
          <xdr:cNvPr id="31" name="Retângulo 30"/>
          <xdr:cNvSpPr/>
        </xdr:nvSpPr>
        <xdr:spPr>
          <a:xfrm>
            <a:off x="228600" y="314325"/>
            <a:ext cx="1162050" cy="443865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2" name="Retângulo Arredondado 31">
            <a:hlinkClick xmlns:r="http://schemas.openxmlformats.org/officeDocument/2006/relationships" r:id="rId7"/>
          </xdr:cNvPr>
          <xdr:cNvSpPr/>
        </xdr:nvSpPr>
        <xdr:spPr>
          <a:xfrm>
            <a:off x="285750" y="447675"/>
            <a:ext cx="971550" cy="314325"/>
          </a:xfrm>
          <a:prstGeom prst="round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Instruções</a:t>
            </a:r>
          </a:p>
        </xdr:txBody>
      </xdr:sp>
      <xdr:sp macro="" textlink="">
        <xdr:nvSpPr>
          <xdr:cNvPr id="33" name="Retângulo Arredondado 32">
            <a:hlinkClick xmlns:r="http://schemas.openxmlformats.org/officeDocument/2006/relationships" r:id="rId8"/>
          </xdr:cNvPr>
          <xdr:cNvSpPr/>
        </xdr:nvSpPr>
        <xdr:spPr>
          <a:xfrm>
            <a:off x="276225" y="800100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Decisões</a:t>
            </a:r>
          </a:p>
        </xdr:txBody>
      </xdr:sp>
      <xdr:sp macro="" textlink="">
        <xdr:nvSpPr>
          <xdr:cNvPr id="34" name="Retângulo Arredondado 33">
            <a:hlinkClick xmlns:r="http://schemas.openxmlformats.org/officeDocument/2006/relationships" r:id="rId9"/>
          </xdr:cNvPr>
          <xdr:cNvSpPr/>
        </xdr:nvSpPr>
        <xdr:spPr>
          <a:xfrm>
            <a:off x="276225" y="1504950"/>
            <a:ext cx="971550" cy="3143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Plano</a:t>
            </a:r>
            <a:r>
              <a:rPr lang="pt-BR" sz="105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Contas</a:t>
            </a:r>
            <a:endParaRPr lang="pt-BR" sz="105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5" name="Retângulo Arredondado 34">
            <a:hlinkClick xmlns:r="http://schemas.openxmlformats.org/officeDocument/2006/relationships" r:id="rId10"/>
          </xdr:cNvPr>
          <xdr:cNvSpPr/>
        </xdr:nvSpPr>
        <xdr:spPr>
          <a:xfrm>
            <a:off x="266700" y="1847850"/>
            <a:ext cx="971550" cy="3905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Lançamentos e</a:t>
            </a:r>
            <a:r>
              <a:rPr lang="pt-BR" sz="105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Razonetes</a:t>
            </a:r>
            <a:endParaRPr lang="pt-BR" sz="105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Retângulo Arredondado 35">
            <a:hlinkClick xmlns:r="http://schemas.openxmlformats.org/officeDocument/2006/relationships" r:id="rId11"/>
          </xdr:cNvPr>
          <xdr:cNvSpPr/>
        </xdr:nvSpPr>
        <xdr:spPr>
          <a:xfrm>
            <a:off x="257175" y="2266950"/>
            <a:ext cx="971550" cy="476250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</a:t>
            </a:r>
            <a:r>
              <a:rPr lang="pt-BR" sz="105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Matéria Prima</a:t>
            </a:r>
            <a:endParaRPr lang="pt-BR" sz="105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Retângulo Arredondado 36">
            <a:hlinkClick xmlns:r="http://schemas.openxmlformats.org/officeDocument/2006/relationships" r:id="rId12"/>
          </xdr:cNvPr>
          <xdr:cNvSpPr/>
        </xdr:nvSpPr>
        <xdr:spPr>
          <a:xfrm>
            <a:off x="257175" y="324802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Salários</a:t>
            </a:r>
          </a:p>
        </xdr:txBody>
      </xdr:sp>
      <xdr:sp macro="" textlink="">
        <xdr:nvSpPr>
          <xdr:cNvPr id="38" name="Retângulo Arredondado 37">
            <a:hlinkClick xmlns:r="http://schemas.openxmlformats.org/officeDocument/2006/relationships" r:id="rId13"/>
          </xdr:cNvPr>
          <xdr:cNvSpPr/>
        </xdr:nvSpPr>
        <xdr:spPr>
          <a:xfrm>
            <a:off x="247650" y="360997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Tributos</a:t>
            </a:r>
          </a:p>
        </xdr:txBody>
      </xdr:sp>
      <xdr:sp macro="" textlink="">
        <xdr:nvSpPr>
          <xdr:cNvPr id="39" name="Retângulo Arredondado 38">
            <a:hlinkClick xmlns:r="http://schemas.openxmlformats.org/officeDocument/2006/relationships" r:id="rId14"/>
          </xdr:cNvPr>
          <xdr:cNvSpPr/>
        </xdr:nvSpPr>
        <xdr:spPr>
          <a:xfrm>
            <a:off x="247650" y="3962400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Preço de Venda</a:t>
            </a:r>
          </a:p>
        </xdr:txBody>
      </xdr:sp>
      <xdr:sp macro="" textlink="">
        <xdr:nvSpPr>
          <xdr:cNvPr id="40" name="Retângulo Arredondado 39">
            <a:hlinkClick xmlns:r="http://schemas.openxmlformats.org/officeDocument/2006/relationships" r:id="rId15"/>
          </xdr:cNvPr>
          <xdr:cNvSpPr/>
        </xdr:nvSpPr>
        <xdr:spPr>
          <a:xfrm>
            <a:off x="228600" y="43148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BP</a:t>
            </a:r>
          </a:p>
        </xdr:txBody>
      </xdr:sp>
      <xdr:sp macro="" textlink="">
        <xdr:nvSpPr>
          <xdr:cNvPr id="41" name="Retângulo Arredondado 40">
            <a:hlinkClick xmlns:r="http://schemas.openxmlformats.org/officeDocument/2006/relationships" r:id="rId16"/>
          </xdr:cNvPr>
          <xdr:cNvSpPr/>
        </xdr:nvSpPr>
        <xdr:spPr>
          <a:xfrm>
            <a:off x="238125" y="467677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DRE</a:t>
            </a:r>
          </a:p>
        </xdr:txBody>
      </xdr:sp>
      <xdr:sp macro="" textlink="">
        <xdr:nvSpPr>
          <xdr:cNvPr id="42" name="Retângulo Arredondado 41">
            <a:hlinkClick xmlns:r="http://schemas.openxmlformats.org/officeDocument/2006/relationships" r:id="rId17"/>
          </xdr:cNvPr>
          <xdr:cNvSpPr/>
        </xdr:nvSpPr>
        <xdr:spPr>
          <a:xfrm>
            <a:off x="247650" y="50387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Indicadores</a:t>
            </a:r>
          </a:p>
        </xdr:txBody>
      </xdr:sp>
      <xdr:sp macro="" textlink="">
        <xdr:nvSpPr>
          <xdr:cNvPr id="43" name="Retângulo 42"/>
          <xdr:cNvSpPr/>
        </xdr:nvSpPr>
        <xdr:spPr>
          <a:xfrm>
            <a:off x="1323975" y="1524000"/>
            <a:ext cx="266700" cy="7239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05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Reconhecimento</a:t>
            </a:r>
          </a:p>
        </xdr:txBody>
      </xdr:sp>
      <xdr:sp macro="" textlink="">
        <xdr:nvSpPr>
          <xdr:cNvPr id="44" name="Retângulo 43"/>
          <xdr:cNvSpPr/>
        </xdr:nvSpPr>
        <xdr:spPr>
          <a:xfrm>
            <a:off x="1323974" y="2286000"/>
            <a:ext cx="266701" cy="197167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05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Mensuração</a:t>
            </a:r>
          </a:p>
        </xdr:txBody>
      </xdr:sp>
      <xdr:sp macro="" textlink="">
        <xdr:nvSpPr>
          <xdr:cNvPr id="45" name="Retângulo 44"/>
          <xdr:cNvSpPr/>
        </xdr:nvSpPr>
        <xdr:spPr>
          <a:xfrm>
            <a:off x="1323974" y="4295775"/>
            <a:ext cx="266702" cy="7334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05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Evidenciação</a:t>
            </a:r>
          </a:p>
        </xdr:txBody>
      </xdr:sp>
      <xdr:sp macro="" textlink="">
        <xdr:nvSpPr>
          <xdr:cNvPr id="46" name="Retângulo Arredondado 45">
            <a:hlinkClick xmlns:r="http://schemas.openxmlformats.org/officeDocument/2006/relationships" r:id="rId18"/>
          </xdr:cNvPr>
          <xdr:cNvSpPr/>
        </xdr:nvSpPr>
        <xdr:spPr>
          <a:xfrm>
            <a:off x="266701" y="2771774"/>
            <a:ext cx="971550" cy="438151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 de Produtos Acabados</a:t>
            </a:r>
          </a:p>
        </xdr:txBody>
      </xdr:sp>
      <xdr:sp macro="" textlink="">
        <xdr:nvSpPr>
          <xdr:cNvPr id="47" name="Retângulo Arredondado 46">
            <a:hlinkClick xmlns:r="http://schemas.openxmlformats.org/officeDocument/2006/relationships" r:id="rId19"/>
          </xdr:cNvPr>
          <xdr:cNvSpPr/>
        </xdr:nvSpPr>
        <xdr:spPr>
          <a:xfrm>
            <a:off x="276225" y="1152525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50" b="1">
                <a:latin typeface="Times New Roman" panose="02020603050405020304" pitchFamily="18" charset="0"/>
                <a:cs typeface="Times New Roman" panose="02020603050405020304" pitchFamily="18" charset="0"/>
              </a:rPr>
              <a:t>Financiamento</a:t>
            </a:r>
          </a:p>
        </xdr:txBody>
      </xdr:sp>
    </xdr:grpSp>
    <xdr:clientData/>
  </xdr:twoCellAnchor>
  <xdr:twoCellAnchor>
    <xdr:from>
      <xdr:col>4</xdr:col>
      <xdr:colOff>6062382</xdr:colOff>
      <xdr:row>175</xdr:row>
      <xdr:rowOff>145676</xdr:rowOff>
    </xdr:from>
    <xdr:to>
      <xdr:col>5</xdr:col>
      <xdr:colOff>67235</xdr:colOff>
      <xdr:row>178</xdr:row>
      <xdr:rowOff>67235</xdr:rowOff>
    </xdr:to>
    <xdr:sp macro="" textlink="">
      <xdr:nvSpPr>
        <xdr:cNvPr id="9" name="Seta para a Direita 8"/>
        <xdr:cNvSpPr/>
      </xdr:nvSpPr>
      <xdr:spPr>
        <a:xfrm>
          <a:off x="10948147" y="22669500"/>
          <a:ext cx="493059" cy="493059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168088</xdr:colOff>
      <xdr:row>173</xdr:row>
      <xdr:rowOff>156882</xdr:rowOff>
    </xdr:from>
    <xdr:to>
      <xdr:col>9</xdr:col>
      <xdr:colOff>381000</xdr:colOff>
      <xdr:row>180</xdr:row>
      <xdr:rowOff>134470</xdr:rowOff>
    </xdr:to>
    <xdr:sp macro="" textlink="">
      <xdr:nvSpPr>
        <xdr:cNvPr id="48" name="CaixaDeTexto 47"/>
        <xdr:cNvSpPr txBox="1"/>
      </xdr:nvSpPr>
      <xdr:spPr>
        <a:xfrm>
          <a:off x="11542059" y="22299706"/>
          <a:ext cx="2633382" cy="131108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 i="0" u="none" strike="noStrike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OBSERVAÇÃO: </a:t>
          </a:r>
          <a:r>
            <a:rPr lang="pt-BR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Conta criada apenas para demonstrar a destinação do Lucro para o PL. Atualmente pela legislação, o lucro deve ser destinado (reserva ou distribuição)</a:t>
          </a:r>
          <a:r>
            <a:rPr lang="pt-BR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629929</xdr:colOff>
      <xdr:row>8</xdr:row>
      <xdr:rowOff>176892</xdr:rowOff>
    </xdr:from>
    <xdr:to>
      <xdr:col>2</xdr:col>
      <xdr:colOff>238524</xdr:colOff>
      <xdr:row>22</xdr:row>
      <xdr:rowOff>96852</xdr:rowOff>
    </xdr:to>
    <xdr:sp macro="" textlink="">
      <xdr:nvSpPr>
        <xdr:cNvPr id="2" name="CaixaDeTexto 1"/>
        <xdr:cNvSpPr txBox="1"/>
      </xdr:nvSpPr>
      <xdr:spPr>
        <a:xfrm>
          <a:off x="3120036" y="1864178"/>
          <a:ext cx="2588559" cy="277746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IMPORTANTE!!</a:t>
          </a:r>
        </a:p>
        <a:p>
          <a:pPr algn="ctr"/>
          <a:r>
            <a:rPr lang="pt-BR" sz="1200">
              <a:latin typeface="Times New Roman" panose="02020603050405020304" pitchFamily="18" charset="0"/>
              <a:cs typeface="Times New Roman" panose="02020603050405020304" pitchFamily="18" charset="0"/>
            </a:rPr>
            <a:t>Por simplificação, os custos de produção</a:t>
          </a:r>
          <a:r>
            <a:rPr lang="pt-BR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pt-BR" sz="1200">
              <a:latin typeface="Times New Roman" panose="02020603050405020304" pitchFamily="18" charset="0"/>
              <a:cs typeface="Times New Roman" panose="02020603050405020304" pitchFamily="18" charset="0"/>
            </a:rPr>
            <a:t>estão sendo lançados</a:t>
          </a:r>
          <a:r>
            <a:rPr lang="pt-BR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diretamente na conta "Estoque de Produtos Acabados" e, no momento da venda, para o Custo dos Produtos Vendidos. </a:t>
          </a:r>
        </a:p>
        <a:p>
          <a:pPr algn="ctr"/>
          <a:endParaRPr lang="pt-BR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t-BR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Na prática, os custos passam por contas transitórias de apuração do Custo de Produção para depois serem lançados como Estoque de Produtos Acabados. </a:t>
          </a:r>
          <a:endParaRPr lang="pt-BR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403411</xdr:colOff>
      <xdr:row>1</xdr:row>
      <xdr:rowOff>112059</xdr:rowOff>
    </xdr:from>
    <xdr:to>
      <xdr:col>0</xdr:col>
      <xdr:colOff>2237653</xdr:colOff>
      <xdr:row>40</xdr:row>
      <xdr:rowOff>1600</xdr:rowOff>
    </xdr:to>
    <xdr:grpSp>
      <xdr:nvGrpSpPr>
        <xdr:cNvPr id="3" name="Agrupar 2">
          <a:hlinkClick xmlns:r="http://schemas.openxmlformats.org/officeDocument/2006/relationships" r:id="rId1"/>
        </xdr:cNvPr>
        <xdr:cNvGrpSpPr/>
      </xdr:nvGrpSpPr>
      <xdr:grpSpPr>
        <a:xfrm>
          <a:off x="403411" y="370595"/>
          <a:ext cx="1834242" cy="7849719"/>
          <a:chOff x="228600" y="314325"/>
          <a:chExt cx="1362076" cy="5038725"/>
        </a:xfrm>
      </xdr:grpSpPr>
      <xdr:sp macro="" textlink="">
        <xdr:nvSpPr>
          <xdr:cNvPr id="4" name="Retângulo 3"/>
          <xdr:cNvSpPr/>
        </xdr:nvSpPr>
        <xdr:spPr>
          <a:xfrm>
            <a:off x="228600" y="314325"/>
            <a:ext cx="1162050" cy="443865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</xdr:cNvPr>
          <xdr:cNvSpPr/>
        </xdr:nvSpPr>
        <xdr:spPr>
          <a:xfrm>
            <a:off x="285750" y="447675"/>
            <a:ext cx="971550" cy="314325"/>
          </a:xfrm>
          <a:prstGeom prst="round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Instruções</a:t>
            </a:r>
          </a:p>
        </xdr:txBody>
      </xdr:sp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276225" y="800100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Decisões</a:t>
            </a:r>
          </a:p>
        </xdr:txBody>
      </xdr:sp>
      <xdr:sp macro="" textlink="">
        <xdr:nvSpPr>
          <xdr:cNvPr id="7" name="Retângulo Arredondado 6">
            <a:hlinkClick xmlns:r="http://schemas.openxmlformats.org/officeDocument/2006/relationships" r:id="rId4"/>
          </xdr:cNvPr>
          <xdr:cNvSpPr/>
        </xdr:nvSpPr>
        <xdr:spPr>
          <a:xfrm>
            <a:off x="276225" y="1504950"/>
            <a:ext cx="971550" cy="3143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Plano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Contas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Retângulo Arredondado 7">
            <a:hlinkClick xmlns:r="http://schemas.openxmlformats.org/officeDocument/2006/relationships" r:id="rId5"/>
          </xdr:cNvPr>
          <xdr:cNvSpPr/>
        </xdr:nvSpPr>
        <xdr:spPr>
          <a:xfrm>
            <a:off x="266700" y="1847850"/>
            <a:ext cx="971550" cy="3905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Lançamentos 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Razonetes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Retângulo Arredondado 8">
            <a:hlinkClick xmlns:r="http://schemas.openxmlformats.org/officeDocument/2006/relationships" r:id="rId6"/>
          </xdr:cNvPr>
          <xdr:cNvSpPr/>
        </xdr:nvSpPr>
        <xdr:spPr>
          <a:xfrm>
            <a:off x="257175" y="2266950"/>
            <a:ext cx="971550" cy="476250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Matéria Prima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Retângulo Arredondado 9">
            <a:hlinkClick xmlns:r="http://schemas.openxmlformats.org/officeDocument/2006/relationships" r:id="rId7"/>
          </xdr:cNvPr>
          <xdr:cNvSpPr/>
        </xdr:nvSpPr>
        <xdr:spPr>
          <a:xfrm>
            <a:off x="257175" y="324802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Salários</a:t>
            </a:r>
          </a:p>
        </xdr:txBody>
      </xdr:sp>
      <xdr:sp macro="" textlink="">
        <xdr:nvSpPr>
          <xdr:cNvPr id="11" name="Retângulo Arredondado 10"/>
          <xdr:cNvSpPr/>
        </xdr:nvSpPr>
        <xdr:spPr>
          <a:xfrm>
            <a:off x="247650" y="360997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Tributos</a:t>
            </a:r>
          </a:p>
        </xdr:txBody>
      </xdr:sp>
      <xdr:sp macro="" textlink="">
        <xdr:nvSpPr>
          <xdr:cNvPr id="12" name="Retângulo Arredondado 11">
            <a:hlinkClick xmlns:r="http://schemas.openxmlformats.org/officeDocument/2006/relationships" r:id="rId8"/>
          </xdr:cNvPr>
          <xdr:cNvSpPr/>
        </xdr:nvSpPr>
        <xdr:spPr>
          <a:xfrm>
            <a:off x="247650" y="3962400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Preço de Venda</a:t>
            </a:r>
          </a:p>
        </xdr:txBody>
      </xdr:sp>
      <xdr:sp macro="" textlink="">
        <xdr:nvSpPr>
          <xdr:cNvPr id="13" name="Retângulo Arredondado 12">
            <a:hlinkClick xmlns:r="http://schemas.openxmlformats.org/officeDocument/2006/relationships" r:id="rId9"/>
          </xdr:cNvPr>
          <xdr:cNvSpPr/>
        </xdr:nvSpPr>
        <xdr:spPr>
          <a:xfrm>
            <a:off x="228600" y="43148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BP</a:t>
            </a:r>
          </a:p>
        </xdr:txBody>
      </xdr:sp>
      <xdr:sp macro="" textlink="">
        <xdr:nvSpPr>
          <xdr:cNvPr id="14" name="Retângulo Arredondado 13">
            <a:hlinkClick xmlns:r="http://schemas.openxmlformats.org/officeDocument/2006/relationships" r:id="rId10"/>
          </xdr:cNvPr>
          <xdr:cNvSpPr/>
        </xdr:nvSpPr>
        <xdr:spPr>
          <a:xfrm>
            <a:off x="238125" y="467677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DRE</a:t>
            </a:r>
          </a:p>
        </xdr:txBody>
      </xdr:sp>
      <xdr:sp macro="" textlink="">
        <xdr:nvSpPr>
          <xdr:cNvPr id="15" name="Retângulo Arredondado 14">
            <a:hlinkClick xmlns:r="http://schemas.openxmlformats.org/officeDocument/2006/relationships" r:id="rId11"/>
          </xdr:cNvPr>
          <xdr:cNvSpPr/>
        </xdr:nvSpPr>
        <xdr:spPr>
          <a:xfrm>
            <a:off x="247650" y="50387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Indicadores</a:t>
            </a:r>
          </a:p>
        </xdr:txBody>
      </xdr:sp>
      <xdr:sp macro="" textlink="">
        <xdr:nvSpPr>
          <xdr:cNvPr id="16" name="Retângulo 15"/>
          <xdr:cNvSpPr/>
        </xdr:nvSpPr>
        <xdr:spPr>
          <a:xfrm>
            <a:off x="1323975" y="1524000"/>
            <a:ext cx="266700" cy="7239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Reconhecimento</a:t>
            </a:r>
          </a:p>
        </xdr:txBody>
      </xdr:sp>
      <xdr:sp macro="" textlink="">
        <xdr:nvSpPr>
          <xdr:cNvPr id="17" name="Retângulo 16"/>
          <xdr:cNvSpPr/>
        </xdr:nvSpPr>
        <xdr:spPr>
          <a:xfrm>
            <a:off x="1323974" y="2286000"/>
            <a:ext cx="266701" cy="197167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Mensuração</a:t>
            </a:r>
          </a:p>
        </xdr:txBody>
      </xdr:sp>
      <xdr:sp macro="" textlink="">
        <xdr:nvSpPr>
          <xdr:cNvPr id="18" name="Retângulo 17"/>
          <xdr:cNvSpPr/>
        </xdr:nvSpPr>
        <xdr:spPr>
          <a:xfrm>
            <a:off x="1323974" y="4295775"/>
            <a:ext cx="266702" cy="7334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Evidenciação</a:t>
            </a:r>
          </a:p>
        </xdr:txBody>
      </xdr:sp>
      <xdr:sp macro="" textlink="">
        <xdr:nvSpPr>
          <xdr:cNvPr id="19" name="Retângulo Arredondado 18">
            <a:hlinkClick xmlns:r="http://schemas.openxmlformats.org/officeDocument/2006/relationships" r:id="rId12"/>
          </xdr:cNvPr>
          <xdr:cNvSpPr/>
        </xdr:nvSpPr>
        <xdr:spPr>
          <a:xfrm>
            <a:off x="266701" y="2771774"/>
            <a:ext cx="971550" cy="438151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 de Produtos Acabados</a:t>
            </a:r>
          </a:p>
        </xdr:txBody>
      </xdr:sp>
      <xdr:sp macro="" textlink="">
        <xdr:nvSpPr>
          <xdr:cNvPr id="20" name="Retângulo Arredondado 19">
            <a:hlinkClick xmlns:r="http://schemas.openxmlformats.org/officeDocument/2006/relationships" r:id="rId13"/>
          </xdr:cNvPr>
          <xdr:cNvSpPr/>
        </xdr:nvSpPr>
        <xdr:spPr>
          <a:xfrm>
            <a:off x="276225" y="1152525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Financiamento</a:t>
            </a:r>
          </a:p>
        </xdr:txBody>
      </xdr:sp>
    </xdr:grpSp>
    <xdr:clientData/>
  </xdr:twoCellAnchor>
  <xdr:twoCellAnchor>
    <xdr:from>
      <xdr:col>1</xdr:col>
      <xdr:colOff>1074964</xdr:colOff>
      <xdr:row>0</xdr:row>
      <xdr:rowOff>163285</xdr:rowOff>
    </xdr:from>
    <xdr:to>
      <xdr:col>1</xdr:col>
      <xdr:colOff>2857500</xdr:colOff>
      <xdr:row>4</xdr:row>
      <xdr:rowOff>40821</xdr:rowOff>
    </xdr:to>
    <xdr:sp macro="" textlink="">
      <xdr:nvSpPr>
        <xdr:cNvPr id="21" name="Retângulo Arredondado 20">
          <a:hlinkClick xmlns:r="http://schemas.openxmlformats.org/officeDocument/2006/relationships" r:id="rId14"/>
        </xdr:cNvPr>
        <xdr:cNvSpPr/>
      </xdr:nvSpPr>
      <xdr:spPr>
        <a:xfrm>
          <a:off x="3565071" y="163285"/>
          <a:ext cx="1782536" cy="748393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Times New Roman" panose="02020603050405020304" pitchFamily="18" charset="0"/>
              <a:cs typeface="Times New Roman" panose="02020603050405020304" pitchFamily="18" charset="0"/>
            </a:rPr>
            <a:t>Classificação</a:t>
          </a:r>
          <a:r>
            <a:rPr lang="pt-BR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e Lançamento Contábil das Operações</a:t>
          </a:r>
        </a:p>
        <a:p>
          <a:pPr algn="ctr"/>
          <a:endParaRPr lang="pt-BR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1091292</xdr:colOff>
      <xdr:row>4</xdr:row>
      <xdr:rowOff>97972</xdr:rowOff>
    </xdr:from>
    <xdr:to>
      <xdr:col>1</xdr:col>
      <xdr:colOff>2873828</xdr:colOff>
      <xdr:row>7</xdr:row>
      <xdr:rowOff>111578</xdr:rowOff>
    </xdr:to>
    <xdr:sp macro="" textlink="">
      <xdr:nvSpPr>
        <xdr:cNvPr id="22" name="Retângulo Arredondado 21">
          <a:hlinkClick xmlns:r="http://schemas.openxmlformats.org/officeDocument/2006/relationships" r:id="rId15"/>
        </xdr:cNvPr>
        <xdr:cNvSpPr/>
      </xdr:nvSpPr>
      <xdr:spPr>
        <a:xfrm>
          <a:off x="3581399" y="968829"/>
          <a:ext cx="1782536" cy="625928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Times New Roman" panose="02020603050405020304" pitchFamily="18" charset="0"/>
              <a:cs typeface="Times New Roman" panose="02020603050405020304" pitchFamily="18" charset="0"/>
            </a:rPr>
            <a:t>Razonetes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593913</xdr:colOff>
      <xdr:row>9</xdr:row>
      <xdr:rowOff>22411</xdr:rowOff>
    </xdr:from>
    <xdr:to>
      <xdr:col>8</xdr:col>
      <xdr:colOff>347383</xdr:colOff>
      <xdr:row>15</xdr:row>
      <xdr:rowOff>33618</xdr:rowOff>
    </xdr:to>
    <xdr:sp macro="" textlink="">
      <xdr:nvSpPr>
        <xdr:cNvPr id="3" name="CaixaDeTexto 2"/>
        <xdr:cNvSpPr txBox="1"/>
      </xdr:nvSpPr>
      <xdr:spPr>
        <a:xfrm>
          <a:off x="9390531" y="1815352"/>
          <a:ext cx="1647264" cy="1255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/>
            <a:t>Para calcular o material</a:t>
          </a:r>
          <a:r>
            <a:rPr lang="pt-BR" sz="1100" baseline="0"/>
            <a:t> necessário, é preciso verificar a composição do produto e quantidade de produto acabado que a empresa deseja obter. </a:t>
          </a:r>
          <a:endParaRPr lang="pt-BR" sz="1100"/>
        </a:p>
      </xdr:txBody>
    </xdr:sp>
    <xdr:clientData/>
  </xdr:twoCellAnchor>
  <xdr:twoCellAnchor>
    <xdr:from>
      <xdr:col>8</xdr:col>
      <xdr:colOff>481853</xdr:colOff>
      <xdr:row>9</xdr:row>
      <xdr:rowOff>0</xdr:rowOff>
    </xdr:from>
    <xdr:to>
      <xdr:col>10</xdr:col>
      <xdr:colOff>672355</xdr:colOff>
      <xdr:row>16</xdr:row>
      <xdr:rowOff>78440</xdr:rowOff>
    </xdr:to>
    <xdr:sp macro="" textlink="">
      <xdr:nvSpPr>
        <xdr:cNvPr id="7" name="CaixaDeTexto 6"/>
        <xdr:cNvSpPr txBox="1"/>
      </xdr:nvSpPr>
      <xdr:spPr>
        <a:xfrm>
          <a:off x="11172265" y="1792941"/>
          <a:ext cx="1848972" cy="1523999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</a:rPr>
            <a:t>É possível comprar matéria-prima</a:t>
          </a:r>
          <a:r>
            <a:rPr lang="pt-BR" sz="1100" b="1" baseline="0">
              <a:solidFill>
                <a:schemeClr val="bg1"/>
              </a:solidFill>
            </a:rPr>
            <a:t> e embalagem além da  capacidade produtiva, mas </a:t>
          </a:r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vocês</a:t>
          </a:r>
          <a:r>
            <a:rPr lang="pt-B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não podem produzir mais do que a capacidade produtiva máxima.</a:t>
          </a:r>
          <a:endParaRPr lang="pt-BR" b="1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156882</xdr:colOff>
      <xdr:row>1</xdr:row>
      <xdr:rowOff>123265</xdr:rowOff>
    </xdr:from>
    <xdr:to>
      <xdr:col>0</xdr:col>
      <xdr:colOff>1991124</xdr:colOff>
      <xdr:row>42</xdr:row>
      <xdr:rowOff>158482</xdr:rowOff>
    </xdr:to>
    <xdr:grpSp>
      <xdr:nvGrpSpPr>
        <xdr:cNvPr id="6" name="Agrupar 5"/>
        <xdr:cNvGrpSpPr/>
      </xdr:nvGrpSpPr>
      <xdr:grpSpPr>
        <a:xfrm>
          <a:off x="156882" y="313765"/>
          <a:ext cx="1834242" cy="8081041"/>
          <a:chOff x="228600" y="314325"/>
          <a:chExt cx="1362076" cy="5038725"/>
        </a:xfrm>
      </xdr:grpSpPr>
      <xdr:sp macro="" textlink="">
        <xdr:nvSpPr>
          <xdr:cNvPr id="8" name="Retângulo 7"/>
          <xdr:cNvSpPr/>
        </xdr:nvSpPr>
        <xdr:spPr>
          <a:xfrm>
            <a:off x="228600" y="314325"/>
            <a:ext cx="1162050" cy="443865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Retângulo Arredondado 8">
            <a:hlinkClick xmlns:r="http://schemas.openxmlformats.org/officeDocument/2006/relationships" r:id="rId1"/>
          </xdr:cNvPr>
          <xdr:cNvSpPr/>
        </xdr:nvSpPr>
        <xdr:spPr>
          <a:xfrm>
            <a:off x="285750" y="447675"/>
            <a:ext cx="971550" cy="314325"/>
          </a:xfrm>
          <a:prstGeom prst="round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Instruções</a:t>
            </a:r>
          </a:p>
        </xdr:txBody>
      </xdr:sp>
      <xdr:sp macro="" textlink="">
        <xdr:nvSpPr>
          <xdr:cNvPr id="10" name="Retângulo Arredondado 9">
            <a:hlinkClick xmlns:r="http://schemas.openxmlformats.org/officeDocument/2006/relationships" r:id="rId2"/>
          </xdr:cNvPr>
          <xdr:cNvSpPr/>
        </xdr:nvSpPr>
        <xdr:spPr>
          <a:xfrm>
            <a:off x="276225" y="800100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Decisões</a:t>
            </a:r>
          </a:p>
        </xdr:txBody>
      </xdr:sp>
      <xdr:sp macro="" textlink="">
        <xdr:nvSpPr>
          <xdr:cNvPr id="11" name="Retângulo Arredondado 10">
            <a:hlinkClick xmlns:r="http://schemas.openxmlformats.org/officeDocument/2006/relationships" r:id="rId3"/>
          </xdr:cNvPr>
          <xdr:cNvSpPr/>
        </xdr:nvSpPr>
        <xdr:spPr>
          <a:xfrm>
            <a:off x="276225" y="1504950"/>
            <a:ext cx="971550" cy="3143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Plano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Contas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Retângulo Arredondado 11">
            <a:hlinkClick xmlns:r="http://schemas.openxmlformats.org/officeDocument/2006/relationships" r:id="rId4"/>
          </xdr:cNvPr>
          <xdr:cNvSpPr/>
        </xdr:nvSpPr>
        <xdr:spPr>
          <a:xfrm>
            <a:off x="266700" y="1847850"/>
            <a:ext cx="971550" cy="3905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Lançamentos 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Razonetes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3" name="Retângulo Arredondado 12">
            <a:hlinkClick xmlns:r="http://schemas.openxmlformats.org/officeDocument/2006/relationships" r:id="rId5"/>
          </xdr:cNvPr>
          <xdr:cNvSpPr/>
        </xdr:nvSpPr>
        <xdr:spPr>
          <a:xfrm>
            <a:off x="257175" y="2266950"/>
            <a:ext cx="971550" cy="476250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Matéria Prima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4" name="Retângulo Arredondado 13">
            <a:hlinkClick xmlns:r="http://schemas.openxmlformats.org/officeDocument/2006/relationships" r:id="rId6"/>
          </xdr:cNvPr>
          <xdr:cNvSpPr/>
        </xdr:nvSpPr>
        <xdr:spPr>
          <a:xfrm>
            <a:off x="257175" y="324802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Salários</a:t>
            </a:r>
          </a:p>
        </xdr:txBody>
      </xdr:sp>
      <xdr:sp macro="" textlink="">
        <xdr:nvSpPr>
          <xdr:cNvPr id="15" name="Retângulo Arredondado 14">
            <a:hlinkClick xmlns:r="http://schemas.openxmlformats.org/officeDocument/2006/relationships" r:id="rId7"/>
          </xdr:cNvPr>
          <xdr:cNvSpPr/>
        </xdr:nvSpPr>
        <xdr:spPr>
          <a:xfrm>
            <a:off x="247650" y="360997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Tributos</a:t>
            </a:r>
          </a:p>
        </xdr:txBody>
      </xdr:sp>
      <xdr:sp macro="" textlink="">
        <xdr:nvSpPr>
          <xdr:cNvPr id="16" name="Retângulo Arredondado 15">
            <a:hlinkClick xmlns:r="http://schemas.openxmlformats.org/officeDocument/2006/relationships" r:id="rId8"/>
          </xdr:cNvPr>
          <xdr:cNvSpPr/>
        </xdr:nvSpPr>
        <xdr:spPr>
          <a:xfrm>
            <a:off x="247650" y="3962400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Preço de Venda</a:t>
            </a:r>
          </a:p>
        </xdr:txBody>
      </xdr:sp>
      <xdr:sp macro="" textlink="">
        <xdr:nvSpPr>
          <xdr:cNvPr id="17" name="Retângulo Arredondado 16">
            <a:hlinkClick xmlns:r="http://schemas.openxmlformats.org/officeDocument/2006/relationships" r:id="rId9"/>
          </xdr:cNvPr>
          <xdr:cNvSpPr/>
        </xdr:nvSpPr>
        <xdr:spPr>
          <a:xfrm>
            <a:off x="228600" y="43148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BP</a:t>
            </a:r>
          </a:p>
        </xdr:txBody>
      </xdr:sp>
      <xdr:sp macro="" textlink="">
        <xdr:nvSpPr>
          <xdr:cNvPr id="18" name="Retângulo Arredondado 17">
            <a:hlinkClick xmlns:r="http://schemas.openxmlformats.org/officeDocument/2006/relationships" r:id="rId10"/>
          </xdr:cNvPr>
          <xdr:cNvSpPr/>
        </xdr:nvSpPr>
        <xdr:spPr>
          <a:xfrm>
            <a:off x="238125" y="467677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DRE</a:t>
            </a:r>
          </a:p>
        </xdr:txBody>
      </xdr:sp>
      <xdr:sp macro="" textlink="">
        <xdr:nvSpPr>
          <xdr:cNvPr id="19" name="Retângulo Arredondado 18">
            <a:hlinkClick xmlns:r="http://schemas.openxmlformats.org/officeDocument/2006/relationships" r:id="rId11"/>
          </xdr:cNvPr>
          <xdr:cNvSpPr/>
        </xdr:nvSpPr>
        <xdr:spPr>
          <a:xfrm>
            <a:off x="247650" y="50387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Indicadores</a:t>
            </a:r>
          </a:p>
        </xdr:txBody>
      </xdr:sp>
      <xdr:sp macro="" textlink="">
        <xdr:nvSpPr>
          <xdr:cNvPr id="20" name="Retângulo 19"/>
          <xdr:cNvSpPr/>
        </xdr:nvSpPr>
        <xdr:spPr>
          <a:xfrm>
            <a:off x="1323975" y="1524000"/>
            <a:ext cx="266700" cy="7239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Reconhecimento</a:t>
            </a:r>
          </a:p>
        </xdr:txBody>
      </xdr:sp>
      <xdr:sp macro="" textlink="">
        <xdr:nvSpPr>
          <xdr:cNvPr id="21" name="Retângulo 20"/>
          <xdr:cNvSpPr/>
        </xdr:nvSpPr>
        <xdr:spPr>
          <a:xfrm>
            <a:off x="1323974" y="2286000"/>
            <a:ext cx="266701" cy="197167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Mensuração</a:t>
            </a:r>
          </a:p>
        </xdr:txBody>
      </xdr:sp>
      <xdr:sp macro="" textlink="">
        <xdr:nvSpPr>
          <xdr:cNvPr id="22" name="Retângulo 21"/>
          <xdr:cNvSpPr/>
        </xdr:nvSpPr>
        <xdr:spPr>
          <a:xfrm>
            <a:off x="1323974" y="4295775"/>
            <a:ext cx="266702" cy="7334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Evidenciação</a:t>
            </a:r>
          </a:p>
        </xdr:txBody>
      </xdr:sp>
      <xdr:sp macro="" textlink="">
        <xdr:nvSpPr>
          <xdr:cNvPr id="23" name="Retângulo Arredondado 22">
            <a:hlinkClick xmlns:r="http://schemas.openxmlformats.org/officeDocument/2006/relationships" r:id="rId12"/>
          </xdr:cNvPr>
          <xdr:cNvSpPr/>
        </xdr:nvSpPr>
        <xdr:spPr>
          <a:xfrm>
            <a:off x="266701" y="2771774"/>
            <a:ext cx="971550" cy="438151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 de Produtos Acabados</a:t>
            </a:r>
          </a:p>
        </xdr:txBody>
      </xdr:sp>
      <xdr:sp macro="" textlink="">
        <xdr:nvSpPr>
          <xdr:cNvPr id="24" name="Retângulo Arredondado 23">
            <a:hlinkClick xmlns:r="http://schemas.openxmlformats.org/officeDocument/2006/relationships" r:id="rId13"/>
          </xdr:cNvPr>
          <xdr:cNvSpPr/>
        </xdr:nvSpPr>
        <xdr:spPr>
          <a:xfrm>
            <a:off x="276225" y="1152525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Financiamento</a:t>
            </a:r>
          </a:p>
        </xdr:txBody>
      </xdr:sp>
    </xdr:grpSp>
    <xdr:clientData/>
  </xdr:twoCellAnchor>
  <xdr:twoCellAnchor>
    <xdr:from>
      <xdr:col>6</xdr:col>
      <xdr:colOff>156882</xdr:colOff>
      <xdr:row>15</xdr:row>
      <xdr:rowOff>33619</xdr:rowOff>
    </xdr:from>
    <xdr:to>
      <xdr:col>7</xdr:col>
      <xdr:colOff>465045</xdr:colOff>
      <xdr:row>16</xdr:row>
      <xdr:rowOff>22413</xdr:rowOff>
    </xdr:to>
    <xdr:cxnSp macro="">
      <xdr:nvCxnSpPr>
        <xdr:cNvPr id="27" name="Conector Angulado 26"/>
        <xdr:cNvCxnSpPr>
          <a:stCxn id="3" idx="2"/>
        </xdr:cNvCxnSpPr>
      </xdr:nvCxnSpPr>
      <xdr:spPr>
        <a:xfrm rot="5400000">
          <a:off x="9488582" y="2535331"/>
          <a:ext cx="190500" cy="1260663"/>
        </a:xfrm>
        <a:prstGeom prst="bentConnector2">
          <a:avLst/>
        </a:prstGeom>
        <a:ln>
          <a:solidFill>
            <a:schemeClr val="bg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313765</xdr:colOff>
      <xdr:row>1</xdr:row>
      <xdr:rowOff>22412</xdr:rowOff>
    </xdr:from>
    <xdr:to>
      <xdr:col>2</xdr:col>
      <xdr:colOff>974912</xdr:colOff>
      <xdr:row>6</xdr:row>
      <xdr:rowOff>0</xdr:rowOff>
    </xdr:to>
    <xdr:sp macro="" textlink="">
      <xdr:nvSpPr>
        <xdr:cNvPr id="28" name="Retângulo Arredondado 27"/>
        <xdr:cNvSpPr/>
      </xdr:nvSpPr>
      <xdr:spPr>
        <a:xfrm>
          <a:off x="2487706" y="212912"/>
          <a:ext cx="1322294" cy="997323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Informe aqui a quantidade de compra de matéria-prima</a:t>
          </a:r>
        </a:p>
      </xdr:txBody>
    </xdr:sp>
    <xdr:clientData/>
  </xdr:twoCellAnchor>
  <xdr:twoCellAnchor>
    <xdr:from>
      <xdr:col>2</xdr:col>
      <xdr:colOff>974912</xdr:colOff>
      <xdr:row>3</xdr:row>
      <xdr:rowOff>67236</xdr:rowOff>
    </xdr:from>
    <xdr:to>
      <xdr:col>2</xdr:col>
      <xdr:colOff>1165412</xdr:colOff>
      <xdr:row>3</xdr:row>
      <xdr:rowOff>72839</xdr:rowOff>
    </xdr:to>
    <xdr:cxnSp macro="">
      <xdr:nvCxnSpPr>
        <xdr:cNvPr id="31" name="Conector de Seta Reta 30"/>
        <xdr:cNvCxnSpPr>
          <a:stCxn id="28" idx="3"/>
        </xdr:cNvCxnSpPr>
      </xdr:nvCxnSpPr>
      <xdr:spPr>
        <a:xfrm flipV="1">
          <a:off x="3810000" y="705971"/>
          <a:ext cx="190500" cy="5603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264459</xdr:colOff>
      <xdr:row>8</xdr:row>
      <xdr:rowOff>174813</xdr:rowOff>
    </xdr:from>
    <xdr:to>
      <xdr:col>2</xdr:col>
      <xdr:colOff>925606</xdr:colOff>
      <xdr:row>14</xdr:row>
      <xdr:rowOff>156883</xdr:rowOff>
    </xdr:to>
    <xdr:sp macro="" textlink="">
      <xdr:nvSpPr>
        <xdr:cNvPr id="33" name="Retângulo Arredondado 32"/>
        <xdr:cNvSpPr/>
      </xdr:nvSpPr>
      <xdr:spPr>
        <a:xfrm>
          <a:off x="2438400" y="1766048"/>
          <a:ext cx="1322294" cy="1225923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Informe aqui a quantidade</a:t>
          </a:r>
          <a:r>
            <a:rPr lang="pt-BR" sz="1200" baseline="0"/>
            <a:t> de DL - Fenilalanina que a empresa quer produzir.</a:t>
          </a:r>
          <a:endParaRPr lang="pt-BR" sz="1200"/>
        </a:p>
      </xdr:txBody>
    </xdr:sp>
    <xdr:clientData/>
  </xdr:twoCellAnchor>
  <xdr:twoCellAnchor>
    <xdr:from>
      <xdr:col>2</xdr:col>
      <xdr:colOff>925606</xdr:colOff>
      <xdr:row>11</xdr:row>
      <xdr:rowOff>100853</xdr:rowOff>
    </xdr:from>
    <xdr:to>
      <xdr:col>2</xdr:col>
      <xdr:colOff>1154206</xdr:colOff>
      <xdr:row>11</xdr:row>
      <xdr:rowOff>115422</xdr:rowOff>
    </xdr:to>
    <xdr:cxnSp macro="">
      <xdr:nvCxnSpPr>
        <xdr:cNvPr id="34" name="Conector de Seta Reta 33"/>
        <xdr:cNvCxnSpPr>
          <a:stCxn id="33" idx="3"/>
        </xdr:cNvCxnSpPr>
      </xdr:nvCxnSpPr>
      <xdr:spPr>
        <a:xfrm flipV="1">
          <a:off x="3760694" y="2364441"/>
          <a:ext cx="228600" cy="145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95250</xdr:rowOff>
    </xdr:from>
    <xdr:to>
      <xdr:col>0</xdr:col>
      <xdr:colOff>1919967</xdr:colOff>
      <xdr:row>40</xdr:row>
      <xdr:rowOff>50345</xdr:rowOff>
    </xdr:to>
    <xdr:grpSp>
      <xdr:nvGrpSpPr>
        <xdr:cNvPr id="2" name="Agrupar 1"/>
        <xdr:cNvGrpSpPr/>
      </xdr:nvGrpSpPr>
      <xdr:grpSpPr>
        <a:xfrm>
          <a:off x="85725" y="295275"/>
          <a:ext cx="1834242" cy="7756070"/>
          <a:chOff x="228600" y="314325"/>
          <a:chExt cx="1362076" cy="5038725"/>
        </a:xfrm>
      </xdr:grpSpPr>
      <xdr:sp macro="" textlink="">
        <xdr:nvSpPr>
          <xdr:cNvPr id="3" name="Retângulo 2"/>
          <xdr:cNvSpPr/>
        </xdr:nvSpPr>
        <xdr:spPr>
          <a:xfrm>
            <a:off x="228600" y="314325"/>
            <a:ext cx="1162050" cy="443865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Retângulo Arredondado 3">
            <a:hlinkClick xmlns:r="http://schemas.openxmlformats.org/officeDocument/2006/relationships" r:id="rId1"/>
          </xdr:cNvPr>
          <xdr:cNvSpPr/>
        </xdr:nvSpPr>
        <xdr:spPr>
          <a:xfrm>
            <a:off x="285750" y="447675"/>
            <a:ext cx="971550" cy="314325"/>
          </a:xfrm>
          <a:prstGeom prst="round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Instruções</a:t>
            </a: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</xdr:cNvPr>
          <xdr:cNvSpPr/>
        </xdr:nvSpPr>
        <xdr:spPr>
          <a:xfrm>
            <a:off x="276225" y="800100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Decisões</a:t>
            </a:r>
          </a:p>
        </xdr:txBody>
      </xdr:sp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276225" y="1504950"/>
            <a:ext cx="971550" cy="3143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Plano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Contas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Retângulo Arredondado 6">
            <a:hlinkClick xmlns:r="http://schemas.openxmlformats.org/officeDocument/2006/relationships" r:id="rId4"/>
          </xdr:cNvPr>
          <xdr:cNvSpPr/>
        </xdr:nvSpPr>
        <xdr:spPr>
          <a:xfrm>
            <a:off x="266700" y="1847850"/>
            <a:ext cx="971550" cy="3905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Lançamentos 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Razonetes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Retângulo Arredondado 7">
            <a:hlinkClick xmlns:r="http://schemas.openxmlformats.org/officeDocument/2006/relationships" r:id="rId5"/>
          </xdr:cNvPr>
          <xdr:cNvSpPr/>
        </xdr:nvSpPr>
        <xdr:spPr>
          <a:xfrm>
            <a:off x="257175" y="2266950"/>
            <a:ext cx="971550" cy="476250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Matéria Prima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Retângulo Arredondado 8">
            <a:hlinkClick xmlns:r="http://schemas.openxmlformats.org/officeDocument/2006/relationships" r:id="rId6"/>
          </xdr:cNvPr>
          <xdr:cNvSpPr/>
        </xdr:nvSpPr>
        <xdr:spPr>
          <a:xfrm>
            <a:off x="257175" y="324802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Salários</a:t>
            </a:r>
          </a:p>
        </xdr:txBody>
      </xdr:sp>
      <xdr:sp macro="" textlink="">
        <xdr:nvSpPr>
          <xdr:cNvPr id="10" name="Retângulo Arredondado 9">
            <a:hlinkClick xmlns:r="http://schemas.openxmlformats.org/officeDocument/2006/relationships" r:id="rId7"/>
          </xdr:cNvPr>
          <xdr:cNvSpPr/>
        </xdr:nvSpPr>
        <xdr:spPr>
          <a:xfrm>
            <a:off x="247650" y="360997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Tributos</a:t>
            </a:r>
          </a:p>
        </xdr:txBody>
      </xdr:sp>
      <xdr:sp macro="" textlink="">
        <xdr:nvSpPr>
          <xdr:cNvPr id="11" name="Retângulo Arredondado 10">
            <a:hlinkClick xmlns:r="http://schemas.openxmlformats.org/officeDocument/2006/relationships" r:id="rId8"/>
          </xdr:cNvPr>
          <xdr:cNvSpPr/>
        </xdr:nvSpPr>
        <xdr:spPr>
          <a:xfrm>
            <a:off x="247650" y="3962400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Preço de Venda</a:t>
            </a:r>
          </a:p>
        </xdr:txBody>
      </xdr:sp>
      <xdr:sp macro="" textlink="">
        <xdr:nvSpPr>
          <xdr:cNvPr id="12" name="Retângulo Arredondado 11">
            <a:hlinkClick xmlns:r="http://schemas.openxmlformats.org/officeDocument/2006/relationships" r:id="rId9"/>
          </xdr:cNvPr>
          <xdr:cNvSpPr/>
        </xdr:nvSpPr>
        <xdr:spPr>
          <a:xfrm>
            <a:off x="228600" y="43148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BP</a:t>
            </a:r>
          </a:p>
        </xdr:txBody>
      </xdr:sp>
      <xdr:sp macro="" textlink="">
        <xdr:nvSpPr>
          <xdr:cNvPr id="13" name="Retângulo Arredondado 12">
            <a:hlinkClick xmlns:r="http://schemas.openxmlformats.org/officeDocument/2006/relationships" r:id="rId10"/>
          </xdr:cNvPr>
          <xdr:cNvSpPr/>
        </xdr:nvSpPr>
        <xdr:spPr>
          <a:xfrm>
            <a:off x="238125" y="467677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DRE</a:t>
            </a:r>
          </a:p>
        </xdr:txBody>
      </xdr:sp>
      <xdr:sp macro="" textlink="">
        <xdr:nvSpPr>
          <xdr:cNvPr id="14" name="Retângulo Arredondado 13">
            <a:hlinkClick xmlns:r="http://schemas.openxmlformats.org/officeDocument/2006/relationships" r:id="rId11"/>
          </xdr:cNvPr>
          <xdr:cNvSpPr/>
        </xdr:nvSpPr>
        <xdr:spPr>
          <a:xfrm>
            <a:off x="247650" y="50387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Indicadores</a:t>
            </a:r>
          </a:p>
        </xdr:txBody>
      </xdr:sp>
      <xdr:sp macro="" textlink="">
        <xdr:nvSpPr>
          <xdr:cNvPr id="15" name="Retângulo 14"/>
          <xdr:cNvSpPr/>
        </xdr:nvSpPr>
        <xdr:spPr>
          <a:xfrm>
            <a:off x="1323975" y="1524000"/>
            <a:ext cx="266700" cy="7239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Reconhecimento</a:t>
            </a:r>
          </a:p>
        </xdr:txBody>
      </xdr:sp>
      <xdr:sp macro="" textlink="">
        <xdr:nvSpPr>
          <xdr:cNvPr id="16" name="Retângulo 15"/>
          <xdr:cNvSpPr/>
        </xdr:nvSpPr>
        <xdr:spPr>
          <a:xfrm>
            <a:off x="1323974" y="2286000"/>
            <a:ext cx="266701" cy="197167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Mensuração</a:t>
            </a:r>
          </a:p>
        </xdr:txBody>
      </xdr:sp>
      <xdr:sp macro="" textlink="">
        <xdr:nvSpPr>
          <xdr:cNvPr id="17" name="Retângulo 16"/>
          <xdr:cNvSpPr/>
        </xdr:nvSpPr>
        <xdr:spPr>
          <a:xfrm>
            <a:off x="1323974" y="4295775"/>
            <a:ext cx="266702" cy="7334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Evidenciação</a:t>
            </a:r>
          </a:p>
        </xdr:txBody>
      </xdr:sp>
      <xdr:sp macro="" textlink="">
        <xdr:nvSpPr>
          <xdr:cNvPr id="18" name="Retângulo Arredondado 17">
            <a:hlinkClick xmlns:r="http://schemas.openxmlformats.org/officeDocument/2006/relationships" r:id="rId12"/>
          </xdr:cNvPr>
          <xdr:cNvSpPr/>
        </xdr:nvSpPr>
        <xdr:spPr>
          <a:xfrm>
            <a:off x="266701" y="2771774"/>
            <a:ext cx="971550" cy="438151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 de Produtos Acabados</a:t>
            </a:r>
          </a:p>
        </xdr:txBody>
      </xdr:sp>
      <xdr:sp macro="" textlink="">
        <xdr:nvSpPr>
          <xdr:cNvPr id="19" name="Retângulo Arredondado 18">
            <a:hlinkClick xmlns:r="http://schemas.openxmlformats.org/officeDocument/2006/relationships" r:id="rId13"/>
          </xdr:cNvPr>
          <xdr:cNvSpPr/>
        </xdr:nvSpPr>
        <xdr:spPr>
          <a:xfrm>
            <a:off x="276225" y="1152525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Financiamento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149676</xdr:colOff>
      <xdr:row>1</xdr:row>
      <xdr:rowOff>108857</xdr:rowOff>
    </xdr:from>
    <xdr:to>
      <xdr:col>2</xdr:col>
      <xdr:colOff>1796141</xdr:colOff>
      <xdr:row>2</xdr:row>
      <xdr:rowOff>161925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3034390" y="1741714"/>
          <a:ext cx="1646465" cy="447675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Informações</a:t>
          </a:r>
        </a:p>
      </xdr:txBody>
    </xdr:sp>
    <xdr:clientData/>
  </xdr:twoCellAnchor>
  <xdr:twoCellAnchor>
    <xdr:from>
      <xdr:col>2</xdr:col>
      <xdr:colOff>155121</xdr:colOff>
      <xdr:row>7</xdr:row>
      <xdr:rowOff>68037</xdr:rowOff>
    </xdr:from>
    <xdr:to>
      <xdr:col>2</xdr:col>
      <xdr:colOff>1809749</xdr:colOff>
      <xdr:row>9</xdr:row>
      <xdr:rowOff>195941</xdr:rowOff>
    </xdr:to>
    <xdr:sp macro="" textlink="">
      <xdr:nvSpPr>
        <xdr:cNvPr id="4" name="Retângulo Arredondado 3">
          <a:hlinkClick xmlns:r="http://schemas.openxmlformats.org/officeDocument/2006/relationships" r:id="rId2"/>
        </xdr:cNvPr>
        <xdr:cNvSpPr/>
      </xdr:nvSpPr>
      <xdr:spPr>
        <a:xfrm>
          <a:off x="3039835" y="3116037"/>
          <a:ext cx="1654628" cy="536118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Resumo </a:t>
          </a:r>
        </a:p>
      </xdr:txBody>
    </xdr:sp>
    <xdr:clientData/>
  </xdr:twoCellAnchor>
  <xdr:twoCellAnchor>
    <xdr:from>
      <xdr:col>2</xdr:col>
      <xdr:colOff>157844</xdr:colOff>
      <xdr:row>3</xdr:row>
      <xdr:rowOff>29934</xdr:rowOff>
    </xdr:from>
    <xdr:to>
      <xdr:col>2</xdr:col>
      <xdr:colOff>1804309</xdr:colOff>
      <xdr:row>7</xdr:row>
      <xdr:rowOff>13606</xdr:rowOff>
    </xdr:to>
    <xdr:sp macro="" textlink="">
      <xdr:nvSpPr>
        <xdr:cNvPr id="5" name="Retângulo Arredondado 4">
          <a:hlinkClick xmlns:r="http://schemas.openxmlformats.org/officeDocument/2006/relationships" r:id="rId3"/>
        </xdr:cNvPr>
        <xdr:cNvSpPr/>
      </xdr:nvSpPr>
      <xdr:spPr>
        <a:xfrm>
          <a:off x="3042558" y="2261505"/>
          <a:ext cx="1646465" cy="800101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Cálculo da</a:t>
          </a:r>
          <a:r>
            <a:rPr lang="pt-BR" sz="14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folha de pagamento</a:t>
          </a:r>
          <a:endParaRPr lang="pt-BR" sz="14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1496786</xdr:colOff>
      <xdr:row>0</xdr:row>
      <xdr:rowOff>0</xdr:rowOff>
    </xdr:from>
    <xdr:to>
      <xdr:col>12</xdr:col>
      <xdr:colOff>1592035</xdr:colOff>
      <xdr:row>1</xdr:row>
      <xdr:rowOff>0</xdr:rowOff>
    </xdr:to>
    <xdr:sp macro="" textlink="">
      <xdr:nvSpPr>
        <xdr:cNvPr id="6" name="Texto Explicativo em Nuvem 5">
          <a:hlinkClick xmlns:r="http://schemas.openxmlformats.org/officeDocument/2006/relationships" r:id="rId4"/>
        </xdr:cNvPr>
        <xdr:cNvSpPr/>
      </xdr:nvSpPr>
      <xdr:spPr>
        <a:xfrm>
          <a:off x="15729857" y="0"/>
          <a:ext cx="3347357" cy="1632857"/>
        </a:xfrm>
        <a:prstGeom prst="cloudCallout">
          <a:avLst>
            <a:gd name="adj1" fmla="val -53560"/>
            <a:gd name="adj2" fmla="val 85000"/>
          </a:avLst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Times New Roman" panose="02020603050405020304" pitchFamily="18" charset="0"/>
              <a:cs typeface="Times New Roman" panose="02020603050405020304" pitchFamily="18" charset="0"/>
            </a:rPr>
            <a:t>...</a:t>
          </a:r>
          <a:r>
            <a:rPr lang="pt-BR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e se tivesse horas extras, faltas, adicional de periculosidade/insalubridade, faltas? o que fazer?</a:t>
          </a:r>
        </a:p>
        <a:p>
          <a:pPr algn="ctr"/>
          <a:r>
            <a:rPr lang="pt-BR" sz="12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clique aqui </a:t>
          </a:r>
          <a:endParaRPr lang="pt-BR" sz="12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4206209</xdr:colOff>
      <xdr:row>56</xdr:row>
      <xdr:rowOff>49627</xdr:rowOff>
    </xdr:from>
    <xdr:to>
      <xdr:col>4</xdr:col>
      <xdr:colOff>5458066</xdr:colOff>
      <xdr:row>58</xdr:row>
      <xdr:rowOff>199305</xdr:rowOff>
    </xdr:to>
    <xdr:sp macro="" textlink="">
      <xdr:nvSpPr>
        <xdr:cNvPr id="7" name="Seta para a Direita 6"/>
        <xdr:cNvSpPr/>
      </xdr:nvSpPr>
      <xdr:spPr>
        <a:xfrm>
          <a:off x="9002327" y="13463068"/>
          <a:ext cx="1251857" cy="665149"/>
        </a:xfrm>
        <a:prstGeom prst="rightArrow">
          <a:avLst/>
        </a:prstGeom>
        <a:solidFill>
          <a:srgbClr val="FFC000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11206</xdr:colOff>
      <xdr:row>2</xdr:row>
      <xdr:rowOff>33617</xdr:rowOff>
    </xdr:from>
    <xdr:to>
      <xdr:col>0</xdr:col>
      <xdr:colOff>1845448</xdr:colOff>
      <xdr:row>40</xdr:row>
      <xdr:rowOff>24011</xdr:rowOff>
    </xdr:to>
    <xdr:grpSp>
      <xdr:nvGrpSpPr>
        <xdr:cNvPr id="26" name="Agrupar 25"/>
        <xdr:cNvGrpSpPr/>
      </xdr:nvGrpSpPr>
      <xdr:grpSpPr>
        <a:xfrm>
          <a:off x="11206" y="2061882"/>
          <a:ext cx="1834242" cy="7756070"/>
          <a:chOff x="228600" y="314325"/>
          <a:chExt cx="1362076" cy="5038725"/>
        </a:xfrm>
      </xdr:grpSpPr>
      <xdr:sp macro="" textlink="">
        <xdr:nvSpPr>
          <xdr:cNvPr id="27" name="Retângulo 26"/>
          <xdr:cNvSpPr/>
        </xdr:nvSpPr>
        <xdr:spPr>
          <a:xfrm>
            <a:off x="228600" y="314325"/>
            <a:ext cx="1162050" cy="443865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8" name="Retângulo Arredondado 27">
            <a:hlinkClick xmlns:r="http://schemas.openxmlformats.org/officeDocument/2006/relationships" r:id="rId5"/>
          </xdr:cNvPr>
          <xdr:cNvSpPr/>
        </xdr:nvSpPr>
        <xdr:spPr>
          <a:xfrm>
            <a:off x="285750" y="447675"/>
            <a:ext cx="971550" cy="314325"/>
          </a:xfrm>
          <a:prstGeom prst="round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Instruções</a:t>
            </a:r>
          </a:p>
        </xdr:txBody>
      </xdr:sp>
      <xdr:sp macro="" textlink="">
        <xdr:nvSpPr>
          <xdr:cNvPr id="29" name="Retângulo Arredondado 28">
            <a:hlinkClick xmlns:r="http://schemas.openxmlformats.org/officeDocument/2006/relationships" r:id="rId6"/>
          </xdr:cNvPr>
          <xdr:cNvSpPr/>
        </xdr:nvSpPr>
        <xdr:spPr>
          <a:xfrm>
            <a:off x="276225" y="800100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Decisões</a:t>
            </a:r>
          </a:p>
        </xdr:txBody>
      </xdr:sp>
      <xdr:sp macro="" textlink="">
        <xdr:nvSpPr>
          <xdr:cNvPr id="30" name="Retângulo Arredondado 29">
            <a:hlinkClick xmlns:r="http://schemas.openxmlformats.org/officeDocument/2006/relationships" r:id="rId7"/>
          </xdr:cNvPr>
          <xdr:cNvSpPr/>
        </xdr:nvSpPr>
        <xdr:spPr>
          <a:xfrm>
            <a:off x="276225" y="1504950"/>
            <a:ext cx="971550" cy="3143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Plano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Contas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1" name="Retângulo Arredondado 30">
            <a:hlinkClick xmlns:r="http://schemas.openxmlformats.org/officeDocument/2006/relationships" r:id="rId8"/>
          </xdr:cNvPr>
          <xdr:cNvSpPr/>
        </xdr:nvSpPr>
        <xdr:spPr>
          <a:xfrm>
            <a:off x="266700" y="1847850"/>
            <a:ext cx="971550" cy="3905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Lançamentos 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Razonetes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2" name="Retângulo Arredondado 31">
            <a:hlinkClick xmlns:r="http://schemas.openxmlformats.org/officeDocument/2006/relationships" r:id="rId9"/>
          </xdr:cNvPr>
          <xdr:cNvSpPr/>
        </xdr:nvSpPr>
        <xdr:spPr>
          <a:xfrm>
            <a:off x="257175" y="2266950"/>
            <a:ext cx="971550" cy="476250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Matéria Prima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3" name="Retângulo Arredondado 32">
            <a:hlinkClick xmlns:r="http://schemas.openxmlformats.org/officeDocument/2006/relationships" r:id="rId10"/>
          </xdr:cNvPr>
          <xdr:cNvSpPr/>
        </xdr:nvSpPr>
        <xdr:spPr>
          <a:xfrm>
            <a:off x="257175" y="324802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Salários</a:t>
            </a:r>
          </a:p>
        </xdr:txBody>
      </xdr:sp>
      <xdr:sp macro="" textlink="">
        <xdr:nvSpPr>
          <xdr:cNvPr id="34" name="Retângulo Arredondado 33">
            <a:hlinkClick xmlns:r="http://schemas.openxmlformats.org/officeDocument/2006/relationships" r:id="rId11"/>
          </xdr:cNvPr>
          <xdr:cNvSpPr/>
        </xdr:nvSpPr>
        <xdr:spPr>
          <a:xfrm>
            <a:off x="247650" y="360997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Tributos</a:t>
            </a:r>
          </a:p>
        </xdr:txBody>
      </xdr:sp>
      <xdr:sp macro="" textlink="">
        <xdr:nvSpPr>
          <xdr:cNvPr id="35" name="Retângulo Arredondado 34">
            <a:hlinkClick xmlns:r="http://schemas.openxmlformats.org/officeDocument/2006/relationships" r:id="rId12"/>
          </xdr:cNvPr>
          <xdr:cNvSpPr/>
        </xdr:nvSpPr>
        <xdr:spPr>
          <a:xfrm>
            <a:off x="247650" y="3962400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Preço de Venda</a:t>
            </a:r>
          </a:p>
        </xdr:txBody>
      </xdr:sp>
      <xdr:sp macro="" textlink="">
        <xdr:nvSpPr>
          <xdr:cNvPr id="36" name="Retângulo Arredondado 35">
            <a:hlinkClick xmlns:r="http://schemas.openxmlformats.org/officeDocument/2006/relationships" r:id="rId13"/>
          </xdr:cNvPr>
          <xdr:cNvSpPr/>
        </xdr:nvSpPr>
        <xdr:spPr>
          <a:xfrm>
            <a:off x="228600" y="43148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BP</a:t>
            </a:r>
          </a:p>
        </xdr:txBody>
      </xdr:sp>
      <xdr:sp macro="" textlink="">
        <xdr:nvSpPr>
          <xdr:cNvPr id="37" name="Retângulo Arredondado 36">
            <a:hlinkClick xmlns:r="http://schemas.openxmlformats.org/officeDocument/2006/relationships" r:id="rId14"/>
          </xdr:cNvPr>
          <xdr:cNvSpPr/>
        </xdr:nvSpPr>
        <xdr:spPr>
          <a:xfrm>
            <a:off x="238125" y="467677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DRE</a:t>
            </a:r>
          </a:p>
        </xdr:txBody>
      </xdr:sp>
      <xdr:sp macro="" textlink="">
        <xdr:nvSpPr>
          <xdr:cNvPr id="38" name="Retângulo Arredondado 37">
            <a:hlinkClick xmlns:r="http://schemas.openxmlformats.org/officeDocument/2006/relationships" r:id="rId15"/>
          </xdr:cNvPr>
          <xdr:cNvSpPr/>
        </xdr:nvSpPr>
        <xdr:spPr>
          <a:xfrm>
            <a:off x="247650" y="50387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Indicadores</a:t>
            </a:r>
          </a:p>
        </xdr:txBody>
      </xdr:sp>
      <xdr:sp macro="" textlink="">
        <xdr:nvSpPr>
          <xdr:cNvPr id="39" name="Retângulo 38"/>
          <xdr:cNvSpPr/>
        </xdr:nvSpPr>
        <xdr:spPr>
          <a:xfrm>
            <a:off x="1323975" y="1524000"/>
            <a:ext cx="266700" cy="7239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Reconhecimento</a:t>
            </a:r>
          </a:p>
        </xdr:txBody>
      </xdr:sp>
      <xdr:sp macro="" textlink="">
        <xdr:nvSpPr>
          <xdr:cNvPr id="40" name="Retângulo 39"/>
          <xdr:cNvSpPr/>
        </xdr:nvSpPr>
        <xdr:spPr>
          <a:xfrm>
            <a:off x="1323974" y="2286000"/>
            <a:ext cx="266701" cy="197167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Mensuração</a:t>
            </a:r>
          </a:p>
        </xdr:txBody>
      </xdr:sp>
      <xdr:sp macro="" textlink="">
        <xdr:nvSpPr>
          <xdr:cNvPr id="41" name="Retângulo 40"/>
          <xdr:cNvSpPr/>
        </xdr:nvSpPr>
        <xdr:spPr>
          <a:xfrm>
            <a:off x="1323974" y="4295775"/>
            <a:ext cx="266702" cy="7334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Evidenciação</a:t>
            </a:r>
          </a:p>
        </xdr:txBody>
      </xdr:sp>
      <xdr:sp macro="" textlink="">
        <xdr:nvSpPr>
          <xdr:cNvPr id="42" name="Retângulo Arredondado 41">
            <a:hlinkClick xmlns:r="http://schemas.openxmlformats.org/officeDocument/2006/relationships" r:id="rId16"/>
          </xdr:cNvPr>
          <xdr:cNvSpPr/>
        </xdr:nvSpPr>
        <xdr:spPr>
          <a:xfrm>
            <a:off x="266701" y="2771774"/>
            <a:ext cx="971550" cy="438151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 de Produtos Acabados</a:t>
            </a:r>
          </a:p>
        </xdr:txBody>
      </xdr:sp>
      <xdr:sp macro="" textlink="">
        <xdr:nvSpPr>
          <xdr:cNvPr id="43" name="Retângulo Arredondado 42">
            <a:hlinkClick xmlns:r="http://schemas.openxmlformats.org/officeDocument/2006/relationships" r:id="rId17"/>
          </xdr:cNvPr>
          <xdr:cNvSpPr/>
        </xdr:nvSpPr>
        <xdr:spPr>
          <a:xfrm>
            <a:off x="276225" y="1152525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Financiamento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340178</xdr:colOff>
      <xdr:row>2</xdr:row>
      <xdr:rowOff>28574</xdr:rowOff>
    </xdr:from>
    <xdr:to>
      <xdr:col>2</xdr:col>
      <xdr:colOff>1142999</xdr:colOff>
      <xdr:row>5</xdr:row>
      <xdr:rowOff>27213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2488595" y="430741"/>
          <a:ext cx="1194404" cy="612472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Times New Roman" panose="02020603050405020304" pitchFamily="18" charset="0"/>
              <a:cs typeface="Times New Roman" panose="02020603050405020304" pitchFamily="18" charset="0"/>
            </a:rPr>
            <a:t>Créditos</a:t>
          </a:r>
          <a:r>
            <a:rPr lang="pt-BR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Tributários</a:t>
          </a:r>
          <a:endParaRPr lang="pt-BR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340178</xdr:colOff>
      <xdr:row>5</xdr:row>
      <xdr:rowOff>96611</xdr:rowOff>
    </xdr:from>
    <xdr:to>
      <xdr:col>2</xdr:col>
      <xdr:colOff>1142999</xdr:colOff>
      <xdr:row>8</xdr:row>
      <xdr:rowOff>95250</xdr:rowOff>
    </xdr:to>
    <xdr:sp macro="" textlink="">
      <xdr:nvSpPr>
        <xdr:cNvPr id="3" name="Retângulo Arredondado 2">
          <a:hlinkClick xmlns:r="http://schemas.openxmlformats.org/officeDocument/2006/relationships" r:id="rId2"/>
        </xdr:cNvPr>
        <xdr:cNvSpPr/>
      </xdr:nvSpPr>
      <xdr:spPr>
        <a:xfrm>
          <a:off x="2488595" y="1112611"/>
          <a:ext cx="1194404" cy="612472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Times New Roman" panose="02020603050405020304" pitchFamily="18" charset="0"/>
              <a:cs typeface="Times New Roman" panose="02020603050405020304" pitchFamily="18" charset="0"/>
            </a:rPr>
            <a:t>Débitos Tributários</a:t>
          </a:r>
        </a:p>
      </xdr:txBody>
    </xdr:sp>
    <xdr:clientData/>
  </xdr:twoCellAnchor>
  <xdr:twoCellAnchor>
    <xdr:from>
      <xdr:col>0</xdr:col>
      <xdr:colOff>108857</xdr:colOff>
      <xdr:row>2</xdr:row>
      <xdr:rowOff>163286</xdr:rowOff>
    </xdr:from>
    <xdr:to>
      <xdr:col>0</xdr:col>
      <xdr:colOff>1943099</xdr:colOff>
      <xdr:row>40</xdr:row>
      <xdr:rowOff>163284</xdr:rowOff>
    </xdr:to>
    <xdr:grpSp>
      <xdr:nvGrpSpPr>
        <xdr:cNvPr id="4" name="Agrupar 3"/>
        <xdr:cNvGrpSpPr/>
      </xdr:nvGrpSpPr>
      <xdr:grpSpPr>
        <a:xfrm>
          <a:off x="108857" y="565453"/>
          <a:ext cx="1834242" cy="7672914"/>
          <a:chOff x="228600" y="314325"/>
          <a:chExt cx="1362076" cy="5038725"/>
        </a:xfrm>
      </xdr:grpSpPr>
      <xdr:sp macro="" textlink="">
        <xdr:nvSpPr>
          <xdr:cNvPr id="5" name="Retângulo 4"/>
          <xdr:cNvSpPr/>
        </xdr:nvSpPr>
        <xdr:spPr>
          <a:xfrm>
            <a:off x="228600" y="314325"/>
            <a:ext cx="1162050" cy="443865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285750" y="447675"/>
            <a:ext cx="971550" cy="314325"/>
          </a:xfrm>
          <a:prstGeom prst="round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Instruções</a:t>
            </a:r>
          </a:p>
        </xdr:txBody>
      </xdr:sp>
      <xdr:sp macro="" textlink="">
        <xdr:nvSpPr>
          <xdr:cNvPr id="7" name="Retângulo Arredondado 6">
            <a:hlinkClick xmlns:r="http://schemas.openxmlformats.org/officeDocument/2006/relationships" r:id="rId4"/>
          </xdr:cNvPr>
          <xdr:cNvSpPr/>
        </xdr:nvSpPr>
        <xdr:spPr>
          <a:xfrm>
            <a:off x="276225" y="800100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Decisões</a:t>
            </a:r>
          </a:p>
        </xdr:txBody>
      </xdr:sp>
      <xdr:sp macro="" textlink="">
        <xdr:nvSpPr>
          <xdr:cNvPr id="8" name="Retângulo Arredondado 7">
            <a:hlinkClick xmlns:r="http://schemas.openxmlformats.org/officeDocument/2006/relationships" r:id="rId5"/>
          </xdr:cNvPr>
          <xdr:cNvSpPr/>
        </xdr:nvSpPr>
        <xdr:spPr>
          <a:xfrm>
            <a:off x="276225" y="1504950"/>
            <a:ext cx="971550" cy="3143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Plano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Contas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Retângulo Arredondado 8">
            <a:hlinkClick xmlns:r="http://schemas.openxmlformats.org/officeDocument/2006/relationships" r:id="rId6"/>
          </xdr:cNvPr>
          <xdr:cNvSpPr/>
        </xdr:nvSpPr>
        <xdr:spPr>
          <a:xfrm>
            <a:off x="266700" y="1847850"/>
            <a:ext cx="971550" cy="390525"/>
          </a:xfrm>
          <a:prstGeom prst="roundRect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Lançamentos 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Razonetes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Retângulo Arredondado 9">
            <a:hlinkClick xmlns:r="http://schemas.openxmlformats.org/officeDocument/2006/relationships" r:id="rId7"/>
          </xdr:cNvPr>
          <xdr:cNvSpPr/>
        </xdr:nvSpPr>
        <xdr:spPr>
          <a:xfrm>
            <a:off x="257175" y="2266950"/>
            <a:ext cx="971550" cy="476250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</a:t>
            </a:r>
            <a:r>
              <a:rPr lang="pt-BR" sz="11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 Matéria Prima</a:t>
            </a:r>
            <a:endParaRPr lang="pt-BR" sz="11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Retângulo Arredondado 10">
            <a:hlinkClick xmlns:r="http://schemas.openxmlformats.org/officeDocument/2006/relationships" r:id="rId8"/>
          </xdr:cNvPr>
          <xdr:cNvSpPr/>
        </xdr:nvSpPr>
        <xdr:spPr>
          <a:xfrm>
            <a:off x="257175" y="324802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Salários</a:t>
            </a:r>
          </a:p>
        </xdr:txBody>
      </xdr:sp>
      <xdr:sp macro="" textlink="">
        <xdr:nvSpPr>
          <xdr:cNvPr id="12" name="Retângulo Arredondado 11">
            <a:hlinkClick xmlns:r="http://schemas.openxmlformats.org/officeDocument/2006/relationships" r:id="rId9"/>
          </xdr:cNvPr>
          <xdr:cNvSpPr/>
        </xdr:nvSpPr>
        <xdr:spPr>
          <a:xfrm>
            <a:off x="247650" y="3609975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Tributos</a:t>
            </a:r>
          </a:p>
        </xdr:txBody>
      </xdr:sp>
      <xdr:sp macro="" textlink="">
        <xdr:nvSpPr>
          <xdr:cNvPr id="13" name="Retângulo Arredondado 12">
            <a:hlinkClick xmlns:r="http://schemas.openxmlformats.org/officeDocument/2006/relationships" r:id="rId10"/>
          </xdr:cNvPr>
          <xdr:cNvSpPr/>
        </xdr:nvSpPr>
        <xdr:spPr>
          <a:xfrm>
            <a:off x="247650" y="3962400"/>
            <a:ext cx="971550" cy="314325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Preço de Venda</a:t>
            </a:r>
          </a:p>
        </xdr:txBody>
      </xdr:sp>
      <xdr:sp macro="" textlink="">
        <xdr:nvSpPr>
          <xdr:cNvPr id="14" name="Retângulo Arredondado 13">
            <a:hlinkClick xmlns:r="http://schemas.openxmlformats.org/officeDocument/2006/relationships" r:id="rId11"/>
          </xdr:cNvPr>
          <xdr:cNvSpPr/>
        </xdr:nvSpPr>
        <xdr:spPr>
          <a:xfrm>
            <a:off x="228600" y="43148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BP</a:t>
            </a:r>
          </a:p>
        </xdr:txBody>
      </xdr:sp>
      <xdr:sp macro="" textlink="">
        <xdr:nvSpPr>
          <xdr:cNvPr id="15" name="Retângulo Arredondado 14">
            <a:hlinkClick xmlns:r="http://schemas.openxmlformats.org/officeDocument/2006/relationships" r:id="rId12"/>
          </xdr:cNvPr>
          <xdr:cNvSpPr/>
        </xdr:nvSpPr>
        <xdr:spPr>
          <a:xfrm>
            <a:off x="238125" y="467677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DRE</a:t>
            </a:r>
          </a:p>
        </xdr:txBody>
      </xdr:sp>
      <xdr:sp macro="" textlink="">
        <xdr:nvSpPr>
          <xdr:cNvPr id="16" name="Retângulo Arredondado 15">
            <a:hlinkClick xmlns:r="http://schemas.openxmlformats.org/officeDocument/2006/relationships" r:id="rId13"/>
          </xdr:cNvPr>
          <xdr:cNvSpPr/>
        </xdr:nvSpPr>
        <xdr:spPr>
          <a:xfrm>
            <a:off x="247650" y="5038725"/>
            <a:ext cx="971550" cy="314325"/>
          </a:xfrm>
          <a:prstGeom prst="roundRect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Indicadores</a:t>
            </a:r>
          </a:p>
        </xdr:txBody>
      </xdr:sp>
      <xdr:sp macro="" textlink="">
        <xdr:nvSpPr>
          <xdr:cNvPr id="17" name="Retângulo 16"/>
          <xdr:cNvSpPr/>
        </xdr:nvSpPr>
        <xdr:spPr>
          <a:xfrm>
            <a:off x="1323975" y="1524000"/>
            <a:ext cx="266700" cy="7239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Reconhecimento</a:t>
            </a:r>
          </a:p>
        </xdr:txBody>
      </xdr:sp>
      <xdr:sp macro="" textlink="">
        <xdr:nvSpPr>
          <xdr:cNvPr id="18" name="Retângulo 17"/>
          <xdr:cNvSpPr/>
        </xdr:nvSpPr>
        <xdr:spPr>
          <a:xfrm>
            <a:off x="1323974" y="2286000"/>
            <a:ext cx="266701" cy="197167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Mensuração</a:t>
            </a:r>
          </a:p>
        </xdr:txBody>
      </xdr:sp>
      <xdr:sp macro="" textlink="">
        <xdr:nvSpPr>
          <xdr:cNvPr id="19" name="Retângulo 18"/>
          <xdr:cNvSpPr/>
        </xdr:nvSpPr>
        <xdr:spPr>
          <a:xfrm>
            <a:off x="1323974" y="4295775"/>
            <a:ext cx="266702" cy="733425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ctr"/>
            <a:r>
              <a:rPr lang="pt-BR" sz="11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Evidenciação</a:t>
            </a:r>
          </a:p>
        </xdr:txBody>
      </xdr:sp>
      <xdr:sp macro="" textlink="">
        <xdr:nvSpPr>
          <xdr:cNvPr id="20" name="Retângulo Arredondado 19">
            <a:hlinkClick xmlns:r="http://schemas.openxmlformats.org/officeDocument/2006/relationships" r:id="rId14"/>
          </xdr:cNvPr>
          <xdr:cNvSpPr/>
        </xdr:nvSpPr>
        <xdr:spPr>
          <a:xfrm>
            <a:off x="266701" y="2771774"/>
            <a:ext cx="971550" cy="438151"/>
          </a:xfrm>
          <a:prstGeom prst="roundRect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Estoque de Produtos Acabados</a:t>
            </a:r>
          </a:p>
        </xdr:txBody>
      </xdr:sp>
      <xdr:sp macro="" textlink="">
        <xdr:nvSpPr>
          <xdr:cNvPr id="21" name="Retângulo Arredondado 20">
            <a:hlinkClick xmlns:r="http://schemas.openxmlformats.org/officeDocument/2006/relationships" r:id="rId15"/>
          </xdr:cNvPr>
          <xdr:cNvSpPr/>
        </xdr:nvSpPr>
        <xdr:spPr>
          <a:xfrm>
            <a:off x="276225" y="1152525"/>
            <a:ext cx="962025" cy="314325"/>
          </a:xfrm>
          <a:prstGeom prst="round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latin typeface="Times New Roman" panose="02020603050405020304" pitchFamily="18" charset="0"/>
                <a:cs typeface="Times New Roman" panose="02020603050405020304" pitchFamily="18" charset="0"/>
              </a:rPr>
              <a:t>Financiamento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sabelle\Desktop\Isabelle\USP\Est&#225;gio\Contabilidade%20Tribut&#225;ria%20I\TAX%20GAME\Planilha%20Base%20-%20Estudo%20de%20Caso%20Dinam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sabelle\Desktop\Isabelle\USP\Est&#225;gio\Contabilidade%20Tribut&#225;ria%20I\TAX%20GAME\Planilha%20Estudo%20de%20Caso%20Pr&#225;tico_v7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Elementos"/>
      <sheetName val="Rascunhos"/>
      <sheetName val="Plano_de_Contas"/>
      <sheetName val="Lançamentos"/>
      <sheetName val="Razão"/>
      <sheetName val="Ficha-Estoque"/>
      <sheetName val="Folha_Salários"/>
      <sheetName val="Livros Fiscais"/>
      <sheetName val="DRE"/>
      <sheetName val="DRA"/>
      <sheetName val="BP"/>
      <sheetName val="DMPL"/>
      <sheetName val="DFC"/>
      <sheetName val="D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Decisões"/>
      <sheetName val="Financiamento"/>
      <sheetName val="Plano de Contas"/>
      <sheetName val="Lançamentos e Razonetes"/>
      <sheetName val="Balanço Patrimonial"/>
      <sheetName val="DRE"/>
      <sheetName val="Estoque de MP"/>
      <sheetName val="Estoque de PA"/>
      <sheetName val="Salários"/>
      <sheetName val="Tributos"/>
      <sheetName val="Planilha1"/>
      <sheetName val="Preço de Venda"/>
      <sheetName val="QUADIST"/>
      <sheetName val="Parâmetros"/>
      <sheetName val="Indicad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zenda.rj.gov.br/sefaz/faces/oracle/webcenter/portalapp/pages/navigation-renderer.jspx?_afrLoop=3165091258804159&amp;datasource=UCMServer%23dDocName%3A100438&amp;_adf.ctrl-state=1zxx43o3n_9" TargetMode="External"/><Relationship Id="rId2" Type="http://schemas.openxmlformats.org/officeDocument/2006/relationships/hyperlink" Target="https://www.confaz.fazenda.gov.br/legislacao/aliquotas-icms-estaduais" TargetMode="External"/><Relationship Id="rId1" Type="http://schemas.openxmlformats.org/officeDocument/2006/relationships/hyperlink" Target="https://www.contabilidadenobrasil.com.br/Tabela-de-Aliquotas-Internas-e-Interestaduais-2016.pdf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sidra.ibge.gov.br/home/sinapi/brasil" TargetMode="External"/><Relationship Id="rId1" Type="http://schemas.openxmlformats.org/officeDocument/2006/relationships/hyperlink" Target="https://noticias.uol.com.br/censo-2010/populaca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rgb="FF00B0F0"/>
  </sheetPr>
  <dimension ref="A1:S28"/>
  <sheetViews>
    <sheetView topLeftCell="A10" workbookViewId="0">
      <pane xSplit="1" topLeftCell="B1" activePane="topRight" state="frozen"/>
      <selection pane="topRight" activeCell="D15" sqref="D15"/>
    </sheetView>
  </sheetViews>
  <sheetFormatPr defaultRowHeight="15.75" x14ac:dyDescent="0.25"/>
  <cols>
    <col min="1" max="1" width="34" style="4" customWidth="1"/>
    <col min="2" max="2" width="18" style="499" customWidth="1"/>
    <col min="3" max="3" width="72" style="499" bestFit="1" customWidth="1"/>
    <col min="4" max="4" width="56.42578125" style="499" customWidth="1"/>
    <col min="5" max="12" width="9.140625" style="499"/>
    <col min="13" max="13" width="14.5703125" style="499" bestFit="1" customWidth="1"/>
    <col min="14" max="16384" width="9.140625" style="499"/>
  </cols>
  <sheetData>
    <row r="1" spans="1:19" s="553" customFormat="1" x14ac:dyDescent="0.25">
      <c r="A1" s="17" t="s">
        <v>981</v>
      </c>
      <c r="B1" s="552"/>
      <c r="C1" s="552" t="s">
        <v>619</v>
      </c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</row>
    <row r="2" spans="1:19" x14ac:dyDescent="0.25">
      <c r="C2" s="499" t="s">
        <v>979</v>
      </c>
    </row>
    <row r="3" spans="1:19" x14ac:dyDescent="0.25">
      <c r="C3" s="554" t="s">
        <v>980</v>
      </c>
      <c r="D3" s="554"/>
      <c r="E3" s="554"/>
      <c r="F3" s="554"/>
    </row>
    <row r="4" spans="1:19" x14ac:dyDescent="0.25">
      <c r="C4" s="554"/>
      <c r="D4" s="565"/>
      <c r="E4" s="554"/>
      <c r="F4" s="554"/>
    </row>
    <row r="5" spans="1:19" x14ac:dyDescent="0.25">
      <c r="C5" s="565" t="s">
        <v>620</v>
      </c>
      <c r="D5" s="565" t="s">
        <v>1115</v>
      </c>
      <c r="E5" s="554"/>
      <c r="F5" s="554"/>
    </row>
    <row r="6" spans="1:19" x14ac:dyDescent="0.25">
      <c r="C6" s="554" t="s">
        <v>1088</v>
      </c>
      <c r="D6" s="599" t="s">
        <v>1083</v>
      </c>
      <c r="E6" s="554"/>
      <c r="F6" s="554"/>
    </row>
    <row r="7" spans="1:19" x14ac:dyDescent="0.25">
      <c r="C7" s="554"/>
      <c r="D7" s="599"/>
      <c r="E7" s="554"/>
      <c r="F7" s="554"/>
    </row>
    <row r="8" spans="1:19" x14ac:dyDescent="0.25">
      <c r="C8" s="565" t="s">
        <v>1087</v>
      </c>
      <c r="D8" s="554"/>
      <c r="E8" s="554"/>
      <c r="F8" s="554"/>
    </row>
    <row r="9" spans="1:19" x14ac:dyDescent="0.25">
      <c r="C9" s="499" t="s">
        <v>1084</v>
      </c>
      <c r="D9" s="599" t="s">
        <v>1085</v>
      </c>
    </row>
    <row r="10" spans="1:19" x14ac:dyDescent="0.25">
      <c r="C10" s="499" t="s">
        <v>108</v>
      </c>
      <c r="D10" s="599" t="s">
        <v>1086</v>
      </c>
    </row>
    <row r="11" spans="1:19" x14ac:dyDescent="0.25">
      <c r="C11" s="499" t="s">
        <v>1089</v>
      </c>
      <c r="D11" s="599" t="s">
        <v>1090</v>
      </c>
    </row>
    <row r="12" spans="1:19" x14ac:dyDescent="0.25">
      <c r="C12" s="499" t="s">
        <v>1093</v>
      </c>
      <c r="D12" s="599" t="s">
        <v>1092</v>
      </c>
    </row>
    <row r="13" spans="1:19" x14ac:dyDescent="0.25">
      <c r="C13" s="499" t="s">
        <v>1094</v>
      </c>
      <c r="D13" s="599" t="s">
        <v>1095</v>
      </c>
    </row>
    <row r="14" spans="1:19" x14ac:dyDescent="0.25">
      <c r="C14" s="499" t="s">
        <v>1098</v>
      </c>
      <c r="D14" s="599" t="s">
        <v>1097</v>
      </c>
    </row>
    <row r="15" spans="1:19" x14ac:dyDescent="0.25">
      <c r="C15" s="499" t="s">
        <v>1099</v>
      </c>
      <c r="D15" s="599" t="s">
        <v>1100</v>
      </c>
    </row>
    <row r="17" spans="3:4" x14ac:dyDescent="0.25">
      <c r="C17" s="555" t="s">
        <v>1101</v>
      </c>
    </row>
    <row r="18" spans="3:4" x14ac:dyDescent="0.25">
      <c r="C18" s="499" t="s">
        <v>1104</v>
      </c>
      <c r="D18" s="599" t="s">
        <v>1105</v>
      </c>
    </row>
    <row r="19" spans="3:4" x14ac:dyDescent="0.25">
      <c r="C19" s="499" t="s">
        <v>1102</v>
      </c>
      <c r="D19" s="599" t="s">
        <v>1103</v>
      </c>
    </row>
    <row r="20" spans="3:4" x14ac:dyDescent="0.25">
      <c r="C20" s="499" t="s">
        <v>1106</v>
      </c>
      <c r="D20" s="499" t="s">
        <v>1107</v>
      </c>
    </row>
    <row r="21" spans="3:4" x14ac:dyDescent="0.25">
      <c r="C21" s="499" t="s">
        <v>1108</v>
      </c>
      <c r="D21" s="499" t="s">
        <v>1109</v>
      </c>
    </row>
    <row r="22" spans="3:4" x14ac:dyDescent="0.25">
      <c r="C22" s="499" t="s">
        <v>1113</v>
      </c>
      <c r="D22" s="499" t="s">
        <v>1114</v>
      </c>
    </row>
    <row r="23" spans="3:4" x14ac:dyDescent="0.25">
      <c r="C23" s="499" t="s">
        <v>1118</v>
      </c>
      <c r="D23" s="499" t="s">
        <v>1117</v>
      </c>
    </row>
    <row r="24" spans="3:4" x14ac:dyDescent="0.25">
      <c r="C24" s="499" t="s">
        <v>1119</v>
      </c>
      <c r="D24" s="499" t="s">
        <v>1117</v>
      </c>
    </row>
    <row r="25" spans="3:4" x14ac:dyDescent="0.25">
      <c r="C25" s="499" t="s">
        <v>1120</v>
      </c>
      <c r="D25" s="499" t="s">
        <v>1117</v>
      </c>
    </row>
    <row r="27" spans="3:4" x14ac:dyDescent="0.25">
      <c r="C27" s="555" t="s">
        <v>1116</v>
      </c>
    </row>
    <row r="28" spans="3:4" x14ac:dyDescent="0.25">
      <c r="C28" s="499" t="s">
        <v>1072</v>
      </c>
    </row>
  </sheetData>
  <hyperlinks>
    <hyperlink ref="D6" location="Decisões!D4" display="Planilha Decisões"/>
    <hyperlink ref="D9" location="Decisões!E23" display="Planilha Decisões - Área"/>
    <hyperlink ref="D10" location="Decisões!D64" display="Planilha Decisões - Empréstimo para Capital de Giro"/>
    <hyperlink ref="D11" location="'Estoque de MP'!D2" display="Planilha Estoque MP - Compras"/>
    <hyperlink ref="D12" location="'Estoque de MP'!D10" display="Planilha Estoque MP - Requisição de MP e Embalagem"/>
    <hyperlink ref="D13" location="'Preço de Venda'!D3" display="Planilha Preço de Venda - CÁLCULO DO PREÇO DE VENDA"/>
    <hyperlink ref="D14" location="'Preço de Venda'!D51" display="Planilha Preço de Venda - Total Quantidade"/>
    <hyperlink ref="D15" location="'Preço de Venda'!E19" display="Planilha Preço de Venda - Oferta - 2ª rodada"/>
    <hyperlink ref="D19" location="Tributos!D89" display="Planilha Tributos - MERCADO"/>
    <hyperlink ref="D18" location="'Preço de Venda'!G19" display="Planilha Preço de Venda - Aceite - 3ª rodada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BX115"/>
  <sheetViews>
    <sheetView zoomScale="90" zoomScaleNormal="90" workbookViewId="0">
      <selection activeCell="D37" sqref="D37:E37"/>
    </sheetView>
  </sheetViews>
  <sheetFormatPr defaultRowHeight="15.75" x14ac:dyDescent="0.25"/>
  <cols>
    <col min="1" max="1" width="32.28515625" style="4" customWidth="1"/>
    <col min="2" max="2" width="5.85546875" style="4" customWidth="1"/>
    <col min="3" max="3" width="20.7109375" style="4" customWidth="1"/>
    <col min="4" max="4" width="48.28515625" style="4" customWidth="1"/>
    <col min="5" max="5" width="21.5703125" style="4" customWidth="1"/>
    <col min="6" max="6" width="21.7109375" style="4" customWidth="1"/>
    <col min="7" max="7" width="19.5703125" style="4" customWidth="1"/>
    <col min="8" max="8" width="18.7109375" style="4" bestFit="1" customWidth="1"/>
    <col min="9" max="9" width="20.140625" style="4" bestFit="1" customWidth="1"/>
    <col min="10" max="10" width="16.42578125" style="4" bestFit="1" customWidth="1"/>
    <col min="11" max="11" width="15.42578125" style="4" bestFit="1" customWidth="1"/>
    <col min="12" max="12" width="20.42578125" style="4" bestFit="1" customWidth="1"/>
    <col min="13" max="13" width="15.42578125" style="4" bestFit="1" customWidth="1"/>
    <col min="14" max="14" width="22.7109375" style="4" bestFit="1" customWidth="1"/>
    <col min="15" max="15" width="15" style="4" bestFit="1" customWidth="1"/>
    <col min="16" max="19" width="9.140625" style="4"/>
    <col min="20" max="20" width="7.7109375" style="4" customWidth="1"/>
    <col min="21" max="42" width="4.5703125" style="4" customWidth="1"/>
    <col min="43" max="43" width="5.28515625" style="4" bestFit="1" customWidth="1"/>
    <col min="44" max="49" width="4.5703125" style="4" customWidth="1"/>
    <col min="50" max="50" width="1.85546875" style="4" customWidth="1"/>
    <col min="51" max="51" width="9.140625" style="4"/>
    <col min="52" max="52" width="23" style="4" bestFit="1" customWidth="1"/>
    <col min="53" max="53" width="4.140625" style="4" bestFit="1" customWidth="1"/>
    <col min="54" max="16384" width="9.140625" style="4"/>
  </cols>
  <sheetData>
    <row r="2" spans="1:76" x14ac:dyDescent="0.25">
      <c r="A2" s="377" t="s">
        <v>675</v>
      </c>
      <c r="J2" s="21"/>
      <c r="K2" s="21"/>
      <c r="L2" s="21"/>
      <c r="M2" s="21"/>
      <c r="N2" s="21"/>
      <c r="V2" s="175"/>
    </row>
    <row r="3" spans="1:76" x14ac:dyDescent="0.25">
      <c r="D3" s="664" t="s">
        <v>673</v>
      </c>
      <c r="E3" s="576" t="s">
        <v>657</v>
      </c>
      <c r="F3" s="576"/>
      <c r="J3" s="21"/>
      <c r="K3" s="21"/>
      <c r="L3" s="21"/>
      <c r="M3" s="21"/>
      <c r="N3" s="21"/>
      <c r="T3" s="678" t="s">
        <v>787</v>
      </c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678"/>
      <c r="AS3" s="678"/>
      <c r="AT3" s="678"/>
      <c r="AU3" s="678"/>
      <c r="AV3" s="678"/>
      <c r="AW3" s="678"/>
    </row>
    <row r="4" spans="1:76" ht="16.5" thickBot="1" x14ac:dyDescent="0.3">
      <c r="D4" s="664"/>
      <c r="E4" s="559" t="s">
        <v>659</v>
      </c>
      <c r="F4" s="559" t="s">
        <v>667</v>
      </c>
      <c r="J4" s="21"/>
      <c r="K4" s="21"/>
      <c r="L4" s="21"/>
      <c r="M4" s="21"/>
      <c r="N4" s="21"/>
      <c r="AZ4" s="696" t="s">
        <v>900</v>
      </c>
      <c r="BA4" s="69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</row>
    <row r="5" spans="1:76" ht="15.75" customHeight="1" x14ac:dyDescent="0.25">
      <c r="D5" s="13" t="s">
        <v>658</v>
      </c>
      <c r="E5" s="323" t="s">
        <v>666</v>
      </c>
      <c r="F5" s="323" t="s">
        <v>153</v>
      </c>
      <c r="J5" s="21"/>
      <c r="K5" s="21"/>
      <c r="L5" s="21"/>
      <c r="M5" s="21"/>
      <c r="N5" s="21"/>
      <c r="T5" s="692" t="s">
        <v>897</v>
      </c>
      <c r="U5" s="686" t="s">
        <v>898</v>
      </c>
      <c r="V5" s="687"/>
      <c r="W5" s="687"/>
      <c r="X5" s="687"/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687"/>
      <c r="AO5" s="687"/>
      <c r="AP5" s="687"/>
      <c r="AQ5" s="687"/>
      <c r="AR5" s="687"/>
      <c r="AS5" s="687"/>
      <c r="AT5" s="687"/>
      <c r="AU5" s="687"/>
      <c r="AV5" s="687"/>
      <c r="AW5" s="688"/>
      <c r="AZ5" s="237" t="s">
        <v>871</v>
      </c>
      <c r="BA5" s="237" t="s">
        <v>29</v>
      </c>
    </row>
    <row r="6" spans="1:76" ht="16.5" thickBot="1" x14ac:dyDescent="0.3">
      <c r="D6" s="13" t="s">
        <v>157</v>
      </c>
      <c r="E6" s="323" t="s">
        <v>666</v>
      </c>
      <c r="F6" s="323" t="s">
        <v>153</v>
      </c>
      <c r="J6" s="21"/>
      <c r="K6" s="21"/>
      <c r="L6" s="21"/>
      <c r="M6" s="21"/>
      <c r="N6" s="21"/>
      <c r="T6" s="693"/>
      <c r="U6" s="689"/>
      <c r="V6" s="690"/>
      <c r="W6" s="690"/>
      <c r="X6" s="690"/>
      <c r="Y6" s="690"/>
      <c r="Z6" s="690"/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90"/>
      <c r="AM6" s="690"/>
      <c r="AN6" s="690"/>
      <c r="AO6" s="690"/>
      <c r="AP6" s="690"/>
      <c r="AQ6" s="690"/>
      <c r="AR6" s="690"/>
      <c r="AS6" s="690"/>
      <c r="AT6" s="690"/>
      <c r="AU6" s="690"/>
      <c r="AV6" s="690"/>
      <c r="AW6" s="691"/>
      <c r="AZ6" s="237" t="s">
        <v>874</v>
      </c>
      <c r="BA6" s="237" t="s">
        <v>32</v>
      </c>
    </row>
    <row r="7" spans="1:76" x14ac:dyDescent="0.25">
      <c r="D7" s="13" t="s">
        <v>9</v>
      </c>
      <c r="E7" s="323" t="s">
        <v>666</v>
      </c>
      <c r="F7" s="323" t="s">
        <v>153</v>
      </c>
      <c r="H7" s="176"/>
      <c r="T7" s="694"/>
      <c r="U7" s="234"/>
      <c r="V7" s="227" t="s">
        <v>29</v>
      </c>
      <c r="W7" s="227" t="s">
        <v>32</v>
      </c>
      <c r="X7" s="227" t="s">
        <v>38</v>
      </c>
      <c r="Y7" s="227" t="s">
        <v>35</v>
      </c>
      <c r="Z7" s="227" t="s">
        <v>41</v>
      </c>
      <c r="AA7" s="227" t="s">
        <v>44</v>
      </c>
      <c r="AB7" s="227" t="s">
        <v>46</v>
      </c>
      <c r="AC7" s="227" t="s">
        <v>48</v>
      </c>
      <c r="AD7" s="227" t="s">
        <v>51</v>
      </c>
      <c r="AE7" s="227" t="s">
        <v>54</v>
      </c>
      <c r="AF7" s="227" t="s">
        <v>57</v>
      </c>
      <c r="AG7" s="227" t="s">
        <v>60</v>
      </c>
      <c r="AH7" s="227" t="s">
        <v>23</v>
      </c>
      <c r="AI7" s="227" t="s">
        <v>65</v>
      </c>
      <c r="AJ7" s="227" t="s">
        <v>68</v>
      </c>
      <c r="AK7" s="227" t="s">
        <v>71</v>
      </c>
      <c r="AL7" s="227" t="s">
        <v>74</v>
      </c>
      <c r="AM7" s="227" t="s">
        <v>77</v>
      </c>
      <c r="AN7" s="227" t="s">
        <v>82</v>
      </c>
      <c r="AO7" s="227" t="s">
        <v>85</v>
      </c>
      <c r="AP7" s="227" t="s">
        <v>80</v>
      </c>
      <c r="AQ7" s="227" t="s">
        <v>88</v>
      </c>
      <c r="AR7" s="227" t="s">
        <v>91</v>
      </c>
      <c r="AS7" s="227" t="s">
        <v>94</v>
      </c>
      <c r="AT7" s="227" t="s">
        <v>22</v>
      </c>
      <c r="AU7" s="227" t="s">
        <v>98</v>
      </c>
      <c r="AV7" s="227" t="s">
        <v>101</v>
      </c>
      <c r="AW7" s="228" t="s">
        <v>899</v>
      </c>
      <c r="AZ7" s="237" t="s">
        <v>877</v>
      </c>
      <c r="BA7" s="237" t="s">
        <v>35</v>
      </c>
    </row>
    <row r="8" spans="1:76" x14ac:dyDescent="0.25">
      <c r="D8" s="13" t="s">
        <v>1077</v>
      </c>
      <c r="E8" s="323" t="s">
        <v>666</v>
      </c>
      <c r="F8" s="323" t="s">
        <v>154</v>
      </c>
      <c r="H8" s="176"/>
      <c r="T8" s="694"/>
      <c r="U8" s="229" t="s">
        <v>29</v>
      </c>
      <c r="V8" s="242">
        <v>17</v>
      </c>
      <c r="W8" s="230">
        <v>12</v>
      </c>
      <c r="X8" s="230">
        <v>12</v>
      </c>
      <c r="Y8" s="230">
        <v>12</v>
      </c>
      <c r="Z8" s="230">
        <v>12</v>
      </c>
      <c r="AA8" s="230">
        <v>12</v>
      </c>
      <c r="AB8" s="230">
        <v>12</v>
      </c>
      <c r="AC8" s="230">
        <v>12</v>
      </c>
      <c r="AD8" s="230">
        <v>12</v>
      </c>
      <c r="AE8" s="230">
        <v>12</v>
      </c>
      <c r="AF8" s="230">
        <v>12</v>
      </c>
      <c r="AG8" s="230">
        <v>12</v>
      </c>
      <c r="AH8" s="230">
        <v>12</v>
      </c>
      <c r="AI8" s="230">
        <v>12</v>
      </c>
      <c r="AJ8" s="230">
        <v>12</v>
      </c>
      <c r="AK8" s="230">
        <v>12</v>
      </c>
      <c r="AL8" s="230">
        <v>12</v>
      </c>
      <c r="AM8" s="230">
        <v>12</v>
      </c>
      <c r="AN8" s="230">
        <v>12</v>
      </c>
      <c r="AO8" s="230">
        <v>12</v>
      </c>
      <c r="AP8" s="230">
        <v>12</v>
      </c>
      <c r="AQ8" s="230">
        <v>12</v>
      </c>
      <c r="AR8" s="230">
        <v>12</v>
      </c>
      <c r="AS8" s="230">
        <v>12</v>
      </c>
      <c r="AT8" s="230">
        <v>12</v>
      </c>
      <c r="AU8" s="230">
        <v>12</v>
      </c>
      <c r="AV8" s="230">
        <v>12</v>
      </c>
      <c r="AW8" s="231">
        <v>4</v>
      </c>
      <c r="AZ8" s="237" t="s">
        <v>879</v>
      </c>
      <c r="BA8" s="237" t="s">
        <v>38</v>
      </c>
    </row>
    <row r="9" spans="1:76" x14ac:dyDescent="0.25">
      <c r="D9" s="13" t="s">
        <v>1077</v>
      </c>
      <c r="E9" s="323" t="s">
        <v>666</v>
      </c>
      <c r="F9" s="323" t="s">
        <v>152</v>
      </c>
      <c r="H9" s="176"/>
      <c r="T9" s="694"/>
      <c r="U9" s="229" t="s">
        <v>32</v>
      </c>
      <c r="V9" s="243">
        <v>12</v>
      </c>
      <c r="W9" s="239">
        <v>18</v>
      </c>
      <c r="X9" s="230">
        <v>12</v>
      </c>
      <c r="Y9" s="230">
        <v>12</v>
      </c>
      <c r="Z9" s="230">
        <v>12</v>
      </c>
      <c r="AA9" s="230">
        <v>12</v>
      </c>
      <c r="AB9" s="230">
        <v>12</v>
      </c>
      <c r="AC9" s="230">
        <v>12</v>
      </c>
      <c r="AD9" s="230">
        <v>12</v>
      </c>
      <c r="AE9" s="230">
        <v>12</v>
      </c>
      <c r="AF9" s="230">
        <v>12</v>
      </c>
      <c r="AG9" s="230">
        <v>12</v>
      </c>
      <c r="AH9" s="230">
        <v>12</v>
      </c>
      <c r="AI9" s="230">
        <v>12</v>
      </c>
      <c r="AJ9" s="230">
        <v>12</v>
      </c>
      <c r="AK9" s="230">
        <v>12</v>
      </c>
      <c r="AL9" s="230">
        <v>12</v>
      </c>
      <c r="AM9" s="230">
        <v>12</v>
      </c>
      <c r="AN9" s="230">
        <v>12</v>
      </c>
      <c r="AO9" s="230">
        <v>12</v>
      </c>
      <c r="AP9" s="230">
        <v>12</v>
      </c>
      <c r="AQ9" s="230">
        <v>12</v>
      </c>
      <c r="AR9" s="230">
        <v>12</v>
      </c>
      <c r="AS9" s="230">
        <v>12</v>
      </c>
      <c r="AT9" s="230">
        <v>12</v>
      </c>
      <c r="AU9" s="230">
        <v>12</v>
      </c>
      <c r="AV9" s="230">
        <v>12</v>
      </c>
      <c r="AW9" s="231">
        <v>4</v>
      </c>
      <c r="AZ9" s="237" t="s">
        <v>882</v>
      </c>
      <c r="BA9" s="237" t="s">
        <v>41</v>
      </c>
    </row>
    <row r="10" spans="1:76" x14ac:dyDescent="0.25">
      <c r="D10" s="13" t="s">
        <v>918</v>
      </c>
      <c r="E10" s="323"/>
      <c r="F10" s="323" t="s">
        <v>663</v>
      </c>
      <c r="T10" s="694"/>
      <c r="U10" s="229" t="s">
        <v>38</v>
      </c>
      <c r="V10" s="230">
        <v>12</v>
      </c>
      <c r="W10" s="230">
        <v>12</v>
      </c>
      <c r="X10" s="239">
        <v>18</v>
      </c>
      <c r="Y10" s="230">
        <v>12</v>
      </c>
      <c r="Z10" s="230">
        <v>12</v>
      </c>
      <c r="AA10" s="230">
        <v>12</v>
      </c>
      <c r="AB10" s="230">
        <v>12</v>
      </c>
      <c r="AC10" s="230">
        <v>12</v>
      </c>
      <c r="AD10" s="230">
        <v>12</v>
      </c>
      <c r="AE10" s="230">
        <v>12</v>
      </c>
      <c r="AF10" s="230">
        <v>12</v>
      </c>
      <c r="AG10" s="230">
        <v>12</v>
      </c>
      <c r="AH10" s="230">
        <v>12</v>
      </c>
      <c r="AI10" s="230">
        <v>12</v>
      </c>
      <c r="AJ10" s="230">
        <v>12</v>
      </c>
      <c r="AK10" s="230">
        <v>12</v>
      </c>
      <c r="AL10" s="230">
        <v>12</v>
      </c>
      <c r="AM10" s="230">
        <v>12</v>
      </c>
      <c r="AN10" s="230">
        <v>12</v>
      </c>
      <c r="AO10" s="230">
        <v>12</v>
      </c>
      <c r="AP10" s="230">
        <v>12</v>
      </c>
      <c r="AQ10" s="230">
        <v>12</v>
      </c>
      <c r="AR10" s="230">
        <v>12</v>
      </c>
      <c r="AS10" s="230">
        <v>12</v>
      </c>
      <c r="AT10" s="230">
        <v>12</v>
      </c>
      <c r="AU10" s="230">
        <v>12</v>
      </c>
      <c r="AV10" s="230">
        <v>12</v>
      </c>
      <c r="AW10" s="231">
        <v>4</v>
      </c>
      <c r="AZ10" s="237" t="s">
        <v>886</v>
      </c>
      <c r="BA10" s="237" t="s">
        <v>44</v>
      </c>
    </row>
    <row r="11" spans="1:76" x14ac:dyDescent="0.25">
      <c r="D11" s="577" t="s">
        <v>1078</v>
      </c>
      <c r="E11" s="323" t="s">
        <v>665</v>
      </c>
      <c r="F11" s="323" t="s">
        <v>153</v>
      </c>
      <c r="G11" s="30"/>
      <c r="T11" s="694"/>
      <c r="U11" s="229" t="s">
        <v>35</v>
      </c>
      <c r="V11" s="230">
        <v>12</v>
      </c>
      <c r="W11" s="230">
        <v>12</v>
      </c>
      <c r="X11" s="230">
        <v>12</v>
      </c>
      <c r="Y11" s="239">
        <v>18</v>
      </c>
      <c r="Z11" s="230">
        <v>12</v>
      </c>
      <c r="AA11" s="230">
        <v>12</v>
      </c>
      <c r="AB11" s="230">
        <v>12</v>
      </c>
      <c r="AC11" s="230">
        <v>12</v>
      </c>
      <c r="AD11" s="230">
        <v>12</v>
      </c>
      <c r="AE11" s="230">
        <v>12</v>
      </c>
      <c r="AF11" s="230">
        <v>12</v>
      </c>
      <c r="AG11" s="230">
        <v>12</v>
      </c>
      <c r="AH11" s="230">
        <v>12</v>
      </c>
      <c r="AI11" s="230">
        <v>12</v>
      </c>
      <c r="AJ11" s="230">
        <v>12</v>
      </c>
      <c r="AK11" s="230">
        <v>12</v>
      </c>
      <c r="AL11" s="230">
        <v>12</v>
      </c>
      <c r="AM11" s="230">
        <v>12</v>
      </c>
      <c r="AN11" s="230">
        <v>12</v>
      </c>
      <c r="AO11" s="230">
        <v>12</v>
      </c>
      <c r="AP11" s="230">
        <v>12</v>
      </c>
      <c r="AQ11" s="230">
        <v>12</v>
      </c>
      <c r="AR11" s="230">
        <v>12</v>
      </c>
      <c r="AS11" s="230">
        <v>12</v>
      </c>
      <c r="AT11" s="230">
        <v>12</v>
      </c>
      <c r="AU11" s="230">
        <v>12</v>
      </c>
      <c r="AV11" s="230">
        <v>12</v>
      </c>
      <c r="AW11" s="231">
        <v>4</v>
      </c>
      <c r="AZ11" s="237" t="s">
        <v>889</v>
      </c>
      <c r="BA11" s="237" t="s">
        <v>46</v>
      </c>
    </row>
    <row r="12" spans="1:76" x14ac:dyDescent="0.25">
      <c r="D12" s="577" t="s">
        <v>1078</v>
      </c>
      <c r="E12" s="323" t="s">
        <v>665</v>
      </c>
      <c r="F12" s="323" t="s">
        <v>154</v>
      </c>
      <c r="G12" s="30"/>
      <c r="T12" s="694"/>
      <c r="U12" s="229" t="s">
        <v>41</v>
      </c>
      <c r="V12" s="230">
        <v>12</v>
      </c>
      <c r="W12" s="230">
        <v>12</v>
      </c>
      <c r="X12" s="230">
        <v>12</v>
      </c>
      <c r="Y12" s="230">
        <v>12</v>
      </c>
      <c r="Z12" s="239">
        <v>18</v>
      </c>
      <c r="AA12" s="230">
        <v>12</v>
      </c>
      <c r="AB12" s="230">
        <v>12</v>
      </c>
      <c r="AC12" s="230">
        <v>12</v>
      </c>
      <c r="AD12" s="230">
        <v>12</v>
      </c>
      <c r="AE12" s="230">
        <v>12</v>
      </c>
      <c r="AF12" s="230">
        <v>12</v>
      </c>
      <c r="AG12" s="230">
        <v>12</v>
      </c>
      <c r="AH12" s="230">
        <v>12</v>
      </c>
      <c r="AI12" s="230">
        <v>12</v>
      </c>
      <c r="AJ12" s="230">
        <v>12</v>
      </c>
      <c r="AK12" s="230">
        <v>12</v>
      </c>
      <c r="AL12" s="230">
        <v>12</v>
      </c>
      <c r="AM12" s="230">
        <v>12</v>
      </c>
      <c r="AN12" s="230">
        <v>12</v>
      </c>
      <c r="AO12" s="230">
        <v>12</v>
      </c>
      <c r="AP12" s="230">
        <v>12</v>
      </c>
      <c r="AQ12" s="230">
        <v>12</v>
      </c>
      <c r="AR12" s="230">
        <v>12</v>
      </c>
      <c r="AS12" s="230">
        <v>12</v>
      </c>
      <c r="AT12" s="230">
        <v>12</v>
      </c>
      <c r="AU12" s="230">
        <v>12</v>
      </c>
      <c r="AV12" s="230">
        <v>12</v>
      </c>
      <c r="AW12" s="231">
        <v>4</v>
      </c>
      <c r="AZ12" s="237" t="s">
        <v>891</v>
      </c>
      <c r="BA12" s="237" t="s">
        <v>48</v>
      </c>
    </row>
    <row r="13" spans="1:76" x14ac:dyDescent="0.25">
      <c r="D13" s="577" t="s">
        <v>1078</v>
      </c>
      <c r="E13" s="323" t="s">
        <v>665</v>
      </c>
      <c r="F13" s="323" t="s">
        <v>152</v>
      </c>
      <c r="G13" s="30"/>
      <c r="T13" s="694"/>
      <c r="U13" s="229" t="s">
        <v>44</v>
      </c>
      <c r="V13" s="230">
        <v>12</v>
      </c>
      <c r="W13" s="230">
        <v>12</v>
      </c>
      <c r="X13" s="230">
        <v>12</v>
      </c>
      <c r="Y13" s="230">
        <v>12</v>
      </c>
      <c r="Z13" s="230">
        <v>12</v>
      </c>
      <c r="AA13" s="239">
        <v>18</v>
      </c>
      <c r="AB13" s="230">
        <v>12</v>
      </c>
      <c r="AC13" s="230">
        <v>12</v>
      </c>
      <c r="AD13" s="230">
        <v>12</v>
      </c>
      <c r="AE13" s="230">
        <v>12</v>
      </c>
      <c r="AF13" s="230">
        <v>12</v>
      </c>
      <c r="AG13" s="230">
        <v>12</v>
      </c>
      <c r="AH13" s="230">
        <v>12</v>
      </c>
      <c r="AI13" s="230">
        <v>12</v>
      </c>
      <c r="AJ13" s="230">
        <v>12</v>
      </c>
      <c r="AK13" s="230">
        <v>12</v>
      </c>
      <c r="AL13" s="230">
        <v>12</v>
      </c>
      <c r="AM13" s="230">
        <v>12</v>
      </c>
      <c r="AN13" s="230">
        <v>12</v>
      </c>
      <c r="AO13" s="230">
        <v>12</v>
      </c>
      <c r="AP13" s="230">
        <v>12</v>
      </c>
      <c r="AQ13" s="230">
        <v>12</v>
      </c>
      <c r="AR13" s="230">
        <v>12</v>
      </c>
      <c r="AS13" s="230">
        <v>12</v>
      </c>
      <c r="AT13" s="230">
        <v>12</v>
      </c>
      <c r="AU13" s="230">
        <v>12</v>
      </c>
      <c r="AV13" s="230">
        <v>12</v>
      </c>
      <c r="AW13" s="231">
        <v>4</v>
      </c>
      <c r="AZ13" s="237" t="s">
        <v>894</v>
      </c>
      <c r="BA13" s="237" t="s">
        <v>51</v>
      </c>
    </row>
    <row r="14" spans="1:76" x14ac:dyDescent="0.25">
      <c r="D14" s="30"/>
      <c r="E14" s="30"/>
      <c r="F14" s="30"/>
      <c r="G14" s="30"/>
      <c r="T14" s="694"/>
      <c r="U14" s="229" t="s">
        <v>46</v>
      </c>
      <c r="V14" s="230">
        <v>12</v>
      </c>
      <c r="W14" s="230">
        <v>12</v>
      </c>
      <c r="X14" s="230">
        <v>12</v>
      </c>
      <c r="Y14" s="230">
        <v>12</v>
      </c>
      <c r="Z14" s="230">
        <v>12</v>
      </c>
      <c r="AA14" s="230">
        <v>12</v>
      </c>
      <c r="AB14" s="239">
        <v>18</v>
      </c>
      <c r="AC14" s="230">
        <v>12</v>
      </c>
      <c r="AD14" s="230">
        <v>12</v>
      </c>
      <c r="AE14" s="230">
        <v>12</v>
      </c>
      <c r="AF14" s="230">
        <v>12</v>
      </c>
      <c r="AG14" s="230">
        <v>12</v>
      </c>
      <c r="AH14" s="230">
        <v>12</v>
      </c>
      <c r="AI14" s="230">
        <v>12</v>
      </c>
      <c r="AJ14" s="230">
        <v>12</v>
      </c>
      <c r="AK14" s="230">
        <v>12</v>
      </c>
      <c r="AL14" s="230">
        <v>12</v>
      </c>
      <c r="AM14" s="230">
        <v>12</v>
      </c>
      <c r="AN14" s="230">
        <v>12</v>
      </c>
      <c r="AO14" s="230">
        <v>12</v>
      </c>
      <c r="AP14" s="230">
        <v>12</v>
      </c>
      <c r="AQ14" s="230">
        <v>12</v>
      </c>
      <c r="AR14" s="230">
        <v>12</v>
      </c>
      <c r="AS14" s="230">
        <v>12</v>
      </c>
      <c r="AT14" s="230">
        <v>12</v>
      </c>
      <c r="AU14" s="230">
        <v>12</v>
      </c>
      <c r="AV14" s="230">
        <v>12</v>
      </c>
      <c r="AW14" s="231">
        <v>4</v>
      </c>
      <c r="AZ14" s="237" t="s">
        <v>872</v>
      </c>
      <c r="BA14" s="237" t="s">
        <v>54</v>
      </c>
    </row>
    <row r="15" spans="1:76" x14ac:dyDescent="0.25">
      <c r="T15" s="694"/>
      <c r="U15" s="229" t="s">
        <v>48</v>
      </c>
      <c r="V15" s="230">
        <v>12</v>
      </c>
      <c r="W15" s="230">
        <v>12</v>
      </c>
      <c r="X15" s="230">
        <v>12</v>
      </c>
      <c r="Y15" s="230">
        <v>12</v>
      </c>
      <c r="Z15" s="230">
        <v>12</v>
      </c>
      <c r="AA15" s="230">
        <v>12</v>
      </c>
      <c r="AB15" s="238">
        <v>12</v>
      </c>
      <c r="AC15" s="239">
        <v>17</v>
      </c>
      <c r="AD15" s="230">
        <v>12</v>
      </c>
      <c r="AE15" s="230">
        <v>12</v>
      </c>
      <c r="AF15" s="230">
        <v>12</v>
      </c>
      <c r="AG15" s="230">
        <v>12</v>
      </c>
      <c r="AH15" s="230">
        <v>12</v>
      </c>
      <c r="AI15" s="230">
        <v>12</v>
      </c>
      <c r="AJ15" s="230">
        <v>12</v>
      </c>
      <c r="AK15" s="230">
        <v>12</v>
      </c>
      <c r="AL15" s="230">
        <v>12</v>
      </c>
      <c r="AM15" s="230">
        <v>12</v>
      </c>
      <c r="AN15" s="230">
        <v>12</v>
      </c>
      <c r="AO15" s="230">
        <v>12</v>
      </c>
      <c r="AP15" s="230">
        <v>12</v>
      </c>
      <c r="AQ15" s="230">
        <v>12</v>
      </c>
      <c r="AR15" s="230">
        <v>12</v>
      </c>
      <c r="AS15" s="230">
        <v>12</v>
      </c>
      <c r="AT15" s="230">
        <v>12</v>
      </c>
      <c r="AU15" s="230">
        <v>12</v>
      </c>
      <c r="AV15" s="230">
        <v>12</v>
      </c>
      <c r="AW15" s="231">
        <v>4</v>
      </c>
      <c r="AZ15" s="237" t="s">
        <v>875</v>
      </c>
      <c r="BA15" s="237" t="s">
        <v>57</v>
      </c>
    </row>
    <row r="16" spans="1:76" x14ac:dyDescent="0.25">
      <c r="T16" s="694"/>
      <c r="U16" s="229" t="s">
        <v>51</v>
      </c>
      <c r="V16" s="230">
        <v>12</v>
      </c>
      <c r="W16" s="230">
        <v>12</v>
      </c>
      <c r="X16" s="230">
        <v>12</v>
      </c>
      <c r="Y16" s="230">
        <v>12</v>
      </c>
      <c r="Z16" s="230">
        <v>12</v>
      </c>
      <c r="AA16" s="230">
        <v>12</v>
      </c>
      <c r="AB16" s="230">
        <v>12</v>
      </c>
      <c r="AC16" s="230">
        <v>12</v>
      </c>
      <c r="AD16" s="239">
        <v>17</v>
      </c>
      <c r="AE16" s="230">
        <v>12</v>
      </c>
      <c r="AF16" s="230">
        <v>12</v>
      </c>
      <c r="AG16" s="230">
        <v>12</v>
      </c>
      <c r="AH16" s="230">
        <v>12</v>
      </c>
      <c r="AI16" s="230">
        <v>12</v>
      </c>
      <c r="AJ16" s="230">
        <v>12</v>
      </c>
      <c r="AK16" s="230">
        <v>12</v>
      </c>
      <c r="AL16" s="230">
        <v>12</v>
      </c>
      <c r="AM16" s="230">
        <v>12</v>
      </c>
      <c r="AN16" s="230">
        <v>12</v>
      </c>
      <c r="AO16" s="230">
        <v>12</v>
      </c>
      <c r="AP16" s="230">
        <v>12</v>
      </c>
      <c r="AQ16" s="230">
        <v>12</v>
      </c>
      <c r="AR16" s="230">
        <v>12</v>
      </c>
      <c r="AS16" s="230">
        <v>12</v>
      </c>
      <c r="AT16" s="230">
        <v>12</v>
      </c>
      <c r="AU16" s="230">
        <v>12</v>
      </c>
      <c r="AV16" s="230">
        <v>12</v>
      </c>
      <c r="AW16" s="231">
        <v>4</v>
      </c>
      <c r="AZ16" s="237" t="s">
        <v>878</v>
      </c>
      <c r="BA16" s="237" t="s">
        <v>60</v>
      </c>
    </row>
    <row r="17" spans="4:53" x14ac:dyDescent="0.25">
      <c r="D17" s="678" t="s">
        <v>788</v>
      </c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T17" s="694"/>
      <c r="U17" s="229" t="s">
        <v>54</v>
      </c>
      <c r="V17" s="230">
        <v>12</v>
      </c>
      <c r="W17" s="230">
        <v>12</v>
      </c>
      <c r="X17" s="230">
        <v>12</v>
      </c>
      <c r="Y17" s="230">
        <v>12</v>
      </c>
      <c r="Z17" s="230">
        <v>12</v>
      </c>
      <c r="AA17" s="230">
        <v>12</v>
      </c>
      <c r="AB17" s="230">
        <v>12</v>
      </c>
      <c r="AC17" s="230">
        <v>12</v>
      </c>
      <c r="AD17" s="230">
        <v>12</v>
      </c>
      <c r="AE17" s="239">
        <v>18</v>
      </c>
      <c r="AF17" s="230">
        <v>12</v>
      </c>
      <c r="AG17" s="230">
        <v>12</v>
      </c>
      <c r="AH17" s="230">
        <v>12</v>
      </c>
      <c r="AI17" s="230">
        <v>12</v>
      </c>
      <c r="AJ17" s="230">
        <v>12</v>
      </c>
      <c r="AK17" s="230">
        <v>12</v>
      </c>
      <c r="AL17" s="230">
        <v>12</v>
      </c>
      <c r="AM17" s="230">
        <v>12</v>
      </c>
      <c r="AN17" s="230">
        <v>12</v>
      </c>
      <c r="AO17" s="230">
        <v>12</v>
      </c>
      <c r="AP17" s="230">
        <v>12</v>
      </c>
      <c r="AQ17" s="230">
        <v>12</v>
      </c>
      <c r="AR17" s="230">
        <v>12</v>
      </c>
      <c r="AS17" s="230">
        <v>12</v>
      </c>
      <c r="AT17" s="230">
        <v>12</v>
      </c>
      <c r="AU17" s="230">
        <v>12</v>
      </c>
      <c r="AV17" s="230">
        <v>12</v>
      </c>
      <c r="AW17" s="231">
        <v>4</v>
      </c>
      <c r="AZ17" s="237" t="s">
        <v>880</v>
      </c>
      <c r="BA17" s="237" t="s">
        <v>23</v>
      </c>
    </row>
    <row r="18" spans="4:53" x14ac:dyDescent="0.25">
      <c r="T18" s="694"/>
      <c r="U18" s="229" t="s">
        <v>57</v>
      </c>
      <c r="V18" s="230">
        <v>12</v>
      </c>
      <c r="W18" s="230">
        <v>12</v>
      </c>
      <c r="X18" s="230">
        <v>12</v>
      </c>
      <c r="Y18" s="230">
        <v>12</v>
      </c>
      <c r="Z18" s="230">
        <v>12</v>
      </c>
      <c r="AA18" s="230">
        <v>12</v>
      </c>
      <c r="AB18" s="230">
        <v>12</v>
      </c>
      <c r="AC18" s="230">
        <v>12</v>
      </c>
      <c r="AD18" s="230">
        <v>12</v>
      </c>
      <c r="AE18" s="230">
        <v>12</v>
      </c>
      <c r="AF18" s="239">
        <v>17</v>
      </c>
      <c r="AG18" s="230">
        <v>12</v>
      </c>
      <c r="AH18" s="230">
        <v>12</v>
      </c>
      <c r="AI18" s="230">
        <v>12</v>
      </c>
      <c r="AJ18" s="230">
        <v>12</v>
      </c>
      <c r="AK18" s="230">
        <v>12</v>
      </c>
      <c r="AL18" s="230">
        <v>12</v>
      </c>
      <c r="AM18" s="230">
        <v>12</v>
      </c>
      <c r="AN18" s="230">
        <v>12</v>
      </c>
      <c r="AO18" s="230">
        <v>12</v>
      </c>
      <c r="AP18" s="230">
        <v>12</v>
      </c>
      <c r="AQ18" s="230">
        <v>12</v>
      </c>
      <c r="AR18" s="230">
        <v>12</v>
      </c>
      <c r="AS18" s="230">
        <v>12</v>
      </c>
      <c r="AT18" s="230">
        <v>12</v>
      </c>
      <c r="AU18" s="230">
        <v>12</v>
      </c>
      <c r="AV18" s="230">
        <v>12</v>
      </c>
      <c r="AW18" s="231">
        <v>4</v>
      </c>
      <c r="AZ18" s="237" t="s">
        <v>883</v>
      </c>
      <c r="BA18" s="237" t="s">
        <v>884</v>
      </c>
    </row>
    <row r="19" spans="4:53" x14ac:dyDescent="0.25">
      <c r="T19" s="694"/>
      <c r="U19" s="229" t="s">
        <v>60</v>
      </c>
      <c r="V19" s="230">
        <v>12</v>
      </c>
      <c r="W19" s="230">
        <v>12</v>
      </c>
      <c r="X19" s="230">
        <v>12</v>
      </c>
      <c r="Y19" s="230">
        <v>12</v>
      </c>
      <c r="Z19" s="230">
        <v>12</v>
      </c>
      <c r="AA19" s="230">
        <v>12</v>
      </c>
      <c r="AB19" s="230">
        <v>12</v>
      </c>
      <c r="AC19" s="230">
        <v>12</v>
      </c>
      <c r="AD19" s="230">
        <v>12</v>
      </c>
      <c r="AE19" s="230">
        <v>12</v>
      </c>
      <c r="AF19" s="230">
        <v>12</v>
      </c>
      <c r="AG19" s="239">
        <v>17</v>
      </c>
      <c r="AH19" s="230">
        <v>12</v>
      </c>
      <c r="AI19" s="230">
        <v>12</v>
      </c>
      <c r="AJ19" s="230">
        <v>12</v>
      </c>
      <c r="AK19" s="230">
        <v>12</v>
      </c>
      <c r="AL19" s="230">
        <v>12</v>
      </c>
      <c r="AM19" s="230">
        <v>12</v>
      </c>
      <c r="AN19" s="230">
        <v>12</v>
      </c>
      <c r="AO19" s="230">
        <v>12</v>
      </c>
      <c r="AP19" s="230">
        <v>12</v>
      </c>
      <c r="AQ19" s="230">
        <v>12</v>
      </c>
      <c r="AR19" s="230">
        <v>12</v>
      </c>
      <c r="AS19" s="230">
        <v>12</v>
      </c>
      <c r="AT19" s="230">
        <v>12</v>
      </c>
      <c r="AU19" s="230">
        <v>12</v>
      </c>
      <c r="AV19" s="230">
        <v>12</v>
      </c>
      <c r="AW19" s="231">
        <v>4</v>
      </c>
      <c r="AZ19" s="237" t="s">
        <v>887</v>
      </c>
      <c r="BA19" s="237" t="s">
        <v>68</v>
      </c>
    </row>
    <row r="20" spans="4:53" x14ac:dyDescent="0.25">
      <c r="D20" s="373" t="s">
        <v>135</v>
      </c>
      <c r="E20" s="373" t="s">
        <v>121</v>
      </c>
      <c r="T20" s="694"/>
      <c r="U20" s="229" t="s">
        <v>23</v>
      </c>
      <c r="V20" s="230">
        <v>7</v>
      </c>
      <c r="W20" s="230">
        <v>7</v>
      </c>
      <c r="X20" s="230">
        <v>7</v>
      </c>
      <c r="Y20" s="230">
        <v>7</v>
      </c>
      <c r="Z20" s="230">
        <v>7</v>
      </c>
      <c r="AA20" s="230">
        <v>7</v>
      </c>
      <c r="AB20" s="230">
        <v>7</v>
      </c>
      <c r="AC20" s="230">
        <v>7</v>
      </c>
      <c r="AD20" s="230">
        <v>7</v>
      </c>
      <c r="AE20" s="230">
        <v>7</v>
      </c>
      <c r="AF20" s="230">
        <v>7</v>
      </c>
      <c r="AG20" s="230">
        <v>7</v>
      </c>
      <c r="AH20" s="239">
        <v>18</v>
      </c>
      <c r="AI20" s="230">
        <v>7</v>
      </c>
      <c r="AJ20" s="230">
        <v>7</v>
      </c>
      <c r="AK20" s="230">
        <v>12</v>
      </c>
      <c r="AL20" s="230">
        <v>7</v>
      </c>
      <c r="AM20" s="230">
        <v>7</v>
      </c>
      <c r="AN20" s="230">
        <v>7</v>
      </c>
      <c r="AO20" s="230">
        <v>12</v>
      </c>
      <c r="AP20" s="230">
        <v>12</v>
      </c>
      <c r="AQ20" s="230">
        <v>7</v>
      </c>
      <c r="AR20" s="230">
        <v>7</v>
      </c>
      <c r="AS20" s="230">
        <v>12</v>
      </c>
      <c r="AT20" s="230">
        <v>12</v>
      </c>
      <c r="AU20" s="230">
        <v>7</v>
      </c>
      <c r="AV20" s="230">
        <v>7</v>
      </c>
      <c r="AW20" s="231">
        <v>4</v>
      </c>
      <c r="AZ20" s="237" t="s">
        <v>890</v>
      </c>
      <c r="BA20" s="237" t="s">
        <v>71</v>
      </c>
    </row>
    <row r="21" spans="4:53" x14ac:dyDescent="0.25">
      <c r="D21" s="13" t="str">
        <f>Decisões!D52</f>
        <v>D-Fenilalanina*</v>
      </c>
      <c r="E21" s="13" t="s">
        <v>133</v>
      </c>
      <c r="T21" s="694"/>
      <c r="U21" s="229" t="s">
        <v>65</v>
      </c>
      <c r="V21" s="230">
        <v>12</v>
      </c>
      <c r="W21" s="230">
        <v>12</v>
      </c>
      <c r="X21" s="230">
        <v>12</v>
      </c>
      <c r="Y21" s="230">
        <v>12</v>
      </c>
      <c r="Z21" s="230">
        <v>12</v>
      </c>
      <c r="AA21" s="230">
        <v>12</v>
      </c>
      <c r="AB21" s="230">
        <v>12</v>
      </c>
      <c r="AC21" s="230">
        <v>12</v>
      </c>
      <c r="AD21" s="230">
        <v>12</v>
      </c>
      <c r="AE21" s="230">
        <v>12</v>
      </c>
      <c r="AF21" s="230">
        <v>12</v>
      </c>
      <c r="AG21" s="230">
        <v>12</v>
      </c>
      <c r="AH21" s="230">
        <v>12</v>
      </c>
      <c r="AI21" s="239">
        <v>17</v>
      </c>
      <c r="AJ21" s="230">
        <v>12</v>
      </c>
      <c r="AK21" s="230">
        <v>12</v>
      </c>
      <c r="AL21" s="230">
        <v>12</v>
      </c>
      <c r="AM21" s="230">
        <v>12</v>
      </c>
      <c r="AN21" s="230">
        <v>12</v>
      </c>
      <c r="AO21" s="230">
        <v>12</v>
      </c>
      <c r="AP21" s="230">
        <v>12</v>
      </c>
      <c r="AQ21" s="230">
        <v>12</v>
      </c>
      <c r="AR21" s="230">
        <v>12</v>
      </c>
      <c r="AS21" s="230">
        <v>12</v>
      </c>
      <c r="AT21" s="230">
        <v>12</v>
      </c>
      <c r="AU21" s="230">
        <v>12</v>
      </c>
      <c r="AV21" s="230">
        <v>12</v>
      </c>
      <c r="AW21" s="231">
        <v>4</v>
      </c>
      <c r="AZ21" s="237" t="s">
        <v>892</v>
      </c>
      <c r="BA21" s="237" t="s">
        <v>74</v>
      </c>
    </row>
    <row r="22" spans="4:53" x14ac:dyDescent="0.25">
      <c r="D22" s="13" t="str">
        <f>Decisões!D53</f>
        <v>L Fenilalanina**</v>
      </c>
      <c r="E22" s="13" t="s">
        <v>773</v>
      </c>
      <c r="T22" s="694"/>
      <c r="U22" s="229" t="s">
        <v>68</v>
      </c>
      <c r="V22" s="230">
        <v>12</v>
      </c>
      <c r="W22" s="230">
        <v>12</v>
      </c>
      <c r="X22" s="230">
        <v>12</v>
      </c>
      <c r="Y22" s="230">
        <v>12</v>
      </c>
      <c r="Z22" s="230">
        <v>12</v>
      </c>
      <c r="AA22" s="230">
        <v>12</v>
      </c>
      <c r="AB22" s="230">
        <v>12</v>
      </c>
      <c r="AC22" s="230">
        <v>12</v>
      </c>
      <c r="AD22" s="230">
        <v>12</v>
      </c>
      <c r="AE22" s="230">
        <v>12</v>
      </c>
      <c r="AF22" s="230">
        <v>12</v>
      </c>
      <c r="AG22" s="230">
        <v>12</v>
      </c>
      <c r="AH22" s="230">
        <v>12</v>
      </c>
      <c r="AI22" s="230">
        <v>12</v>
      </c>
      <c r="AJ22" s="239">
        <v>18</v>
      </c>
      <c r="AK22" s="230">
        <v>12</v>
      </c>
      <c r="AL22" s="230">
        <v>12</v>
      </c>
      <c r="AM22" s="230">
        <v>12</v>
      </c>
      <c r="AN22" s="230">
        <v>12</v>
      </c>
      <c r="AO22" s="230">
        <v>12</v>
      </c>
      <c r="AP22" s="230">
        <v>12</v>
      </c>
      <c r="AQ22" s="230">
        <v>12</v>
      </c>
      <c r="AR22" s="230">
        <v>12</v>
      </c>
      <c r="AS22" s="230">
        <v>12</v>
      </c>
      <c r="AT22" s="230">
        <v>12</v>
      </c>
      <c r="AU22" s="230">
        <v>12</v>
      </c>
      <c r="AV22" s="230">
        <v>12</v>
      </c>
      <c r="AW22" s="231">
        <v>4</v>
      </c>
      <c r="AZ22" s="237" t="s">
        <v>895</v>
      </c>
      <c r="BA22" s="237" t="s">
        <v>77</v>
      </c>
    </row>
    <row r="23" spans="4:53" x14ac:dyDescent="0.25">
      <c r="D23" s="13" t="str">
        <f>Decisões!D54</f>
        <v>Embalagem (500g)</v>
      </c>
      <c r="E23" s="13" t="s">
        <v>133</v>
      </c>
      <c r="T23" s="694"/>
      <c r="U23" s="229" t="s">
        <v>71</v>
      </c>
      <c r="V23" s="230">
        <v>7</v>
      </c>
      <c r="W23" s="230">
        <v>7</v>
      </c>
      <c r="X23" s="230">
        <v>7</v>
      </c>
      <c r="Y23" s="230">
        <v>7</v>
      </c>
      <c r="Z23" s="230">
        <v>7</v>
      </c>
      <c r="AA23" s="230">
        <v>7</v>
      </c>
      <c r="AB23" s="230">
        <v>7</v>
      </c>
      <c r="AC23" s="230">
        <v>7</v>
      </c>
      <c r="AD23" s="230">
        <v>7</v>
      </c>
      <c r="AE23" s="230">
        <v>7</v>
      </c>
      <c r="AF23" s="230">
        <v>7</v>
      </c>
      <c r="AG23" s="230">
        <v>7</v>
      </c>
      <c r="AH23" s="230">
        <v>12</v>
      </c>
      <c r="AI23" s="230">
        <v>7</v>
      </c>
      <c r="AJ23" s="230">
        <v>7</v>
      </c>
      <c r="AK23" s="239">
        <v>18</v>
      </c>
      <c r="AL23" s="230">
        <v>7</v>
      </c>
      <c r="AM23" s="230">
        <v>7</v>
      </c>
      <c r="AN23" s="230">
        <v>7</v>
      </c>
      <c r="AO23" s="230">
        <v>12</v>
      </c>
      <c r="AP23" s="230">
        <v>12</v>
      </c>
      <c r="AQ23" s="230">
        <v>7</v>
      </c>
      <c r="AR23" s="230">
        <v>7</v>
      </c>
      <c r="AS23" s="230">
        <v>12</v>
      </c>
      <c r="AT23" s="230">
        <v>12</v>
      </c>
      <c r="AU23" s="230">
        <v>7</v>
      </c>
      <c r="AV23" s="230">
        <v>7</v>
      </c>
      <c r="AW23" s="231">
        <v>4</v>
      </c>
      <c r="AZ23" s="237" t="s">
        <v>873</v>
      </c>
      <c r="BA23" s="237" t="s">
        <v>82</v>
      </c>
    </row>
    <row r="24" spans="4:53" x14ac:dyDescent="0.25">
      <c r="T24" s="694"/>
      <c r="U24" s="229" t="s">
        <v>74</v>
      </c>
      <c r="V24" s="230">
        <v>12</v>
      </c>
      <c r="W24" s="230">
        <v>12</v>
      </c>
      <c r="X24" s="230">
        <v>12</v>
      </c>
      <c r="Y24" s="230">
        <v>12</v>
      </c>
      <c r="Z24" s="230">
        <v>12</v>
      </c>
      <c r="AA24" s="230">
        <v>12</v>
      </c>
      <c r="AB24" s="230">
        <v>12</v>
      </c>
      <c r="AC24" s="230">
        <v>12</v>
      </c>
      <c r="AD24" s="230">
        <v>12</v>
      </c>
      <c r="AE24" s="230">
        <v>12</v>
      </c>
      <c r="AF24" s="230">
        <v>12</v>
      </c>
      <c r="AG24" s="230">
        <v>12</v>
      </c>
      <c r="AH24" s="230">
        <v>12</v>
      </c>
      <c r="AI24" s="230">
        <v>12</v>
      </c>
      <c r="AJ24" s="230">
        <v>12</v>
      </c>
      <c r="AK24" s="230">
        <v>12</v>
      </c>
      <c r="AL24" s="239">
        <v>18</v>
      </c>
      <c r="AM24" s="230">
        <v>12</v>
      </c>
      <c r="AN24" s="230">
        <v>12</v>
      </c>
      <c r="AO24" s="230">
        <v>12</v>
      </c>
      <c r="AP24" s="230">
        <v>12</v>
      </c>
      <c r="AQ24" s="230">
        <v>12</v>
      </c>
      <c r="AR24" s="230">
        <v>12</v>
      </c>
      <c r="AS24" s="230">
        <v>12</v>
      </c>
      <c r="AT24" s="230">
        <v>12</v>
      </c>
      <c r="AU24" s="230">
        <v>12</v>
      </c>
      <c r="AV24" s="230">
        <v>12</v>
      </c>
      <c r="AW24" s="231">
        <v>4</v>
      </c>
      <c r="AZ24" s="237" t="s">
        <v>876</v>
      </c>
      <c r="BA24" s="237" t="s">
        <v>85</v>
      </c>
    </row>
    <row r="25" spans="4:53" x14ac:dyDescent="0.25">
      <c r="T25" s="694"/>
      <c r="U25" s="229" t="s">
        <v>77</v>
      </c>
      <c r="V25" s="230">
        <v>12</v>
      </c>
      <c r="W25" s="230">
        <v>12</v>
      </c>
      <c r="X25" s="230">
        <v>12</v>
      </c>
      <c r="Y25" s="230">
        <v>12</v>
      </c>
      <c r="Z25" s="230">
        <v>12</v>
      </c>
      <c r="AA25" s="230">
        <v>12</v>
      </c>
      <c r="AB25" s="230">
        <v>12</v>
      </c>
      <c r="AC25" s="230">
        <v>12</v>
      </c>
      <c r="AD25" s="230">
        <v>12</v>
      </c>
      <c r="AE25" s="230">
        <v>12</v>
      </c>
      <c r="AF25" s="230">
        <v>12</v>
      </c>
      <c r="AG25" s="230">
        <v>12</v>
      </c>
      <c r="AH25" s="230">
        <v>12</v>
      </c>
      <c r="AI25" s="230">
        <v>12</v>
      </c>
      <c r="AJ25" s="230">
        <v>12</v>
      </c>
      <c r="AK25" s="230">
        <v>12</v>
      </c>
      <c r="AL25" s="230">
        <v>12</v>
      </c>
      <c r="AM25" s="239">
        <v>18</v>
      </c>
      <c r="AN25" s="230">
        <v>12</v>
      </c>
      <c r="AO25" s="230">
        <v>12</v>
      </c>
      <c r="AP25" s="230">
        <v>12</v>
      </c>
      <c r="AQ25" s="230">
        <v>12</v>
      </c>
      <c r="AR25" s="230">
        <v>12</v>
      </c>
      <c r="AS25" s="230">
        <v>12</v>
      </c>
      <c r="AT25" s="230">
        <v>12</v>
      </c>
      <c r="AU25" s="230">
        <v>12</v>
      </c>
      <c r="AV25" s="230">
        <v>12</v>
      </c>
      <c r="AW25" s="231">
        <v>4</v>
      </c>
      <c r="AZ25" s="237" t="s">
        <v>116</v>
      </c>
      <c r="BA25" s="237" t="s">
        <v>80</v>
      </c>
    </row>
    <row r="26" spans="4:53" x14ac:dyDescent="0.25">
      <c r="D26" s="5" t="s">
        <v>674</v>
      </c>
      <c r="E26" s="177" t="s">
        <v>775</v>
      </c>
      <c r="T26" s="694"/>
      <c r="U26" s="229" t="s">
        <v>82</v>
      </c>
      <c r="V26" s="230">
        <v>12</v>
      </c>
      <c r="W26" s="230">
        <v>12</v>
      </c>
      <c r="X26" s="230">
        <v>12</v>
      </c>
      <c r="Y26" s="230">
        <v>12</v>
      </c>
      <c r="Z26" s="230">
        <v>12</v>
      </c>
      <c r="AA26" s="230">
        <v>12</v>
      </c>
      <c r="AB26" s="230">
        <v>12</v>
      </c>
      <c r="AC26" s="230">
        <v>12</v>
      </c>
      <c r="AD26" s="230">
        <v>12</v>
      </c>
      <c r="AE26" s="230">
        <v>12</v>
      </c>
      <c r="AF26" s="230">
        <v>12</v>
      </c>
      <c r="AG26" s="230">
        <v>12</v>
      </c>
      <c r="AH26" s="230">
        <v>12</v>
      </c>
      <c r="AI26" s="230">
        <v>12</v>
      </c>
      <c r="AJ26" s="230">
        <v>12</v>
      </c>
      <c r="AK26" s="230">
        <v>12</v>
      </c>
      <c r="AL26" s="230">
        <v>12</v>
      </c>
      <c r="AM26" s="230">
        <v>12</v>
      </c>
      <c r="AN26" s="239">
        <v>18</v>
      </c>
      <c r="AO26" s="230">
        <v>12</v>
      </c>
      <c r="AP26" s="230">
        <v>12</v>
      </c>
      <c r="AQ26" s="230">
        <v>12</v>
      </c>
      <c r="AR26" s="230">
        <v>12</v>
      </c>
      <c r="AS26" s="230">
        <v>12</v>
      </c>
      <c r="AT26" s="230">
        <v>12</v>
      </c>
      <c r="AU26" s="230">
        <v>12</v>
      </c>
      <c r="AV26" s="230">
        <v>12</v>
      </c>
      <c r="AW26" s="231">
        <v>4</v>
      </c>
      <c r="AZ26" s="237" t="s">
        <v>881</v>
      </c>
      <c r="BA26" s="237" t="s">
        <v>88</v>
      </c>
    </row>
    <row r="27" spans="4:53" x14ac:dyDescent="0.25">
      <c r="T27" s="694"/>
      <c r="U27" s="229" t="s">
        <v>85</v>
      </c>
      <c r="V27" s="230">
        <v>7</v>
      </c>
      <c r="W27" s="230">
        <v>7</v>
      </c>
      <c r="X27" s="230">
        <v>7</v>
      </c>
      <c r="Y27" s="230">
        <v>7</v>
      </c>
      <c r="Z27" s="230">
        <v>7</v>
      </c>
      <c r="AA27" s="230">
        <v>7</v>
      </c>
      <c r="AB27" s="230">
        <v>7</v>
      </c>
      <c r="AC27" s="230">
        <v>7</v>
      </c>
      <c r="AD27" s="230">
        <v>7</v>
      </c>
      <c r="AE27" s="230">
        <v>7</v>
      </c>
      <c r="AF27" s="230">
        <v>7</v>
      </c>
      <c r="AG27" s="230">
        <v>7</v>
      </c>
      <c r="AH27" s="230">
        <v>12</v>
      </c>
      <c r="AI27" s="230">
        <v>7</v>
      </c>
      <c r="AJ27" s="230">
        <v>7</v>
      </c>
      <c r="AK27" s="230">
        <v>12</v>
      </c>
      <c r="AL27" s="230">
        <v>7</v>
      </c>
      <c r="AM27" s="230">
        <v>7</v>
      </c>
      <c r="AN27" s="230">
        <v>7</v>
      </c>
      <c r="AO27" s="239">
        <v>18</v>
      </c>
      <c r="AP27" s="230">
        <v>12</v>
      </c>
      <c r="AQ27" s="230">
        <v>7</v>
      </c>
      <c r="AR27" s="230">
        <v>7</v>
      </c>
      <c r="AS27" s="230">
        <v>12</v>
      </c>
      <c r="AT27" s="230">
        <v>12</v>
      </c>
      <c r="AU27" s="230">
        <v>7</v>
      </c>
      <c r="AV27" s="230">
        <v>7</v>
      </c>
      <c r="AW27" s="231">
        <v>4</v>
      </c>
      <c r="AZ27" s="237" t="s">
        <v>885</v>
      </c>
      <c r="BA27" s="237" t="s">
        <v>91</v>
      </c>
    </row>
    <row r="28" spans="4:53" x14ac:dyDescent="0.25">
      <c r="I28" s="373" t="str">
        <f>'Estoque de MP'!I2</f>
        <v>IPI</v>
      </c>
      <c r="J28" s="373" t="str">
        <f>'Estoque de MP'!J2</f>
        <v>PIS*</v>
      </c>
      <c r="K28" s="373" t="str">
        <f>'Estoque de MP'!K2</f>
        <v>COFINS*</v>
      </c>
      <c r="L28" s="373" t="str">
        <f>'Estoque de MP'!L2</f>
        <v>II</v>
      </c>
      <c r="M28" s="178" t="str">
        <f>'Estoque de MP'!M2</f>
        <v>ICMS</v>
      </c>
      <c r="N28" s="675" t="str">
        <f>'Estoque de MP'!N2</f>
        <v>Valor Líquido</v>
      </c>
      <c r="T28" s="694"/>
      <c r="U28" s="229" t="s">
        <v>80</v>
      </c>
      <c r="V28" s="230">
        <v>7</v>
      </c>
      <c r="W28" s="230">
        <v>7</v>
      </c>
      <c r="X28" s="230">
        <v>7</v>
      </c>
      <c r="Y28" s="230">
        <v>7</v>
      </c>
      <c r="Z28" s="230">
        <v>7</v>
      </c>
      <c r="AA28" s="230">
        <v>7</v>
      </c>
      <c r="AB28" s="230">
        <v>7</v>
      </c>
      <c r="AC28" s="230">
        <v>7</v>
      </c>
      <c r="AD28" s="230">
        <v>7</v>
      </c>
      <c r="AE28" s="230">
        <v>7</v>
      </c>
      <c r="AF28" s="230">
        <v>7</v>
      </c>
      <c r="AG28" s="230">
        <v>7</v>
      </c>
      <c r="AH28" s="230">
        <v>12</v>
      </c>
      <c r="AI28" s="230">
        <v>7</v>
      </c>
      <c r="AJ28" s="230">
        <v>7</v>
      </c>
      <c r="AK28" s="230">
        <v>12</v>
      </c>
      <c r="AL28" s="230">
        <v>7</v>
      </c>
      <c r="AM28" s="230">
        <v>7</v>
      </c>
      <c r="AN28" s="230">
        <v>7</v>
      </c>
      <c r="AO28" s="230">
        <v>12</v>
      </c>
      <c r="AP28" s="239">
        <v>20</v>
      </c>
      <c r="AQ28" s="230">
        <v>7</v>
      </c>
      <c r="AR28" s="230">
        <v>7</v>
      </c>
      <c r="AS28" s="230">
        <v>12</v>
      </c>
      <c r="AT28" s="230">
        <v>12</v>
      </c>
      <c r="AU28" s="230">
        <v>7</v>
      </c>
      <c r="AV28" s="230">
        <v>7</v>
      </c>
      <c r="AW28" s="231">
        <v>4</v>
      </c>
      <c r="AZ28" s="237" t="s">
        <v>888</v>
      </c>
      <c r="BA28" s="237" t="s">
        <v>94</v>
      </c>
    </row>
    <row r="29" spans="4:53" x14ac:dyDescent="0.25">
      <c r="D29" s="15" t="str">
        <f>'Estoque de MP'!D3</f>
        <v xml:space="preserve">Item </v>
      </c>
      <c r="E29" s="179" t="str">
        <f>'Estoque de MP'!E3</f>
        <v>Quantidade</v>
      </c>
      <c r="F29" s="13" t="str">
        <f>'Estoque de MP'!F3</f>
        <v>Unidade de medida</v>
      </c>
      <c r="G29" s="13" t="str">
        <f>'Estoque de MP'!G3</f>
        <v>Preço unitário</v>
      </c>
      <c r="H29" s="13" t="str">
        <f>'Estoque de MP'!H3</f>
        <v>Total</v>
      </c>
      <c r="I29" s="180">
        <f>'Estoque de MP'!I3</f>
        <v>0</v>
      </c>
      <c r="J29" s="180">
        <f>'Estoque de MP'!J3</f>
        <v>0</v>
      </c>
      <c r="K29" s="180">
        <f>'Estoque de MP'!K3</f>
        <v>0</v>
      </c>
      <c r="L29" s="180">
        <f>'Estoque de MP'!L3</f>
        <v>0</v>
      </c>
      <c r="M29" s="180">
        <f>'Estoque de MP'!M3</f>
        <v>0</v>
      </c>
      <c r="N29" s="676"/>
      <c r="T29" s="694"/>
      <c r="U29" s="229" t="s">
        <v>88</v>
      </c>
      <c r="V29" s="230">
        <v>12</v>
      </c>
      <c r="W29" s="230">
        <v>12</v>
      </c>
      <c r="X29" s="230">
        <v>12</v>
      </c>
      <c r="Y29" s="230">
        <v>12</v>
      </c>
      <c r="Z29" s="230">
        <v>12</v>
      </c>
      <c r="AA29" s="230">
        <v>12</v>
      </c>
      <c r="AB29" s="230">
        <v>12</v>
      </c>
      <c r="AC29" s="230">
        <v>12</v>
      </c>
      <c r="AD29" s="230">
        <v>12</v>
      </c>
      <c r="AE29" s="230">
        <v>12</v>
      </c>
      <c r="AF29" s="230">
        <v>12</v>
      </c>
      <c r="AG29" s="230">
        <v>12</v>
      </c>
      <c r="AH29" s="230">
        <v>12</v>
      </c>
      <c r="AI29" s="230">
        <v>12</v>
      </c>
      <c r="AJ29" s="230">
        <v>12</v>
      </c>
      <c r="AK29" s="230">
        <v>12</v>
      </c>
      <c r="AL29" s="230">
        <v>12</v>
      </c>
      <c r="AM29" s="230">
        <v>12</v>
      </c>
      <c r="AN29" s="230">
        <v>12</v>
      </c>
      <c r="AO29" s="230">
        <v>12</v>
      </c>
      <c r="AP29" s="230">
        <v>12</v>
      </c>
      <c r="AQ29" s="241">
        <v>17.5</v>
      </c>
      <c r="AR29" s="230">
        <v>12</v>
      </c>
      <c r="AS29" s="230">
        <v>12</v>
      </c>
      <c r="AT29" s="230">
        <v>12</v>
      </c>
      <c r="AU29" s="230">
        <v>12</v>
      </c>
      <c r="AV29" s="230">
        <v>12</v>
      </c>
      <c r="AW29" s="231">
        <v>4</v>
      </c>
      <c r="AZ29" s="237" t="s">
        <v>117</v>
      </c>
      <c r="BA29" s="237" t="s">
        <v>22</v>
      </c>
    </row>
    <row r="30" spans="4:53" x14ac:dyDescent="0.25">
      <c r="D30" s="15" t="str">
        <f>'Estoque de MP'!D4</f>
        <v>D-Fenilalanina*</v>
      </c>
      <c r="E30" s="179">
        <f>'Estoque de MP'!E4</f>
        <v>0</v>
      </c>
      <c r="F30" s="13" t="str">
        <f>'Estoque de MP'!F4</f>
        <v>KG</v>
      </c>
      <c r="G30" s="156">
        <f>'Estoque de MP'!G4</f>
        <v>80</v>
      </c>
      <c r="H30" s="156">
        <f>'Estoque de MP'!H4</f>
        <v>0</v>
      </c>
      <c r="I30" s="156">
        <f>'Estoque de MP'!I4</f>
        <v>0</v>
      </c>
      <c r="J30" s="156">
        <f>'Estoque de MP'!J4</f>
        <v>0</v>
      </c>
      <c r="K30" s="156">
        <f>'Estoque de MP'!K4</f>
        <v>0</v>
      </c>
      <c r="L30" s="156">
        <f>'Estoque de MP'!L4</f>
        <v>0</v>
      </c>
      <c r="M30" s="156">
        <f>'Estoque de MP'!M4</f>
        <v>0</v>
      </c>
      <c r="N30" s="156">
        <f>'Estoque de MP'!N4</f>
        <v>0</v>
      </c>
      <c r="T30" s="694"/>
      <c r="U30" s="229" t="s">
        <v>91</v>
      </c>
      <c r="V30" s="230">
        <v>12</v>
      </c>
      <c r="W30" s="230">
        <v>12</v>
      </c>
      <c r="X30" s="230">
        <v>12</v>
      </c>
      <c r="Y30" s="230">
        <v>12</v>
      </c>
      <c r="Z30" s="230">
        <v>12</v>
      </c>
      <c r="AA30" s="230">
        <v>12</v>
      </c>
      <c r="AB30" s="230">
        <v>12</v>
      </c>
      <c r="AC30" s="230">
        <v>12</v>
      </c>
      <c r="AD30" s="230">
        <v>12</v>
      </c>
      <c r="AE30" s="230">
        <v>12</v>
      </c>
      <c r="AF30" s="230">
        <v>12</v>
      </c>
      <c r="AG30" s="230">
        <v>12</v>
      </c>
      <c r="AH30" s="230">
        <v>12</v>
      </c>
      <c r="AI30" s="230">
        <v>12</v>
      </c>
      <c r="AJ30" s="230">
        <v>12</v>
      </c>
      <c r="AK30" s="230">
        <v>12</v>
      </c>
      <c r="AL30" s="230">
        <v>12</v>
      </c>
      <c r="AM30" s="230">
        <v>12</v>
      </c>
      <c r="AN30" s="230">
        <v>12</v>
      </c>
      <c r="AO30" s="230">
        <v>12</v>
      </c>
      <c r="AP30" s="230">
        <v>12</v>
      </c>
      <c r="AQ30" s="230">
        <v>12</v>
      </c>
      <c r="AR30" s="239">
        <v>17</v>
      </c>
      <c r="AS30" s="230">
        <v>12</v>
      </c>
      <c r="AT30" s="230">
        <v>12</v>
      </c>
      <c r="AU30" s="230">
        <v>12</v>
      </c>
      <c r="AV30" s="230">
        <v>12</v>
      </c>
      <c r="AW30" s="231">
        <v>4</v>
      </c>
      <c r="AZ30" s="237" t="s">
        <v>893</v>
      </c>
      <c r="BA30" s="237" t="s">
        <v>98</v>
      </c>
    </row>
    <row r="31" spans="4:53" x14ac:dyDescent="0.25">
      <c r="D31" s="15" t="str">
        <f>'Estoque de MP'!D5</f>
        <v>L Fenilalanina**</v>
      </c>
      <c r="E31" s="179">
        <f>'Estoque de MP'!E5</f>
        <v>0</v>
      </c>
      <c r="F31" s="13" t="str">
        <f>'Estoque de MP'!F5</f>
        <v>KG</v>
      </c>
      <c r="G31" s="156" t="e">
        <f>'Estoque de MP'!G5</f>
        <v>#DIV/0!</v>
      </c>
      <c r="H31" s="156">
        <f>'Estoque de MP'!H5</f>
        <v>0</v>
      </c>
      <c r="I31" s="156">
        <f>'Estoque de MP'!I5</f>
        <v>0</v>
      </c>
      <c r="J31" s="156">
        <f>'Estoque de MP'!J5</f>
        <v>0</v>
      </c>
      <c r="K31" s="156">
        <f>'Estoque de MP'!K5</f>
        <v>0</v>
      </c>
      <c r="L31" s="156">
        <f>'Estoque de MP'!L5</f>
        <v>0</v>
      </c>
      <c r="M31" s="156">
        <f>'Estoque de MP'!M5</f>
        <v>0</v>
      </c>
      <c r="N31" s="156">
        <f>'Estoque de MP'!N5</f>
        <v>0</v>
      </c>
      <c r="T31" s="694"/>
      <c r="U31" s="229" t="s">
        <v>94</v>
      </c>
      <c r="V31" s="230">
        <v>7</v>
      </c>
      <c r="W31" s="230">
        <v>7</v>
      </c>
      <c r="X31" s="230">
        <v>7</v>
      </c>
      <c r="Y31" s="230">
        <v>7</v>
      </c>
      <c r="Z31" s="230">
        <v>7</v>
      </c>
      <c r="AA31" s="230">
        <v>7</v>
      </c>
      <c r="AB31" s="230">
        <v>7</v>
      </c>
      <c r="AC31" s="230">
        <v>7</v>
      </c>
      <c r="AD31" s="230">
        <v>7</v>
      </c>
      <c r="AE31" s="230">
        <v>7</v>
      </c>
      <c r="AF31" s="230">
        <v>7</v>
      </c>
      <c r="AG31" s="230">
        <v>7</v>
      </c>
      <c r="AH31" s="230">
        <v>12</v>
      </c>
      <c r="AI31" s="230">
        <v>7</v>
      </c>
      <c r="AJ31" s="230">
        <v>7</v>
      </c>
      <c r="AK31" s="230">
        <v>12</v>
      </c>
      <c r="AL31" s="230">
        <v>7</v>
      </c>
      <c r="AM31" s="230">
        <v>7</v>
      </c>
      <c r="AN31" s="230">
        <v>7</v>
      </c>
      <c r="AO31" s="230">
        <v>12</v>
      </c>
      <c r="AP31" s="230">
        <v>12</v>
      </c>
      <c r="AQ31" s="230">
        <v>7</v>
      </c>
      <c r="AR31" s="230">
        <v>7</v>
      </c>
      <c r="AS31" s="239">
        <v>17</v>
      </c>
      <c r="AT31" s="230">
        <v>12</v>
      </c>
      <c r="AU31" s="230">
        <v>7</v>
      </c>
      <c r="AV31" s="230">
        <v>7</v>
      </c>
      <c r="AW31" s="231">
        <v>4</v>
      </c>
      <c r="AZ31" s="237" t="s">
        <v>896</v>
      </c>
      <c r="BA31" s="237" t="s">
        <v>101</v>
      </c>
    </row>
    <row r="32" spans="4:53" x14ac:dyDescent="0.25">
      <c r="D32" s="15" t="str">
        <f>'Estoque de MP'!D6</f>
        <v>Embalagem (500g)</v>
      </c>
      <c r="E32" s="179">
        <f>'Estoque de MP'!E6</f>
        <v>0</v>
      </c>
      <c r="F32" s="13" t="str">
        <f>'Estoque de MP'!F6</f>
        <v>unidade</v>
      </c>
      <c r="G32" s="156">
        <f>'Estoque de MP'!G6</f>
        <v>2</v>
      </c>
      <c r="H32" s="156">
        <f>'Estoque de MP'!H6</f>
        <v>0</v>
      </c>
      <c r="I32" s="156">
        <f>'Estoque de MP'!I6</f>
        <v>0</v>
      </c>
      <c r="J32" s="156">
        <f>'Estoque de MP'!J6</f>
        <v>0</v>
      </c>
      <c r="K32" s="156">
        <f>'Estoque de MP'!K6</f>
        <v>0</v>
      </c>
      <c r="L32" s="156">
        <f>'Estoque de MP'!L6</f>
        <v>0</v>
      </c>
      <c r="M32" s="156">
        <f>'Estoque de MP'!M6</f>
        <v>0</v>
      </c>
      <c r="N32" s="156">
        <f>'Estoque de MP'!N6</f>
        <v>0</v>
      </c>
      <c r="T32" s="694"/>
      <c r="U32" s="229" t="s">
        <v>22</v>
      </c>
      <c r="V32" s="230">
        <v>7</v>
      </c>
      <c r="W32" s="230">
        <v>7</v>
      </c>
      <c r="X32" s="230">
        <v>7</v>
      </c>
      <c r="Y32" s="230">
        <v>7</v>
      </c>
      <c r="Z32" s="230">
        <v>7</v>
      </c>
      <c r="AA32" s="230">
        <v>7</v>
      </c>
      <c r="AB32" s="230">
        <v>7</v>
      </c>
      <c r="AC32" s="230">
        <v>7</v>
      </c>
      <c r="AD32" s="230">
        <v>7</v>
      </c>
      <c r="AE32" s="230">
        <v>7</v>
      </c>
      <c r="AF32" s="230">
        <v>7</v>
      </c>
      <c r="AG32" s="230">
        <v>7</v>
      </c>
      <c r="AH32" s="230">
        <v>12</v>
      </c>
      <c r="AI32" s="230">
        <v>7</v>
      </c>
      <c r="AJ32" s="230">
        <v>7</v>
      </c>
      <c r="AK32" s="230">
        <v>12</v>
      </c>
      <c r="AL32" s="230">
        <v>7</v>
      </c>
      <c r="AM32" s="230">
        <v>7</v>
      </c>
      <c r="AN32" s="230">
        <v>7</v>
      </c>
      <c r="AO32" s="230">
        <v>12</v>
      </c>
      <c r="AP32" s="230">
        <v>12</v>
      </c>
      <c r="AQ32" s="230">
        <v>7</v>
      </c>
      <c r="AR32" s="230">
        <v>7</v>
      </c>
      <c r="AS32" s="230">
        <v>12</v>
      </c>
      <c r="AT32" s="239">
        <v>18</v>
      </c>
      <c r="AU32" s="230">
        <v>7</v>
      </c>
      <c r="AV32" s="230">
        <v>7</v>
      </c>
      <c r="AW32" s="231">
        <v>4</v>
      </c>
      <c r="AZ32" s="237" t="s">
        <v>901</v>
      </c>
      <c r="BA32" s="237" t="s">
        <v>899</v>
      </c>
    </row>
    <row r="33" spans="4:52" x14ac:dyDescent="0.25">
      <c r="D33" s="5"/>
      <c r="E33" s="177"/>
      <c r="T33" s="694"/>
      <c r="U33" s="229" t="s">
        <v>98</v>
      </c>
      <c r="V33" s="230">
        <v>12</v>
      </c>
      <c r="W33" s="230">
        <v>12</v>
      </c>
      <c r="X33" s="230">
        <v>12</v>
      </c>
      <c r="Y33" s="230">
        <v>12</v>
      </c>
      <c r="Z33" s="230">
        <v>12</v>
      </c>
      <c r="AA33" s="230">
        <v>12</v>
      </c>
      <c r="AB33" s="230">
        <v>12</v>
      </c>
      <c r="AC33" s="230">
        <v>12</v>
      </c>
      <c r="AD33" s="230">
        <v>12</v>
      </c>
      <c r="AE33" s="230">
        <v>12</v>
      </c>
      <c r="AF33" s="230">
        <v>12</v>
      </c>
      <c r="AG33" s="230">
        <v>12</v>
      </c>
      <c r="AH33" s="230">
        <v>12</v>
      </c>
      <c r="AI33" s="230">
        <v>12</v>
      </c>
      <c r="AJ33" s="230">
        <v>12</v>
      </c>
      <c r="AK33" s="230">
        <v>12</v>
      </c>
      <c r="AL33" s="230">
        <v>12</v>
      </c>
      <c r="AM33" s="230">
        <v>12</v>
      </c>
      <c r="AN33" s="230">
        <v>12</v>
      </c>
      <c r="AO33" s="230">
        <v>12</v>
      </c>
      <c r="AP33" s="230">
        <v>12</v>
      </c>
      <c r="AQ33" s="230">
        <v>12</v>
      </c>
      <c r="AR33" s="230">
        <v>12</v>
      </c>
      <c r="AS33" s="230">
        <v>12</v>
      </c>
      <c r="AT33" s="230">
        <v>12</v>
      </c>
      <c r="AU33" s="239">
        <v>18</v>
      </c>
      <c r="AV33" s="230">
        <v>12</v>
      </c>
      <c r="AW33" s="231">
        <v>4</v>
      </c>
    </row>
    <row r="34" spans="4:52" x14ac:dyDescent="0.25">
      <c r="D34" s="5"/>
      <c r="E34" s="177"/>
      <c r="T34" s="694"/>
      <c r="U34" s="229" t="s">
        <v>101</v>
      </c>
      <c r="V34" s="230">
        <v>12</v>
      </c>
      <c r="W34" s="230">
        <v>12</v>
      </c>
      <c r="X34" s="230">
        <v>12</v>
      </c>
      <c r="Y34" s="230">
        <v>12</v>
      </c>
      <c r="Z34" s="230">
        <v>12</v>
      </c>
      <c r="AA34" s="230">
        <v>12</v>
      </c>
      <c r="AB34" s="230">
        <v>12</v>
      </c>
      <c r="AC34" s="230">
        <v>12</v>
      </c>
      <c r="AD34" s="230">
        <v>12</v>
      </c>
      <c r="AE34" s="230">
        <v>12</v>
      </c>
      <c r="AF34" s="230">
        <v>12</v>
      </c>
      <c r="AG34" s="230">
        <v>12</v>
      </c>
      <c r="AH34" s="230">
        <v>12</v>
      </c>
      <c r="AI34" s="230">
        <v>12</v>
      </c>
      <c r="AJ34" s="230">
        <v>12</v>
      </c>
      <c r="AK34" s="230">
        <v>12</v>
      </c>
      <c r="AL34" s="230">
        <v>12</v>
      </c>
      <c r="AM34" s="230">
        <v>12</v>
      </c>
      <c r="AN34" s="230">
        <v>12</v>
      </c>
      <c r="AO34" s="230">
        <v>12</v>
      </c>
      <c r="AP34" s="230">
        <v>12</v>
      </c>
      <c r="AQ34" s="230">
        <v>12</v>
      </c>
      <c r="AR34" s="230">
        <v>12</v>
      </c>
      <c r="AS34" s="230">
        <v>12</v>
      </c>
      <c r="AT34" s="230">
        <v>12</v>
      </c>
      <c r="AU34" s="230">
        <v>12</v>
      </c>
      <c r="AV34" s="239">
        <v>18</v>
      </c>
      <c r="AW34" s="231">
        <v>4</v>
      </c>
    </row>
    <row r="35" spans="4:52" ht="16.5" thickBot="1" x14ac:dyDescent="0.3">
      <c r="T35" s="695"/>
      <c r="U35" s="232" t="s">
        <v>899</v>
      </c>
      <c r="V35" s="233">
        <v>4</v>
      </c>
      <c r="W35" s="233">
        <v>4</v>
      </c>
      <c r="X35" s="233">
        <v>4</v>
      </c>
      <c r="Y35" s="233">
        <v>4</v>
      </c>
      <c r="Z35" s="233">
        <v>4</v>
      </c>
      <c r="AA35" s="233">
        <v>4</v>
      </c>
      <c r="AB35" s="233">
        <v>4</v>
      </c>
      <c r="AC35" s="233">
        <v>4</v>
      </c>
      <c r="AD35" s="233">
        <v>4</v>
      </c>
      <c r="AE35" s="233">
        <v>4</v>
      </c>
      <c r="AF35" s="233">
        <v>4</v>
      </c>
      <c r="AG35" s="233">
        <v>4</v>
      </c>
      <c r="AH35" s="233">
        <v>4</v>
      </c>
      <c r="AI35" s="233">
        <v>4</v>
      </c>
      <c r="AJ35" s="233">
        <v>4</v>
      </c>
      <c r="AK35" s="233">
        <v>4</v>
      </c>
      <c r="AL35" s="233">
        <v>4</v>
      </c>
      <c r="AM35" s="233">
        <v>4</v>
      </c>
      <c r="AN35" s="233">
        <v>4</v>
      </c>
      <c r="AO35" s="233">
        <v>4</v>
      </c>
      <c r="AP35" s="233">
        <v>4</v>
      </c>
      <c r="AQ35" s="233">
        <v>4</v>
      </c>
      <c r="AR35" s="233">
        <v>4</v>
      </c>
      <c r="AS35" s="233">
        <v>4</v>
      </c>
      <c r="AT35" s="233">
        <v>4</v>
      </c>
      <c r="AU35" s="233">
        <v>4</v>
      </c>
      <c r="AV35" s="233">
        <v>4</v>
      </c>
      <c r="AW35" s="240"/>
    </row>
    <row r="36" spans="4:52" x14ac:dyDescent="0.25">
      <c r="D36" s="604" t="s">
        <v>776</v>
      </c>
      <c r="E36" s="604"/>
      <c r="H36" s="30"/>
      <c r="I36" s="373" t="s">
        <v>107</v>
      </c>
      <c r="J36" s="373" t="s">
        <v>155</v>
      </c>
      <c r="K36" s="373" t="s">
        <v>156</v>
      </c>
      <c r="L36" s="15" t="s">
        <v>730</v>
      </c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</row>
    <row r="37" spans="4:52" x14ac:dyDescent="0.25">
      <c r="D37" s="673" t="s">
        <v>777</v>
      </c>
      <c r="E37" s="673"/>
      <c r="H37" s="13" t="s">
        <v>157</v>
      </c>
      <c r="I37" s="181" t="e">
        <f>Decisões!E35</f>
        <v>#N/A</v>
      </c>
      <c r="J37" s="181" t="e">
        <f>I37*$J$29</f>
        <v>#N/A</v>
      </c>
      <c r="K37" s="181" t="e">
        <f>I37*$K$29</f>
        <v>#N/A</v>
      </c>
      <c r="L37" s="181" t="e">
        <f>I37-J37-K37</f>
        <v>#N/A</v>
      </c>
      <c r="S37" s="672" t="s">
        <v>902</v>
      </c>
      <c r="T37" s="672"/>
      <c r="U37" s="672"/>
      <c r="V37" s="669" t="s">
        <v>905</v>
      </c>
      <c r="W37" s="669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</row>
    <row r="38" spans="4:52" x14ac:dyDescent="0.25">
      <c r="D38" s="4" t="s">
        <v>778</v>
      </c>
      <c r="H38" s="13" t="s">
        <v>9</v>
      </c>
      <c r="I38" s="181" t="e">
        <f>Decisões!E40</f>
        <v>#N/A</v>
      </c>
      <c r="J38" s="181" t="e">
        <f>I38*$J$29</f>
        <v>#N/A</v>
      </c>
      <c r="K38" s="181" t="e">
        <f>I38*$K$29</f>
        <v>#N/A</v>
      </c>
      <c r="L38" s="181" t="e">
        <f>I38-J38-K38</f>
        <v>#N/A</v>
      </c>
      <c r="S38" s="670" t="s">
        <v>903</v>
      </c>
      <c r="T38" s="670"/>
      <c r="U38" s="670"/>
      <c r="V38" s="670"/>
      <c r="W38" s="670"/>
      <c r="X38" s="670"/>
      <c r="Y38" s="670"/>
      <c r="Z38" s="670"/>
    </row>
    <row r="39" spans="4:52" x14ac:dyDescent="0.25">
      <c r="D39" s="4" t="s">
        <v>640</v>
      </c>
      <c r="E39" s="182">
        <f>'Estoque de MP'!E5*Decisões!G53</f>
        <v>0</v>
      </c>
      <c r="F39" s="4" t="s">
        <v>968</v>
      </c>
      <c r="S39" s="670" t="s">
        <v>904</v>
      </c>
      <c r="T39" s="670"/>
      <c r="U39" s="670"/>
      <c r="V39" s="670"/>
      <c r="W39" s="670"/>
      <c r="X39" s="670"/>
      <c r="Y39" s="670"/>
      <c r="Z39" s="670"/>
      <c r="AA39" s="670"/>
      <c r="AB39" s="670"/>
      <c r="AC39" s="670"/>
      <c r="AD39" s="670"/>
      <c r="AE39" s="670"/>
      <c r="AF39" s="670"/>
      <c r="AG39" s="670"/>
      <c r="AH39" s="440" t="s">
        <v>923</v>
      </c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</row>
    <row r="40" spans="4:52" ht="15.75" customHeight="1" x14ac:dyDescent="0.25">
      <c r="D40" s="4" t="s">
        <v>641</v>
      </c>
      <c r="E40" s="182">
        <f>E39*5%</f>
        <v>0</v>
      </c>
      <c r="H40" s="245"/>
      <c r="I40" s="245"/>
      <c r="J40" s="245"/>
      <c r="K40" s="245"/>
      <c r="L40" s="245"/>
      <c r="M40" s="245"/>
      <c r="S40" s="668" t="s">
        <v>922</v>
      </c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  <c r="AK40" s="668"/>
      <c r="AL40" s="668"/>
      <c r="AM40" s="668"/>
      <c r="AN40" s="668"/>
      <c r="AO40" s="668"/>
      <c r="AP40" s="668"/>
      <c r="AQ40" s="668"/>
      <c r="AR40" s="668"/>
      <c r="AS40" s="668"/>
      <c r="AT40" s="668"/>
      <c r="AU40" s="668"/>
      <c r="AV40" s="668"/>
      <c r="AW40" s="668"/>
      <c r="AX40" s="668"/>
      <c r="AY40" s="668"/>
      <c r="AZ40" s="668"/>
    </row>
    <row r="41" spans="4:52" x14ac:dyDescent="0.25">
      <c r="D41" s="4" t="s">
        <v>642</v>
      </c>
      <c r="E41" s="182">
        <f>E39*1%</f>
        <v>0</v>
      </c>
      <c r="H41" s="245"/>
      <c r="I41" s="245"/>
      <c r="J41" s="245"/>
      <c r="K41" s="245"/>
      <c r="L41" s="245"/>
      <c r="M41" s="245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668"/>
      <c r="AS41" s="668"/>
      <c r="AT41" s="668"/>
      <c r="AU41" s="668"/>
      <c r="AV41" s="668"/>
      <c r="AW41" s="668"/>
      <c r="AX41" s="668"/>
      <c r="AY41" s="668"/>
      <c r="AZ41" s="668"/>
    </row>
    <row r="42" spans="4:52" x14ac:dyDescent="0.25">
      <c r="D42" s="4" t="s">
        <v>564</v>
      </c>
      <c r="E42" s="182">
        <f>SUM(E39:E41)</f>
        <v>0</v>
      </c>
      <c r="H42" s="245"/>
      <c r="I42" s="245"/>
      <c r="J42" s="245"/>
      <c r="K42" s="245"/>
      <c r="L42" s="245"/>
      <c r="M42" s="245"/>
      <c r="S42" s="440" t="s">
        <v>906</v>
      </c>
      <c r="T42" s="441"/>
      <c r="U42" s="226"/>
      <c r="V42" s="226"/>
      <c r="AC42" s="235"/>
      <c r="AD42" s="235"/>
      <c r="AL42" s="235"/>
      <c r="AM42" s="235"/>
      <c r="AU42" s="226"/>
      <c r="AV42" s="226"/>
    </row>
    <row r="43" spans="4:52" x14ac:dyDescent="0.25">
      <c r="D43" s="5" t="s">
        <v>136</v>
      </c>
      <c r="E43" s="184">
        <f>Decisões!E49</f>
        <v>3.14</v>
      </c>
      <c r="H43" s="245"/>
      <c r="I43" s="245"/>
      <c r="J43" s="245"/>
      <c r="K43" s="245"/>
      <c r="L43" s="245"/>
      <c r="M43" s="245"/>
      <c r="S43" s="440" t="s">
        <v>917</v>
      </c>
      <c r="T43" s="441"/>
      <c r="U43" s="226"/>
      <c r="V43" s="226"/>
      <c r="AC43" s="235"/>
      <c r="AD43" s="235"/>
      <c r="AL43" s="235"/>
      <c r="AM43" s="235"/>
      <c r="AU43" s="226"/>
      <c r="AV43" s="226"/>
    </row>
    <row r="44" spans="4:52" x14ac:dyDescent="0.25">
      <c r="D44" s="185" t="s">
        <v>643</v>
      </c>
      <c r="E44" s="186">
        <f>E42*E43</f>
        <v>0</v>
      </c>
      <c r="H44" s="245"/>
      <c r="I44" s="245"/>
      <c r="J44" s="245"/>
      <c r="K44" s="245"/>
      <c r="L44" s="245"/>
      <c r="M44" s="245"/>
      <c r="T44" s="441"/>
      <c r="U44" s="226"/>
      <c r="V44" s="226"/>
      <c r="AC44" s="235"/>
      <c r="AD44" s="235"/>
      <c r="AL44" s="235"/>
      <c r="AM44" s="235"/>
      <c r="AU44" s="226"/>
      <c r="AV44" s="226"/>
    </row>
    <row r="45" spans="4:52" x14ac:dyDescent="0.25">
      <c r="G45" s="183"/>
      <c r="H45" s="245"/>
      <c r="I45" s="245"/>
      <c r="J45" s="245"/>
      <c r="K45" s="245"/>
      <c r="L45" s="245"/>
      <c r="M45" s="245"/>
      <c r="T45" s="441"/>
      <c r="U45" s="226"/>
      <c r="V45" s="226"/>
      <c r="AC45" s="235"/>
      <c r="AD45" s="235"/>
      <c r="AL45" s="235"/>
      <c r="AM45" s="235"/>
      <c r="AU45" s="226"/>
      <c r="AV45" s="226"/>
    </row>
    <row r="46" spans="4:52" x14ac:dyDescent="0.25">
      <c r="D46" s="4" t="s">
        <v>644</v>
      </c>
      <c r="H46" s="245"/>
      <c r="I46" s="245"/>
      <c r="J46" s="245"/>
      <c r="K46" s="245"/>
      <c r="L46" s="245"/>
      <c r="M46" s="245"/>
      <c r="T46" s="441"/>
      <c r="U46" s="226"/>
      <c r="V46" s="226"/>
      <c r="AC46" s="235"/>
      <c r="AD46" s="235"/>
      <c r="AL46" s="235"/>
      <c r="AM46" s="235"/>
      <c r="AU46" s="226"/>
      <c r="AV46" s="226"/>
    </row>
    <row r="47" spans="4:52" x14ac:dyDescent="0.25">
      <c r="D47" s="4" t="s">
        <v>645</v>
      </c>
      <c r="E47" s="8">
        <f>E44</f>
        <v>0</v>
      </c>
      <c r="H47" s="245"/>
      <c r="I47" s="245"/>
      <c r="J47" s="245"/>
      <c r="K47" s="245"/>
      <c r="L47" s="245"/>
      <c r="M47" s="245"/>
      <c r="T47" s="441"/>
      <c r="U47" s="226"/>
      <c r="V47" s="226"/>
      <c r="AC47" s="235"/>
      <c r="AD47" s="235"/>
      <c r="AL47" s="235"/>
      <c r="AM47" s="235"/>
      <c r="AU47" s="226"/>
      <c r="AV47" s="226"/>
    </row>
    <row r="48" spans="4:52" x14ac:dyDescent="0.25">
      <c r="D48" s="273" t="s">
        <v>646</v>
      </c>
      <c r="E48" s="274">
        <v>0.02</v>
      </c>
      <c r="G48" s="11"/>
      <c r="H48" s="245"/>
      <c r="I48" s="245"/>
      <c r="J48" s="245"/>
      <c r="K48" s="245"/>
      <c r="L48" s="245"/>
      <c r="M48" s="245"/>
      <c r="T48" s="441"/>
      <c r="U48" s="226"/>
      <c r="V48" s="226"/>
      <c r="AC48" s="235"/>
      <c r="AD48" s="235"/>
      <c r="AL48" s="235"/>
      <c r="AM48" s="235"/>
      <c r="AU48" s="226"/>
      <c r="AV48" s="226"/>
    </row>
    <row r="49" spans="4:48" x14ac:dyDescent="0.25">
      <c r="D49" s="5" t="s">
        <v>107</v>
      </c>
      <c r="E49" s="187">
        <f>E47*E48</f>
        <v>0</v>
      </c>
      <c r="T49" s="441"/>
      <c r="U49" s="226"/>
      <c r="V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</row>
    <row r="50" spans="4:48" x14ac:dyDescent="0.25">
      <c r="T50" s="441"/>
    </row>
    <row r="51" spans="4:48" x14ac:dyDescent="0.25">
      <c r="D51" s="5" t="s">
        <v>647</v>
      </c>
      <c r="T51" s="441"/>
    </row>
    <row r="52" spans="4:48" x14ac:dyDescent="0.25">
      <c r="D52" s="4" t="s">
        <v>159</v>
      </c>
      <c r="E52" s="183">
        <f>E44+E49</f>
        <v>0</v>
      </c>
      <c r="T52" s="441"/>
    </row>
    <row r="53" spans="4:48" x14ac:dyDescent="0.25">
      <c r="D53" s="273" t="s">
        <v>648</v>
      </c>
      <c r="E53" s="274">
        <v>0.1</v>
      </c>
      <c r="T53" s="441"/>
    </row>
    <row r="54" spans="4:48" x14ac:dyDescent="0.25">
      <c r="D54" s="5" t="s">
        <v>107</v>
      </c>
      <c r="E54" s="187">
        <f>E53*E52</f>
        <v>0</v>
      </c>
      <c r="T54" s="441"/>
    </row>
    <row r="55" spans="4:48" x14ac:dyDescent="0.25">
      <c r="T55" s="441"/>
    </row>
    <row r="56" spans="4:48" x14ac:dyDescent="0.25">
      <c r="D56" s="5" t="s">
        <v>649</v>
      </c>
      <c r="T56" s="441"/>
    </row>
    <row r="57" spans="4:48" x14ac:dyDescent="0.25">
      <c r="D57" s="4" t="s">
        <v>645</v>
      </c>
      <c r="E57" s="8">
        <f>E44</f>
        <v>0</v>
      </c>
      <c r="T57" s="441"/>
    </row>
    <row r="58" spans="4:48" x14ac:dyDescent="0.25">
      <c r="D58" s="273" t="s">
        <v>650</v>
      </c>
      <c r="E58" s="275">
        <v>2.1000000000000001E-2</v>
      </c>
      <c r="T58" s="441"/>
    </row>
    <row r="59" spans="4:48" x14ac:dyDescent="0.25">
      <c r="D59" s="5" t="s">
        <v>651</v>
      </c>
      <c r="E59" s="187">
        <f>E57*E58</f>
        <v>0</v>
      </c>
      <c r="T59" s="441"/>
    </row>
    <row r="60" spans="4:48" x14ac:dyDescent="0.25">
      <c r="T60" s="441"/>
    </row>
    <row r="61" spans="4:48" x14ac:dyDescent="0.25">
      <c r="D61" s="5" t="s">
        <v>652</v>
      </c>
      <c r="T61" s="441"/>
    </row>
    <row r="62" spans="4:48" x14ac:dyDescent="0.25">
      <c r="D62" s="4" t="s">
        <v>645</v>
      </c>
      <c r="E62" s="8">
        <f>E44</f>
        <v>0</v>
      </c>
      <c r="T62" s="441"/>
    </row>
    <row r="63" spans="4:48" x14ac:dyDescent="0.25">
      <c r="D63" s="273" t="s">
        <v>648</v>
      </c>
      <c r="E63" s="275">
        <v>9.6500000000000002E-2</v>
      </c>
      <c r="T63" s="441"/>
    </row>
    <row r="64" spans="4:48" x14ac:dyDescent="0.25">
      <c r="D64" s="5" t="s">
        <v>653</v>
      </c>
      <c r="E64" s="187">
        <f>E62*E63</f>
        <v>0</v>
      </c>
    </row>
    <row r="66" spans="4:7" x14ac:dyDescent="0.25">
      <c r="D66" s="4" t="s">
        <v>654</v>
      </c>
      <c r="E66" s="8">
        <f>E44*0.5%</f>
        <v>0</v>
      </c>
    </row>
    <row r="68" spans="4:7" x14ac:dyDescent="0.25">
      <c r="D68" s="5" t="s">
        <v>655</v>
      </c>
    </row>
    <row r="69" spans="4:7" x14ac:dyDescent="0.25">
      <c r="D69" s="4" t="s">
        <v>781</v>
      </c>
      <c r="E69" s="8">
        <f>E74</f>
        <v>0</v>
      </c>
    </row>
    <row r="70" spans="4:7" x14ac:dyDescent="0.25">
      <c r="D70" s="273" t="s">
        <v>648</v>
      </c>
      <c r="E70" s="591">
        <f>M29</f>
        <v>0</v>
      </c>
    </row>
    <row r="71" spans="4:7" x14ac:dyDescent="0.25">
      <c r="D71" s="5" t="s">
        <v>656</v>
      </c>
      <c r="E71" s="187">
        <f>E69*E70</f>
        <v>0</v>
      </c>
    </row>
    <row r="73" spans="4:7" x14ac:dyDescent="0.25">
      <c r="D73" s="4" t="s">
        <v>782</v>
      </c>
      <c r="E73" s="188">
        <f>E44+E49+E59+E64+E66+E54</f>
        <v>0</v>
      </c>
    </row>
    <row r="74" spans="4:7" x14ac:dyDescent="0.25">
      <c r="D74" s="189" t="s">
        <v>783</v>
      </c>
      <c r="E74" s="8">
        <f>E73/(1-E70)</f>
        <v>0</v>
      </c>
    </row>
    <row r="77" spans="4:7" x14ac:dyDescent="0.25">
      <c r="D77" s="190" t="s">
        <v>784</v>
      </c>
      <c r="E77" s="191"/>
      <c r="F77" s="191"/>
      <c r="G77" s="191"/>
    </row>
    <row r="78" spans="4:7" x14ac:dyDescent="0.25">
      <c r="D78" s="671" t="s">
        <v>786</v>
      </c>
      <c r="E78" s="671"/>
      <c r="F78" s="671"/>
      <c r="G78" s="671"/>
    </row>
    <row r="79" spans="4:7" x14ac:dyDescent="0.25">
      <c r="D79" s="671"/>
      <c r="E79" s="671"/>
      <c r="F79" s="671"/>
      <c r="G79" s="671"/>
    </row>
    <row r="81" spans="4:15" x14ac:dyDescent="0.25">
      <c r="D81" s="15" t="s">
        <v>965</v>
      </c>
      <c r="E81" s="13"/>
    </row>
    <row r="82" spans="4:15" x14ac:dyDescent="0.25">
      <c r="D82" s="13" t="s">
        <v>966</v>
      </c>
      <c r="E82" s="336">
        <f>E44+E49+E66</f>
        <v>0</v>
      </c>
    </row>
    <row r="83" spans="4:15" x14ac:dyDescent="0.25">
      <c r="D83" s="13" t="s">
        <v>967</v>
      </c>
      <c r="E83" s="181">
        <f>E54+E59+E64+E71</f>
        <v>0</v>
      </c>
    </row>
    <row r="84" spans="4:15" x14ac:dyDescent="0.25">
      <c r="D84" s="15" t="s">
        <v>564</v>
      </c>
      <c r="E84" s="336">
        <f>SUM(E82:E83)</f>
        <v>0</v>
      </c>
    </row>
    <row r="86" spans="4:15" x14ac:dyDescent="0.25">
      <c r="D86" s="678" t="s">
        <v>785</v>
      </c>
      <c r="E86" s="678"/>
      <c r="F86" s="678"/>
      <c r="G86" s="678"/>
      <c r="H86" s="678"/>
      <c r="I86" s="678"/>
      <c r="J86" s="678"/>
      <c r="K86" s="678"/>
      <c r="L86" s="678"/>
      <c r="M86" s="678"/>
      <c r="N86" s="678"/>
    </row>
    <row r="87" spans="4:15" x14ac:dyDescent="0.25">
      <c r="D87" s="244" t="s">
        <v>921</v>
      </c>
      <c r="E87" s="375">
        <f>Decisões!$E$6</f>
        <v>0</v>
      </c>
      <c r="F87" s="372"/>
      <c r="G87" s="372"/>
      <c r="H87" s="372"/>
      <c r="I87" s="372"/>
      <c r="J87" s="372"/>
      <c r="K87" s="372"/>
      <c r="L87" s="372"/>
      <c r="M87" s="372"/>
      <c r="N87" s="372"/>
    </row>
    <row r="89" spans="4:15" x14ac:dyDescent="0.25">
      <c r="D89" s="683" t="s">
        <v>792</v>
      </c>
      <c r="E89" s="683"/>
      <c r="F89" s="683"/>
      <c r="G89" s="683"/>
      <c r="H89" s="683"/>
      <c r="I89" s="683"/>
      <c r="J89" s="683"/>
      <c r="K89" s="683"/>
      <c r="L89" s="683"/>
      <c r="M89" s="683"/>
      <c r="N89" s="376"/>
    </row>
    <row r="90" spans="4:15" x14ac:dyDescent="0.25">
      <c r="D90" s="679" t="s">
        <v>790</v>
      </c>
      <c r="E90" s="680" t="s">
        <v>791</v>
      </c>
      <c r="F90" s="681" t="s">
        <v>919</v>
      </c>
      <c r="G90" s="682" t="s">
        <v>971</v>
      </c>
      <c r="H90" s="372" t="s">
        <v>154</v>
      </c>
      <c r="I90" s="682" t="s">
        <v>781</v>
      </c>
      <c r="J90" s="592" t="s">
        <v>155</v>
      </c>
      <c r="K90" s="592" t="s">
        <v>156</v>
      </c>
      <c r="L90" s="440" t="s">
        <v>867</v>
      </c>
      <c r="M90" s="684" t="s">
        <v>152</v>
      </c>
      <c r="N90" s="684" t="s">
        <v>920</v>
      </c>
    </row>
    <row r="91" spans="4:15" x14ac:dyDescent="0.25">
      <c r="D91" s="679"/>
      <c r="E91" s="680"/>
      <c r="F91" s="681"/>
      <c r="G91" s="682"/>
      <c r="H91" s="579"/>
      <c r="I91" s="682"/>
      <c r="J91" s="595"/>
      <c r="K91" s="595"/>
      <c r="L91" s="440"/>
      <c r="M91" s="684"/>
      <c r="N91" s="684"/>
    </row>
    <row r="92" spans="4:15" x14ac:dyDescent="0.25">
      <c r="D92" s="578">
        <f>'Estoque de PA'!G25</f>
        <v>0</v>
      </c>
      <c r="E92" s="361" t="e">
        <f>'Preço de Venda'!$I$15</f>
        <v>#DIV/0!</v>
      </c>
      <c r="F92" s="8" t="e">
        <f>D92*E92</f>
        <v>#DIV/0!</v>
      </c>
      <c r="G92" s="4">
        <f>'Preço de Venda'!E22</f>
        <v>0</v>
      </c>
      <c r="H92" s="223" t="e">
        <f>F92-(F92/(1+$H$91))</f>
        <v>#DIV/0!</v>
      </c>
      <c r="I92" s="11" t="e">
        <f>F92-H92</f>
        <v>#DIV/0!</v>
      </c>
      <c r="J92" s="11" t="e">
        <f>$I92*J$91</f>
        <v>#DIV/0!</v>
      </c>
      <c r="K92" s="11" t="e">
        <f>$I92*K$91</f>
        <v>#DIV/0!</v>
      </c>
      <c r="L92" s="579"/>
      <c r="M92" s="11" t="e">
        <f>I92*L92</f>
        <v>#DIV/0!</v>
      </c>
      <c r="N92" s="11" t="e">
        <f>F92-H92-J92-K92-M92</f>
        <v>#DIV/0!</v>
      </c>
      <c r="O92" s="11"/>
    </row>
    <row r="93" spans="4:15" x14ac:dyDescent="0.25">
      <c r="D93" s="578">
        <f>'Estoque de PA'!G26</f>
        <v>0</v>
      </c>
      <c r="E93" s="361" t="e">
        <f>'Preço de Venda'!$I$15</f>
        <v>#DIV/0!</v>
      </c>
      <c r="F93" s="8" t="e">
        <f>D93*E93</f>
        <v>#DIV/0!</v>
      </c>
      <c r="G93" s="4" t="str">
        <f>'Preço de Venda'!E27</f>
        <v>Rio de Janeiro</v>
      </c>
      <c r="H93" s="223" t="e">
        <f t="shared" ref="H93:H95" si="0">F93-(F93/(1+$H$91))</f>
        <v>#DIV/0!</v>
      </c>
      <c r="I93" s="11" t="e">
        <f t="shared" ref="I93:I97" si="1">F93-H93</f>
        <v>#DIV/0!</v>
      </c>
      <c r="J93" s="11" t="e">
        <f>I93*J$91</f>
        <v>#DIV/0!</v>
      </c>
      <c r="K93" s="11" t="e">
        <f>$I93*K$91</f>
        <v>#DIV/0!</v>
      </c>
      <c r="L93" s="579"/>
      <c r="M93" s="11" t="e">
        <f t="shared" ref="M93:M97" si="2">I93*L93</f>
        <v>#DIV/0!</v>
      </c>
      <c r="N93" s="11" t="e">
        <f t="shared" ref="N93:N97" si="3">F93-H93-J93-K93-M93</f>
        <v>#DIV/0!</v>
      </c>
    </row>
    <row r="94" spans="4:15" x14ac:dyDescent="0.25">
      <c r="D94" s="578">
        <f>'Estoque de PA'!G27</f>
        <v>0</v>
      </c>
      <c r="E94" s="361" t="e">
        <f>'Preço de Venda'!$I$15</f>
        <v>#DIV/0!</v>
      </c>
      <c r="F94" s="8" t="e">
        <f t="shared" ref="F94:F96" si="4">D94*E94</f>
        <v>#DIV/0!</v>
      </c>
      <c r="G94" s="4" t="str">
        <f>'Preço de Venda'!E32</f>
        <v>Acre</v>
      </c>
      <c r="H94" s="223" t="e">
        <f t="shared" si="0"/>
        <v>#DIV/0!</v>
      </c>
      <c r="I94" s="11" t="e">
        <f t="shared" si="1"/>
        <v>#DIV/0!</v>
      </c>
      <c r="J94" s="11" t="e">
        <f>I94*J$91</f>
        <v>#DIV/0!</v>
      </c>
      <c r="K94" s="11" t="e">
        <f>$I94*K$91</f>
        <v>#DIV/0!</v>
      </c>
      <c r="L94" s="579"/>
      <c r="M94" s="11" t="e">
        <f t="shared" si="2"/>
        <v>#DIV/0!</v>
      </c>
      <c r="N94" s="11" t="e">
        <f t="shared" si="3"/>
        <v>#DIV/0!</v>
      </c>
    </row>
    <row r="95" spans="4:15" x14ac:dyDescent="0.25">
      <c r="D95" s="578">
        <f>'Estoque de PA'!G28</f>
        <v>0</v>
      </c>
      <c r="E95" s="361" t="e">
        <f>'Preço de Venda'!$I$15</f>
        <v>#DIV/0!</v>
      </c>
      <c r="F95" s="8" t="e">
        <f t="shared" si="4"/>
        <v>#DIV/0!</v>
      </c>
      <c r="G95" s="4" t="str">
        <f>'Preço de Venda'!E37</f>
        <v>Bahia</v>
      </c>
      <c r="H95" s="223" t="e">
        <f t="shared" si="0"/>
        <v>#DIV/0!</v>
      </c>
      <c r="I95" s="11" t="e">
        <f t="shared" si="1"/>
        <v>#DIV/0!</v>
      </c>
      <c r="J95" s="11" t="e">
        <f>I95*J$91</f>
        <v>#DIV/0!</v>
      </c>
      <c r="K95" s="11" t="e">
        <f>$I95*K$91</f>
        <v>#DIV/0!</v>
      </c>
      <c r="L95" s="579"/>
      <c r="M95" s="11" t="e">
        <f t="shared" si="2"/>
        <v>#DIV/0!</v>
      </c>
      <c r="N95" s="11" t="e">
        <f t="shared" si="3"/>
        <v>#DIV/0!</v>
      </c>
    </row>
    <row r="96" spans="4:15" x14ac:dyDescent="0.25">
      <c r="D96" s="578">
        <f>'Estoque de PA'!G29</f>
        <v>0</v>
      </c>
      <c r="E96" s="361" t="e">
        <f>'Preço de Venda'!$I$15</f>
        <v>#DIV/0!</v>
      </c>
      <c r="F96" s="8" t="e">
        <f t="shared" si="4"/>
        <v>#DIV/0!</v>
      </c>
      <c r="G96" s="4" t="str">
        <f>'Preço de Venda'!E42</f>
        <v>Alagoas</v>
      </c>
      <c r="H96" s="223" t="e">
        <f>F96-(F96/(1+$H$91))</f>
        <v>#DIV/0!</v>
      </c>
      <c r="I96" s="11" t="e">
        <f t="shared" si="1"/>
        <v>#DIV/0!</v>
      </c>
      <c r="J96" s="11" t="e">
        <f>I96*J$91</f>
        <v>#DIV/0!</v>
      </c>
      <c r="K96" s="11" t="e">
        <f>$I96*K$91</f>
        <v>#DIV/0!</v>
      </c>
      <c r="L96" s="579"/>
      <c r="M96" s="11" t="e">
        <f t="shared" si="2"/>
        <v>#DIV/0!</v>
      </c>
      <c r="N96" s="11" t="e">
        <f t="shared" si="3"/>
        <v>#DIV/0!</v>
      </c>
    </row>
    <row r="97" spans="4:14" x14ac:dyDescent="0.25">
      <c r="D97" s="578">
        <f>'Estoque de PA'!G30</f>
        <v>0</v>
      </c>
      <c r="E97" s="361" t="e">
        <f>'Preço de Venda'!$I$15</f>
        <v>#DIV/0!</v>
      </c>
      <c r="F97" s="8" t="e">
        <f t="shared" ref="F97" si="5">D97*E97</f>
        <v>#DIV/0!</v>
      </c>
      <c r="G97" s="4" t="str">
        <f>'Preço de Venda'!E47</f>
        <v>Sergipe</v>
      </c>
      <c r="H97" s="223" t="e">
        <f>F97-(F97/(1+$H$91))</f>
        <v>#DIV/0!</v>
      </c>
      <c r="I97" s="11" t="e">
        <f t="shared" si="1"/>
        <v>#DIV/0!</v>
      </c>
      <c r="J97" s="11" t="e">
        <f>I97*J$91</f>
        <v>#DIV/0!</v>
      </c>
      <c r="K97" s="11" t="e">
        <f>$I97*K$91</f>
        <v>#DIV/0!</v>
      </c>
      <c r="L97" s="579"/>
      <c r="M97" s="11" t="e">
        <f t="shared" si="2"/>
        <v>#DIV/0!</v>
      </c>
      <c r="N97" s="11" t="e">
        <f t="shared" si="3"/>
        <v>#DIV/0!</v>
      </c>
    </row>
    <row r="98" spans="4:14" x14ac:dyDescent="0.25">
      <c r="D98" s="4">
        <f>SUM(D92:D97)</f>
        <v>0</v>
      </c>
      <c r="F98" s="246" t="e">
        <f>SUM(F92:F97)</f>
        <v>#DIV/0!</v>
      </c>
      <c r="G98" s="674" t="s">
        <v>972</v>
      </c>
      <c r="H98" s="246" t="e">
        <f t="shared" ref="H98:K98" si="6">SUM(H92:H97)</f>
        <v>#DIV/0!</v>
      </c>
      <c r="I98" s="246" t="e">
        <f t="shared" si="6"/>
        <v>#DIV/0!</v>
      </c>
      <c r="J98" s="246" t="e">
        <f t="shared" si="6"/>
        <v>#DIV/0!</v>
      </c>
      <c r="K98" s="246" t="e">
        <f t="shared" si="6"/>
        <v>#DIV/0!</v>
      </c>
      <c r="L98" s="11"/>
      <c r="M98" s="246" t="e">
        <f>SUM(M92:M97)</f>
        <v>#DIV/0!</v>
      </c>
      <c r="N98" s="246" t="e">
        <f>SUM(N92:N97)</f>
        <v>#DIV/0!</v>
      </c>
    </row>
    <row r="99" spans="4:14" ht="18.75" x14ac:dyDescent="0.3">
      <c r="D99" s="224"/>
      <c r="E99" s="224"/>
      <c r="F99" s="224"/>
      <c r="G99" s="674"/>
      <c r="H99" s="225" t="s">
        <v>869</v>
      </c>
      <c r="I99" s="224"/>
    </row>
    <row r="102" spans="4:14" x14ac:dyDescent="0.25">
      <c r="D102" s="3"/>
      <c r="E102" s="3"/>
      <c r="F102" s="3"/>
    </row>
    <row r="104" spans="4:14" ht="20.25" customHeight="1" x14ac:dyDescent="0.25">
      <c r="D104" s="677" t="s">
        <v>941</v>
      </c>
      <c r="E104" s="685" t="str">
        <f t="shared" ref="E104:E111" si="7">G90</f>
        <v>Mercado (Destino)*</v>
      </c>
      <c r="F104" s="685"/>
    </row>
    <row r="105" spans="4:14" ht="20.25" customHeight="1" x14ac:dyDescent="0.25">
      <c r="D105" s="677"/>
      <c r="E105" s="685"/>
      <c r="F105" s="685"/>
    </row>
    <row r="106" spans="4:14" x14ac:dyDescent="0.25">
      <c r="D106" s="8">
        <f>'Preço de Venda'!E24</f>
        <v>500</v>
      </c>
      <c r="E106" s="4">
        <f t="shared" si="7"/>
        <v>0</v>
      </c>
    </row>
    <row r="107" spans="4:14" x14ac:dyDescent="0.25">
      <c r="D107" s="8">
        <f>'Preço de Venda'!G29</f>
        <v>0</v>
      </c>
      <c r="E107" s="4" t="str">
        <f t="shared" si="7"/>
        <v>Rio de Janeiro</v>
      </c>
    </row>
    <row r="108" spans="4:14" x14ac:dyDescent="0.25">
      <c r="D108" s="8">
        <f>'Preço de Venda'!G34</f>
        <v>0</v>
      </c>
      <c r="E108" s="4" t="str">
        <f t="shared" si="7"/>
        <v>Acre</v>
      </c>
    </row>
    <row r="109" spans="4:14" x14ac:dyDescent="0.25">
      <c r="D109" s="8">
        <f>'Preço de Venda'!G39</f>
        <v>0</v>
      </c>
      <c r="E109" s="4" t="str">
        <f t="shared" si="7"/>
        <v>Bahia</v>
      </c>
    </row>
    <row r="110" spans="4:14" x14ac:dyDescent="0.25">
      <c r="D110" s="8">
        <f>'Preço de Venda'!G44</f>
        <v>0</v>
      </c>
      <c r="E110" s="4" t="str">
        <f t="shared" si="7"/>
        <v>Alagoas</v>
      </c>
    </row>
    <row r="111" spans="4:14" x14ac:dyDescent="0.25">
      <c r="D111" s="8">
        <f>'Preço de Venda'!G49</f>
        <v>0</v>
      </c>
      <c r="E111" s="4" t="str">
        <f t="shared" si="7"/>
        <v>Sergipe</v>
      </c>
    </row>
    <row r="112" spans="4:14" x14ac:dyDescent="0.25">
      <c r="D112" s="362">
        <f>SUM(D106:D111)</f>
        <v>500</v>
      </c>
      <c r="E112" s="5" t="s">
        <v>973</v>
      </c>
    </row>
    <row r="113" spans="4:4" x14ac:dyDescent="0.25">
      <c r="D113" s="187"/>
    </row>
    <row r="115" spans="4:4" x14ac:dyDescent="0.25">
      <c r="D115" s="5"/>
    </row>
  </sheetData>
  <mergeCells count="27">
    <mergeCell ref="D3:D4"/>
    <mergeCell ref="U5:AW6"/>
    <mergeCell ref="T5:T35"/>
    <mergeCell ref="T3:AW3"/>
    <mergeCell ref="AZ4:BA4"/>
    <mergeCell ref="D17:N17"/>
    <mergeCell ref="G98:G99"/>
    <mergeCell ref="D36:E36"/>
    <mergeCell ref="N28:N29"/>
    <mergeCell ref="D104:D105"/>
    <mergeCell ref="D86:N86"/>
    <mergeCell ref="D90:D91"/>
    <mergeCell ref="E90:E91"/>
    <mergeCell ref="F90:F91"/>
    <mergeCell ref="G90:G91"/>
    <mergeCell ref="D89:M89"/>
    <mergeCell ref="M90:M91"/>
    <mergeCell ref="N90:N91"/>
    <mergeCell ref="I90:I91"/>
    <mergeCell ref="E104:F105"/>
    <mergeCell ref="S40:AZ41"/>
    <mergeCell ref="V37:W37"/>
    <mergeCell ref="S39:AG39"/>
    <mergeCell ref="D78:G79"/>
    <mergeCell ref="S37:U37"/>
    <mergeCell ref="S38:Z38"/>
    <mergeCell ref="D37:E37"/>
  </mergeCells>
  <conditionalFormatting sqref="D20:E20">
    <cfRule type="duplicateValues" dxfId="0" priority="1"/>
  </conditionalFormatting>
  <hyperlinks>
    <hyperlink ref="E26" location="'Estoque de MP'!A1" display="Ver Planilha Estoque de MP"/>
    <hyperlink ref="M28" location="Tributos!AA3" display="Tributos!AA3"/>
    <hyperlink ref="L90" location="Tributos!AA3" display="Alíquota ICMS"/>
    <hyperlink ref="S42" r:id="rId1"/>
    <hyperlink ref="S43" r:id="rId2"/>
    <hyperlink ref="AH39" r:id="rId3"/>
    <hyperlink ref="D104:D105" location="'Preço de Venda'!D17" display="Despesa com frete"/>
  </hyperlinks>
  <pageMargins left="0.511811024" right="0.511811024" top="0.78740157499999996" bottom="0.78740157499999996" header="0.31496062000000002" footer="0.31496062000000002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Parâmetros!$C$82:$C$87</xm:f>
          </x14:formula1>
          <xm:sqref>F5:F14</xm:sqref>
        </x14:dataValidation>
        <x14:dataValidation type="list" allowBlank="1" showInputMessage="1" showErrorMessage="1">
          <x14:formula1>
            <xm:f>Parâmetros!$B$82:$B$84</xm:f>
          </x14:formula1>
          <xm:sqref>E5:E13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opLeftCell="C1" zoomScale="70" zoomScaleNormal="70" workbookViewId="0">
      <selection activeCell="S24" sqref="S24"/>
    </sheetView>
  </sheetViews>
  <sheetFormatPr defaultColWidth="11.42578125" defaultRowHeight="15" x14ac:dyDescent="0.25"/>
  <cols>
    <col min="1" max="1" width="30.28515625" style="319" customWidth="1"/>
    <col min="2" max="27" width="8" style="299" customWidth="1"/>
    <col min="28" max="28" width="7.85546875" style="299" customWidth="1"/>
    <col min="29" max="29" width="46" style="309" bestFit="1" customWidth="1"/>
    <col min="30" max="16384" width="11.42578125" style="299"/>
  </cols>
  <sheetData>
    <row r="1" spans="1:29" ht="19.5" thickBot="1" x14ac:dyDescent="0.35">
      <c r="A1" s="296" t="s">
        <v>952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8"/>
    </row>
    <row r="2" spans="1:29" s="301" customFormat="1" ht="129.75" customHeight="1" thickTop="1" thickBot="1" x14ac:dyDescent="0.25">
      <c r="A2" s="295"/>
      <c r="B2" s="556" t="s">
        <v>1036</v>
      </c>
      <c r="C2" s="556" t="s">
        <v>1037</v>
      </c>
      <c r="D2" s="556" t="s">
        <v>1038</v>
      </c>
      <c r="E2" s="556" t="s">
        <v>1061</v>
      </c>
      <c r="F2" s="556" t="s">
        <v>1039</v>
      </c>
      <c r="G2" s="556" t="s">
        <v>1040</v>
      </c>
      <c r="H2" s="556" t="s">
        <v>1041</v>
      </c>
      <c r="I2" s="556" t="s">
        <v>1042</v>
      </c>
      <c r="J2" s="556" t="s">
        <v>1043</v>
      </c>
      <c r="K2" s="556" t="s">
        <v>1044</v>
      </c>
      <c r="L2" s="556" t="s">
        <v>1045</v>
      </c>
      <c r="M2" s="556" t="s">
        <v>1046</v>
      </c>
      <c r="N2" s="556" t="s">
        <v>1062</v>
      </c>
      <c r="O2" s="556" t="s">
        <v>1047</v>
      </c>
      <c r="P2" s="556" t="s">
        <v>1048</v>
      </c>
      <c r="Q2" s="556" t="s">
        <v>1049</v>
      </c>
      <c r="R2" s="556" t="s">
        <v>1050</v>
      </c>
      <c r="S2" s="556" t="s">
        <v>1051</v>
      </c>
      <c r="T2" s="556" t="s">
        <v>1052</v>
      </c>
      <c r="U2" s="556" t="s">
        <v>1053</v>
      </c>
      <c r="V2" s="556" t="s">
        <v>1054</v>
      </c>
      <c r="W2" s="556" t="s">
        <v>1055</v>
      </c>
      <c r="X2" s="556" t="s">
        <v>1056</v>
      </c>
      <c r="Y2" s="556" t="s">
        <v>1057</v>
      </c>
      <c r="Z2" s="556" t="s">
        <v>1058</v>
      </c>
      <c r="AA2" s="556" t="s">
        <v>1059</v>
      </c>
      <c r="AB2" s="556" t="s">
        <v>1060</v>
      </c>
      <c r="AC2" s="300"/>
    </row>
    <row r="3" spans="1:29" thickBot="1" x14ac:dyDescent="0.25">
      <c r="A3" s="557" t="str">
        <f>B2</f>
        <v>ARACAJÚ (Sergipe)</v>
      </c>
      <c r="B3" s="305"/>
      <c r="C3" s="302">
        <v>2079</v>
      </c>
      <c r="D3" s="302">
        <v>1578</v>
      </c>
      <c r="E3" s="302">
        <v>6000</v>
      </c>
      <c r="F3" s="302">
        <v>1652</v>
      </c>
      <c r="G3" s="302">
        <v>2765</v>
      </c>
      <c r="H3" s="302">
        <v>2775</v>
      </c>
      <c r="I3" s="302">
        <v>2595</v>
      </c>
      <c r="J3" s="302">
        <v>2892</v>
      </c>
      <c r="K3" s="302">
        <v>1183</v>
      </c>
      <c r="L3" s="302">
        <v>1848</v>
      </c>
      <c r="M3" s="302">
        <v>611</v>
      </c>
      <c r="N3" s="302">
        <v>2584</v>
      </c>
      <c r="O3" s="302">
        <v>294</v>
      </c>
      <c r="P3" s="302">
        <v>5215</v>
      </c>
      <c r="Q3" s="302">
        <v>788</v>
      </c>
      <c r="R3" s="302">
        <v>1662</v>
      </c>
      <c r="S3" s="302">
        <v>3296</v>
      </c>
      <c r="T3" s="302">
        <v>4230</v>
      </c>
      <c r="U3" s="302">
        <v>501</v>
      </c>
      <c r="V3" s="302">
        <v>4763</v>
      </c>
      <c r="W3" s="304">
        <v>1855</v>
      </c>
      <c r="X3" s="302">
        <v>356</v>
      </c>
      <c r="Y3" s="302">
        <v>1578</v>
      </c>
      <c r="Z3" s="302">
        <v>2187</v>
      </c>
      <c r="AA3" s="302">
        <v>1142</v>
      </c>
      <c r="AB3" s="302">
        <v>1408</v>
      </c>
      <c r="AC3" s="557" t="s">
        <v>1036</v>
      </c>
    </row>
    <row r="4" spans="1:29" thickBot="1" x14ac:dyDescent="0.25">
      <c r="A4" s="557" t="str">
        <f>C2</f>
        <v>BELÉM (Pará)</v>
      </c>
      <c r="B4" s="302">
        <v>2079</v>
      </c>
      <c r="C4" s="305"/>
      <c r="D4" s="302">
        <v>2824</v>
      </c>
      <c r="E4" s="302">
        <v>6083</v>
      </c>
      <c r="F4" s="302">
        <v>2120</v>
      </c>
      <c r="G4" s="302">
        <v>2942</v>
      </c>
      <c r="H4" s="302">
        <v>2941</v>
      </c>
      <c r="I4" s="302">
        <v>3193</v>
      </c>
      <c r="J4" s="302">
        <v>3500</v>
      </c>
      <c r="K4" s="302">
        <v>1610</v>
      </c>
      <c r="L4" s="302">
        <v>2017</v>
      </c>
      <c r="M4" s="302">
        <v>2161</v>
      </c>
      <c r="N4" s="302">
        <v>2891</v>
      </c>
      <c r="O4" s="302">
        <v>2173</v>
      </c>
      <c r="P4" s="302">
        <v>5298</v>
      </c>
      <c r="Q4" s="302">
        <v>2108</v>
      </c>
      <c r="R4" s="302">
        <v>1283</v>
      </c>
      <c r="S4" s="302">
        <v>3852</v>
      </c>
      <c r="T4" s="302">
        <v>4397</v>
      </c>
      <c r="U4" s="302">
        <v>2074</v>
      </c>
      <c r="V4" s="302">
        <v>4931</v>
      </c>
      <c r="W4" s="304">
        <v>3250</v>
      </c>
      <c r="X4" s="302">
        <v>2100</v>
      </c>
      <c r="Y4" s="302">
        <v>806</v>
      </c>
      <c r="Z4" s="302">
        <v>2933</v>
      </c>
      <c r="AA4" s="302">
        <v>947</v>
      </c>
      <c r="AB4" s="302">
        <v>3108</v>
      </c>
      <c r="AC4" s="557" t="s">
        <v>1037</v>
      </c>
    </row>
    <row r="5" spans="1:29" thickBot="1" x14ac:dyDescent="0.25">
      <c r="A5" s="557" t="str">
        <f>D2</f>
        <v>BELO HORIZONTE (Minas Gerais)</v>
      </c>
      <c r="B5" s="302">
        <v>1578</v>
      </c>
      <c r="C5" s="302">
        <v>2824</v>
      </c>
      <c r="D5" s="305"/>
      <c r="E5" s="302">
        <v>4736</v>
      </c>
      <c r="F5" s="302">
        <v>716</v>
      </c>
      <c r="G5" s="302">
        <v>1453</v>
      </c>
      <c r="H5" s="302">
        <v>1594</v>
      </c>
      <c r="I5" s="302">
        <v>1004</v>
      </c>
      <c r="J5" s="302">
        <v>1301</v>
      </c>
      <c r="K5" s="302">
        <v>2528</v>
      </c>
      <c r="L5" s="302">
        <v>906</v>
      </c>
      <c r="M5" s="302">
        <v>2171</v>
      </c>
      <c r="N5" s="302">
        <v>1002</v>
      </c>
      <c r="O5" s="302">
        <v>1854</v>
      </c>
      <c r="P5" s="302">
        <v>3951</v>
      </c>
      <c r="Q5" s="302">
        <v>2348</v>
      </c>
      <c r="R5" s="302">
        <v>1690</v>
      </c>
      <c r="S5" s="302">
        <v>1712</v>
      </c>
      <c r="T5" s="302">
        <v>3050</v>
      </c>
      <c r="U5" s="302">
        <v>2061</v>
      </c>
      <c r="V5" s="302">
        <v>3584</v>
      </c>
      <c r="W5" s="304">
        <v>434</v>
      </c>
      <c r="X5" s="302">
        <v>1372</v>
      </c>
      <c r="Y5" s="302">
        <v>2738</v>
      </c>
      <c r="Z5" s="302">
        <v>586</v>
      </c>
      <c r="AA5" s="302">
        <v>2302</v>
      </c>
      <c r="AB5" s="302">
        <v>524</v>
      </c>
      <c r="AC5" s="557" t="s">
        <v>1038</v>
      </c>
    </row>
    <row r="6" spans="1:29" thickBot="1" x14ac:dyDescent="0.25">
      <c r="A6" s="557" t="str">
        <f>E2</f>
        <v>BOA VISTA (Roraima)</v>
      </c>
      <c r="B6" s="302">
        <v>6000</v>
      </c>
      <c r="C6" s="302">
        <v>6083</v>
      </c>
      <c r="D6" s="302">
        <v>4736</v>
      </c>
      <c r="E6" s="305"/>
      <c r="F6" s="302">
        <v>4275</v>
      </c>
      <c r="G6" s="302">
        <v>3836</v>
      </c>
      <c r="H6" s="302">
        <v>3142</v>
      </c>
      <c r="I6" s="302">
        <v>4821</v>
      </c>
      <c r="J6" s="302">
        <v>5128</v>
      </c>
      <c r="K6" s="302">
        <v>6548</v>
      </c>
      <c r="L6" s="302">
        <v>4076</v>
      </c>
      <c r="M6" s="302">
        <v>6593</v>
      </c>
      <c r="N6" s="302">
        <v>4445</v>
      </c>
      <c r="O6" s="302">
        <v>6279</v>
      </c>
      <c r="P6" s="302">
        <v>785</v>
      </c>
      <c r="Q6" s="302">
        <v>6770</v>
      </c>
      <c r="R6" s="302">
        <v>4926</v>
      </c>
      <c r="S6" s="302">
        <v>5348</v>
      </c>
      <c r="T6" s="302">
        <v>1686</v>
      </c>
      <c r="U6" s="302">
        <v>6483</v>
      </c>
      <c r="V6" s="302">
        <v>2230</v>
      </c>
      <c r="W6" s="304">
        <v>5159</v>
      </c>
      <c r="X6" s="302">
        <v>5794</v>
      </c>
      <c r="Y6" s="302">
        <v>6120</v>
      </c>
      <c r="Z6" s="302">
        <v>4756</v>
      </c>
      <c r="AA6" s="302">
        <v>6052</v>
      </c>
      <c r="AB6" s="302">
        <v>5261</v>
      </c>
      <c r="AC6" s="557" t="s">
        <v>1061</v>
      </c>
    </row>
    <row r="7" spans="1:29" ht="15.75" thickTop="1" thickBot="1" x14ac:dyDescent="0.25">
      <c r="A7" s="557" t="str">
        <f>F2</f>
        <v>BRASÍLIA (Distrito Federal)</v>
      </c>
      <c r="B7" s="304">
        <v>1650</v>
      </c>
      <c r="C7" s="304">
        <v>2140</v>
      </c>
      <c r="D7" s="304">
        <v>741</v>
      </c>
      <c r="E7" s="304">
        <v>4275</v>
      </c>
      <c r="F7" s="305"/>
      <c r="G7" s="304">
        <v>1134</v>
      </c>
      <c r="H7" s="304">
        <v>1133</v>
      </c>
      <c r="I7" s="304">
        <v>1366</v>
      </c>
      <c r="J7" s="304">
        <v>1673</v>
      </c>
      <c r="K7" s="304">
        <v>2200</v>
      </c>
      <c r="L7" s="304">
        <v>209</v>
      </c>
      <c r="M7" s="304">
        <v>2245</v>
      </c>
      <c r="N7" s="304">
        <v>1083</v>
      </c>
      <c r="O7" s="304">
        <v>1930</v>
      </c>
      <c r="P7" s="304">
        <v>3490</v>
      </c>
      <c r="Q7" s="304">
        <v>2422</v>
      </c>
      <c r="R7" s="304">
        <v>973</v>
      </c>
      <c r="S7" s="304">
        <v>2027</v>
      </c>
      <c r="T7" s="304">
        <v>2589</v>
      </c>
      <c r="U7" s="304">
        <v>2135</v>
      </c>
      <c r="V7" s="304">
        <v>3123</v>
      </c>
      <c r="W7" s="306">
        <v>1148</v>
      </c>
      <c r="X7" s="302">
        <v>1446</v>
      </c>
      <c r="Y7" s="302">
        <v>2157</v>
      </c>
      <c r="Z7" s="302">
        <v>1015</v>
      </c>
      <c r="AA7" s="302">
        <v>1789</v>
      </c>
      <c r="AB7" s="302">
        <v>1239</v>
      </c>
      <c r="AC7" s="557" t="s">
        <v>1039</v>
      </c>
    </row>
    <row r="8" spans="1:29" thickBot="1" x14ac:dyDescent="0.25">
      <c r="A8" s="557" t="str">
        <f>G2</f>
        <v>CAMPO GRANDE (Mato Grosso do Sul)</v>
      </c>
      <c r="B8" s="302">
        <v>2764</v>
      </c>
      <c r="C8" s="302">
        <v>2942</v>
      </c>
      <c r="D8" s="302">
        <v>1453</v>
      </c>
      <c r="E8" s="302">
        <v>3836</v>
      </c>
      <c r="F8" s="302">
        <v>1134</v>
      </c>
      <c r="G8" s="305"/>
      <c r="H8" s="302">
        <v>694</v>
      </c>
      <c r="I8" s="302">
        <v>991</v>
      </c>
      <c r="J8" s="302">
        <v>1298</v>
      </c>
      <c r="K8" s="302">
        <v>3407</v>
      </c>
      <c r="L8" s="302">
        <v>935</v>
      </c>
      <c r="M8" s="302">
        <v>3357</v>
      </c>
      <c r="N8" s="302">
        <v>615</v>
      </c>
      <c r="O8" s="302">
        <v>3040</v>
      </c>
      <c r="P8" s="302">
        <v>3051</v>
      </c>
      <c r="Q8" s="302">
        <v>3534</v>
      </c>
      <c r="R8" s="302">
        <v>1785</v>
      </c>
      <c r="S8" s="302">
        <v>1518</v>
      </c>
      <c r="T8" s="302">
        <v>2150</v>
      </c>
      <c r="U8" s="302">
        <v>3247</v>
      </c>
      <c r="V8" s="302">
        <v>2684</v>
      </c>
      <c r="W8" s="302">
        <v>1444</v>
      </c>
      <c r="X8" s="302">
        <v>2568</v>
      </c>
      <c r="Y8" s="302">
        <v>2979</v>
      </c>
      <c r="Z8" s="302">
        <v>1014</v>
      </c>
      <c r="AA8" s="302">
        <v>2911</v>
      </c>
      <c r="AB8" s="302">
        <v>1892</v>
      </c>
      <c r="AC8" s="557" t="s">
        <v>1040</v>
      </c>
    </row>
    <row r="9" spans="1:29" thickBot="1" x14ac:dyDescent="0.25">
      <c r="A9" s="557" t="str">
        <f>H2</f>
        <v>CUIABÁ (Mato Grosso)</v>
      </c>
      <c r="B9" s="302">
        <v>2773</v>
      </c>
      <c r="C9" s="302">
        <v>2941</v>
      </c>
      <c r="D9" s="302">
        <v>1594</v>
      </c>
      <c r="E9" s="302">
        <v>3142</v>
      </c>
      <c r="F9" s="302">
        <v>1133</v>
      </c>
      <c r="G9" s="302">
        <v>694</v>
      </c>
      <c r="H9" s="305"/>
      <c r="I9" s="303">
        <v>1679</v>
      </c>
      <c r="J9" s="302">
        <v>1986</v>
      </c>
      <c r="K9" s="302">
        <v>3406</v>
      </c>
      <c r="L9" s="302">
        <v>934</v>
      </c>
      <c r="M9" s="302">
        <v>3366</v>
      </c>
      <c r="N9" s="302">
        <v>1303</v>
      </c>
      <c r="O9" s="302">
        <v>3049</v>
      </c>
      <c r="P9" s="302">
        <v>2357</v>
      </c>
      <c r="Q9" s="302">
        <v>3543</v>
      </c>
      <c r="R9" s="302">
        <v>1784</v>
      </c>
      <c r="S9" s="302">
        <v>2206</v>
      </c>
      <c r="T9" s="302">
        <v>1456</v>
      </c>
      <c r="U9" s="302">
        <v>3255</v>
      </c>
      <c r="V9" s="302">
        <v>1990</v>
      </c>
      <c r="W9" s="302">
        <v>2017</v>
      </c>
      <c r="X9" s="302">
        <v>2566</v>
      </c>
      <c r="Y9" s="302">
        <v>2978</v>
      </c>
      <c r="Z9" s="302">
        <v>1614</v>
      </c>
      <c r="AA9" s="302">
        <v>2910</v>
      </c>
      <c r="AB9" s="302">
        <v>2119</v>
      </c>
      <c r="AC9" s="557" t="s">
        <v>1041</v>
      </c>
    </row>
    <row r="10" spans="1:29" thickBot="1" x14ac:dyDescent="0.25">
      <c r="A10" s="557" t="str">
        <f>I2</f>
        <v>CURITIBA (Paraná)</v>
      </c>
      <c r="B10" s="302">
        <v>2595</v>
      </c>
      <c r="C10" s="302">
        <v>3193</v>
      </c>
      <c r="D10" s="302">
        <v>1004</v>
      </c>
      <c r="E10" s="302">
        <v>4821</v>
      </c>
      <c r="F10" s="302">
        <v>1366</v>
      </c>
      <c r="G10" s="302">
        <v>991</v>
      </c>
      <c r="H10" s="302">
        <v>1679</v>
      </c>
      <c r="I10" s="305"/>
      <c r="J10" s="302">
        <v>300</v>
      </c>
      <c r="K10" s="302">
        <v>3541</v>
      </c>
      <c r="L10" s="302">
        <v>1186</v>
      </c>
      <c r="M10" s="302">
        <v>3188</v>
      </c>
      <c r="N10" s="302">
        <v>379</v>
      </c>
      <c r="O10" s="302">
        <v>2871</v>
      </c>
      <c r="P10" s="302">
        <v>4036</v>
      </c>
      <c r="Q10" s="302">
        <v>3365</v>
      </c>
      <c r="R10" s="302">
        <v>2036</v>
      </c>
      <c r="S10" s="302">
        <v>711</v>
      </c>
      <c r="T10" s="302">
        <v>3135</v>
      </c>
      <c r="U10" s="302">
        <v>3078</v>
      </c>
      <c r="V10" s="302">
        <v>3669</v>
      </c>
      <c r="W10" s="302">
        <v>852</v>
      </c>
      <c r="X10" s="302">
        <v>2385</v>
      </c>
      <c r="Y10" s="302">
        <v>3230</v>
      </c>
      <c r="Z10" s="302">
        <v>408</v>
      </c>
      <c r="AA10" s="302">
        <v>3143</v>
      </c>
      <c r="AB10" s="302">
        <v>1300</v>
      </c>
      <c r="AC10" s="557" t="s">
        <v>1042</v>
      </c>
    </row>
    <row r="11" spans="1:29" thickBot="1" x14ac:dyDescent="0.25">
      <c r="A11" s="557" t="str">
        <f>J2</f>
        <v>FLORIANÓPOLIS (Santa Catarina)</v>
      </c>
      <c r="B11" s="302">
        <v>2892</v>
      </c>
      <c r="C11" s="302">
        <v>3500</v>
      </c>
      <c r="D11" s="302">
        <v>1301</v>
      </c>
      <c r="E11" s="302">
        <v>5128</v>
      </c>
      <c r="F11" s="302">
        <v>1673</v>
      </c>
      <c r="G11" s="302">
        <v>1298</v>
      </c>
      <c r="H11" s="302">
        <v>1986</v>
      </c>
      <c r="I11" s="302">
        <v>300</v>
      </c>
      <c r="J11" s="305"/>
      <c r="K11" s="302">
        <v>3838</v>
      </c>
      <c r="L11" s="302">
        <v>1493</v>
      </c>
      <c r="M11" s="302">
        <v>3485</v>
      </c>
      <c r="N11" s="302">
        <v>686</v>
      </c>
      <c r="O11" s="302">
        <v>3168</v>
      </c>
      <c r="P11" s="302">
        <v>4443</v>
      </c>
      <c r="Q11" s="302">
        <v>3662</v>
      </c>
      <c r="R11" s="302">
        <v>2336</v>
      </c>
      <c r="S11" s="302">
        <v>476</v>
      </c>
      <c r="T11" s="302">
        <v>3442</v>
      </c>
      <c r="U11" s="302">
        <v>3375</v>
      </c>
      <c r="V11" s="302">
        <v>3976</v>
      </c>
      <c r="W11" s="302">
        <v>1144</v>
      </c>
      <c r="X11" s="302">
        <v>2682</v>
      </c>
      <c r="Y11" s="302">
        <v>3537</v>
      </c>
      <c r="Z11" s="302">
        <v>705</v>
      </c>
      <c r="AA11" s="302">
        <v>3450</v>
      </c>
      <c r="AB11" s="302">
        <v>1597</v>
      </c>
      <c r="AC11" s="557" t="s">
        <v>1043</v>
      </c>
    </row>
    <row r="12" spans="1:29" thickBot="1" x14ac:dyDescent="0.25">
      <c r="A12" s="557" t="str">
        <f>K2</f>
        <v>FORTALEZA (Ceará)</v>
      </c>
      <c r="B12" s="302">
        <v>1183</v>
      </c>
      <c r="C12" s="302">
        <v>1611</v>
      </c>
      <c r="D12" s="302">
        <v>2528</v>
      </c>
      <c r="E12" s="302">
        <v>6548</v>
      </c>
      <c r="F12" s="302">
        <v>2208</v>
      </c>
      <c r="G12" s="302">
        <v>3407</v>
      </c>
      <c r="H12" s="302">
        <v>3406</v>
      </c>
      <c r="I12" s="302">
        <v>3541</v>
      </c>
      <c r="J12" s="302">
        <v>3838</v>
      </c>
      <c r="K12" s="305"/>
      <c r="L12" s="302">
        <v>2482</v>
      </c>
      <c r="M12" s="302">
        <v>688</v>
      </c>
      <c r="N12" s="302">
        <v>3356</v>
      </c>
      <c r="O12" s="302">
        <v>1075</v>
      </c>
      <c r="P12" s="302">
        <v>5763</v>
      </c>
      <c r="Q12" s="302">
        <v>537</v>
      </c>
      <c r="R12" s="302">
        <v>2035</v>
      </c>
      <c r="S12" s="302">
        <v>4242</v>
      </c>
      <c r="T12" s="302">
        <v>4862</v>
      </c>
      <c r="U12" s="302">
        <v>800</v>
      </c>
      <c r="V12" s="302">
        <v>5396</v>
      </c>
      <c r="W12" s="302">
        <v>2805</v>
      </c>
      <c r="X12" s="302">
        <v>1389</v>
      </c>
      <c r="Y12" s="302">
        <v>1070</v>
      </c>
      <c r="Z12" s="302">
        <v>3127</v>
      </c>
      <c r="AA12" s="302">
        <v>634</v>
      </c>
      <c r="AB12" s="302">
        <v>2397</v>
      </c>
      <c r="AC12" s="557" t="s">
        <v>1044</v>
      </c>
    </row>
    <row r="13" spans="1:29" thickBot="1" x14ac:dyDescent="0.25">
      <c r="A13" s="557" t="str">
        <f>L2</f>
        <v>GOIÂNIA (Goiás)</v>
      </c>
      <c r="B13" s="302">
        <v>1849</v>
      </c>
      <c r="C13" s="302">
        <v>2017</v>
      </c>
      <c r="D13" s="302">
        <v>906</v>
      </c>
      <c r="E13" s="302">
        <v>4076</v>
      </c>
      <c r="F13" s="302">
        <v>209</v>
      </c>
      <c r="G13" s="302">
        <v>935</v>
      </c>
      <c r="H13" s="302">
        <v>934</v>
      </c>
      <c r="I13" s="302">
        <v>1186</v>
      </c>
      <c r="J13" s="302">
        <v>1493</v>
      </c>
      <c r="K13" s="302">
        <v>2482</v>
      </c>
      <c r="L13" s="305"/>
      <c r="M13" s="302">
        <v>2442</v>
      </c>
      <c r="N13" s="302">
        <v>884</v>
      </c>
      <c r="O13" s="302">
        <v>2125</v>
      </c>
      <c r="P13" s="302">
        <v>3291</v>
      </c>
      <c r="Q13" s="302">
        <v>2618</v>
      </c>
      <c r="R13" s="302">
        <v>874</v>
      </c>
      <c r="S13" s="302">
        <v>1847</v>
      </c>
      <c r="T13" s="302">
        <v>2390</v>
      </c>
      <c r="U13" s="302">
        <v>2332</v>
      </c>
      <c r="V13" s="302">
        <v>2924</v>
      </c>
      <c r="W13" s="302">
        <v>1338</v>
      </c>
      <c r="X13" s="302">
        <v>1643</v>
      </c>
      <c r="Y13" s="302">
        <v>2054</v>
      </c>
      <c r="Z13" s="302">
        <v>926</v>
      </c>
      <c r="AA13" s="302">
        <v>1986</v>
      </c>
      <c r="AB13" s="302">
        <v>1428</v>
      </c>
      <c r="AC13" s="557" t="s">
        <v>1045</v>
      </c>
    </row>
    <row r="14" spans="1:29" thickBot="1" x14ac:dyDescent="0.25">
      <c r="A14" s="557" t="str">
        <f>M2</f>
        <v>JOÃO PESSOA (Paraíba)</v>
      </c>
      <c r="B14" s="302">
        <v>611</v>
      </c>
      <c r="C14" s="302">
        <v>2161</v>
      </c>
      <c r="D14" s="302">
        <v>2171</v>
      </c>
      <c r="E14" s="302">
        <v>6539</v>
      </c>
      <c r="F14" s="302">
        <v>2245</v>
      </c>
      <c r="G14" s="302">
        <v>3357</v>
      </c>
      <c r="H14" s="302">
        <v>3366</v>
      </c>
      <c r="I14" s="302">
        <v>3188</v>
      </c>
      <c r="J14" s="302">
        <v>3485</v>
      </c>
      <c r="K14" s="302">
        <v>688</v>
      </c>
      <c r="L14" s="302">
        <v>2442</v>
      </c>
      <c r="M14" s="305"/>
      <c r="N14" s="302">
        <v>3177</v>
      </c>
      <c r="O14" s="302">
        <v>395</v>
      </c>
      <c r="P14" s="302">
        <v>5808</v>
      </c>
      <c r="Q14" s="302">
        <v>185</v>
      </c>
      <c r="R14" s="302">
        <v>2253</v>
      </c>
      <c r="S14" s="302">
        <v>3889</v>
      </c>
      <c r="T14" s="302">
        <v>4822</v>
      </c>
      <c r="U14" s="302">
        <v>120</v>
      </c>
      <c r="V14" s="302">
        <v>5356</v>
      </c>
      <c r="W14" s="302">
        <v>2448</v>
      </c>
      <c r="X14" s="302">
        <v>949</v>
      </c>
      <c r="Y14" s="302">
        <v>1660</v>
      </c>
      <c r="Z14" s="302">
        <v>2770</v>
      </c>
      <c r="AA14" s="302">
        <v>1224</v>
      </c>
      <c r="AB14" s="302">
        <v>2001</v>
      </c>
      <c r="AC14" s="557" t="s">
        <v>1046</v>
      </c>
    </row>
    <row r="15" spans="1:29" thickBot="1" x14ac:dyDescent="0.25">
      <c r="A15" s="557" t="str">
        <f>N2</f>
        <v>MACAPÁ (Amapá)</v>
      </c>
      <c r="B15" s="302">
        <v>1967</v>
      </c>
      <c r="C15" s="302">
        <v>329</v>
      </c>
      <c r="D15" s="302">
        <v>2349</v>
      </c>
      <c r="E15" s="302">
        <v>1110</v>
      </c>
      <c r="F15" s="302">
        <v>1791</v>
      </c>
      <c r="G15" s="302">
        <v>2309</v>
      </c>
      <c r="H15" s="302">
        <v>1822</v>
      </c>
      <c r="I15" s="302">
        <v>2836</v>
      </c>
      <c r="J15" s="302">
        <v>3082</v>
      </c>
      <c r="K15" s="302">
        <v>1451</v>
      </c>
      <c r="L15" s="302">
        <v>1868</v>
      </c>
      <c r="M15" s="302">
        <v>1964</v>
      </c>
      <c r="N15" s="305"/>
      <c r="O15" s="302">
        <v>2009</v>
      </c>
      <c r="P15" s="302">
        <v>1054</v>
      </c>
      <c r="Q15" s="302">
        <v>1874</v>
      </c>
      <c r="R15" s="302">
        <v>1177</v>
      </c>
      <c r="S15" s="302">
        <v>3341</v>
      </c>
      <c r="T15" s="302">
        <v>1724</v>
      </c>
      <c r="U15" s="302">
        <v>2005</v>
      </c>
      <c r="V15" s="302">
        <v>2159</v>
      </c>
      <c r="W15" s="302">
        <v>2687</v>
      </c>
      <c r="X15" s="302">
        <v>2000</v>
      </c>
      <c r="Y15" s="302">
        <v>803</v>
      </c>
      <c r="Z15" s="302">
        <v>2664</v>
      </c>
      <c r="AA15" s="302">
        <v>1079</v>
      </c>
      <c r="AB15" s="302">
        <v>2545</v>
      </c>
      <c r="AC15" s="557" t="s">
        <v>1062</v>
      </c>
    </row>
    <row r="16" spans="1:29" thickBot="1" x14ac:dyDescent="0.25">
      <c r="A16" s="557" t="str">
        <f>O2</f>
        <v>MACEIÓ (Alagoas)</v>
      </c>
      <c r="B16" s="302">
        <v>294</v>
      </c>
      <c r="C16" s="302">
        <v>2173</v>
      </c>
      <c r="D16" s="302">
        <v>1854</v>
      </c>
      <c r="E16" s="302">
        <v>6276</v>
      </c>
      <c r="F16" s="302">
        <v>1928</v>
      </c>
      <c r="G16" s="302">
        <v>3040</v>
      </c>
      <c r="H16" s="302">
        <v>3049</v>
      </c>
      <c r="I16" s="302">
        <v>2871</v>
      </c>
      <c r="J16" s="302">
        <v>3168</v>
      </c>
      <c r="K16" s="302">
        <v>1075</v>
      </c>
      <c r="L16" s="302">
        <v>2105</v>
      </c>
      <c r="M16" s="302">
        <v>395</v>
      </c>
      <c r="N16" s="302">
        <v>2860</v>
      </c>
      <c r="O16" s="305"/>
      <c r="P16" s="302">
        <v>5491</v>
      </c>
      <c r="Q16" s="302">
        <v>572</v>
      </c>
      <c r="R16" s="302">
        <v>1851</v>
      </c>
      <c r="S16" s="302">
        <v>3572</v>
      </c>
      <c r="T16" s="302">
        <v>4505</v>
      </c>
      <c r="U16" s="302">
        <v>285</v>
      </c>
      <c r="V16" s="302">
        <v>5039</v>
      </c>
      <c r="W16" s="302">
        <v>2131</v>
      </c>
      <c r="X16" s="302">
        <v>632</v>
      </c>
      <c r="Y16" s="302">
        <v>1672</v>
      </c>
      <c r="Z16" s="302">
        <v>2453</v>
      </c>
      <c r="AA16" s="302">
        <v>1236</v>
      </c>
      <c r="AB16" s="302">
        <v>1684</v>
      </c>
      <c r="AC16" s="557" t="s">
        <v>1047</v>
      </c>
    </row>
    <row r="17" spans="1:29" thickBot="1" x14ac:dyDescent="0.25">
      <c r="A17" s="557" t="str">
        <f>P2</f>
        <v>MANAUS (Amazonas)</v>
      </c>
      <c r="B17" s="302">
        <v>5215</v>
      </c>
      <c r="C17" s="302">
        <v>5298</v>
      </c>
      <c r="D17" s="302">
        <v>3951</v>
      </c>
      <c r="E17" s="302">
        <v>785</v>
      </c>
      <c r="F17" s="302">
        <v>3490</v>
      </c>
      <c r="G17" s="302">
        <v>3051</v>
      </c>
      <c r="H17" s="302">
        <v>2357</v>
      </c>
      <c r="I17" s="302">
        <v>4036</v>
      </c>
      <c r="J17" s="302">
        <v>4343</v>
      </c>
      <c r="K17" s="302">
        <v>5763</v>
      </c>
      <c r="L17" s="302">
        <v>3291</v>
      </c>
      <c r="M17" s="302">
        <v>5808</v>
      </c>
      <c r="N17" s="302">
        <v>3660</v>
      </c>
      <c r="O17" s="302">
        <v>5491</v>
      </c>
      <c r="P17" s="305"/>
      <c r="Q17" s="302">
        <v>5985</v>
      </c>
      <c r="R17" s="302">
        <v>4141</v>
      </c>
      <c r="S17" s="302">
        <v>4563</v>
      </c>
      <c r="T17" s="302">
        <v>901</v>
      </c>
      <c r="U17" s="302">
        <v>5698</v>
      </c>
      <c r="V17" s="302">
        <v>1445</v>
      </c>
      <c r="W17" s="302">
        <v>4374</v>
      </c>
      <c r="X17" s="302">
        <v>5009</v>
      </c>
      <c r="Y17" s="302">
        <v>5335</v>
      </c>
      <c r="Z17" s="302">
        <v>3971</v>
      </c>
      <c r="AA17" s="302">
        <v>5267</v>
      </c>
      <c r="AB17" s="302">
        <v>4476</v>
      </c>
      <c r="AC17" s="557" t="s">
        <v>1048</v>
      </c>
    </row>
    <row r="18" spans="1:29" thickBot="1" x14ac:dyDescent="0.25">
      <c r="A18" s="557" t="str">
        <f>Q2</f>
        <v>NATAL (Rio Grande do Norte)</v>
      </c>
      <c r="B18" s="302">
        <v>788</v>
      </c>
      <c r="C18" s="302">
        <v>2108</v>
      </c>
      <c r="D18" s="302">
        <v>2348</v>
      </c>
      <c r="E18" s="302">
        <v>6770</v>
      </c>
      <c r="F18" s="302">
        <v>2422</v>
      </c>
      <c r="G18" s="302">
        <v>3537</v>
      </c>
      <c r="H18" s="302">
        <v>3543</v>
      </c>
      <c r="I18" s="302">
        <v>3365</v>
      </c>
      <c r="J18" s="302">
        <v>3662</v>
      </c>
      <c r="K18" s="302">
        <v>537</v>
      </c>
      <c r="L18" s="302">
        <v>2619</v>
      </c>
      <c r="M18" s="302">
        <v>185</v>
      </c>
      <c r="N18" s="302">
        <v>3354</v>
      </c>
      <c r="O18" s="302">
        <v>572</v>
      </c>
      <c r="P18" s="302">
        <v>5985</v>
      </c>
      <c r="Q18" s="305"/>
      <c r="R18" s="302">
        <v>2345</v>
      </c>
      <c r="S18" s="302">
        <v>4066</v>
      </c>
      <c r="T18" s="302">
        <v>4998</v>
      </c>
      <c r="U18" s="302">
        <v>297</v>
      </c>
      <c r="V18" s="302">
        <v>5533</v>
      </c>
      <c r="W18" s="302">
        <v>2625</v>
      </c>
      <c r="X18" s="302">
        <v>1126</v>
      </c>
      <c r="Y18" s="302">
        <v>1607</v>
      </c>
      <c r="Z18" s="302">
        <v>2947</v>
      </c>
      <c r="AA18" s="302">
        <v>1171</v>
      </c>
      <c r="AB18" s="302">
        <v>2178</v>
      </c>
      <c r="AC18" s="557" t="s">
        <v>1049</v>
      </c>
    </row>
    <row r="19" spans="1:29" thickBot="1" x14ac:dyDescent="0.25">
      <c r="A19" s="557" t="str">
        <f>R2</f>
        <v>PALMAS (Tocantis)</v>
      </c>
      <c r="B19" s="302">
        <v>1662</v>
      </c>
      <c r="C19" s="302">
        <v>1283</v>
      </c>
      <c r="D19" s="302">
        <v>1690</v>
      </c>
      <c r="E19" s="302">
        <v>4926</v>
      </c>
      <c r="F19" s="302">
        <v>973</v>
      </c>
      <c r="G19" s="302">
        <v>1785</v>
      </c>
      <c r="H19" s="302">
        <v>1784</v>
      </c>
      <c r="I19" s="302">
        <v>2036</v>
      </c>
      <c r="J19" s="302">
        <v>2336</v>
      </c>
      <c r="K19" s="302">
        <v>2035</v>
      </c>
      <c r="L19" s="302">
        <v>874</v>
      </c>
      <c r="M19" s="302">
        <v>2253</v>
      </c>
      <c r="N19" s="302">
        <v>1177</v>
      </c>
      <c r="O19" s="302">
        <v>1851</v>
      </c>
      <c r="P19" s="302">
        <v>4141</v>
      </c>
      <c r="Q19" s="302">
        <v>2345</v>
      </c>
      <c r="R19" s="305"/>
      <c r="S19" s="302">
        <v>2222</v>
      </c>
      <c r="T19" s="302">
        <v>1711</v>
      </c>
      <c r="U19" s="302">
        <v>1498</v>
      </c>
      <c r="V19" s="302">
        <v>2127</v>
      </c>
      <c r="W19" s="302">
        <v>1512</v>
      </c>
      <c r="X19" s="302">
        <v>1114</v>
      </c>
      <c r="Y19" s="302">
        <v>964</v>
      </c>
      <c r="Z19" s="302">
        <v>1493</v>
      </c>
      <c r="AA19" s="302">
        <v>835</v>
      </c>
      <c r="AB19" s="302">
        <v>1413</v>
      </c>
      <c r="AC19" s="557" t="s">
        <v>1050</v>
      </c>
    </row>
    <row r="20" spans="1:29" thickBot="1" x14ac:dyDescent="0.25">
      <c r="A20" s="557" t="str">
        <f>S2</f>
        <v>PORTO ALEGRE (Rio Grande do Sul)</v>
      </c>
      <c r="B20" s="302">
        <v>3296</v>
      </c>
      <c r="C20" s="302">
        <v>3854</v>
      </c>
      <c r="D20" s="302">
        <v>1712</v>
      </c>
      <c r="E20" s="302">
        <v>5348</v>
      </c>
      <c r="F20" s="302">
        <v>2027</v>
      </c>
      <c r="G20" s="302">
        <v>1518</v>
      </c>
      <c r="H20" s="302">
        <v>2206</v>
      </c>
      <c r="I20" s="302">
        <v>711</v>
      </c>
      <c r="J20" s="302">
        <v>476</v>
      </c>
      <c r="K20" s="302">
        <v>4242</v>
      </c>
      <c r="L20" s="302">
        <v>1847</v>
      </c>
      <c r="M20" s="302">
        <v>3889</v>
      </c>
      <c r="N20" s="302">
        <v>1040</v>
      </c>
      <c r="O20" s="302">
        <v>3572</v>
      </c>
      <c r="P20" s="302">
        <v>4563</v>
      </c>
      <c r="Q20" s="302">
        <v>4066</v>
      </c>
      <c r="R20" s="302">
        <v>2747</v>
      </c>
      <c r="S20" s="305"/>
      <c r="T20" s="302">
        <v>3662</v>
      </c>
      <c r="U20" s="302">
        <v>3779</v>
      </c>
      <c r="V20" s="302">
        <v>4196</v>
      </c>
      <c r="W20" s="302">
        <v>1553</v>
      </c>
      <c r="X20" s="302">
        <v>3090</v>
      </c>
      <c r="Y20" s="302">
        <v>3891</v>
      </c>
      <c r="Z20" s="302">
        <v>1109</v>
      </c>
      <c r="AA20" s="302">
        <v>3804</v>
      </c>
      <c r="AB20" s="302">
        <v>2001</v>
      </c>
      <c r="AC20" s="557" t="s">
        <v>1051</v>
      </c>
    </row>
    <row r="21" spans="1:29" thickBot="1" x14ac:dyDescent="0.25">
      <c r="A21" s="557" t="str">
        <f>T2</f>
        <v>PORTO VELHO (Rondônia)</v>
      </c>
      <c r="B21" s="302">
        <v>4229</v>
      </c>
      <c r="C21" s="302">
        <v>4397</v>
      </c>
      <c r="D21" s="302">
        <v>3050</v>
      </c>
      <c r="E21" s="302">
        <v>1686</v>
      </c>
      <c r="F21" s="302">
        <v>2589</v>
      </c>
      <c r="G21" s="302">
        <v>2150</v>
      </c>
      <c r="H21" s="302">
        <v>1456</v>
      </c>
      <c r="I21" s="302">
        <v>3135</v>
      </c>
      <c r="J21" s="302">
        <v>3442</v>
      </c>
      <c r="K21" s="302">
        <v>4865</v>
      </c>
      <c r="L21" s="302">
        <v>2390</v>
      </c>
      <c r="M21" s="302">
        <v>4822</v>
      </c>
      <c r="N21" s="302">
        <v>2759</v>
      </c>
      <c r="O21" s="302">
        <v>4505</v>
      </c>
      <c r="P21" s="302">
        <v>901</v>
      </c>
      <c r="Q21" s="302">
        <v>4999</v>
      </c>
      <c r="R21" s="302">
        <v>3240</v>
      </c>
      <c r="S21" s="302">
        <v>3662</v>
      </c>
      <c r="T21" s="305"/>
      <c r="U21" s="302">
        <v>4712</v>
      </c>
      <c r="V21" s="302">
        <v>544</v>
      </c>
      <c r="W21" s="302">
        <v>3473</v>
      </c>
      <c r="X21" s="302">
        <v>4023</v>
      </c>
      <c r="Y21" s="302">
        <v>4434</v>
      </c>
      <c r="Z21" s="302">
        <v>3070</v>
      </c>
      <c r="AA21" s="302">
        <v>4366</v>
      </c>
      <c r="AB21" s="302">
        <v>3575</v>
      </c>
      <c r="AC21" s="557" t="s">
        <v>1052</v>
      </c>
    </row>
    <row r="22" spans="1:29" thickBot="1" x14ac:dyDescent="0.25">
      <c r="A22" s="557" t="str">
        <f>U2</f>
        <v>RECIFE (Pernambuco)</v>
      </c>
      <c r="B22" s="302">
        <v>501</v>
      </c>
      <c r="C22" s="302">
        <v>2074</v>
      </c>
      <c r="D22" s="302">
        <v>2061</v>
      </c>
      <c r="E22" s="302">
        <v>6483</v>
      </c>
      <c r="F22" s="302">
        <v>2135</v>
      </c>
      <c r="G22" s="302">
        <v>3247</v>
      </c>
      <c r="H22" s="302">
        <v>3256</v>
      </c>
      <c r="I22" s="302">
        <v>3078</v>
      </c>
      <c r="J22" s="302">
        <v>3375</v>
      </c>
      <c r="K22" s="302">
        <v>800</v>
      </c>
      <c r="L22" s="302">
        <v>2332</v>
      </c>
      <c r="M22" s="302">
        <v>120</v>
      </c>
      <c r="N22" s="302">
        <v>3067</v>
      </c>
      <c r="O22" s="302">
        <v>285</v>
      </c>
      <c r="P22" s="302">
        <v>5698</v>
      </c>
      <c r="Q22" s="302">
        <v>297</v>
      </c>
      <c r="R22" s="302">
        <v>2058</v>
      </c>
      <c r="S22" s="302">
        <v>3779</v>
      </c>
      <c r="T22" s="302">
        <v>4712</v>
      </c>
      <c r="U22" s="305"/>
      <c r="V22" s="302">
        <v>5243</v>
      </c>
      <c r="W22" s="302">
        <v>2338</v>
      </c>
      <c r="X22" s="302">
        <v>839</v>
      </c>
      <c r="Y22" s="302">
        <v>1573</v>
      </c>
      <c r="Z22" s="302">
        <v>2660</v>
      </c>
      <c r="AA22" s="302">
        <v>1137</v>
      </c>
      <c r="AB22" s="302">
        <v>1891</v>
      </c>
      <c r="AC22" s="557" t="s">
        <v>1053</v>
      </c>
    </row>
    <row r="23" spans="1:29" thickBot="1" x14ac:dyDescent="0.25">
      <c r="A23" s="557" t="str">
        <f>V2</f>
        <v>RIO BRANCO (Acre)</v>
      </c>
      <c r="B23" s="302">
        <v>4763</v>
      </c>
      <c r="C23" s="302">
        <v>4931</v>
      </c>
      <c r="D23" s="302">
        <v>3584</v>
      </c>
      <c r="E23" s="302">
        <v>2230</v>
      </c>
      <c r="F23" s="302">
        <v>3123</v>
      </c>
      <c r="G23" s="302">
        <v>2684</v>
      </c>
      <c r="H23" s="302">
        <v>1990</v>
      </c>
      <c r="I23" s="302">
        <v>3669</v>
      </c>
      <c r="J23" s="302">
        <v>3976</v>
      </c>
      <c r="K23" s="302">
        <v>5396</v>
      </c>
      <c r="L23" s="302">
        <v>2924</v>
      </c>
      <c r="M23" s="302">
        <v>5356</v>
      </c>
      <c r="N23" s="302">
        <v>3293</v>
      </c>
      <c r="O23" s="302">
        <v>5039</v>
      </c>
      <c r="P23" s="302">
        <v>1445</v>
      </c>
      <c r="Q23" s="302">
        <v>5533</v>
      </c>
      <c r="R23" s="302">
        <v>3764</v>
      </c>
      <c r="S23" s="302">
        <v>4196</v>
      </c>
      <c r="T23" s="302">
        <v>544</v>
      </c>
      <c r="U23" s="302">
        <v>5243</v>
      </c>
      <c r="V23" s="305"/>
      <c r="W23" s="302">
        <v>4007</v>
      </c>
      <c r="X23" s="302">
        <v>4457</v>
      </c>
      <c r="Y23" s="302">
        <v>4968</v>
      </c>
      <c r="Z23" s="302">
        <v>3604</v>
      </c>
      <c r="AA23" s="302">
        <v>4900</v>
      </c>
      <c r="AB23" s="302">
        <v>4109</v>
      </c>
      <c r="AC23" s="557" t="s">
        <v>1054</v>
      </c>
    </row>
    <row r="24" spans="1:29" thickBot="1" x14ac:dyDescent="0.25">
      <c r="A24" s="557" t="str">
        <f>W2</f>
        <v>RIO DE JANEIRO (Rio de Janeiro)</v>
      </c>
      <c r="B24" s="302">
        <v>1855</v>
      </c>
      <c r="C24" s="302">
        <v>3250</v>
      </c>
      <c r="D24" s="302">
        <v>434</v>
      </c>
      <c r="E24" s="302">
        <v>5159</v>
      </c>
      <c r="F24" s="302">
        <v>1148</v>
      </c>
      <c r="G24" s="302">
        <v>1444</v>
      </c>
      <c r="H24" s="302">
        <v>2017</v>
      </c>
      <c r="I24" s="302">
        <v>852</v>
      </c>
      <c r="J24" s="302">
        <v>1144</v>
      </c>
      <c r="K24" s="302">
        <v>2805</v>
      </c>
      <c r="L24" s="302">
        <v>1338</v>
      </c>
      <c r="M24" s="302">
        <v>2448</v>
      </c>
      <c r="N24" s="302">
        <v>953</v>
      </c>
      <c r="O24" s="302">
        <v>2131</v>
      </c>
      <c r="P24" s="302">
        <v>4374</v>
      </c>
      <c r="Q24" s="302">
        <v>2625</v>
      </c>
      <c r="R24" s="302">
        <v>2124</v>
      </c>
      <c r="S24" s="302">
        <v>1553</v>
      </c>
      <c r="T24" s="302">
        <v>3473</v>
      </c>
      <c r="U24" s="302">
        <v>2338</v>
      </c>
      <c r="V24" s="302">
        <v>4007</v>
      </c>
      <c r="W24" s="305"/>
      <c r="X24" s="302">
        <v>1649</v>
      </c>
      <c r="Y24" s="302">
        <v>3015</v>
      </c>
      <c r="Z24" s="302">
        <v>429</v>
      </c>
      <c r="AA24" s="302">
        <v>2579</v>
      </c>
      <c r="AB24" s="302">
        <v>521</v>
      </c>
      <c r="AC24" s="557" t="s">
        <v>1055</v>
      </c>
    </row>
    <row r="25" spans="1:29" thickBot="1" x14ac:dyDescent="0.25">
      <c r="A25" s="557" t="str">
        <f>X2</f>
        <v>SALVADOR (Bahia)</v>
      </c>
      <c r="B25" s="302">
        <v>356</v>
      </c>
      <c r="C25" s="302">
        <v>2100</v>
      </c>
      <c r="D25" s="302">
        <v>1372</v>
      </c>
      <c r="E25" s="302">
        <v>5749</v>
      </c>
      <c r="F25" s="302">
        <v>1446</v>
      </c>
      <c r="G25" s="302">
        <v>2568</v>
      </c>
      <c r="H25" s="302">
        <v>2567</v>
      </c>
      <c r="I25" s="302">
        <v>2385</v>
      </c>
      <c r="J25" s="302">
        <v>2682</v>
      </c>
      <c r="K25" s="302">
        <v>1389</v>
      </c>
      <c r="L25" s="302">
        <v>1643</v>
      </c>
      <c r="M25" s="302">
        <v>949</v>
      </c>
      <c r="N25" s="302">
        <v>2374</v>
      </c>
      <c r="O25" s="302">
        <v>632</v>
      </c>
      <c r="P25" s="302">
        <v>5009</v>
      </c>
      <c r="Q25" s="302">
        <v>1126</v>
      </c>
      <c r="R25" s="302">
        <v>1454</v>
      </c>
      <c r="S25" s="302">
        <v>3090</v>
      </c>
      <c r="T25" s="302">
        <v>4023</v>
      </c>
      <c r="U25" s="302">
        <v>839</v>
      </c>
      <c r="V25" s="302">
        <v>4457</v>
      </c>
      <c r="W25" s="302">
        <v>1649</v>
      </c>
      <c r="X25" s="305"/>
      <c r="Y25" s="302">
        <v>1599</v>
      </c>
      <c r="Z25" s="302">
        <v>1962</v>
      </c>
      <c r="AA25" s="302">
        <v>1163</v>
      </c>
      <c r="AB25" s="302">
        <v>1202</v>
      </c>
      <c r="AC25" s="557" t="s">
        <v>1056</v>
      </c>
    </row>
    <row r="26" spans="1:29" thickBot="1" x14ac:dyDescent="0.25">
      <c r="A26" s="557" t="str">
        <f>Y2</f>
        <v>SÃO LUÍS (Maranhão)</v>
      </c>
      <c r="B26" s="302">
        <v>1578</v>
      </c>
      <c r="C26" s="302">
        <v>806</v>
      </c>
      <c r="D26" s="302">
        <v>2738</v>
      </c>
      <c r="E26" s="302">
        <v>6120</v>
      </c>
      <c r="F26" s="302">
        <v>2157</v>
      </c>
      <c r="G26" s="302">
        <v>2979</v>
      </c>
      <c r="H26" s="302">
        <v>2978</v>
      </c>
      <c r="I26" s="302">
        <v>3230</v>
      </c>
      <c r="J26" s="302">
        <v>3537</v>
      </c>
      <c r="K26" s="302">
        <v>1070</v>
      </c>
      <c r="L26" s="302">
        <v>2054</v>
      </c>
      <c r="M26" s="302">
        <v>1660</v>
      </c>
      <c r="N26" s="302">
        <v>2928</v>
      </c>
      <c r="O26" s="302">
        <v>1672</v>
      </c>
      <c r="P26" s="302">
        <v>5335</v>
      </c>
      <c r="Q26" s="302">
        <v>1607</v>
      </c>
      <c r="R26" s="302">
        <v>1386</v>
      </c>
      <c r="S26" s="302">
        <v>3891</v>
      </c>
      <c r="T26" s="302">
        <v>4434</v>
      </c>
      <c r="U26" s="302">
        <v>1573</v>
      </c>
      <c r="V26" s="302">
        <v>4968</v>
      </c>
      <c r="W26" s="302">
        <v>3015</v>
      </c>
      <c r="X26" s="302">
        <v>1599</v>
      </c>
      <c r="Y26" s="305"/>
      <c r="Z26" s="302">
        <v>2970</v>
      </c>
      <c r="AA26" s="302">
        <v>446</v>
      </c>
      <c r="AB26" s="302">
        <v>2607</v>
      </c>
      <c r="AC26" s="557" t="s">
        <v>1057</v>
      </c>
    </row>
    <row r="27" spans="1:29" thickBot="1" x14ac:dyDescent="0.25">
      <c r="A27" s="557" t="str">
        <f>Z2</f>
        <v>SÃO PAULO (São Paulo)</v>
      </c>
      <c r="B27" s="302">
        <v>2188</v>
      </c>
      <c r="C27" s="302">
        <v>2933</v>
      </c>
      <c r="D27" s="302">
        <v>586</v>
      </c>
      <c r="E27" s="302">
        <v>4756</v>
      </c>
      <c r="F27" s="302">
        <v>1015</v>
      </c>
      <c r="G27" s="302">
        <v>1014</v>
      </c>
      <c r="H27" s="302">
        <v>1614</v>
      </c>
      <c r="I27" s="302">
        <v>408</v>
      </c>
      <c r="J27" s="302">
        <v>705</v>
      </c>
      <c r="K27" s="302">
        <v>3127</v>
      </c>
      <c r="L27" s="302">
        <v>926</v>
      </c>
      <c r="M27" s="302">
        <v>2770</v>
      </c>
      <c r="N27" s="302">
        <v>538</v>
      </c>
      <c r="O27" s="302">
        <v>2453</v>
      </c>
      <c r="P27" s="302">
        <v>3971</v>
      </c>
      <c r="Q27" s="302">
        <v>2947</v>
      </c>
      <c r="R27" s="302">
        <v>1776</v>
      </c>
      <c r="S27" s="302">
        <v>1109</v>
      </c>
      <c r="T27" s="302">
        <v>3070</v>
      </c>
      <c r="U27" s="302">
        <v>2660</v>
      </c>
      <c r="V27" s="302">
        <v>3604</v>
      </c>
      <c r="W27" s="302">
        <v>429</v>
      </c>
      <c r="X27" s="302">
        <v>1962</v>
      </c>
      <c r="Y27" s="302">
        <v>2970</v>
      </c>
      <c r="Z27" s="305"/>
      <c r="AA27" s="302">
        <v>2792</v>
      </c>
      <c r="AB27" s="302">
        <v>882</v>
      </c>
      <c r="AC27" s="557" t="s">
        <v>1058</v>
      </c>
    </row>
    <row r="28" spans="1:29" thickBot="1" x14ac:dyDescent="0.25">
      <c r="A28" s="557" t="str">
        <f>AA2</f>
        <v>TERESINA (Piauí)</v>
      </c>
      <c r="B28" s="302">
        <v>1142</v>
      </c>
      <c r="C28" s="302">
        <v>947</v>
      </c>
      <c r="D28" s="302">
        <v>2302</v>
      </c>
      <c r="E28" s="302">
        <v>6052</v>
      </c>
      <c r="F28" s="302">
        <v>1789</v>
      </c>
      <c r="G28" s="302">
        <v>2911</v>
      </c>
      <c r="H28" s="302">
        <v>2910</v>
      </c>
      <c r="I28" s="302">
        <v>3143</v>
      </c>
      <c r="J28" s="302">
        <v>3450</v>
      </c>
      <c r="K28" s="302">
        <v>634</v>
      </c>
      <c r="L28" s="302">
        <v>1986</v>
      </c>
      <c r="M28" s="302">
        <v>1224</v>
      </c>
      <c r="N28" s="302">
        <v>2860</v>
      </c>
      <c r="O28" s="302">
        <v>1236</v>
      </c>
      <c r="P28" s="302">
        <v>5267</v>
      </c>
      <c r="Q28" s="302">
        <v>1171</v>
      </c>
      <c r="R28" s="302">
        <v>1401</v>
      </c>
      <c r="S28" s="302">
        <v>3804</v>
      </c>
      <c r="T28" s="302">
        <v>4366</v>
      </c>
      <c r="U28" s="302">
        <v>1137</v>
      </c>
      <c r="V28" s="302">
        <v>4900</v>
      </c>
      <c r="W28" s="302">
        <v>2579</v>
      </c>
      <c r="X28" s="302">
        <v>1163</v>
      </c>
      <c r="Y28" s="302">
        <v>446</v>
      </c>
      <c r="Z28" s="302">
        <v>2792</v>
      </c>
      <c r="AA28" s="305"/>
      <c r="AB28" s="302">
        <v>2171</v>
      </c>
      <c r="AC28" s="557" t="s">
        <v>1059</v>
      </c>
    </row>
    <row r="29" spans="1:29" thickBot="1" x14ac:dyDescent="0.25">
      <c r="A29" s="557" t="str">
        <f>AB2</f>
        <v>VITÓRIA (Espírito Santo)</v>
      </c>
      <c r="B29" s="302">
        <v>1408</v>
      </c>
      <c r="C29" s="302">
        <v>3108</v>
      </c>
      <c r="D29" s="302">
        <v>524</v>
      </c>
      <c r="E29" s="302">
        <v>5261</v>
      </c>
      <c r="F29" s="302">
        <v>1238</v>
      </c>
      <c r="G29" s="302">
        <v>1892</v>
      </c>
      <c r="H29" s="302">
        <v>2119</v>
      </c>
      <c r="I29" s="302">
        <v>1300</v>
      </c>
      <c r="J29" s="302">
        <v>1597</v>
      </c>
      <c r="K29" s="302">
        <v>2397</v>
      </c>
      <c r="L29" s="302">
        <v>1428</v>
      </c>
      <c r="M29" s="302">
        <v>2001</v>
      </c>
      <c r="N29" s="302">
        <v>1406</v>
      </c>
      <c r="O29" s="302">
        <v>1684</v>
      </c>
      <c r="P29" s="302">
        <v>4476</v>
      </c>
      <c r="Q29" s="302">
        <v>2178</v>
      </c>
      <c r="R29" s="302">
        <v>2214</v>
      </c>
      <c r="S29" s="302">
        <v>2001</v>
      </c>
      <c r="T29" s="302">
        <v>3575</v>
      </c>
      <c r="U29" s="302">
        <v>1891</v>
      </c>
      <c r="V29" s="302">
        <v>4109</v>
      </c>
      <c r="W29" s="302">
        <v>521</v>
      </c>
      <c r="X29" s="302">
        <v>1202</v>
      </c>
      <c r="Y29" s="302">
        <v>2607</v>
      </c>
      <c r="Z29" s="302">
        <v>882</v>
      </c>
      <c r="AA29" s="302">
        <v>2171</v>
      </c>
      <c r="AB29" s="305"/>
      <c r="AC29" s="557" t="s">
        <v>1060</v>
      </c>
    </row>
    <row r="30" spans="1:29" s="309" customFormat="1" ht="129.75" customHeight="1" thickTop="1" thickBot="1" x14ac:dyDescent="0.3">
      <c r="A30" s="307"/>
      <c r="B30" s="556" t="s">
        <v>1036</v>
      </c>
      <c r="C30" s="556" t="s">
        <v>1037</v>
      </c>
      <c r="D30" s="556" t="s">
        <v>1038</v>
      </c>
      <c r="E30" s="556" t="s">
        <v>1061</v>
      </c>
      <c r="F30" s="556" t="s">
        <v>1039</v>
      </c>
      <c r="G30" s="556" t="s">
        <v>1040</v>
      </c>
      <c r="H30" s="556" t="s">
        <v>1041</v>
      </c>
      <c r="I30" s="556" t="s">
        <v>1042</v>
      </c>
      <c r="J30" s="556" t="s">
        <v>1043</v>
      </c>
      <c r="K30" s="556" t="s">
        <v>1044</v>
      </c>
      <c r="L30" s="556" t="s">
        <v>1045</v>
      </c>
      <c r="M30" s="556" t="s">
        <v>1046</v>
      </c>
      <c r="N30" s="556" t="s">
        <v>1062</v>
      </c>
      <c r="O30" s="556" t="s">
        <v>1047</v>
      </c>
      <c r="P30" s="556" t="s">
        <v>1048</v>
      </c>
      <c r="Q30" s="556" t="s">
        <v>1049</v>
      </c>
      <c r="R30" s="556" t="s">
        <v>1050</v>
      </c>
      <c r="S30" s="556" t="s">
        <v>1051</v>
      </c>
      <c r="T30" s="556" t="s">
        <v>1052</v>
      </c>
      <c r="U30" s="556" t="s">
        <v>1053</v>
      </c>
      <c r="V30" s="556" t="s">
        <v>1054</v>
      </c>
      <c r="W30" s="556" t="s">
        <v>1055</v>
      </c>
      <c r="X30" s="556" t="s">
        <v>1056</v>
      </c>
      <c r="Y30" s="556" t="s">
        <v>1057</v>
      </c>
      <c r="Z30" s="556" t="s">
        <v>1058</v>
      </c>
      <c r="AA30" s="556" t="s">
        <v>1059</v>
      </c>
      <c r="AB30" s="556" t="s">
        <v>1060</v>
      </c>
      <c r="AC30" s="308"/>
    </row>
    <row r="31" spans="1:29" s="313" customFormat="1" ht="16.5" thickTop="1" x14ac:dyDescent="0.25">
      <c r="A31" s="310" t="s">
        <v>953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2"/>
    </row>
    <row r="32" spans="1:29" x14ac:dyDescent="0.25">
      <c r="A32" s="314"/>
      <c r="B32" s="315"/>
      <c r="C32" s="315"/>
      <c r="D32" s="315"/>
      <c r="E32" s="315"/>
      <c r="F32" s="315"/>
      <c r="G32" s="315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7"/>
    </row>
    <row r="33" spans="1:34" x14ac:dyDescent="0.25">
      <c r="A33" s="314"/>
      <c r="B33" s="315"/>
      <c r="C33" s="315"/>
      <c r="D33" s="315"/>
      <c r="E33" s="315"/>
      <c r="F33" s="315"/>
      <c r="G33" s="315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7"/>
    </row>
    <row r="34" spans="1:34" x14ac:dyDescent="0.25">
      <c r="A34" s="314"/>
      <c r="B34" s="315"/>
      <c r="C34" s="315"/>
      <c r="D34" s="315"/>
      <c r="E34" s="315"/>
      <c r="F34" s="315"/>
      <c r="G34" s="315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7"/>
    </row>
    <row r="35" spans="1:34" x14ac:dyDescent="0.25">
      <c r="A35" s="314"/>
      <c r="B35" s="315"/>
      <c r="C35" s="315"/>
      <c r="D35" s="315"/>
      <c r="E35" s="315"/>
      <c r="F35" s="315"/>
      <c r="G35" s="315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</row>
    <row r="36" spans="1:34" x14ac:dyDescent="0.25">
      <c r="A36" s="314"/>
      <c r="B36" s="315"/>
      <c r="C36" s="315"/>
      <c r="D36" s="315"/>
      <c r="E36" s="315"/>
      <c r="F36" s="315"/>
      <c r="G36" s="315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</row>
    <row r="37" spans="1:34" x14ac:dyDescent="0.25">
      <c r="A37" s="314"/>
      <c r="B37" s="315"/>
      <c r="C37" s="315"/>
      <c r="D37" s="315"/>
      <c r="E37" s="315"/>
      <c r="F37" s="315"/>
      <c r="G37" s="315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7"/>
      <c r="AD37" s="318"/>
      <c r="AE37" s="318"/>
      <c r="AF37" s="318"/>
      <c r="AG37" s="318"/>
      <c r="AH37" s="318"/>
    </row>
    <row r="38" spans="1:34" x14ac:dyDescent="0.25">
      <c r="A38" s="314"/>
      <c r="B38" s="315"/>
      <c r="C38" s="315"/>
      <c r="D38" s="315"/>
      <c r="E38" s="315"/>
      <c r="F38" s="315"/>
      <c r="G38" s="315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7"/>
      <c r="AD38" s="318"/>
      <c r="AE38" s="318"/>
      <c r="AF38" s="318"/>
      <c r="AG38" s="318"/>
      <c r="AH38" s="318"/>
    </row>
    <row r="39" spans="1:34" x14ac:dyDescent="0.25">
      <c r="A39" s="314"/>
      <c r="B39" s="315"/>
      <c r="C39" s="315"/>
      <c r="D39" s="315"/>
      <c r="E39" s="315"/>
      <c r="F39" s="315"/>
      <c r="G39" s="315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318"/>
      <c r="AE39" s="318"/>
      <c r="AF39" s="318"/>
      <c r="AG39" s="318"/>
      <c r="AH39" s="318"/>
    </row>
    <row r="40" spans="1:34" x14ac:dyDescent="0.25">
      <c r="A40" s="315"/>
      <c r="B40" s="315"/>
      <c r="C40" s="315"/>
      <c r="D40" s="315"/>
      <c r="E40" s="315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7"/>
      <c r="AB40" s="318"/>
      <c r="AC40" s="318"/>
      <c r="AD40" s="318"/>
      <c r="AE40" s="318"/>
    </row>
    <row r="41" spans="1:34" x14ac:dyDescent="0.25">
      <c r="A41" s="315"/>
      <c r="B41" s="315"/>
      <c r="C41" s="315"/>
      <c r="D41" s="315"/>
      <c r="E41" s="315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7"/>
      <c r="AB41" s="318"/>
      <c r="AC41" s="318"/>
      <c r="AD41" s="318"/>
      <c r="AE41" s="318"/>
    </row>
    <row r="42" spans="1:34" x14ac:dyDescent="0.25">
      <c r="A42" s="315"/>
      <c r="B42" s="315"/>
      <c r="C42" s="315"/>
      <c r="D42" s="315"/>
      <c r="E42" s="315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7"/>
      <c r="AB42" s="318"/>
      <c r="AC42" s="318"/>
      <c r="AD42" s="318"/>
      <c r="AE42" s="318"/>
    </row>
    <row r="43" spans="1:34" x14ac:dyDescent="0.25">
      <c r="A43" s="315"/>
      <c r="B43" s="315"/>
      <c r="C43" s="315"/>
      <c r="D43" s="315"/>
      <c r="E43" s="315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7"/>
      <c r="AB43" s="318"/>
      <c r="AC43" s="318"/>
      <c r="AD43" s="318"/>
      <c r="AE43" s="318"/>
    </row>
    <row r="44" spans="1:34" x14ac:dyDescent="0.25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7"/>
      <c r="AB44" s="318"/>
      <c r="AC44" s="318"/>
      <c r="AD44" s="318"/>
      <c r="AE44" s="318"/>
    </row>
    <row r="45" spans="1:34" x14ac:dyDescent="0.25">
      <c r="A45" s="316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7"/>
      <c r="AB45" s="318"/>
      <c r="AC45" s="318"/>
      <c r="AD45" s="318"/>
      <c r="AE45" s="318"/>
    </row>
    <row r="46" spans="1:34" x14ac:dyDescent="0.25">
      <c r="A46" s="316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7"/>
      <c r="AB46" s="318"/>
      <c r="AC46" s="318"/>
      <c r="AD46" s="318"/>
      <c r="AE46" s="318"/>
    </row>
    <row r="47" spans="1:34" x14ac:dyDescent="0.25">
      <c r="A47" s="316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7"/>
      <c r="AB47" s="318"/>
      <c r="AC47" s="318"/>
      <c r="AD47" s="318"/>
      <c r="AE47" s="318"/>
    </row>
    <row r="48" spans="1:34" x14ac:dyDescent="0.25">
      <c r="A48" s="316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7"/>
      <c r="AB48" s="318"/>
      <c r="AC48" s="318"/>
      <c r="AD48" s="318"/>
      <c r="AE48" s="318"/>
    </row>
    <row r="49" spans="1:31" x14ac:dyDescent="0.25">
      <c r="A49" s="316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7"/>
      <c r="AB49" s="318"/>
      <c r="AC49" s="318"/>
      <c r="AD49" s="318"/>
      <c r="AE49" s="318"/>
    </row>
    <row r="50" spans="1:31" x14ac:dyDescent="0.25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7"/>
      <c r="AB50" s="318"/>
      <c r="AC50" s="318"/>
      <c r="AD50" s="318"/>
      <c r="AE50" s="318"/>
    </row>
    <row r="51" spans="1:31" x14ac:dyDescent="0.25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7"/>
      <c r="AB51" s="318"/>
      <c r="AC51" s="318"/>
      <c r="AD51" s="318"/>
      <c r="AE51" s="318"/>
    </row>
  </sheetData>
  <sheetProtection algorithmName="SHA-512" hashValue="pJPQgE+Q0BV6j553qfza0vRB5Zo3+SDJk6EmK4Zx5+H8z+ACBXWiRKzLj6wb9Bkka94vI7D+j5gvxiWrKqIEmQ==" saltValue="AdIZOslrGnGFy8QxDFoqfg==" spinCount="100000" sheet="1" objects="1" scenarios="1"/>
  <printOptions horizontalCentered="1" verticalCentered="1"/>
  <pageMargins left="0.78740157480314965" right="0.78740157480314965" top="0.98425196850393704" bottom="0.98425196850393704" header="0.51181102362204722" footer="0.51181102362204722"/>
  <pageSetup paperSize="266" orientation="landscape" horizontalDpi="4294967293" verticalDpi="300" r:id="rId1"/>
  <headerFooter alignWithMargins="0">
    <oddFooter>&amp;R&amp;8C:\PLANEJAMENTO\&amp;F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1"/>
  <sheetViews>
    <sheetView topLeftCell="B1" workbookViewId="0">
      <selection activeCell="H45" sqref="H45"/>
    </sheetView>
  </sheetViews>
  <sheetFormatPr defaultRowHeight="15" x14ac:dyDescent="0.25"/>
  <cols>
    <col min="1" max="1" width="28" style="21" customWidth="1"/>
    <col min="2" max="2" width="5.5703125" style="21" customWidth="1"/>
    <col min="3" max="3" width="13.140625" style="21" bestFit="1" customWidth="1"/>
    <col min="4" max="4" width="18.85546875" style="21" customWidth="1"/>
    <col min="5" max="5" width="19.28515625" style="21" customWidth="1"/>
    <col min="6" max="6" width="1.7109375" style="21" hidden="1" customWidth="1"/>
    <col min="7" max="7" width="18.140625" style="21" customWidth="1"/>
    <col min="8" max="8" width="22.140625" style="21" customWidth="1"/>
    <col min="9" max="9" width="19.140625" style="21" bestFit="1" customWidth="1"/>
    <col min="10" max="10" width="23.85546875" style="21" customWidth="1"/>
    <col min="11" max="12" width="19.140625" style="21" bestFit="1" customWidth="1"/>
    <col min="13" max="13" width="12.7109375" style="21" bestFit="1" customWidth="1"/>
    <col min="14" max="16384" width="9.140625" style="21"/>
  </cols>
  <sheetData>
    <row r="1" spans="1:12" ht="15.75" x14ac:dyDescent="0.25">
      <c r="A1" s="372" t="s">
        <v>675</v>
      </c>
      <c r="C1" s="283"/>
      <c r="D1" s="283"/>
      <c r="E1" s="283"/>
      <c r="F1" s="283"/>
      <c r="G1" s="283"/>
      <c r="H1" s="283"/>
      <c r="I1" s="283"/>
    </row>
    <row r="2" spans="1:12" x14ac:dyDescent="0.25">
      <c r="C2" s="283"/>
      <c r="D2" s="283"/>
      <c r="E2" s="283"/>
      <c r="F2" s="283"/>
      <c r="G2" s="283"/>
      <c r="H2" s="283"/>
      <c r="I2" s="283"/>
      <c r="J2" s="131"/>
    </row>
    <row r="3" spans="1:12" x14ac:dyDescent="0.25">
      <c r="C3" s="283"/>
      <c r="D3" s="698" t="s">
        <v>763</v>
      </c>
      <c r="E3" s="698"/>
      <c r="F3" s="698"/>
      <c r="G3" s="698"/>
      <c r="H3" s="698"/>
      <c r="I3" s="698"/>
    </row>
    <row r="4" spans="1:12" x14ac:dyDescent="0.25">
      <c r="D4" s="442"/>
      <c r="E4" s="442" t="s">
        <v>764</v>
      </c>
      <c r="F4" s="442" t="s">
        <v>765</v>
      </c>
      <c r="G4" s="442" t="s">
        <v>766</v>
      </c>
      <c r="H4" s="699" t="s">
        <v>767</v>
      </c>
      <c r="I4" s="700"/>
      <c r="J4" s="131"/>
      <c r="K4" s="443"/>
      <c r="L4" s="443"/>
    </row>
    <row r="5" spans="1:12" x14ac:dyDescent="0.25">
      <c r="D5" s="444" t="s">
        <v>18</v>
      </c>
      <c r="E5" s="445">
        <v>1</v>
      </c>
      <c r="F5" s="446">
        <v>100</v>
      </c>
      <c r="G5" s="447"/>
      <c r="H5" s="448" t="s">
        <v>768</v>
      </c>
      <c r="I5" s="449">
        <f>G11</f>
        <v>0</v>
      </c>
      <c r="J5" s="131"/>
      <c r="K5" s="450">
        <v>92.75</v>
      </c>
      <c r="L5" s="443"/>
    </row>
    <row r="6" spans="1:12" x14ac:dyDescent="0.25">
      <c r="D6" s="451" t="s">
        <v>154</v>
      </c>
      <c r="E6" s="588"/>
      <c r="F6" s="452">
        <f>F5-(F5/(1+$E$6))</f>
        <v>0</v>
      </c>
      <c r="G6" s="453">
        <f>F6/F5</f>
        <v>0</v>
      </c>
      <c r="H6" s="448" t="s">
        <v>154</v>
      </c>
      <c r="I6" s="449">
        <f>G6</f>
        <v>0</v>
      </c>
      <c r="J6" s="454"/>
      <c r="K6" s="455">
        <f>K5-(K5/(1+$E$6))</f>
        <v>0</v>
      </c>
      <c r="L6" s="456">
        <f>K6/K7</f>
        <v>0</v>
      </c>
    </row>
    <row r="7" spans="1:12" x14ac:dyDescent="0.25">
      <c r="D7" s="284" t="s">
        <v>769</v>
      </c>
      <c r="E7" s="596"/>
      <c r="F7" s="446">
        <f>F5-F6</f>
        <v>100</v>
      </c>
      <c r="G7" s="453"/>
      <c r="H7" s="448" t="s">
        <v>152</v>
      </c>
      <c r="I7" s="449">
        <f>G10</f>
        <v>0</v>
      </c>
      <c r="K7" s="450">
        <f>K5-K6</f>
        <v>92.75</v>
      </c>
      <c r="L7" s="456"/>
    </row>
    <row r="8" spans="1:12" x14ac:dyDescent="0.25">
      <c r="D8" s="286" t="s">
        <v>155</v>
      </c>
      <c r="E8" s="597"/>
      <c r="F8" s="452">
        <f>F7*$E$8</f>
        <v>0</v>
      </c>
      <c r="G8" s="453">
        <f>F8/F5</f>
        <v>0</v>
      </c>
      <c r="H8" s="448" t="s">
        <v>155</v>
      </c>
      <c r="I8" s="449">
        <f>G8</f>
        <v>0</v>
      </c>
      <c r="J8" s="131"/>
      <c r="K8" s="455">
        <f>K7*$E$8</f>
        <v>0</v>
      </c>
      <c r="L8" s="456">
        <f>K8/K7</f>
        <v>0</v>
      </c>
    </row>
    <row r="9" spans="1:12" x14ac:dyDescent="0.25">
      <c r="D9" s="457" t="s">
        <v>156</v>
      </c>
      <c r="E9" s="598"/>
      <c r="F9" s="452">
        <f>F7*$E$9</f>
        <v>0</v>
      </c>
      <c r="G9" s="453">
        <f>F9/F5</f>
        <v>0</v>
      </c>
      <c r="H9" s="448" t="s">
        <v>156</v>
      </c>
      <c r="I9" s="449">
        <f>G9</f>
        <v>0</v>
      </c>
      <c r="K9" s="455">
        <f>K7*$E$9</f>
        <v>0</v>
      </c>
      <c r="L9" s="456">
        <f>K9/K7</f>
        <v>0</v>
      </c>
    </row>
    <row r="10" spans="1:12" ht="16.5" x14ac:dyDescent="0.35">
      <c r="D10" s="457" t="s">
        <v>152</v>
      </c>
      <c r="E10" s="588"/>
      <c r="F10" s="452">
        <f>F7*$E$10</f>
        <v>0</v>
      </c>
      <c r="G10" s="453">
        <f>F10/F5</f>
        <v>0</v>
      </c>
      <c r="H10" s="458" t="s">
        <v>770</v>
      </c>
      <c r="I10" s="459">
        <f>SUM(I5:I9)</f>
        <v>0</v>
      </c>
      <c r="J10" s="460"/>
      <c r="K10" s="455">
        <f>K7*$E$10</f>
        <v>0</v>
      </c>
      <c r="L10" s="456">
        <f>K10/K7</f>
        <v>0</v>
      </c>
    </row>
    <row r="11" spans="1:12" x14ac:dyDescent="0.25">
      <c r="D11" s="461" t="s">
        <v>759</v>
      </c>
      <c r="E11" s="589"/>
      <c r="F11" s="288">
        <f>E11*$F$5</f>
        <v>0</v>
      </c>
      <c r="G11" s="453">
        <f>F11/F5</f>
        <v>0</v>
      </c>
      <c r="H11" s="462" t="s">
        <v>772</v>
      </c>
      <c r="I11" s="463">
        <f>1-I10</f>
        <v>1</v>
      </c>
      <c r="K11" s="464">
        <f>E12</f>
        <v>0</v>
      </c>
      <c r="L11" s="456"/>
    </row>
    <row r="12" spans="1:12" x14ac:dyDescent="0.25">
      <c r="F12" s="289"/>
      <c r="G12" s="283"/>
      <c r="H12" s="289"/>
      <c r="I12" s="465"/>
      <c r="K12" s="466">
        <f>K7-K8-K9-K10-K11</f>
        <v>92.75</v>
      </c>
      <c r="L12" s="456">
        <f>K12/K5</f>
        <v>1</v>
      </c>
    </row>
    <row r="13" spans="1:12" x14ac:dyDescent="0.25">
      <c r="F13" s="283"/>
      <c r="G13" s="467"/>
      <c r="H13" s="462" t="str">
        <f>'Estoque de PA'!C17</f>
        <v>Custo Unitário</v>
      </c>
      <c r="I13" s="468" t="e">
        <f>'Estoque de PA'!D17</f>
        <v>#DIV/0!</v>
      </c>
      <c r="K13" s="443"/>
      <c r="L13" s="443"/>
    </row>
    <row r="14" spans="1:12" ht="15.75" thickBot="1" x14ac:dyDescent="0.3">
      <c r="D14" s="283"/>
      <c r="E14" s="283"/>
      <c r="F14" s="283"/>
      <c r="G14" s="283"/>
      <c r="H14" s="283"/>
      <c r="I14" s="465"/>
      <c r="K14" s="443"/>
      <c r="L14" s="443"/>
    </row>
    <row r="15" spans="1:12" ht="15.75" thickBot="1" x14ac:dyDescent="0.3">
      <c r="D15" s="283"/>
      <c r="E15" s="283"/>
      <c r="F15" s="283"/>
      <c r="G15" s="283"/>
      <c r="H15" s="469" t="s">
        <v>771</v>
      </c>
      <c r="I15" s="590" t="e">
        <f>I13/I11</f>
        <v>#DIV/0!</v>
      </c>
    </row>
    <row r="17" spans="3:12" x14ac:dyDescent="0.25">
      <c r="D17" s="701" t="s">
        <v>926</v>
      </c>
      <c r="E17" s="701"/>
      <c r="F17" s="701"/>
      <c r="G17" s="701"/>
      <c r="H17" s="701"/>
      <c r="I17" s="701"/>
    </row>
    <row r="18" spans="3:12" x14ac:dyDescent="0.25">
      <c r="D18" s="701"/>
      <c r="E18" s="701"/>
      <c r="F18" s="701"/>
      <c r="G18" s="701"/>
      <c r="H18" s="701"/>
      <c r="I18" s="701"/>
    </row>
    <row r="19" spans="3:12" x14ac:dyDescent="0.25">
      <c r="D19" s="581" t="s">
        <v>760</v>
      </c>
      <c r="E19" s="31" t="s">
        <v>1079</v>
      </c>
      <c r="F19" s="31"/>
      <c r="G19" s="582" t="s">
        <v>1080</v>
      </c>
    </row>
    <row r="20" spans="3:12" x14ac:dyDescent="0.25">
      <c r="C20" s="225" t="s">
        <v>868</v>
      </c>
      <c r="G20" s="583"/>
    </row>
    <row r="21" spans="3:12" x14ac:dyDescent="0.25">
      <c r="C21" s="31">
        <v>1</v>
      </c>
      <c r="D21" s="470" t="s">
        <v>717</v>
      </c>
      <c r="E21" s="580"/>
      <c r="G21" s="584"/>
    </row>
    <row r="22" spans="3:12" ht="15" customHeight="1" x14ac:dyDescent="0.25">
      <c r="C22" s="702" t="s">
        <v>870</v>
      </c>
      <c r="D22" s="21" t="s">
        <v>122</v>
      </c>
      <c r="E22" s="21">
        <f>Decisões!E6</f>
        <v>0</v>
      </c>
      <c r="G22" s="583">
        <f>E22</f>
        <v>0</v>
      </c>
      <c r="I22" s="697"/>
      <c r="J22" s="697"/>
      <c r="K22" s="697"/>
      <c r="L22" s="697"/>
    </row>
    <row r="23" spans="3:12" x14ac:dyDescent="0.25">
      <c r="C23" s="702"/>
      <c r="D23" s="21" t="s">
        <v>3</v>
      </c>
      <c r="E23" s="21" t="e">
        <f>VLOOKUP('Preço de Venda'!E22,Parâmetros!B3:E28,4)</f>
        <v>#N/A</v>
      </c>
      <c r="G23" s="583" t="e">
        <f>E23</f>
        <v>#N/A</v>
      </c>
      <c r="I23" s="697"/>
      <c r="J23" s="697"/>
      <c r="K23" s="697"/>
      <c r="L23" s="697"/>
    </row>
    <row r="24" spans="3:12" x14ac:dyDescent="0.25">
      <c r="C24" s="702"/>
      <c r="D24" s="21" t="s">
        <v>762</v>
      </c>
      <c r="E24" s="291">
        <v>500</v>
      </c>
      <c r="G24" s="585">
        <f>IF(G21&gt;0,E24,0)</f>
        <v>0</v>
      </c>
    </row>
    <row r="25" spans="3:12" x14ac:dyDescent="0.25">
      <c r="C25" s="31"/>
      <c r="G25" s="583"/>
      <c r="H25" s="283"/>
      <c r="I25" s="283"/>
      <c r="J25" s="283"/>
    </row>
    <row r="26" spans="3:12" x14ac:dyDescent="0.25">
      <c r="C26" s="31">
        <v>2</v>
      </c>
      <c r="D26" s="470" t="s">
        <v>717</v>
      </c>
      <c r="E26" s="580"/>
      <c r="G26" s="584"/>
      <c r="H26" s="283"/>
      <c r="I26" s="283"/>
      <c r="J26" s="283"/>
    </row>
    <row r="27" spans="3:12" x14ac:dyDescent="0.25">
      <c r="C27" s="31"/>
      <c r="D27" s="21" t="s">
        <v>122</v>
      </c>
      <c r="E27" s="580" t="s">
        <v>79</v>
      </c>
      <c r="G27" s="583" t="str">
        <f>E27</f>
        <v>Rio de Janeiro</v>
      </c>
      <c r="H27" s="283"/>
      <c r="I27" s="283"/>
      <c r="J27" s="283"/>
    </row>
    <row r="28" spans="3:12" x14ac:dyDescent="0.25">
      <c r="C28" s="31"/>
      <c r="D28" s="21" t="s">
        <v>3</v>
      </c>
      <c r="E28" s="21" t="str">
        <f>VLOOKUP('Preço de Venda'!E27,Parâmetros!B3:E28,4)</f>
        <v>Rio de Janeiro</v>
      </c>
      <c r="G28" s="583" t="str">
        <f>E28</f>
        <v>Rio de Janeiro</v>
      </c>
    </row>
    <row r="29" spans="3:12" ht="15.75" x14ac:dyDescent="0.25">
      <c r="C29" s="31"/>
      <c r="D29" s="21" t="s">
        <v>762</v>
      </c>
      <c r="E29" s="586"/>
      <c r="G29" s="585">
        <f>IF(G26&gt;0,E29,0)</f>
        <v>0</v>
      </c>
      <c r="I29" s="193" t="s">
        <v>121</v>
      </c>
      <c r="J29" s="247" t="s">
        <v>1056</v>
      </c>
    </row>
    <row r="30" spans="3:12" ht="15.75" x14ac:dyDescent="0.25">
      <c r="C30" s="31"/>
      <c r="G30" s="583"/>
      <c r="I30" s="194" t="s">
        <v>122</v>
      </c>
      <c r="J30" s="248" t="s">
        <v>1055</v>
      </c>
    </row>
    <row r="31" spans="3:12" ht="15.75" x14ac:dyDescent="0.25">
      <c r="C31" s="31">
        <v>3</v>
      </c>
      <c r="D31" s="470" t="s">
        <v>717</v>
      </c>
      <c r="E31" s="580"/>
      <c r="G31" s="584"/>
      <c r="I31" s="195" t="s">
        <v>924</v>
      </c>
      <c r="J31" s="192">
        <f>INDEX(QUADIST!A2:AB29,MATCH('Preço de Venda'!J29,QUADIST!A2:A29,0),MATCH('Preço de Venda'!J30,QUADIST!A2:AB2,0))</f>
        <v>1649</v>
      </c>
    </row>
    <row r="32" spans="3:12" x14ac:dyDescent="0.25">
      <c r="C32" s="31"/>
      <c r="D32" s="21" t="s">
        <v>122</v>
      </c>
      <c r="E32" s="580" t="s">
        <v>28</v>
      </c>
      <c r="G32" s="583" t="str">
        <f>E32</f>
        <v>Acre</v>
      </c>
    </row>
    <row r="33" spans="3:7" x14ac:dyDescent="0.25">
      <c r="C33" s="31"/>
      <c r="D33" s="21" t="s">
        <v>761</v>
      </c>
      <c r="E33" s="21" t="str">
        <f>VLOOKUP('Preço de Venda'!E32,Parâmetros!B3:E28,4)</f>
        <v>Rio Branco</v>
      </c>
      <c r="G33" s="583" t="str">
        <f>E33</f>
        <v>Rio Branco</v>
      </c>
    </row>
    <row r="34" spans="3:7" x14ac:dyDescent="0.25">
      <c r="C34" s="31"/>
      <c r="D34" s="21" t="s">
        <v>762</v>
      </c>
      <c r="E34" s="586"/>
      <c r="G34" s="585">
        <f>IF(G31&gt;0,E34,0)</f>
        <v>0</v>
      </c>
    </row>
    <row r="35" spans="3:7" x14ac:dyDescent="0.25">
      <c r="C35" s="31"/>
      <c r="G35" s="583"/>
    </row>
    <row r="36" spans="3:7" x14ac:dyDescent="0.25">
      <c r="C36" s="31">
        <v>4</v>
      </c>
      <c r="D36" s="470" t="s">
        <v>717</v>
      </c>
      <c r="E36" s="580"/>
      <c r="G36" s="584"/>
    </row>
    <row r="37" spans="3:7" x14ac:dyDescent="0.25">
      <c r="C37" s="31"/>
      <c r="D37" s="21" t="s">
        <v>122</v>
      </c>
      <c r="E37" s="580" t="s">
        <v>40</v>
      </c>
      <c r="G37" s="583" t="str">
        <f>E37</f>
        <v>Bahia</v>
      </c>
    </row>
    <row r="38" spans="3:7" x14ac:dyDescent="0.25">
      <c r="C38" s="31"/>
      <c r="D38" s="21" t="s">
        <v>761</v>
      </c>
      <c r="E38" s="21" t="str">
        <f>VLOOKUP('Preço de Venda'!E37,Parâmetros!B3:E28,4)</f>
        <v>Salvador</v>
      </c>
      <c r="G38" s="583" t="str">
        <f>E38</f>
        <v>Salvador</v>
      </c>
    </row>
    <row r="39" spans="3:7" x14ac:dyDescent="0.25">
      <c r="C39" s="31"/>
      <c r="D39" s="21" t="s">
        <v>762</v>
      </c>
      <c r="E39" s="586"/>
      <c r="G39" s="585">
        <f>IF(G36&gt;0,E39,0)</f>
        <v>0</v>
      </c>
    </row>
    <row r="40" spans="3:7" x14ac:dyDescent="0.25">
      <c r="C40" s="31"/>
      <c r="G40" s="583"/>
    </row>
    <row r="41" spans="3:7" x14ac:dyDescent="0.25">
      <c r="C41" s="31">
        <v>5</v>
      </c>
      <c r="D41" s="470" t="s">
        <v>717</v>
      </c>
      <c r="E41" s="580"/>
      <c r="G41" s="584"/>
    </row>
    <row r="42" spans="3:7" x14ac:dyDescent="0.25">
      <c r="C42" s="31"/>
      <c r="D42" s="21" t="s">
        <v>122</v>
      </c>
      <c r="E42" s="580" t="s">
        <v>31</v>
      </c>
      <c r="G42" s="583" t="str">
        <f>E42</f>
        <v>Alagoas</v>
      </c>
    </row>
    <row r="43" spans="3:7" x14ac:dyDescent="0.25">
      <c r="C43" s="31"/>
      <c r="D43" s="21" t="s">
        <v>761</v>
      </c>
      <c r="E43" s="21" t="str">
        <f>VLOOKUP('Preço de Venda'!E42,Parâmetros!B3:E28,4)</f>
        <v>Maceió</v>
      </c>
      <c r="G43" s="583" t="str">
        <f>E43</f>
        <v>Maceió</v>
      </c>
    </row>
    <row r="44" spans="3:7" x14ac:dyDescent="0.25">
      <c r="C44" s="31"/>
      <c r="D44" s="21" t="s">
        <v>762</v>
      </c>
      <c r="E44" s="586"/>
      <c r="G44" s="585">
        <f>IF(G41&gt;0,E44,0)</f>
        <v>0</v>
      </c>
    </row>
    <row r="45" spans="3:7" x14ac:dyDescent="0.25">
      <c r="G45" s="583"/>
    </row>
    <row r="46" spans="3:7" x14ac:dyDescent="0.25">
      <c r="C46" s="31">
        <v>6</v>
      </c>
      <c r="D46" s="470" t="s">
        <v>717</v>
      </c>
      <c r="E46" s="580"/>
      <c r="G46" s="584"/>
    </row>
    <row r="47" spans="3:7" x14ac:dyDescent="0.25">
      <c r="C47" s="31"/>
      <c r="D47" s="21" t="s">
        <v>122</v>
      </c>
      <c r="E47" s="580" t="s">
        <v>97</v>
      </c>
      <c r="G47" s="583" t="str">
        <f>E47</f>
        <v>Sergipe</v>
      </c>
    </row>
    <row r="48" spans="3:7" x14ac:dyDescent="0.25">
      <c r="C48" s="31"/>
      <c r="D48" s="21" t="s">
        <v>761</v>
      </c>
      <c r="E48" s="21" t="str">
        <f>VLOOKUP('Preço de Venda'!E47,Parâmetros!B3:E28,4)</f>
        <v>Aracaju</v>
      </c>
      <c r="G48" s="583" t="str">
        <f>E48</f>
        <v>Aracaju</v>
      </c>
    </row>
    <row r="49" spans="3:7" x14ac:dyDescent="0.25">
      <c r="C49" s="31"/>
      <c r="D49" s="21" t="s">
        <v>762</v>
      </c>
      <c r="E49" s="586"/>
      <c r="G49" s="585">
        <f>IF(G46&gt;0,E49,0)</f>
        <v>0</v>
      </c>
    </row>
    <row r="51" spans="3:7" x14ac:dyDescent="0.25">
      <c r="D51" s="21" t="s">
        <v>1096</v>
      </c>
      <c r="E51" s="600">
        <f>E46+E41+E36+E31+E26+E21</f>
        <v>0</v>
      </c>
      <c r="F51" s="600">
        <f t="shared" ref="F51:G51" si="0">F46+F41+F36+F31+F26+F21</f>
        <v>0</v>
      </c>
      <c r="G51" s="601">
        <f t="shared" si="0"/>
        <v>0</v>
      </c>
    </row>
  </sheetData>
  <mergeCells count="5">
    <mergeCell ref="I22:L23"/>
    <mergeCell ref="D3:I3"/>
    <mergeCell ref="H4:I4"/>
    <mergeCell ref="D17:I18"/>
    <mergeCell ref="C22:C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I7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Parâmetros!$B$46:$B$71</xm:f>
          </x14:formula1>
          <xm:sqref>E22</xm:sqref>
        </x14:dataValidation>
        <x14:dataValidation type="list" allowBlank="1" showInputMessage="1" showErrorMessage="1">
          <x14:formula1>
            <xm:f>QUADIST!$B$2:$AB$2</xm:f>
          </x14:formula1>
          <xm:sqref>J30</xm:sqref>
        </x14:dataValidation>
        <x14:dataValidation type="list" allowBlank="1" showInputMessage="1" showErrorMessage="1">
          <x14:formula1>
            <xm:f>QUADIST!$A$3:$A$29</xm:f>
          </x14:formula1>
          <xm:sqref>J29</xm:sqref>
        </x14:dataValidation>
        <x14:dataValidation type="list" allowBlank="1" showInputMessage="1" showErrorMessage="1">
          <x14:formula1>
            <xm:f>Parâmetros!$B$3:$B$28</xm:f>
          </x14:formula1>
          <xm:sqref>E27</xm:sqref>
        </x14:dataValidation>
        <x14:dataValidation type="list" allowBlank="1" showInputMessage="1" showErrorMessage="1">
          <x14:formula1>
            <xm:f>Parâmetros!$B$3:$B$28</xm:f>
          </x14:formula1>
          <xm:sqref>E42</xm:sqref>
        </x14:dataValidation>
        <x14:dataValidation type="list" allowBlank="1" showInputMessage="1" showErrorMessage="1">
          <x14:formula1>
            <xm:f>Parâmetros!$B$3:$B$28</xm:f>
          </x14:formula1>
          <xm:sqref>E47</xm:sqref>
        </x14:dataValidation>
        <x14:dataValidation type="list" allowBlank="1" showInputMessage="1" showErrorMessage="1">
          <x14:formula1>
            <xm:f>Parâmetros!$B$3:$B$28</xm:f>
          </x14:formula1>
          <xm:sqref>E37</xm:sqref>
        </x14:dataValidation>
        <x14:dataValidation type="list" allowBlank="1" showInputMessage="1" showErrorMessage="1">
          <x14:formula1>
            <xm:f>Parâmetros!$B$3:$B$28</xm:f>
          </x14:formula1>
          <xm:sqref>E32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>
    <tabColor rgb="FF00B050"/>
  </sheetPr>
  <dimension ref="A1:J37"/>
  <sheetViews>
    <sheetView zoomScale="70" zoomScaleNormal="70" workbookViewId="0">
      <pane xSplit="1" topLeftCell="B1" activePane="topRight" state="frozen"/>
      <selection pane="topRight" activeCell="D13" sqref="D13"/>
    </sheetView>
  </sheetViews>
  <sheetFormatPr defaultRowHeight="15.75" x14ac:dyDescent="0.25"/>
  <cols>
    <col min="1" max="1" width="41.85546875" style="4" customWidth="1"/>
    <col min="2" max="2" width="9.140625" style="4"/>
    <col min="3" max="3" width="69.7109375" style="4" bestFit="1" customWidth="1"/>
    <col min="4" max="4" width="19.7109375" style="4" bestFit="1" customWidth="1"/>
    <col min="5" max="5" width="8.7109375" style="4" customWidth="1"/>
    <col min="6" max="6" width="76.140625" style="4" customWidth="1"/>
    <col min="7" max="7" width="19.7109375" style="4" bestFit="1" customWidth="1"/>
    <col min="8" max="8" width="9.42578125" style="4" customWidth="1"/>
    <col min="9" max="16384" width="9.140625" style="4"/>
  </cols>
  <sheetData>
    <row r="1" spans="1:10" ht="18.75" x14ac:dyDescent="0.25">
      <c r="A1" s="386" t="s">
        <v>981</v>
      </c>
      <c r="C1" s="703" t="s">
        <v>0</v>
      </c>
      <c r="D1" s="703"/>
      <c r="E1" s="703"/>
      <c r="F1" s="703"/>
      <c r="G1" s="703"/>
    </row>
    <row r="2" spans="1:10" x14ac:dyDescent="0.25">
      <c r="C2" s="372"/>
      <c r="D2" s="372"/>
      <c r="E2" s="372"/>
      <c r="G2" s="372"/>
      <c r="H2" s="372"/>
    </row>
    <row r="3" spans="1:10" x14ac:dyDescent="0.25">
      <c r="C3" s="428" t="s">
        <v>127</v>
      </c>
      <c r="D3" s="429" t="e">
        <f>SUM(D4,D6,D11)</f>
        <v>#N/A</v>
      </c>
      <c r="E3" s="372"/>
      <c r="F3" s="428" t="s">
        <v>124</v>
      </c>
      <c r="G3" s="429" t="e">
        <f>SUM(G6,G4,G9,G15,G18)</f>
        <v>#DIV/0!</v>
      </c>
      <c r="H3" s="372"/>
      <c r="J3" s="5"/>
    </row>
    <row r="4" spans="1:10" x14ac:dyDescent="0.25">
      <c r="C4" s="5" t="s">
        <v>7</v>
      </c>
      <c r="D4" s="8" t="e">
        <f>SUM(D5)</f>
        <v>#N/A</v>
      </c>
      <c r="F4" s="5" t="str">
        <f>'Plano de Contas'!E65</f>
        <v>Fornecedores</v>
      </c>
      <c r="J4" s="5"/>
    </row>
    <row r="5" spans="1:10" x14ac:dyDescent="0.25">
      <c r="C5" s="383" t="str">
        <f>'Plano de Contas'!E6</f>
        <v>Caixa e Equivalentes de Caixa</v>
      </c>
      <c r="D5" s="25" t="e">
        <f>'Lançamentos e Razonetes'!K15</f>
        <v>#N/A</v>
      </c>
      <c r="J5" s="5"/>
    </row>
    <row r="6" spans="1:10" x14ac:dyDescent="0.25">
      <c r="C6" s="382" t="s">
        <v>928</v>
      </c>
      <c r="D6" s="25" t="e">
        <f>SUM(D7:D10)</f>
        <v>#N/A</v>
      </c>
      <c r="F6" s="5" t="str">
        <f>'Plano de Contas'!E73</f>
        <v>Empréstimos e Financiamentos</v>
      </c>
      <c r="G6" s="384">
        <f>SUM(G7)</f>
        <v>0</v>
      </c>
      <c r="J6" s="5"/>
    </row>
    <row r="7" spans="1:10" x14ac:dyDescent="0.25">
      <c r="C7" s="383" t="str">
        <f>'Plano de Contas'!E11</f>
        <v>ICMS a Compensar</v>
      </c>
      <c r="D7" s="25">
        <f>'Lançamentos e Razonetes'!K27</f>
        <v>0</v>
      </c>
      <c r="F7" s="4" t="str">
        <f>'Plano de Contas'!E74</f>
        <v>Empréstimos a Pagar</v>
      </c>
      <c r="G7" s="25">
        <f>'Lançamentos e Razonetes'!X56</f>
        <v>0</v>
      </c>
      <c r="J7" s="5"/>
    </row>
    <row r="8" spans="1:10" x14ac:dyDescent="0.25">
      <c r="C8" s="383" t="str">
        <f>'Plano de Contas'!E12</f>
        <v>IPI a Compensar</v>
      </c>
      <c r="D8" s="25">
        <f>'Lançamentos e Razonetes'!W12</f>
        <v>0</v>
      </c>
      <c r="J8" s="5"/>
    </row>
    <row r="9" spans="1:10" x14ac:dyDescent="0.25">
      <c r="C9" s="383" t="str">
        <f>'Plano de Contas'!E13</f>
        <v>Pis/Pasep a Compensar</v>
      </c>
      <c r="D9" s="25" t="e">
        <f>'Lançamentos e Razonetes'!Z12</f>
        <v>#N/A</v>
      </c>
      <c r="F9" s="5" t="str">
        <f>'Plano de Contas'!E83</f>
        <v>Obrigações Trabalhistas e Previdenciárias</v>
      </c>
      <c r="G9" s="384">
        <f>SUM(G10:G14)</f>
        <v>17888.043922222223</v>
      </c>
      <c r="J9" s="5"/>
    </row>
    <row r="10" spans="1:10" x14ac:dyDescent="0.25">
      <c r="C10" s="383" t="str">
        <f>'Plano de Contas'!E14</f>
        <v>Contribuição para Financiamento da Seguridade Social - Cofins a Compensar</v>
      </c>
      <c r="D10" s="25" t="e">
        <f>'Lançamentos e Razonetes'!N27</f>
        <v>#N/A</v>
      </c>
      <c r="F10" s="4" t="str">
        <f>'Plano de Contas'!E84</f>
        <v>Salários a Pagar</v>
      </c>
      <c r="G10" s="25">
        <f>'Lançamentos e Razonetes'!L45</f>
        <v>13681.821699999999</v>
      </c>
    </row>
    <row r="11" spans="1:10" x14ac:dyDescent="0.25">
      <c r="C11" s="385" t="str">
        <f>'Plano de Contas'!E23</f>
        <v>Estoques</v>
      </c>
      <c r="D11" s="384" t="e">
        <f>SUM(D12:D13)</f>
        <v>#DIV/0!</v>
      </c>
      <c r="F11" s="4" t="str">
        <f>'Plano de Contas'!E86</f>
        <v>Férias a Pagar</v>
      </c>
      <c r="G11" s="8">
        <v>0</v>
      </c>
    </row>
    <row r="12" spans="1:10" x14ac:dyDescent="0.25">
      <c r="C12" s="383" t="str">
        <f>'Plano de Contas'!E24</f>
        <v>Estoque de Produtos Acabados</v>
      </c>
      <c r="D12" s="25" t="e">
        <f>'Lançamentos e Razonetes'!Q32</f>
        <v>#DIV/0!</v>
      </c>
      <c r="F12" s="4" t="str">
        <f>'Plano de Contas'!E87</f>
        <v>13º Salário a Pagar</v>
      </c>
      <c r="G12" s="8">
        <v>0</v>
      </c>
    </row>
    <row r="13" spans="1:10" x14ac:dyDescent="0.25">
      <c r="C13" s="383" t="str">
        <f>'Plano de Contas'!E25</f>
        <v>Estoque de Matérias-primas e embalagens</v>
      </c>
      <c r="D13" s="25" t="e">
        <f>'Lançamentos e Razonetes'!T12</f>
        <v>#DIV/0!</v>
      </c>
      <c r="F13" s="4" t="str">
        <f>'Plano de Contas'!E88</f>
        <v>Provisão de Férias</v>
      </c>
      <c r="G13" s="25">
        <f>'Lançamentos e Razonetes'!AA45</f>
        <v>2403.5555555555557</v>
      </c>
      <c r="J13" s="5"/>
    </row>
    <row r="14" spans="1:10" x14ac:dyDescent="0.25">
      <c r="C14" s="383"/>
      <c r="D14" s="25"/>
      <c r="F14" s="4" t="str">
        <f>'Plano de Contas'!E89</f>
        <v>Provisão 13º Salário</v>
      </c>
      <c r="G14" s="25">
        <f>'Lançamentos e Razonetes'!X45</f>
        <v>1802.6666666666667</v>
      </c>
      <c r="J14" s="5"/>
    </row>
    <row r="15" spans="1:10" x14ac:dyDescent="0.25">
      <c r="C15" s="430" t="s">
        <v>126</v>
      </c>
      <c r="D15" s="431" t="e">
        <f>SUM(D17:D20)</f>
        <v>#N/A</v>
      </c>
      <c r="F15" s="5" t="str">
        <f>'Plano de Contas'!E90</f>
        <v>Encargos Sociais e Previdenciários a Recolher</v>
      </c>
      <c r="G15" s="384">
        <f>SUM(G16:G17)</f>
        <v>7353.0380000000005</v>
      </c>
      <c r="J15" s="5"/>
    </row>
    <row r="16" spans="1:10" x14ac:dyDescent="0.25">
      <c r="C16" s="382" t="str">
        <f>'Plano de Contas'!E47</f>
        <v>Imobilizado</v>
      </c>
      <c r="F16" s="4" t="str">
        <f>'Plano de Contas'!E91</f>
        <v>Instituto Nacional de Seguridade Social - INSS</v>
      </c>
      <c r="G16" s="25">
        <f>'Lançamentos e Razonetes'!O45</f>
        <v>6073.0380000000005</v>
      </c>
      <c r="J16" s="5"/>
    </row>
    <row r="17" spans="3:10" x14ac:dyDescent="0.25">
      <c r="C17" s="4" t="str">
        <f>'Plano de Contas'!E48</f>
        <v>Instalações (Edifícios)</v>
      </c>
      <c r="D17" s="8" t="e">
        <f>'Lançamentos e Razonetes'!N12</f>
        <v>#N/A</v>
      </c>
      <c r="F17" s="4" t="str">
        <f>'Plano de Contas'!E92</f>
        <v>Fundo de Garantia por Tempo de Serviço - FGTS</v>
      </c>
      <c r="G17" s="25">
        <f>'Lançamentos e Razonetes'!U45</f>
        <v>1280</v>
      </c>
      <c r="J17" s="5"/>
    </row>
    <row r="18" spans="3:10" x14ac:dyDescent="0.25">
      <c r="C18" s="4" t="str">
        <f>'Plano de Contas'!E51</f>
        <v>Veículos</v>
      </c>
      <c r="D18" s="8">
        <f>'Lançamentos e Razonetes'!Q12</f>
        <v>120000</v>
      </c>
      <c r="F18" s="5" t="str">
        <f>'Plano de Contas'!E97</f>
        <v>Passivo Fiscal Corrente - Tributos a Recolher</v>
      </c>
      <c r="G18" s="384" t="e">
        <f>SUM(G19:G26)</f>
        <v>#DIV/0!</v>
      </c>
      <c r="J18" s="5"/>
    </row>
    <row r="19" spans="3:10" x14ac:dyDescent="0.25">
      <c r="C19" s="4" t="str">
        <f>'Plano de Contas'!E52</f>
        <v>( - ) Depreciação Acumulada</v>
      </c>
      <c r="D19" s="25" t="e">
        <f>-('Lançamentos e Razonetes'!U27)</f>
        <v>#N/A</v>
      </c>
      <c r="F19" s="4" t="str">
        <f>'Plano de Contas'!E98</f>
        <v>Imposto sobre Produtos Industrializados - IPI</v>
      </c>
      <c r="G19" s="25" t="e">
        <f>'Lançamentos e Razonetes'!L56</f>
        <v>#DIV/0!</v>
      </c>
      <c r="J19" s="5"/>
    </row>
    <row r="20" spans="3:10" x14ac:dyDescent="0.25">
      <c r="F20" s="4" t="str">
        <f>'Plano de Contas'!E99</f>
        <v>Imposto sobre Circulação de Mercadorias e Serviços - ICMS</v>
      </c>
      <c r="G20" s="25" t="e">
        <f>'Lançamentos e Razonetes'!O49</f>
        <v>#DIV/0!</v>
      </c>
      <c r="J20" s="5"/>
    </row>
    <row r="21" spans="3:10" x14ac:dyDescent="0.25">
      <c r="C21" s="430" t="s">
        <v>567</v>
      </c>
      <c r="D21" s="431" t="e">
        <f>SUM(D15,D3)</f>
        <v>#N/A</v>
      </c>
      <c r="F21" s="4" t="str">
        <f>'Plano de Contas'!E100</f>
        <v>Imposto de Renda – IR</v>
      </c>
      <c r="G21" s="25" t="e">
        <f>'Lançamentos e Razonetes'!AA56</f>
        <v>#DIV/0!</v>
      </c>
      <c r="J21" s="5"/>
    </row>
    <row r="22" spans="3:10" x14ac:dyDescent="0.25">
      <c r="F22" s="4" t="str">
        <f>'Plano de Contas'!E101</f>
        <v>Contribuição Social sobre Lucro Líquido – CSLL</v>
      </c>
      <c r="G22" s="25" t="e">
        <f>'Lançamentos e Razonetes'!AD56</f>
        <v>#DIV/0!</v>
      </c>
      <c r="J22" s="5"/>
    </row>
    <row r="23" spans="3:10" x14ac:dyDescent="0.25">
      <c r="F23" s="4" t="str">
        <f>'Plano de Contas'!E102</f>
        <v>Programa de Integração Social e do Programa de Formação do Patrimônio do Servidor Público - Pis/Pasep</v>
      </c>
      <c r="G23" s="25" t="e">
        <f>'Lançamentos e Razonetes'!R49</f>
        <v>#DIV/0!</v>
      </c>
    </row>
    <row r="24" spans="3:10" x14ac:dyDescent="0.25">
      <c r="F24" s="4" t="str">
        <f>'Plano de Contas'!E103</f>
        <v>Contribuição para o Financiamento da Seguridade Social - Cofins</v>
      </c>
      <c r="G24" s="25" t="e">
        <f>'Lançamentos e Razonetes'!U49</f>
        <v>#DIV/0!</v>
      </c>
    </row>
    <row r="25" spans="3:10" x14ac:dyDescent="0.25">
      <c r="F25" s="4" t="str">
        <f>'Plano de Contas'!E104</f>
        <v>Imposto sobre Serviço – ISS</v>
      </c>
      <c r="G25" s="25" t="s">
        <v>947</v>
      </c>
    </row>
    <row r="26" spans="3:10" x14ac:dyDescent="0.25">
      <c r="F26" s="4" t="str">
        <f>'Plano de Contas'!E105</f>
        <v>Imposto de Renda Retido na Fonte - IRRF</v>
      </c>
      <c r="G26" s="25">
        <f>'Lançamentos e Razonetes'!R45</f>
        <v>597.14029999999991</v>
      </c>
    </row>
    <row r="27" spans="3:10" x14ac:dyDescent="0.25">
      <c r="G27" s="25"/>
    </row>
    <row r="29" spans="3:10" x14ac:dyDescent="0.25">
      <c r="F29" s="430" t="s">
        <v>125</v>
      </c>
      <c r="G29" s="432" t="e">
        <f>SUM(G30:G31)</f>
        <v>#DIV/0!</v>
      </c>
    </row>
    <row r="30" spans="3:10" x14ac:dyDescent="0.25">
      <c r="F30" s="4" t="s">
        <v>14</v>
      </c>
      <c r="G30" s="25">
        <f>'Lançamentos e Razonetes'!L69</f>
        <v>550000</v>
      </c>
      <c r="J30" s="5"/>
    </row>
    <row r="31" spans="3:10" x14ac:dyDescent="0.25">
      <c r="F31" s="4" t="s">
        <v>976</v>
      </c>
      <c r="G31" s="25" t="e">
        <f>'Lançamentos e Razonetes'!O69</f>
        <v>#DIV/0!</v>
      </c>
      <c r="J31" s="5"/>
    </row>
    <row r="34" spans="6:7" x14ac:dyDescent="0.25">
      <c r="F34" s="430" t="s">
        <v>567</v>
      </c>
      <c r="G34" s="431" t="e">
        <f>SUM(G29,G3)</f>
        <v>#DIV/0!</v>
      </c>
    </row>
    <row r="37" spans="6:7" x14ac:dyDescent="0.25">
      <c r="F37" s="11"/>
    </row>
  </sheetData>
  <mergeCells count="1">
    <mergeCell ref="C1:G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6"/>
  <sheetViews>
    <sheetView topLeftCell="A22" workbookViewId="0">
      <pane xSplit="1" topLeftCell="B1" activePane="topRight" state="frozen"/>
      <selection pane="topRight" activeCell="C16" sqref="C16"/>
    </sheetView>
  </sheetViews>
  <sheetFormatPr defaultRowHeight="15.75" x14ac:dyDescent="0.25"/>
  <cols>
    <col min="1" max="1" width="30.5703125" style="3" customWidth="1"/>
    <col min="2" max="2" width="9.140625" style="4"/>
    <col min="3" max="3" width="63.42578125" style="4" bestFit="1" customWidth="1"/>
    <col min="4" max="4" width="15.7109375" style="4" bestFit="1" customWidth="1"/>
    <col min="5" max="5" width="10.5703125" style="3" bestFit="1" customWidth="1"/>
    <col min="6" max="6" width="9.5703125" style="3" bestFit="1" customWidth="1"/>
    <col min="7" max="16384" width="9.140625" style="3"/>
  </cols>
  <sheetData>
    <row r="1" spans="1:4" x14ac:dyDescent="0.25">
      <c r="A1" s="372" t="s">
        <v>981</v>
      </c>
      <c r="C1" s="704" t="s">
        <v>17</v>
      </c>
      <c r="D1" s="704"/>
    </row>
    <row r="2" spans="1:4" x14ac:dyDescent="0.25">
      <c r="C2" s="4" t="s">
        <v>18</v>
      </c>
      <c r="D2" s="11" t="e">
        <f>Tributos!F98</f>
        <v>#DIV/0!</v>
      </c>
    </row>
    <row r="3" spans="1:4" x14ac:dyDescent="0.25">
      <c r="C3" s="4" t="s">
        <v>462</v>
      </c>
      <c r="D3" s="433">
        <v>0</v>
      </c>
    </row>
    <row r="4" spans="1:4" x14ac:dyDescent="0.25">
      <c r="C4" s="434" t="s">
        <v>464</v>
      </c>
      <c r="D4" s="433">
        <v>0</v>
      </c>
    </row>
    <row r="5" spans="1:4" x14ac:dyDescent="0.25">
      <c r="C5" s="4" t="s">
        <v>19</v>
      </c>
      <c r="D5" s="11" t="e">
        <f>D2-D3-D4</f>
        <v>#DIV/0!</v>
      </c>
    </row>
    <row r="6" spans="1:4" x14ac:dyDescent="0.25">
      <c r="C6" s="4" t="s">
        <v>466</v>
      </c>
      <c r="D6" s="11" t="e">
        <f>-Tributos!H98</f>
        <v>#DIV/0!</v>
      </c>
    </row>
    <row r="7" spans="1:4" x14ac:dyDescent="0.25">
      <c r="C7" s="4" t="s">
        <v>470</v>
      </c>
      <c r="D7" s="11" t="e">
        <f>-Tributos!J98</f>
        <v>#DIV/0!</v>
      </c>
    </row>
    <row r="8" spans="1:4" x14ac:dyDescent="0.25">
      <c r="C8" s="4" t="s">
        <v>472</v>
      </c>
      <c r="D8" s="11" t="e">
        <f>-Tributos!K98</f>
        <v>#DIV/0!</v>
      </c>
    </row>
    <row r="9" spans="1:4" x14ac:dyDescent="0.25">
      <c r="C9" s="4" t="s">
        <v>468</v>
      </c>
      <c r="D9" s="11" t="e">
        <f>-Tributos!M98</f>
        <v>#DIV/0!</v>
      </c>
    </row>
    <row r="10" spans="1:4" x14ac:dyDescent="0.25">
      <c r="C10" s="4" t="s">
        <v>20</v>
      </c>
      <c r="D10" s="11" t="e">
        <f>SUM(D5:D9)</f>
        <v>#DIV/0!</v>
      </c>
    </row>
    <row r="12" spans="1:4" x14ac:dyDescent="0.25">
      <c r="C12" s="705" t="s">
        <v>4</v>
      </c>
      <c r="D12" s="705"/>
    </row>
    <row r="13" spans="1:4" x14ac:dyDescent="0.25">
      <c r="C13" s="4" t="s">
        <v>925</v>
      </c>
      <c r="D13" s="8" t="e">
        <f>D10</f>
        <v>#DIV/0!</v>
      </c>
    </row>
    <row r="14" spans="1:4" x14ac:dyDescent="0.25">
      <c r="C14" s="4" t="s">
        <v>5</v>
      </c>
      <c r="D14" s="8" t="e">
        <f>-'Lançamentos e Razonetes'!N101</f>
        <v>#DIV/0!</v>
      </c>
    </row>
    <row r="15" spans="1:4" x14ac:dyDescent="0.25">
      <c r="C15" s="4" t="s">
        <v>6</v>
      </c>
      <c r="D15" s="8" t="e">
        <f>SUM(D13:D14)</f>
        <v>#DIV/0!</v>
      </c>
    </row>
    <row r="16" spans="1:4" x14ac:dyDescent="0.25">
      <c r="C16" s="5" t="s">
        <v>948</v>
      </c>
      <c r="D16" s="187" t="e">
        <f>SUM(D17:D25)</f>
        <v>#N/A</v>
      </c>
    </row>
    <row r="17" spans="3:6" x14ac:dyDescent="0.25">
      <c r="C17" s="435" t="str">
        <f>'Lançamentos e Razonetes'!Q73</f>
        <v xml:space="preserve"> Salários</v>
      </c>
      <c r="D17" s="8">
        <f>-'Lançamentos e Razonetes'!Q81</f>
        <v>-6000</v>
      </c>
    </row>
    <row r="18" spans="3:6" x14ac:dyDescent="0.25">
      <c r="C18" s="435" t="str">
        <f>'Lançamentos e Razonetes'!W93</f>
        <v xml:space="preserve"> Décimo Terceiro Salário</v>
      </c>
      <c r="D18" s="8">
        <f>-'Lançamentos e Razonetes'!W101</f>
        <v>-676</v>
      </c>
    </row>
    <row r="19" spans="3:6" x14ac:dyDescent="0.25">
      <c r="C19" s="435" t="str">
        <f>'Lançamentos e Razonetes'!K103</f>
        <v xml:space="preserve"> Férias</v>
      </c>
      <c r="D19" s="8">
        <f>-'Lançamentos e Razonetes'!K111</f>
        <v>-901.33333333333337</v>
      </c>
      <c r="F19" s="251"/>
    </row>
    <row r="20" spans="3:6" x14ac:dyDescent="0.25">
      <c r="C20" s="435" t="str">
        <f>'Lançamentos e Razonetes'!T73</f>
        <v xml:space="preserve"> Fundo de Garantia do Tempo de Serviço FGTS (DRE)</v>
      </c>
      <c r="D20" s="8">
        <f>-'Lançamentos e Razonetes'!T81</f>
        <v>-480</v>
      </c>
    </row>
    <row r="21" spans="3:6" x14ac:dyDescent="0.25">
      <c r="C21" s="435" t="str">
        <f>'Lançamentos e Razonetes'!W72</f>
        <v xml:space="preserve"> Instituto Nacional de Seguridade Social - INSS  (DRE)</v>
      </c>
      <c r="D21" s="8">
        <f>-'Lançamentos e Razonetes'!W81</f>
        <v>-1632.0000000000002</v>
      </c>
    </row>
    <row r="22" spans="3:6" x14ac:dyDescent="0.25">
      <c r="C22" s="435" t="str">
        <f>'Lançamentos e Razonetes'!K73</f>
        <v>Desp. Depreciação</v>
      </c>
      <c r="D22" s="8" t="e">
        <f>-'Lançamentos e Razonetes'!K81</f>
        <v>#N/A</v>
      </c>
    </row>
    <row r="23" spans="3:6" x14ac:dyDescent="0.25">
      <c r="C23" s="435" t="str">
        <f>'Lançamentos e Razonetes'!N73</f>
        <v xml:space="preserve"> Energia Elétrica</v>
      </c>
      <c r="D23" s="8" t="e">
        <f>-'Lançamentos e Razonetes'!N81</f>
        <v>#N/A</v>
      </c>
    </row>
    <row r="24" spans="3:6" x14ac:dyDescent="0.25">
      <c r="C24" s="435" t="str">
        <f>'Lançamentos e Razonetes'!K83</f>
        <v xml:space="preserve"> Materiais Diversos</v>
      </c>
      <c r="D24" s="8" t="e">
        <f>-'Lançamentos e Razonetes'!K91</f>
        <v>#N/A</v>
      </c>
    </row>
    <row r="25" spans="3:6" x14ac:dyDescent="0.25">
      <c r="C25" s="435" t="str">
        <f>'Lançamentos e Razonetes'!Q93</f>
        <v xml:space="preserve"> Serviços de Terceiros</v>
      </c>
      <c r="D25" s="8">
        <f>-'Lançamentos e Razonetes'!Q101</f>
        <v>-500</v>
      </c>
    </row>
    <row r="26" spans="3:6" x14ac:dyDescent="0.25">
      <c r="C26" s="4" t="s">
        <v>934</v>
      </c>
      <c r="D26" s="8" t="e">
        <f>D15+D16</f>
        <v>#DIV/0!</v>
      </c>
    </row>
    <row r="27" spans="3:6" x14ac:dyDescent="0.25">
      <c r="C27" s="4" t="s">
        <v>10</v>
      </c>
      <c r="D27" s="8"/>
    </row>
    <row r="28" spans="3:6" x14ac:dyDescent="0.25">
      <c r="C28" s="25" t="str">
        <f>'Lançamentos e Razonetes'!T93</f>
        <v>Juros de Financiamentos</v>
      </c>
      <c r="D28" s="8">
        <f>-'Lançamentos e Razonetes'!T101</f>
        <v>0</v>
      </c>
    </row>
    <row r="29" spans="3:6" x14ac:dyDescent="0.25">
      <c r="C29" s="4" t="s">
        <v>11</v>
      </c>
      <c r="D29" s="8" t="e">
        <f>SUM(D26,D28)</f>
        <v>#DIV/0!</v>
      </c>
      <c r="E29" s="251"/>
    </row>
    <row r="30" spans="3:6" x14ac:dyDescent="0.25">
      <c r="C30" s="4" t="s">
        <v>12</v>
      </c>
      <c r="D30" s="8" t="e">
        <f>-IF(D29&gt;0,D29*D35,0)</f>
        <v>#DIV/0!</v>
      </c>
    </row>
    <row r="31" spans="3:6" x14ac:dyDescent="0.25">
      <c r="C31" s="4" t="s">
        <v>15</v>
      </c>
      <c r="D31" s="8" t="e">
        <f>-IF(D29&gt;0,D29*D36,0)</f>
        <v>#DIV/0!</v>
      </c>
    </row>
    <row r="32" spans="3:6" x14ac:dyDescent="0.25">
      <c r="C32" s="436" t="s">
        <v>16</v>
      </c>
      <c r="D32" s="481" t="e">
        <f>SUM(D29:D31)</f>
        <v>#DIV/0!</v>
      </c>
    </row>
    <row r="35" spans="3:4" x14ac:dyDescent="0.25">
      <c r="C35" s="482" t="s">
        <v>950</v>
      </c>
      <c r="D35" s="483">
        <v>0.15</v>
      </c>
    </row>
    <row r="36" spans="3:4" x14ac:dyDescent="0.25">
      <c r="C36" s="482" t="s">
        <v>951</v>
      </c>
      <c r="D36" s="483">
        <v>0.09</v>
      </c>
    </row>
  </sheetData>
  <mergeCells count="2">
    <mergeCell ref="C1:D1"/>
    <mergeCell ref="C12:D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55"/>
  <sheetViews>
    <sheetView topLeftCell="B140" zoomScale="70" zoomScaleNormal="70" workbookViewId="0">
      <selection activeCell="H15" sqref="H15"/>
    </sheetView>
  </sheetViews>
  <sheetFormatPr defaultRowHeight="15.75" x14ac:dyDescent="0.25"/>
  <cols>
    <col min="1" max="1" width="32.28515625" style="4" customWidth="1"/>
    <col min="2" max="2" width="6.28515625" style="4" customWidth="1"/>
    <col min="3" max="3" width="74.5703125" style="4" customWidth="1"/>
    <col min="4" max="4" width="16.85546875" style="471" bestFit="1" customWidth="1"/>
    <col min="5" max="5" width="14.5703125" style="4" bestFit="1" customWidth="1"/>
    <col min="6" max="6" width="38.28515625" style="4" bestFit="1" customWidth="1"/>
    <col min="7" max="7" width="19.28515625" style="4" bestFit="1" customWidth="1"/>
    <col min="8" max="8" width="22.42578125" style="4" bestFit="1" customWidth="1"/>
    <col min="9" max="9" width="41.85546875" style="4" bestFit="1" customWidth="1"/>
    <col min="10" max="10" width="18.85546875" style="4" bestFit="1" customWidth="1"/>
    <col min="11" max="16384" width="9.140625" style="4"/>
  </cols>
  <sheetData>
    <row r="1" spans="1:16" x14ac:dyDescent="0.25">
      <c r="A1" s="372" t="s">
        <v>675</v>
      </c>
    </row>
    <row r="2" spans="1:16" ht="18.75" x14ac:dyDescent="0.3">
      <c r="H2" s="224"/>
      <c r="O2" s="21"/>
      <c r="P2" s="21"/>
    </row>
    <row r="3" spans="1:16" ht="22.5" x14ac:dyDescent="0.3">
      <c r="D3" s="710" t="s">
        <v>1076</v>
      </c>
      <c r="E3" s="710"/>
      <c r="F3" s="710"/>
      <c r="O3" s="21"/>
      <c r="P3" s="21"/>
    </row>
    <row r="4" spans="1:16" ht="18.75" x14ac:dyDescent="0.3">
      <c r="D4" s="711" t="s">
        <v>1004</v>
      </c>
      <c r="E4" s="712"/>
      <c r="F4" s="567" t="e">
        <f>D68</f>
        <v>#DIV/0!</v>
      </c>
      <c r="O4" s="21"/>
      <c r="P4" s="21"/>
    </row>
    <row r="5" spans="1:16" ht="18.75" x14ac:dyDescent="0.3">
      <c r="D5" s="711" t="s">
        <v>129</v>
      </c>
      <c r="E5" s="712"/>
      <c r="F5" s="567" t="e">
        <f>D73</f>
        <v>#DIV/0!</v>
      </c>
      <c r="O5" s="21"/>
      <c r="P5" s="21"/>
    </row>
    <row r="6" spans="1:16" ht="18.75" x14ac:dyDescent="0.3">
      <c r="D6" s="711" t="s">
        <v>1014</v>
      </c>
      <c r="E6" s="712"/>
      <c r="F6" s="568" t="e">
        <f>D87</f>
        <v>#DIV/0!</v>
      </c>
      <c r="O6" s="21"/>
      <c r="P6" s="21"/>
    </row>
    <row r="7" spans="1:16" ht="18.75" x14ac:dyDescent="0.3">
      <c r="D7" s="711" t="s">
        <v>1064</v>
      </c>
      <c r="E7" s="712"/>
      <c r="F7" s="569" t="e">
        <f>D114</f>
        <v>#N/A</v>
      </c>
      <c r="P7" s="471"/>
    </row>
    <row r="8" spans="1:16" ht="18.75" x14ac:dyDescent="0.3">
      <c r="D8" s="711" t="s">
        <v>130</v>
      </c>
      <c r="E8" s="712"/>
      <c r="F8" s="567" t="e">
        <f>D145</f>
        <v>#DIV/0!</v>
      </c>
      <c r="P8" s="471"/>
    </row>
    <row r="9" spans="1:16" ht="18.75" x14ac:dyDescent="0.3">
      <c r="D9" s="711" t="s">
        <v>131</v>
      </c>
      <c r="E9" s="712"/>
      <c r="F9" s="570" t="e">
        <f>D150</f>
        <v>#DIV/0!</v>
      </c>
    </row>
    <row r="10" spans="1:16" ht="18.75" x14ac:dyDescent="0.3">
      <c r="D10" s="711" t="s">
        <v>1074</v>
      </c>
      <c r="E10" s="712"/>
      <c r="F10" s="568" t="e">
        <f>D155</f>
        <v>#DIV/0!</v>
      </c>
    </row>
    <row r="16" spans="1:16" ht="16.5" thickBot="1" x14ac:dyDescent="0.3"/>
    <row r="17" spans="3:10" ht="21" thickBot="1" x14ac:dyDescent="0.35">
      <c r="C17" s="707" t="s">
        <v>1016</v>
      </c>
      <c r="D17" s="708"/>
      <c r="E17" s="708"/>
      <c r="F17" s="708"/>
      <c r="G17" s="708"/>
      <c r="H17" s="709"/>
    </row>
    <row r="19" spans="3:10" x14ac:dyDescent="0.25">
      <c r="C19" s="503" t="s">
        <v>984</v>
      </c>
      <c r="D19" s="504" t="e">
        <f>DRE!D32</f>
        <v>#DIV/0!</v>
      </c>
      <c r="G19" s="517" t="s">
        <v>998</v>
      </c>
      <c r="H19" s="515" t="e">
        <f>'Balanço Patrimonial'!D21</f>
        <v>#N/A</v>
      </c>
      <c r="I19" s="517" t="s">
        <v>999</v>
      </c>
      <c r="J19" s="515" t="e">
        <f>SUM(J20:J22)</f>
        <v>#DIV/0!</v>
      </c>
    </row>
    <row r="20" spans="3:10" x14ac:dyDescent="0.25">
      <c r="C20" s="503" t="s">
        <v>623</v>
      </c>
      <c r="D20" s="505" t="e">
        <f>'Balanço Patrimonial'!G29</f>
        <v>#DIV/0!</v>
      </c>
      <c r="G20" s="511"/>
      <c r="H20" s="511"/>
      <c r="I20" s="514" t="str">
        <f>'Balanço Patrimonial'!F9</f>
        <v>Obrigações Trabalhistas e Previdenciárias</v>
      </c>
      <c r="J20" s="518">
        <f>'Balanço Patrimonial'!G9</f>
        <v>17888.043922222223</v>
      </c>
    </row>
    <row r="21" spans="3:10" x14ac:dyDescent="0.25">
      <c r="G21" s="511"/>
      <c r="H21" s="511"/>
      <c r="I21" s="514" t="str">
        <f>'Balanço Patrimonial'!F15</f>
        <v>Encargos Sociais e Previdenciários a Recolher</v>
      </c>
      <c r="J21" s="518">
        <f>'Balanço Patrimonial'!G15</f>
        <v>7353.0380000000005</v>
      </c>
    </row>
    <row r="22" spans="3:10" x14ac:dyDescent="0.25">
      <c r="C22" s="372" t="s">
        <v>985</v>
      </c>
      <c r="G22" s="511"/>
      <c r="H22" s="511"/>
      <c r="I22" s="514" t="str">
        <f>'Balanço Patrimonial'!F18</f>
        <v>Passivo Fiscal Corrente - Tributos a Recolher</v>
      </c>
      <c r="J22" s="518" t="e">
        <f>'Balanço Patrimonial'!G18</f>
        <v>#DIV/0!</v>
      </c>
    </row>
    <row r="23" spans="3:10" x14ac:dyDescent="0.25">
      <c r="C23" s="4" t="str">
        <f>DRE!C13</f>
        <v>Receita Líquida de Vendas</v>
      </c>
      <c r="D23" s="8" t="e">
        <f>DRE!D13</f>
        <v>#DIV/0!</v>
      </c>
      <c r="G23" s="511"/>
      <c r="H23" s="511"/>
      <c r="I23" s="511"/>
      <c r="J23" s="511"/>
    </row>
    <row r="24" spans="3:10" x14ac:dyDescent="0.25">
      <c r="C24" s="4" t="str">
        <f>DRE!C14</f>
        <v>(-) Custo da Mercadoria Vendida</v>
      </c>
      <c r="D24" s="8" t="e">
        <f>DRE!D14</f>
        <v>#DIV/0!</v>
      </c>
      <c r="G24" s="511"/>
      <c r="H24" s="511"/>
      <c r="I24" s="517" t="s">
        <v>1000</v>
      </c>
      <c r="J24" s="512">
        <f>SUM(J25)</f>
        <v>0</v>
      </c>
    </row>
    <row r="25" spans="3:10" x14ac:dyDescent="0.25">
      <c r="C25" s="4" t="str">
        <f>DRE!C15</f>
        <v>(=) Lucro Bruto</v>
      </c>
      <c r="D25" s="8" t="e">
        <f>DRE!D15</f>
        <v>#DIV/0!</v>
      </c>
      <c r="G25" s="511"/>
      <c r="H25" s="511"/>
      <c r="I25" s="519" t="str">
        <f>'Balanço Patrimonial'!F6</f>
        <v>Empréstimos e Financiamentos</v>
      </c>
      <c r="J25" s="516">
        <f>'Balanço Patrimonial'!G6</f>
        <v>0</v>
      </c>
    </row>
    <row r="26" spans="3:10" x14ac:dyDescent="0.25">
      <c r="C26" s="4" t="str">
        <f>DRE!C16</f>
        <v>Despesa Administrativas e comerciais</v>
      </c>
      <c r="D26" s="8" t="e">
        <f>DRE!D16</f>
        <v>#N/A</v>
      </c>
      <c r="G26" s="511"/>
      <c r="H26" s="511"/>
      <c r="I26" s="511"/>
      <c r="J26" s="511"/>
    </row>
    <row r="27" spans="3:10" x14ac:dyDescent="0.25">
      <c r="C27" s="4" t="str">
        <f>DRE!C17</f>
        <v xml:space="preserve"> Salários</v>
      </c>
      <c r="D27" s="8">
        <f>DRE!D17</f>
        <v>-6000</v>
      </c>
      <c r="G27" s="511"/>
      <c r="H27" s="511"/>
      <c r="I27" s="517" t="s">
        <v>623</v>
      </c>
      <c r="J27" s="512" t="e">
        <f>'Balanço Patrimonial'!G29</f>
        <v>#DIV/0!</v>
      </c>
    </row>
    <row r="28" spans="3:10" x14ac:dyDescent="0.25">
      <c r="C28" s="4" t="str">
        <f>DRE!C18</f>
        <v xml:space="preserve"> Décimo Terceiro Salário</v>
      </c>
      <c r="D28" s="8">
        <f>DRE!D18</f>
        <v>-676</v>
      </c>
      <c r="G28" s="520" t="s">
        <v>564</v>
      </c>
      <c r="H28" s="513" t="e">
        <f>SUM(H19)</f>
        <v>#N/A</v>
      </c>
      <c r="I28" s="520" t="s">
        <v>564</v>
      </c>
      <c r="J28" s="513" t="e">
        <f>SUM(J19,J24,J27)</f>
        <v>#DIV/0!</v>
      </c>
    </row>
    <row r="29" spans="3:10" x14ac:dyDescent="0.25">
      <c r="C29" s="4" t="str">
        <f>DRE!C19</f>
        <v xml:space="preserve"> Férias</v>
      </c>
      <c r="D29" s="8">
        <f>DRE!D19</f>
        <v>-901.33333333333337</v>
      </c>
    </row>
    <row r="30" spans="3:10" x14ac:dyDescent="0.25">
      <c r="C30" s="4" t="str">
        <f>DRE!C20</f>
        <v xml:space="preserve"> Fundo de Garantia do Tempo de Serviço FGTS (DRE)</v>
      </c>
      <c r="D30" s="8">
        <f>DRE!D20</f>
        <v>-480</v>
      </c>
      <c r="G30" s="706" t="s">
        <v>1001</v>
      </c>
      <c r="H30" s="706"/>
      <c r="I30" s="706"/>
      <c r="J30" s="706"/>
    </row>
    <row r="31" spans="3:10" x14ac:dyDescent="0.25">
      <c r="C31" s="4" t="str">
        <f>DRE!C21</f>
        <v xml:space="preserve"> Instituto Nacional de Seguridade Social - INSS  (DRE)</v>
      </c>
      <c r="D31" s="8">
        <f>DRE!D21</f>
        <v>-1632.0000000000002</v>
      </c>
      <c r="H31" s="11" t="e">
        <f>H19</f>
        <v>#N/A</v>
      </c>
    </row>
    <row r="32" spans="3:10" x14ac:dyDescent="0.25">
      <c r="C32" s="4" t="str">
        <f>DRE!C22</f>
        <v>Desp. Depreciação</v>
      </c>
      <c r="D32" s="8" t="e">
        <f>DRE!D22</f>
        <v>#N/A</v>
      </c>
      <c r="H32" s="11" t="e">
        <f>-J19</f>
        <v>#DIV/0!</v>
      </c>
    </row>
    <row r="33" spans="2:17" x14ac:dyDescent="0.25">
      <c r="C33" s="4" t="str">
        <f>DRE!C23</f>
        <v xml:space="preserve"> Energia Elétrica</v>
      </c>
      <c r="D33" s="8" t="e">
        <f>DRE!D23</f>
        <v>#N/A</v>
      </c>
      <c r="F33" s="501"/>
      <c r="G33" s="521" t="s">
        <v>1002</v>
      </c>
      <c r="H33" s="522" t="e">
        <f>SUM(H31:H32)</f>
        <v>#N/A</v>
      </c>
      <c r="I33" s="189"/>
    </row>
    <row r="34" spans="2:17" x14ac:dyDescent="0.25">
      <c r="C34" s="4" t="str">
        <f>DRE!C24</f>
        <v xml:space="preserve"> Materiais Diversos</v>
      </c>
      <c r="D34" s="8" t="e">
        <f>DRE!D24</f>
        <v>#N/A</v>
      </c>
      <c r="F34" s="501"/>
      <c r="G34" s="523" t="s">
        <v>1000</v>
      </c>
      <c r="H34" s="524">
        <f>J24</f>
        <v>0</v>
      </c>
    </row>
    <row r="35" spans="2:17" ht="18.75" x14ac:dyDescent="0.3">
      <c r="C35" s="4" t="str">
        <f>DRE!C25</f>
        <v xml:space="preserve"> Serviços de Terceiros</v>
      </c>
      <c r="D35" s="8">
        <f>DRE!D25</f>
        <v>-500</v>
      </c>
      <c r="I35" s="713" t="s">
        <v>1065</v>
      </c>
      <c r="J35" s="713"/>
      <c r="K35" s="713"/>
      <c r="L35" s="713"/>
      <c r="M35" s="713"/>
      <c r="N35" s="713"/>
      <c r="O35" s="713"/>
      <c r="P35" s="713"/>
      <c r="Q35" s="713"/>
    </row>
    <row r="36" spans="2:17" x14ac:dyDescent="0.25">
      <c r="C36" s="4" t="str">
        <f>DRE!C26</f>
        <v>(=) Lucro operacional antes do resultado financeiro</v>
      </c>
      <c r="D36" s="8" t="e">
        <f>DRE!D26</f>
        <v>#DIV/0!</v>
      </c>
    </row>
    <row r="37" spans="2:17" x14ac:dyDescent="0.25">
      <c r="C37" s="493" t="str">
        <f>DRE!C27</f>
        <v>Despesas Financeiras</v>
      </c>
      <c r="D37" s="493"/>
    </row>
    <row r="38" spans="2:17" x14ac:dyDescent="0.25">
      <c r="C38" s="494" t="str">
        <f>DRE!C28</f>
        <v>Juros de Financiamentos</v>
      </c>
      <c r="D38" s="495">
        <f>DRE!D28</f>
        <v>0</v>
      </c>
    </row>
    <row r="39" spans="2:17" x14ac:dyDescent="0.25">
      <c r="C39" s="4" t="str">
        <f>DRE!C29</f>
        <v>(=) LAIR</v>
      </c>
      <c r="D39" s="8" t="e">
        <f>DRE!D29</f>
        <v>#DIV/0!</v>
      </c>
    </row>
    <row r="40" spans="2:17" x14ac:dyDescent="0.25">
      <c r="C40" s="4" t="str">
        <f>DRE!C30</f>
        <v>(-) IRPJ</v>
      </c>
      <c r="D40" s="8" t="e">
        <f>DRE!D30</f>
        <v>#DIV/0!</v>
      </c>
    </row>
    <row r="41" spans="2:17" x14ac:dyDescent="0.25">
      <c r="C41" s="4" t="str">
        <f>DRE!C31</f>
        <v>(-) CSLL</v>
      </c>
      <c r="D41" s="8" t="e">
        <f>DRE!D31</f>
        <v>#DIV/0!</v>
      </c>
    </row>
    <row r="42" spans="2:17" x14ac:dyDescent="0.25">
      <c r="C42" s="4" t="str">
        <f>DRE!C32</f>
        <v>(=) Lucro Líquido</v>
      </c>
      <c r="D42" s="507" t="e">
        <f>DRE!D32</f>
        <v>#DIV/0!</v>
      </c>
    </row>
    <row r="44" spans="2:17" x14ac:dyDescent="0.25">
      <c r="C44" s="604" t="s">
        <v>989</v>
      </c>
      <c r="D44" s="604"/>
    </row>
    <row r="45" spans="2:17" x14ac:dyDescent="0.25">
      <c r="C45" s="4" t="str">
        <f>C23</f>
        <v>Receita Líquida de Vendas</v>
      </c>
      <c r="D45" s="8" t="e">
        <f>D23</f>
        <v>#DIV/0!</v>
      </c>
    </row>
    <row r="46" spans="2:17" ht="16.5" thickBot="1" x14ac:dyDescent="0.3">
      <c r="C46" s="4" t="str">
        <f t="shared" ref="C46:D46" si="0">C24</f>
        <v>(-) Custo da Mercadoria Vendida</v>
      </c>
      <c r="D46" s="8" t="e">
        <f t="shared" si="0"/>
        <v>#DIV/0!</v>
      </c>
    </row>
    <row r="47" spans="2:17" x14ac:dyDescent="0.25">
      <c r="B47" s="528"/>
      <c r="C47" s="4" t="str">
        <f t="shared" ref="C47:D47" si="1">C25</f>
        <v>(=) Lucro Bruto</v>
      </c>
      <c r="D47" s="8" t="e">
        <f t="shared" si="1"/>
        <v>#DIV/0!</v>
      </c>
    </row>
    <row r="48" spans="2:17" x14ac:dyDescent="0.25">
      <c r="B48" s="532"/>
      <c r="C48" s="4" t="str">
        <f t="shared" ref="C48" si="2">C26</f>
        <v>Despesa Administrativas e comerciais</v>
      </c>
      <c r="D48" s="8" t="e">
        <f>D26</f>
        <v>#N/A</v>
      </c>
    </row>
    <row r="49" spans="2:7" x14ac:dyDescent="0.25">
      <c r="B49" s="532"/>
      <c r="C49" s="4" t="str">
        <f t="shared" ref="C49:D49" si="3">C27</f>
        <v xml:space="preserve"> Salários</v>
      </c>
      <c r="D49" s="8">
        <f t="shared" si="3"/>
        <v>-6000</v>
      </c>
    </row>
    <row r="50" spans="2:7" x14ac:dyDescent="0.25">
      <c r="B50" s="532"/>
      <c r="C50" s="4" t="str">
        <f t="shared" ref="C50:D50" si="4">C28</f>
        <v xml:space="preserve"> Décimo Terceiro Salário</v>
      </c>
      <c r="D50" s="8">
        <f t="shared" si="4"/>
        <v>-676</v>
      </c>
    </row>
    <row r="51" spans="2:7" x14ac:dyDescent="0.25">
      <c r="B51" s="532"/>
      <c r="C51" s="4" t="str">
        <f t="shared" ref="C51:D51" si="5">C29</f>
        <v xml:space="preserve"> Férias</v>
      </c>
      <c r="D51" s="8">
        <f t="shared" si="5"/>
        <v>-901.33333333333337</v>
      </c>
    </row>
    <row r="52" spans="2:7" x14ac:dyDescent="0.25">
      <c r="B52" s="532"/>
      <c r="C52" s="4" t="str">
        <f t="shared" ref="C52:D52" si="6">C30</f>
        <v xml:space="preserve"> Fundo de Garantia do Tempo de Serviço FGTS (DRE)</v>
      </c>
      <c r="D52" s="8">
        <f t="shared" si="6"/>
        <v>-480</v>
      </c>
    </row>
    <row r="53" spans="2:7" x14ac:dyDescent="0.25">
      <c r="B53" s="532"/>
      <c r="C53" s="4" t="str">
        <f>C31</f>
        <v xml:space="preserve"> Instituto Nacional de Seguridade Social - INSS  (DRE)</v>
      </c>
      <c r="D53" s="8">
        <f>D31</f>
        <v>-1632.0000000000002</v>
      </c>
    </row>
    <row r="54" spans="2:7" x14ac:dyDescent="0.25">
      <c r="B54" s="532"/>
      <c r="C54" s="4" t="str">
        <f t="shared" ref="C54:D54" si="7">C32</f>
        <v>Desp. Depreciação</v>
      </c>
      <c r="D54" s="8" t="e">
        <f t="shared" si="7"/>
        <v>#N/A</v>
      </c>
      <c r="F54" s="5" t="s">
        <v>986</v>
      </c>
      <c r="G54" s="362">
        <f>-D38</f>
        <v>0</v>
      </c>
    </row>
    <row r="55" spans="2:7" x14ac:dyDescent="0.25">
      <c r="B55" s="532"/>
      <c r="C55" s="4" t="str">
        <f t="shared" ref="C55:D55" si="8">C33</f>
        <v xml:space="preserve"> Energia Elétrica</v>
      </c>
      <c r="D55" s="8" t="e">
        <f t="shared" si="8"/>
        <v>#N/A</v>
      </c>
      <c r="F55" s="4" t="s">
        <v>987</v>
      </c>
      <c r="G55" s="11">
        <f>G54*34%</f>
        <v>0</v>
      </c>
    </row>
    <row r="56" spans="2:7" x14ac:dyDescent="0.25">
      <c r="B56" s="532"/>
      <c r="C56" s="4" t="str">
        <f t="shared" ref="C56:D56" si="9">C34</f>
        <v xml:space="preserve"> Materiais Diversos</v>
      </c>
      <c r="D56" s="8" t="e">
        <f t="shared" si="9"/>
        <v>#N/A</v>
      </c>
      <c r="F56" s="501" t="s">
        <v>988</v>
      </c>
      <c r="G56" s="506">
        <f>G54-G55</f>
        <v>0</v>
      </c>
    </row>
    <row r="57" spans="2:7" x14ac:dyDescent="0.25">
      <c r="B57" s="532"/>
      <c r="C57" s="4" t="str">
        <f>C35</f>
        <v xml:space="preserve"> Serviços de Terceiros</v>
      </c>
      <c r="D57" s="8">
        <f>D35</f>
        <v>-500</v>
      </c>
    </row>
    <row r="58" spans="2:7" x14ac:dyDescent="0.25">
      <c r="B58" s="532"/>
      <c r="C58" s="4" t="s">
        <v>992</v>
      </c>
      <c r="D58" s="8" t="e">
        <f>D36</f>
        <v>#DIV/0!</v>
      </c>
      <c r="F58" s="4" t="s">
        <v>991</v>
      </c>
    </row>
    <row r="59" spans="2:7" x14ac:dyDescent="0.25">
      <c r="B59" s="532"/>
      <c r="C59" s="501" t="s">
        <v>993</v>
      </c>
      <c r="D59" s="502" t="e">
        <f>G62</f>
        <v>#DIV/0!</v>
      </c>
      <c r="F59" s="4" t="s">
        <v>990</v>
      </c>
      <c r="G59" s="11" t="e">
        <f>SUM(D40:D41)</f>
        <v>#DIV/0!</v>
      </c>
    </row>
    <row r="60" spans="2:7" x14ac:dyDescent="0.25">
      <c r="B60" s="532"/>
      <c r="C60" s="497" t="s">
        <v>994</v>
      </c>
      <c r="D60" s="498" t="e">
        <f>SUM(D58:D59)</f>
        <v>#DIV/0!</v>
      </c>
      <c r="F60" s="4" t="s">
        <v>997</v>
      </c>
      <c r="G60" s="8">
        <v>0</v>
      </c>
    </row>
    <row r="61" spans="2:7" x14ac:dyDescent="0.25">
      <c r="B61" s="532"/>
      <c r="C61" s="4" t="s">
        <v>995</v>
      </c>
      <c r="D61" s="490">
        <f>-G56</f>
        <v>0</v>
      </c>
      <c r="F61" s="509" t="s">
        <v>996</v>
      </c>
      <c r="G61" s="510">
        <f>-G55</f>
        <v>0</v>
      </c>
    </row>
    <row r="62" spans="2:7" x14ac:dyDescent="0.25">
      <c r="B62" s="532"/>
      <c r="C62" s="4" t="s">
        <v>16</v>
      </c>
      <c r="D62" s="508" t="e">
        <f>SUM(D60:D61)</f>
        <v>#DIV/0!</v>
      </c>
      <c r="E62" s="11"/>
      <c r="G62" s="500" t="e">
        <f>SUM(G59:G61)</f>
        <v>#DIV/0!</v>
      </c>
    </row>
    <row r="63" spans="2:7" ht="16.5" thickBot="1" x14ac:dyDescent="0.3">
      <c r="B63" s="532"/>
    </row>
    <row r="64" spans="2:7" ht="16.5" thickBot="1" x14ac:dyDescent="0.3">
      <c r="B64" s="536"/>
      <c r="C64" s="529"/>
      <c r="D64" s="530"/>
      <c r="E64" s="529"/>
      <c r="F64" s="529"/>
      <c r="G64" s="531"/>
    </row>
    <row r="65" spans="2:7" ht="18.75" x14ac:dyDescent="0.3">
      <c r="B65" s="526"/>
      <c r="C65" s="539" t="s">
        <v>1003</v>
      </c>
      <c r="D65" s="534"/>
      <c r="E65" s="533"/>
      <c r="F65" s="533"/>
      <c r="G65" s="535"/>
    </row>
    <row r="66" spans="2:7" x14ac:dyDescent="0.25">
      <c r="B66" s="526"/>
      <c r="C66" s="541" t="s">
        <v>1063</v>
      </c>
      <c r="D66" s="534"/>
      <c r="E66" s="533"/>
      <c r="F66" s="533"/>
      <c r="G66" s="535"/>
    </row>
    <row r="67" spans="2:7" ht="16.5" thickBot="1" x14ac:dyDescent="0.3">
      <c r="B67" s="526"/>
      <c r="C67" s="526"/>
      <c r="D67" s="534"/>
      <c r="E67" s="533"/>
      <c r="F67" s="533"/>
      <c r="G67" s="535"/>
    </row>
    <row r="68" spans="2:7" ht="16.5" thickBot="1" x14ac:dyDescent="0.3">
      <c r="B68" s="526"/>
      <c r="C68" s="542" t="s">
        <v>1004</v>
      </c>
      <c r="D68" s="545" t="e">
        <f>D60/H33</f>
        <v>#DIV/0!</v>
      </c>
      <c r="E68" s="533"/>
      <c r="F68" s="533"/>
      <c r="G68" s="535"/>
    </row>
    <row r="69" spans="2:7" x14ac:dyDescent="0.25">
      <c r="B69" s="526"/>
      <c r="C69" s="533"/>
      <c r="D69" s="534"/>
      <c r="E69" s="533"/>
      <c r="F69" s="533"/>
      <c r="G69" s="535"/>
    </row>
    <row r="70" spans="2:7" ht="18.75" x14ac:dyDescent="0.3">
      <c r="B70" s="526"/>
      <c r="C70" s="539" t="s">
        <v>1005</v>
      </c>
      <c r="D70" s="540"/>
      <c r="E70" s="533"/>
      <c r="F70" s="533"/>
      <c r="G70" s="535"/>
    </row>
    <row r="71" spans="2:7" ht="18.75" x14ac:dyDescent="0.3">
      <c r="B71" s="526"/>
      <c r="C71" s="541" t="s">
        <v>1007</v>
      </c>
      <c r="D71" s="540"/>
      <c r="E71" s="533"/>
      <c r="F71" s="533"/>
      <c r="G71" s="535"/>
    </row>
    <row r="72" spans="2:7" ht="19.5" thickBot="1" x14ac:dyDescent="0.35">
      <c r="B72" s="526"/>
      <c r="C72" s="539"/>
      <c r="D72" s="540"/>
      <c r="E72" s="533"/>
      <c r="F72" s="533"/>
      <c r="G72" s="535"/>
    </row>
    <row r="73" spans="2:7" ht="16.5" thickBot="1" x14ac:dyDescent="0.3">
      <c r="B73" s="533"/>
      <c r="C73" s="544" t="s">
        <v>1006</v>
      </c>
      <c r="D73" s="545" t="e">
        <f>D62/D20</f>
        <v>#DIV/0!</v>
      </c>
      <c r="E73" s="533"/>
      <c r="F73" s="533"/>
      <c r="G73" s="535"/>
    </row>
    <row r="74" spans="2:7" x14ac:dyDescent="0.25">
      <c r="B74" s="526"/>
      <c r="C74" s="533"/>
      <c r="D74" s="534"/>
      <c r="E74" s="533"/>
      <c r="F74" s="533"/>
      <c r="G74" s="535"/>
    </row>
    <row r="75" spans="2:7" ht="18.75" x14ac:dyDescent="0.3">
      <c r="B75" s="526"/>
      <c r="C75" s="539" t="s">
        <v>1008</v>
      </c>
      <c r="D75" s="534"/>
      <c r="E75" s="533"/>
      <c r="F75" s="533"/>
      <c r="G75" s="535"/>
    </row>
    <row r="76" spans="2:7" x14ac:dyDescent="0.25">
      <c r="B76" s="526"/>
      <c r="C76" s="533" t="s">
        <v>1009</v>
      </c>
      <c r="D76" s="534"/>
      <c r="E76" s="533"/>
      <c r="F76" s="533"/>
      <c r="G76" s="535"/>
    </row>
    <row r="77" spans="2:7" ht="16.5" thickBot="1" x14ac:dyDescent="0.3">
      <c r="B77" s="526"/>
      <c r="C77" s="533"/>
      <c r="D77" s="534"/>
      <c r="E77" s="533"/>
      <c r="F77" s="533"/>
      <c r="G77" s="535"/>
    </row>
    <row r="78" spans="2:7" ht="16.5" thickBot="1" x14ac:dyDescent="0.3">
      <c r="B78" s="526"/>
      <c r="C78" s="542" t="s">
        <v>1010</v>
      </c>
      <c r="D78" s="545" t="e">
        <f>G56/J24</f>
        <v>#DIV/0!</v>
      </c>
      <c r="E78" s="533"/>
      <c r="F78" s="533"/>
      <c r="G78" s="535"/>
    </row>
    <row r="79" spans="2:7" x14ac:dyDescent="0.25">
      <c r="B79" s="526"/>
      <c r="C79" s="533"/>
      <c r="D79" s="534"/>
      <c r="E79" s="533"/>
      <c r="F79" s="533"/>
      <c r="G79" s="535"/>
    </row>
    <row r="80" spans="2:7" x14ac:dyDescent="0.25">
      <c r="B80" s="526"/>
      <c r="C80" s="533" t="s">
        <v>1011</v>
      </c>
      <c r="D80" s="534"/>
      <c r="E80" s="533"/>
      <c r="F80" s="533"/>
      <c r="G80" s="535"/>
    </row>
    <row r="81" spans="2:7" ht="16.5" thickBot="1" x14ac:dyDescent="0.3">
      <c r="B81" s="526"/>
      <c r="C81" s="533" t="s">
        <v>1012</v>
      </c>
      <c r="D81" s="534"/>
      <c r="E81" s="537"/>
      <c r="F81" s="537"/>
      <c r="G81" s="538"/>
    </row>
    <row r="82" spans="2:7" ht="16.5" thickBot="1" x14ac:dyDescent="0.3">
      <c r="B82" s="526"/>
      <c r="C82" s="533"/>
      <c r="D82" s="534"/>
      <c r="E82" s="526"/>
      <c r="F82" s="526"/>
      <c r="G82" s="526"/>
    </row>
    <row r="83" spans="2:7" ht="16.5" thickBot="1" x14ac:dyDescent="0.3">
      <c r="B83" s="526"/>
      <c r="C83" s="546" t="s">
        <v>1013</v>
      </c>
      <c r="D83" s="543" t="e">
        <f>D68-D78</f>
        <v>#DIV/0!</v>
      </c>
      <c r="E83" s="526"/>
      <c r="F83" s="526"/>
      <c r="G83" s="526"/>
    </row>
    <row r="84" spans="2:7" x14ac:dyDescent="0.25">
      <c r="B84" s="526"/>
      <c r="C84" s="526"/>
      <c r="D84" s="527"/>
      <c r="E84" s="526"/>
      <c r="F84" s="526"/>
      <c r="G84" s="526"/>
    </row>
    <row r="85" spans="2:7" x14ac:dyDescent="0.25">
      <c r="B85" s="526"/>
      <c r="C85" s="526" t="s">
        <v>1015</v>
      </c>
      <c r="D85" s="527"/>
      <c r="E85" s="526"/>
      <c r="F85" s="526"/>
      <c r="G85" s="526"/>
    </row>
    <row r="86" spans="2:7" ht="16.5" thickBot="1" x14ac:dyDescent="0.3">
      <c r="B86" s="526"/>
      <c r="C86" s="526"/>
      <c r="D86" s="527"/>
      <c r="E86" s="526"/>
      <c r="F86" s="526"/>
      <c r="G86" s="526"/>
    </row>
    <row r="87" spans="2:7" ht="16.5" thickBot="1" x14ac:dyDescent="0.3">
      <c r="B87" s="526"/>
      <c r="C87" s="542" t="s">
        <v>1014</v>
      </c>
      <c r="D87" s="547" t="e">
        <f>D73/D68</f>
        <v>#DIV/0!</v>
      </c>
      <c r="E87" s="526"/>
      <c r="F87" s="526"/>
      <c r="G87" s="526"/>
    </row>
    <row r="88" spans="2:7" x14ac:dyDescent="0.25">
      <c r="B88" s="526"/>
      <c r="C88" s="526"/>
      <c r="D88" s="527"/>
      <c r="E88" s="526"/>
      <c r="F88" s="526"/>
      <c r="G88" s="526"/>
    </row>
    <row r="90" spans="2:7" x14ac:dyDescent="0.25">
      <c r="C90" s="374" t="s">
        <v>1017</v>
      </c>
      <c r="D90" s="549"/>
      <c r="E90" s="549"/>
      <c r="F90" s="549"/>
      <c r="G90" s="549"/>
    </row>
    <row r="91" spans="2:7" x14ac:dyDescent="0.25">
      <c r="C91" s="4" t="s">
        <v>1018</v>
      </c>
      <c r="D91" s="491">
        <f>J24</f>
        <v>0</v>
      </c>
    </row>
    <row r="92" spans="2:7" x14ac:dyDescent="0.25">
      <c r="C92" s="375" t="s">
        <v>1004</v>
      </c>
      <c r="D92" s="471" t="e">
        <f>D68</f>
        <v>#DIV/0!</v>
      </c>
    </row>
    <row r="93" spans="2:7" x14ac:dyDescent="0.25">
      <c r="C93" s="550" t="s">
        <v>1019</v>
      </c>
      <c r="D93" s="551" t="e">
        <f>D91*D92</f>
        <v>#DIV/0!</v>
      </c>
      <c r="F93" s="4" t="str">
        <f>C93</f>
        <v>A empresa rende ($)</v>
      </c>
      <c r="G93" s="8" t="e">
        <f>D93</f>
        <v>#DIV/0!</v>
      </c>
    </row>
    <row r="94" spans="2:7" x14ac:dyDescent="0.25">
      <c r="F94" s="4" t="str">
        <f>C97</f>
        <v>Juros de financiamento</v>
      </c>
      <c r="G94" s="11" t="e">
        <f>-D97</f>
        <v>#DIV/0!</v>
      </c>
    </row>
    <row r="95" spans="2:7" x14ac:dyDescent="0.25">
      <c r="C95" s="4" t="s">
        <v>1020</v>
      </c>
      <c r="D95" s="491">
        <f>H34</f>
        <v>0</v>
      </c>
      <c r="F95" s="4" t="str">
        <f>C104</f>
        <v>Rentabilidade para os acionistas</v>
      </c>
      <c r="G95" s="8" t="e">
        <f>D104</f>
        <v>#DIV/0!</v>
      </c>
    </row>
    <row r="96" spans="2:7" x14ac:dyDescent="0.25">
      <c r="C96" s="4" t="s">
        <v>1021</v>
      </c>
      <c r="D96" s="471" t="e">
        <f>D78</f>
        <v>#DIV/0!</v>
      </c>
      <c r="F96" s="548" t="s">
        <v>1027</v>
      </c>
      <c r="G96" s="496" t="e">
        <f>SUM(G93:G95)</f>
        <v>#DIV/0!</v>
      </c>
    </row>
    <row r="97" spans="3:8" x14ac:dyDescent="0.25">
      <c r="C97" s="497" t="s">
        <v>1022</v>
      </c>
      <c r="D97" s="551" t="e">
        <f>D95*D96</f>
        <v>#DIV/0!</v>
      </c>
    </row>
    <row r="99" spans="3:8" x14ac:dyDescent="0.25">
      <c r="C99" s="4" t="s">
        <v>1024</v>
      </c>
      <c r="D99" s="8" t="e">
        <f>IF(D93&gt;D97,D93-D97,0)</f>
        <v>#DIV/0!</v>
      </c>
    </row>
    <row r="100" spans="3:8" x14ac:dyDescent="0.25">
      <c r="C100" s="4" t="s">
        <v>1023</v>
      </c>
      <c r="D100" s="8" t="e">
        <f>IF(D93&lt;D97,D93-D97,0)</f>
        <v>#DIV/0!</v>
      </c>
    </row>
    <row r="102" spans="3:8" x14ac:dyDescent="0.25">
      <c r="C102" s="4" t="s">
        <v>1025</v>
      </c>
      <c r="D102" s="491" t="e">
        <f>J27</f>
        <v>#DIV/0!</v>
      </c>
    </row>
    <row r="103" spans="3:8" x14ac:dyDescent="0.25">
      <c r="C103" s="4" t="s">
        <v>1004</v>
      </c>
      <c r="D103" s="471" t="e">
        <f>D68</f>
        <v>#DIV/0!</v>
      </c>
    </row>
    <row r="104" spans="3:8" x14ac:dyDescent="0.25">
      <c r="C104" s="497" t="s">
        <v>1026</v>
      </c>
      <c r="D104" s="551" t="e">
        <f>D102*D103</f>
        <v>#DIV/0!</v>
      </c>
    </row>
    <row r="106" spans="3:8" ht="16.5" thickBot="1" x14ac:dyDescent="0.3"/>
    <row r="107" spans="3:8" ht="21" thickBot="1" x14ac:dyDescent="0.35">
      <c r="C107" s="707" t="s">
        <v>128</v>
      </c>
      <c r="D107" s="708"/>
      <c r="E107" s="708"/>
      <c r="F107" s="708"/>
      <c r="G107" s="708"/>
      <c r="H107" s="709"/>
    </row>
    <row r="109" spans="3:8" x14ac:dyDescent="0.25">
      <c r="C109" s="4" t="s">
        <v>1029</v>
      </c>
    </row>
    <row r="110" spans="3:8" x14ac:dyDescent="0.25">
      <c r="C110" s="4" t="s">
        <v>1030</v>
      </c>
    </row>
    <row r="111" spans="3:8" x14ac:dyDescent="0.25">
      <c r="C111" s="4" t="s">
        <v>1031</v>
      </c>
    </row>
    <row r="113" spans="2:10" x14ac:dyDescent="0.25">
      <c r="C113" s="437" t="s">
        <v>1032</v>
      </c>
      <c r="D113" s="492" t="e">
        <f>'Balanço Patrimonial'!D4/'Balanço Patrimonial'!G3</f>
        <v>#N/A</v>
      </c>
    </row>
    <row r="114" spans="2:10" x14ac:dyDescent="0.25">
      <c r="C114" s="437" t="s">
        <v>1033</v>
      </c>
      <c r="D114" s="187" t="e">
        <f>'Balanço Patrimonial'!D3/'Balanço Patrimonial'!G3</f>
        <v>#N/A</v>
      </c>
    </row>
    <row r="115" spans="2:10" x14ac:dyDescent="0.25">
      <c r="C115" s="437" t="s">
        <v>1034</v>
      </c>
      <c r="D115" s="492"/>
    </row>
    <row r="119" spans="2:10" ht="16.5" thickBot="1" x14ac:dyDescent="0.3"/>
    <row r="120" spans="2:10" ht="21" thickBot="1" x14ac:dyDescent="0.35">
      <c r="C120" s="707" t="s">
        <v>130</v>
      </c>
      <c r="D120" s="708"/>
      <c r="E120" s="708"/>
      <c r="F120" s="708"/>
      <c r="G120" s="708"/>
      <c r="H120" s="709"/>
    </row>
    <row r="122" spans="2:10" ht="15.75" customHeight="1" thickBot="1" x14ac:dyDescent="0.3">
      <c r="F122" s="717" t="s">
        <v>1112</v>
      </c>
      <c r="G122" s="717"/>
      <c r="H122" s="717"/>
      <c r="I122" s="717"/>
    </row>
    <row r="123" spans="2:10" ht="15.75" customHeight="1" x14ac:dyDescent="0.25">
      <c r="B123" s="714" t="s">
        <v>621</v>
      </c>
      <c r="C123" s="5" t="str">
        <f>'Balanço Patrimonial'!C6</f>
        <v>Tributos a compensar</v>
      </c>
      <c r="D123" s="187" t="e">
        <f>'Balanço Patrimonial'!D6</f>
        <v>#N/A</v>
      </c>
      <c r="F123" s="717"/>
      <c r="G123" s="717"/>
      <c r="H123" s="717"/>
      <c r="I123" s="717"/>
    </row>
    <row r="124" spans="2:10" ht="15.75" customHeight="1" x14ac:dyDescent="0.25">
      <c r="B124" s="715"/>
      <c r="C124" s="4" t="str">
        <f>'Balanço Patrimonial'!C7</f>
        <v>ICMS a Compensar</v>
      </c>
      <c r="D124" s="8">
        <f>'Balanço Patrimonial'!D7</f>
        <v>0</v>
      </c>
      <c r="F124" s="717"/>
      <c r="G124" s="717"/>
      <c r="H124" s="717"/>
      <c r="I124" s="717"/>
    </row>
    <row r="125" spans="2:10" ht="15.75" customHeight="1" x14ac:dyDescent="0.25">
      <c r="B125" s="715"/>
      <c r="C125" s="4" t="str">
        <f>'Balanço Patrimonial'!C8</f>
        <v>IPI a Compensar</v>
      </c>
      <c r="D125" s="8">
        <f>'Balanço Patrimonial'!D8</f>
        <v>0</v>
      </c>
      <c r="F125" s="717"/>
      <c r="G125" s="717"/>
      <c r="H125" s="717"/>
      <c r="I125" s="717"/>
    </row>
    <row r="126" spans="2:10" x14ac:dyDescent="0.25">
      <c r="B126" s="715"/>
      <c r="C126" s="4" t="str">
        <f>'Balanço Patrimonial'!C9</f>
        <v>Pis/Pasep a Compensar</v>
      </c>
      <c r="D126" s="8" t="e">
        <f>'Balanço Patrimonial'!D9</f>
        <v>#N/A</v>
      </c>
      <c r="F126" s="21"/>
      <c r="G126" s="21"/>
      <c r="H126" s="21"/>
      <c r="I126" s="21"/>
      <c r="J126" s="21"/>
    </row>
    <row r="127" spans="2:10" ht="16.5" thickBot="1" x14ac:dyDescent="0.3">
      <c r="B127" s="716"/>
      <c r="C127" s="4" t="str">
        <f>'Balanço Patrimonial'!C10</f>
        <v>Contribuição para Financiamento da Seguridade Social - Cofins a Compensar</v>
      </c>
      <c r="D127" s="8" t="e">
        <f>'Balanço Patrimonial'!D10</f>
        <v>#N/A</v>
      </c>
      <c r="F127" s="3"/>
      <c r="G127" s="3"/>
      <c r="H127" s="3"/>
      <c r="I127" s="3"/>
      <c r="J127" s="21"/>
    </row>
    <row r="128" spans="2:10" ht="16.5" thickBot="1" x14ac:dyDescent="0.3">
      <c r="F128" s="3"/>
      <c r="G128" s="3"/>
      <c r="H128" s="3"/>
      <c r="I128" s="3"/>
      <c r="J128" s="21"/>
    </row>
    <row r="129" spans="2:10" ht="20.25" x14ac:dyDescent="0.55000000000000004">
      <c r="B129" s="714" t="s">
        <v>622</v>
      </c>
      <c r="C129" s="5" t="str">
        <f>'Balanço Patrimonial'!F15</f>
        <v>Encargos Sociais e Previdenciários a Recolher</v>
      </c>
      <c r="D129" s="560">
        <f>D130+D131</f>
        <v>5632</v>
      </c>
      <c r="F129" s="3"/>
      <c r="G129" s="3"/>
      <c r="H129" s="3"/>
      <c r="I129" s="3"/>
      <c r="J129" s="21"/>
    </row>
    <row r="130" spans="2:10" x14ac:dyDescent="0.25">
      <c r="B130" s="715"/>
      <c r="C130" s="4" t="str">
        <f>'Balanço Patrimonial'!F16</f>
        <v>Instituto Nacional de Seguridade Social - INSS</v>
      </c>
      <c r="D130" s="8">
        <f>'Balanço Patrimonial'!G16-Salários!U6</f>
        <v>4352</v>
      </c>
      <c r="F130" s="3"/>
      <c r="G130" s="3"/>
      <c r="H130" s="3"/>
      <c r="I130" s="3"/>
    </row>
    <row r="131" spans="2:10" x14ac:dyDescent="0.25">
      <c r="B131" s="715"/>
      <c r="C131" s="4" t="str">
        <f>'Balanço Patrimonial'!F17</f>
        <v>Fundo de Garantia por Tempo de Serviço - FGTS</v>
      </c>
      <c r="D131" s="8">
        <f>'Balanço Patrimonial'!G17</f>
        <v>1280</v>
      </c>
      <c r="F131" s="3"/>
      <c r="G131" s="3"/>
      <c r="H131" s="3"/>
      <c r="I131" s="3"/>
    </row>
    <row r="132" spans="2:10" ht="20.25" x14ac:dyDescent="0.55000000000000004">
      <c r="B132" s="715"/>
      <c r="C132" s="5" t="str">
        <f>'Balanço Patrimonial'!F18</f>
        <v>Passivo Fiscal Corrente - Tributos a Recolher</v>
      </c>
      <c r="D132" s="560" t="e">
        <f>'Balanço Patrimonial'!G18</f>
        <v>#DIV/0!</v>
      </c>
      <c r="F132" s="3"/>
      <c r="G132" s="3"/>
      <c r="H132" s="3"/>
      <c r="I132" s="3"/>
    </row>
    <row r="133" spans="2:10" x14ac:dyDescent="0.25">
      <c r="B133" s="715"/>
      <c r="C133" s="4" t="str">
        <f>'Balanço Patrimonial'!F19</f>
        <v>Imposto sobre Produtos Industrializados - IPI</v>
      </c>
      <c r="D133" s="8" t="e">
        <f>'Balanço Patrimonial'!G19</f>
        <v>#DIV/0!</v>
      </c>
      <c r="F133" s="133"/>
      <c r="H133" s="11"/>
    </row>
    <row r="134" spans="2:10" x14ac:dyDescent="0.25">
      <c r="B134" s="715"/>
      <c r="C134" s="4" t="str">
        <f>'Balanço Patrimonial'!F20</f>
        <v>Imposto sobre Circulação de Mercadorias e Serviços - ICMS</v>
      </c>
      <c r="D134" s="8" t="e">
        <f>'Balanço Patrimonial'!G20</f>
        <v>#DIV/0!</v>
      </c>
      <c r="F134" s="133"/>
      <c r="H134" s="11"/>
    </row>
    <row r="135" spans="2:10" x14ac:dyDescent="0.25">
      <c r="B135" s="715"/>
      <c r="C135" s="4" t="str">
        <f>'Balanço Patrimonial'!F21</f>
        <v>Imposto de Renda – IR</v>
      </c>
      <c r="D135" s="8" t="e">
        <f>'Balanço Patrimonial'!G21</f>
        <v>#DIV/0!</v>
      </c>
    </row>
    <row r="136" spans="2:10" x14ac:dyDescent="0.25">
      <c r="B136" s="715"/>
      <c r="C136" s="4" t="str">
        <f>'Balanço Patrimonial'!F22</f>
        <v>Contribuição Social sobre Lucro Líquido – CSLL</v>
      </c>
      <c r="D136" s="8" t="e">
        <f>'Balanço Patrimonial'!G22</f>
        <v>#DIV/0!</v>
      </c>
      <c r="H136" s="11"/>
    </row>
    <row r="137" spans="2:10" x14ac:dyDescent="0.25">
      <c r="B137" s="715"/>
      <c r="C137" s="4" t="str">
        <f>'Balanço Patrimonial'!F23</f>
        <v>Programa de Integração Social e do Programa de Formação do Patrimônio do Servidor Público - Pis/Pasep</v>
      </c>
      <c r="D137" s="8" t="e">
        <f>'Balanço Patrimonial'!G23</f>
        <v>#DIV/0!</v>
      </c>
      <c r="H137" s="11"/>
    </row>
    <row r="138" spans="2:10" x14ac:dyDescent="0.25">
      <c r="B138" s="715"/>
      <c r="C138" s="4" t="str">
        <f>'Balanço Patrimonial'!F24</f>
        <v>Contribuição para o Financiamento da Seguridade Social - Cofins</v>
      </c>
      <c r="D138" s="8" t="e">
        <f>'Balanço Patrimonial'!G24</f>
        <v>#DIV/0!</v>
      </c>
      <c r="H138" s="525"/>
    </row>
    <row r="139" spans="2:10" x14ac:dyDescent="0.25">
      <c r="B139" s="715"/>
      <c r="C139" s="4" t="str">
        <f>'Balanço Patrimonial'!F25</f>
        <v>Imposto sobre Serviço – ISS</v>
      </c>
      <c r="D139" s="8" t="str">
        <f>'Balanço Patrimonial'!G25</f>
        <v>-</v>
      </c>
    </row>
    <row r="140" spans="2:10" ht="16.5" thickBot="1" x14ac:dyDescent="0.3">
      <c r="B140" s="716"/>
      <c r="C140" s="4" t="str">
        <f>'Balanço Patrimonial'!F26</f>
        <v>Imposto de Renda Retido na Fonte - IRRF</v>
      </c>
      <c r="D140" s="8">
        <v>0</v>
      </c>
    </row>
    <row r="141" spans="2:10" x14ac:dyDescent="0.25">
      <c r="C141" s="5" t="s">
        <v>1110</v>
      </c>
      <c r="D141" s="492" t="e">
        <f>D129+D132</f>
        <v>#DIV/0!</v>
      </c>
    </row>
    <row r="142" spans="2:10" ht="16.5" thickBot="1" x14ac:dyDescent="0.3">
      <c r="C142" s="5" t="s">
        <v>1068</v>
      </c>
      <c r="D142" s="492" t="e">
        <f>-D123</f>
        <v>#N/A</v>
      </c>
    </row>
    <row r="143" spans="2:10" ht="16.5" thickBot="1" x14ac:dyDescent="0.3">
      <c r="C143" s="561" t="s">
        <v>1111</v>
      </c>
      <c r="D143" s="562" t="e">
        <f>SUM(D141:D142)</f>
        <v>#DIV/0!</v>
      </c>
    </row>
    <row r="145" spans="3:8" x14ac:dyDescent="0.25">
      <c r="C145" s="4" t="s">
        <v>1069</v>
      </c>
      <c r="D145" s="566" t="e">
        <f>D143/DRE!D2</f>
        <v>#DIV/0!</v>
      </c>
    </row>
    <row r="146" spans="3:8" ht="16.5" thickBot="1" x14ac:dyDescent="0.3"/>
    <row r="147" spans="3:8" ht="21" thickBot="1" x14ac:dyDescent="0.35">
      <c r="C147" s="707" t="s">
        <v>1028</v>
      </c>
      <c r="D147" s="708"/>
      <c r="E147" s="708"/>
      <c r="F147" s="708"/>
      <c r="G147" s="708"/>
      <c r="H147" s="709"/>
    </row>
    <row r="149" spans="3:8" x14ac:dyDescent="0.25">
      <c r="C149" s="4" t="s">
        <v>1067</v>
      </c>
    </row>
    <row r="150" spans="3:8" x14ac:dyDescent="0.25">
      <c r="C150" s="133" t="s">
        <v>1066</v>
      </c>
      <c r="D150" s="471" t="e">
        <f>DRE!D32/DRE!D2</f>
        <v>#DIV/0!</v>
      </c>
    </row>
    <row r="152" spans="3:8" ht="16.5" thickBot="1" x14ac:dyDescent="0.3"/>
    <row r="153" spans="3:8" ht="21" thickBot="1" x14ac:dyDescent="0.35">
      <c r="C153" s="707" t="s">
        <v>1075</v>
      </c>
      <c r="D153" s="708"/>
      <c r="E153" s="708"/>
      <c r="F153" s="708"/>
      <c r="G153" s="708"/>
      <c r="H153" s="709"/>
    </row>
    <row r="155" spans="3:8" x14ac:dyDescent="0.25">
      <c r="C155" s="4" t="s">
        <v>1073</v>
      </c>
      <c r="D155" s="563" t="e">
        <f>('Balanço Patrimonial'!D12/-DRE!D14)*360</f>
        <v>#DIV/0!</v>
      </c>
    </row>
  </sheetData>
  <mergeCells count="19">
    <mergeCell ref="C153:H153"/>
    <mergeCell ref="C147:H147"/>
    <mergeCell ref="I35:Q35"/>
    <mergeCell ref="B123:B127"/>
    <mergeCell ref="B129:B140"/>
    <mergeCell ref="F122:I125"/>
    <mergeCell ref="C44:D44"/>
    <mergeCell ref="G30:J30"/>
    <mergeCell ref="C17:H17"/>
    <mergeCell ref="C120:H120"/>
    <mergeCell ref="C107:H107"/>
    <mergeCell ref="D3:F3"/>
    <mergeCell ref="D4:E4"/>
    <mergeCell ref="D5:E5"/>
    <mergeCell ref="D6:E6"/>
    <mergeCell ref="D7:E7"/>
    <mergeCell ref="D8:E8"/>
    <mergeCell ref="D9:E9"/>
    <mergeCell ref="D10:E10"/>
  </mergeCells>
  <pageMargins left="0.511811024" right="0.511811024" top="0.78740157499999996" bottom="0.78740157499999996" header="0.31496062000000002" footer="0.31496062000000002"/>
  <ignoredErrors>
    <ignoredError sqref="D6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>
    <tabColor rgb="FFFFC000"/>
  </sheetPr>
  <dimension ref="A1:P83"/>
  <sheetViews>
    <sheetView tabSelected="1" zoomScale="80" zoomScaleNormal="80" workbookViewId="0">
      <pane xSplit="1" topLeftCell="B1" activePane="topRight" state="frozen"/>
      <selection pane="topRight" activeCell="F14" sqref="F14"/>
    </sheetView>
  </sheetViews>
  <sheetFormatPr defaultRowHeight="15.75" x14ac:dyDescent="0.25"/>
  <cols>
    <col min="1" max="1" width="34.85546875" style="4" customWidth="1"/>
    <col min="2" max="2" width="6" style="4" customWidth="1"/>
    <col min="3" max="3" width="2.85546875" style="4" customWidth="1"/>
    <col min="4" max="4" width="29.28515625" style="4" customWidth="1"/>
    <col min="5" max="5" width="20.7109375" style="4" bestFit="1" customWidth="1"/>
    <col min="6" max="6" width="19.5703125" style="4" bestFit="1" customWidth="1"/>
    <col min="7" max="7" width="10.140625" style="4" customWidth="1"/>
    <col min="8" max="8" width="9.140625" style="4"/>
    <col min="9" max="9" width="11.28515625" style="4" customWidth="1"/>
    <col min="10" max="10" width="9.7109375" style="4" bestFit="1" customWidth="1"/>
    <col min="11" max="11" width="10" style="4" customWidth="1"/>
    <col min="12" max="12" width="11.28515625" style="4" customWidth="1"/>
    <col min="13" max="13" width="9.140625" style="4"/>
    <col min="14" max="14" width="9.85546875" style="4" bestFit="1" customWidth="1"/>
    <col min="15" max="16384" width="9.140625" style="4"/>
  </cols>
  <sheetData>
    <row r="1" spans="1:5" ht="18.75" x14ac:dyDescent="0.3">
      <c r="A1" s="372" t="s">
        <v>981</v>
      </c>
      <c r="D1" s="249" t="s">
        <v>137</v>
      </c>
      <c r="E1" s="378"/>
    </row>
    <row r="2" spans="1:5" x14ac:dyDescent="0.25">
      <c r="D2" s="4" t="s">
        <v>626</v>
      </c>
      <c r="E2" s="14">
        <v>550000</v>
      </c>
    </row>
    <row r="3" spans="1:5" x14ac:dyDescent="0.25">
      <c r="D3" s="5" t="s">
        <v>630</v>
      </c>
      <c r="E3" s="602" t="s">
        <v>631</v>
      </c>
    </row>
    <row r="4" spans="1:5" x14ac:dyDescent="0.25">
      <c r="D4" s="603" t="s">
        <v>1082</v>
      </c>
      <c r="E4" s="603"/>
    </row>
    <row r="5" spans="1:5" x14ac:dyDescent="0.25">
      <c r="D5" s="5" t="s">
        <v>1</v>
      </c>
    </row>
    <row r="6" spans="1:5" ht="17.25" customHeight="1" x14ac:dyDescent="0.25">
      <c r="D6" s="4" t="s">
        <v>2</v>
      </c>
      <c r="E6" s="320"/>
    </row>
    <row r="7" spans="1:5" x14ac:dyDescent="0.25">
      <c r="D7" s="4" t="s">
        <v>3</v>
      </c>
      <c r="E7" s="6" t="e">
        <f>VLOOKUP(E6,Parâmetros!B3:E28,4)</f>
        <v>#N/A</v>
      </c>
    </row>
    <row r="8" spans="1:5" x14ac:dyDescent="0.25">
      <c r="D8" s="4" t="s">
        <v>132</v>
      </c>
      <c r="E8" s="4" t="s">
        <v>139</v>
      </c>
    </row>
    <row r="10" spans="1:5" x14ac:dyDescent="0.25">
      <c r="D10" s="4" t="s">
        <v>140</v>
      </c>
    </row>
    <row r="12" spans="1:5" x14ac:dyDescent="0.25">
      <c r="E12" s="7" t="s">
        <v>144</v>
      </c>
    </row>
    <row r="13" spans="1:5" x14ac:dyDescent="0.25">
      <c r="E13" s="7" t="s">
        <v>133</v>
      </c>
    </row>
    <row r="14" spans="1:5" x14ac:dyDescent="0.25">
      <c r="D14" s="4" t="s">
        <v>908</v>
      </c>
      <c r="E14" s="7"/>
    </row>
    <row r="15" spans="1:5" x14ac:dyDescent="0.25">
      <c r="C15" s="4" t="s">
        <v>163</v>
      </c>
      <c r="D15" s="379"/>
      <c r="E15" s="7"/>
    </row>
    <row r="16" spans="1:5" x14ac:dyDescent="0.25">
      <c r="C16" s="4" t="s">
        <v>909</v>
      </c>
      <c r="D16" s="380"/>
      <c r="E16" s="7"/>
    </row>
    <row r="17" spans="3:7" x14ac:dyDescent="0.25">
      <c r="C17" s="4" t="s">
        <v>910</v>
      </c>
      <c r="D17" s="379"/>
      <c r="E17" s="7"/>
    </row>
    <row r="18" spans="3:7" x14ac:dyDescent="0.25">
      <c r="C18" s="4" t="s">
        <v>911</v>
      </c>
      <c r="D18" s="379"/>
      <c r="E18" s="7"/>
    </row>
    <row r="19" spans="3:7" x14ac:dyDescent="0.25">
      <c r="C19" s="4" t="s">
        <v>912</v>
      </c>
      <c r="D19" s="380"/>
      <c r="E19" s="7"/>
    </row>
    <row r="20" spans="3:7" x14ac:dyDescent="0.25">
      <c r="E20" s="7"/>
    </row>
    <row r="21" spans="3:7" x14ac:dyDescent="0.25">
      <c r="E21" s="7"/>
    </row>
    <row r="22" spans="3:7" x14ac:dyDescent="0.25">
      <c r="D22" s="604" t="s">
        <v>21</v>
      </c>
      <c r="E22" s="604"/>
      <c r="F22" s="604"/>
      <c r="G22" s="604"/>
    </row>
    <row r="23" spans="3:7" x14ac:dyDescent="0.25">
      <c r="D23" s="321" t="s">
        <v>24</v>
      </c>
      <c r="E23" s="322">
        <v>1</v>
      </c>
    </row>
    <row r="24" spans="3:7" x14ac:dyDescent="0.25">
      <c r="D24" s="4" t="s">
        <v>754</v>
      </c>
      <c r="E24" s="8" t="e">
        <f>VLOOKUP(E6,Parâmetros!B3:F28,5)</f>
        <v>#N/A</v>
      </c>
    </row>
    <row r="25" spans="3:7" x14ac:dyDescent="0.25">
      <c r="D25" s="4" t="s">
        <v>755</v>
      </c>
      <c r="E25" s="9" t="e">
        <f>VLOOKUP(E23,Parâmetros!B30:D34,2)*E24</f>
        <v>#N/A</v>
      </c>
    </row>
    <row r="26" spans="3:7" x14ac:dyDescent="0.25">
      <c r="D26" s="5" t="s">
        <v>103</v>
      </c>
      <c r="E26" s="4" t="s">
        <v>104</v>
      </c>
    </row>
    <row r="27" spans="3:7" x14ac:dyDescent="0.25">
      <c r="D27" s="4" t="s">
        <v>748</v>
      </c>
      <c r="E27" s="10">
        <f>VLOOKUP(E23,Parâmetros!B30:F34,5)</f>
        <v>2000</v>
      </c>
    </row>
    <row r="28" spans="3:7" x14ac:dyDescent="0.25">
      <c r="D28" s="4" t="s">
        <v>751</v>
      </c>
      <c r="E28" s="10">
        <f>VLOOKUP(E23,Parâmetros!B30:D34,3)</f>
        <v>5</v>
      </c>
    </row>
    <row r="29" spans="3:7" x14ac:dyDescent="0.25">
      <c r="D29" s="4" t="s">
        <v>143</v>
      </c>
      <c r="E29" s="11"/>
    </row>
    <row r="30" spans="3:7" x14ac:dyDescent="0.25">
      <c r="D30" s="134" t="s">
        <v>756</v>
      </c>
      <c r="E30" s="130"/>
    </row>
    <row r="31" spans="3:7" x14ac:dyDescent="0.25">
      <c r="E31" s="130"/>
    </row>
    <row r="32" spans="3:7" x14ac:dyDescent="0.25">
      <c r="E32" s="130"/>
    </row>
    <row r="33" spans="2:16" x14ac:dyDescent="0.25">
      <c r="D33" s="610" t="s">
        <v>757</v>
      </c>
      <c r="E33" s="610"/>
    </row>
    <row r="34" spans="2:16" x14ac:dyDescent="0.25">
      <c r="D34" s="5" t="s">
        <v>157</v>
      </c>
      <c r="E34" s="169" t="e">
        <f>E25*2%</f>
        <v>#N/A</v>
      </c>
    </row>
    <row r="35" spans="2:16" x14ac:dyDescent="0.25">
      <c r="D35" s="170" t="s">
        <v>752</v>
      </c>
      <c r="E35" s="171" t="e">
        <f>E34*0.8</f>
        <v>#N/A</v>
      </c>
    </row>
    <row r="36" spans="2:16" x14ac:dyDescent="0.25">
      <c r="D36" s="170" t="s">
        <v>753</v>
      </c>
      <c r="E36" s="171" t="e">
        <f>E34*0.2</f>
        <v>#N/A</v>
      </c>
    </row>
    <row r="37" spans="2:16" x14ac:dyDescent="0.25">
      <c r="D37" s="5" t="s">
        <v>927</v>
      </c>
      <c r="E37" s="169" t="e">
        <f>E25*0.5%</f>
        <v>#N/A</v>
      </c>
    </row>
    <row r="38" spans="2:16" x14ac:dyDescent="0.25">
      <c r="B38" s="222"/>
      <c r="C38" s="222"/>
      <c r="D38" s="170" t="s">
        <v>932</v>
      </c>
      <c r="E38" s="171"/>
    </row>
    <row r="39" spans="2:16" x14ac:dyDescent="0.25">
      <c r="D39" s="172" t="s">
        <v>9</v>
      </c>
      <c r="E39" s="173" t="e">
        <f>E25/Parâmetros!C37</f>
        <v>#N/A</v>
      </c>
      <c r="L39" s="3"/>
      <c r="M39" s="3"/>
      <c r="N39" s="3"/>
      <c r="O39" s="3"/>
      <c r="P39" s="3"/>
    </row>
    <row r="40" spans="2:16" x14ac:dyDescent="0.25">
      <c r="D40" s="167" t="s">
        <v>752</v>
      </c>
      <c r="E40" s="131" t="e">
        <f>E39*0.8</f>
        <v>#N/A</v>
      </c>
      <c r="L40" s="3"/>
      <c r="M40" s="3"/>
      <c r="N40" s="3"/>
      <c r="O40" s="3"/>
      <c r="P40" s="3"/>
    </row>
    <row r="41" spans="2:16" x14ac:dyDescent="0.25">
      <c r="D41" s="168" t="s">
        <v>753</v>
      </c>
      <c r="E41" s="132" t="e">
        <f>0.2*E39</f>
        <v>#N/A</v>
      </c>
      <c r="L41" s="3"/>
      <c r="M41" s="3"/>
      <c r="N41" s="3"/>
      <c r="O41" s="3"/>
      <c r="P41" s="3"/>
    </row>
    <row r="42" spans="2:16" x14ac:dyDescent="0.25">
      <c r="D42" s="133" t="s">
        <v>564</v>
      </c>
      <c r="E42" s="169" t="e">
        <f>SUM(E34,E39)</f>
        <v>#N/A</v>
      </c>
      <c r="L42" s="3"/>
      <c r="M42" s="3"/>
      <c r="N42" s="3"/>
      <c r="O42" s="3"/>
      <c r="P42" s="3"/>
    </row>
    <row r="43" spans="2:16" x14ac:dyDescent="0.25">
      <c r="E43" s="131"/>
      <c r="F43" s="11"/>
      <c r="L43" s="3"/>
      <c r="M43" s="3"/>
      <c r="N43" s="3"/>
      <c r="O43" s="3"/>
      <c r="P43" s="3"/>
    </row>
    <row r="44" spans="2:16" x14ac:dyDescent="0.25">
      <c r="E44" s="131"/>
      <c r="J44" s="3"/>
      <c r="K44" s="3"/>
      <c r="L44" s="3"/>
      <c r="M44" s="3"/>
      <c r="N44" s="3"/>
      <c r="O44" s="3"/>
      <c r="P44" s="3"/>
    </row>
    <row r="45" spans="2:16" x14ac:dyDescent="0.25">
      <c r="D45" s="21"/>
      <c r="E45" s="21"/>
      <c r="J45" s="3"/>
      <c r="K45" s="3"/>
      <c r="L45" s="335"/>
      <c r="M45" s="3"/>
      <c r="N45" s="3"/>
      <c r="O45" s="3"/>
      <c r="P45" s="3"/>
    </row>
    <row r="46" spans="2:16" x14ac:dyDescent="0.25">
      <c r="D46" s="21"/>
      <c r="E46" s="21"/>
      <c r="J46" s="3"/>
      <c r="K46" s="3"/>
      <c r="L46" s="3"/>
      <c r="M46" s="3"/>
      <c r="N46" s="3"/>
      <c r="O46" s="3"/>
      <c r="P46" s="3"/>
    </row>
    <row r="47" spans="2:16" x14ac:dyDescent="0.25">
      <c r="D47" s="606" t="s">
        <v>138</v>
      </c>
      <c r="E47" s="606"/>
      <c r="F47" s="606"/>
      <c r="G47" s="606"/>
      <c r="H47" s="606"/>
      <c r="J47" s="3"/>
      <c r="K47" s="3"/>
      <c r="L47" s="158"/>
      <c r="M47" s="158"/>
    </row>
    <row r="48" spans="2:16" x14ac:dyDescent="0.25">
      <c r="D48" s="17" t="s">
        <v>720</v>
      </c>
      <c r="E48" s="28" t="s">
        <v>719</v>
      </c>
      <c r="H48" s="220"/>
      <c r="J48" s="3"/>
      <c r="K48" s="3"/>
      <c r="L48" s="158"/>
      <c r="M48" s="158"/>
    </row>
    <row r="49" spans="4:13" x14ac:dyDescent="0.25">
      <c r="D49" s="17" t="s">
        <v>729</v>
      </c>
      <c r="E49" s="124">
        <v>3.14</v>
      </c>
      <c r="J49" s="3"/>
      <c r="K49" s="3"/>
      <c r="L49" s="158"/>
      <c r="M49" s="158"/>
    </row>
    <row r="50" spans="4:13" x14ac:dyDescent="0.25">
      <c r="D50" s="129" t="s">
        <v>629</v>
      </c>
      <c r="E50" s="129"/>
      <c r="F50" s="129"/>
      <c r="G50" s="129"/>
      <c r="J50" s="3"/>
      <c r="K50" s="3"/>
      <c r="L50" s="158"/>
      <c r="M50" s="158"/>
    </row>
    <row r="51" spans="4:13" x14ac:dyDescent="0.25">
      <c r="D51" s="15" t="s">
        <v>718</v>
      </c>
      <c r="E51" s="607" t="s">
        <v>717</v>
      </c>
      <c r="F51" s="607"/>
      <c r="G51" s="608" t="s">
        <v>723</v>
      </c>
      <c r="H51" s="609"/>
      <c r="J51" s="3"/>
      <c r="K51" s="3"/>
      <c r="L51" s="11"/>
    </row>
    <row r="52" spans="4:13" x14ac:dyDescent="0.25">
      <c r="D52" s="90" t="s">
        <v>959</v>
      </c>
      <c r="E52" s="323">
        <v>250</v>
      </c>
      <c r="F52" s="324" t="s">
        <v>721</v>
      </c>
      <c r="G52" s="91">
        <v>80</v>
      </c>
      <c r="H52" s="323" t="s">
        <v>716</v>
      </c>
      <c r="J52" s="3"/>
      <c r="K52" s="3"/>
      <c r="L52" s="11"/>
    </row>
    <row r="53" spans="4:13" x14ac:dyDescent="0.25">
      <c r="D53" s="90" t="s">
        <v>960</v>
      </c>
      <c r="E53" s="323">
        <v>250</v>
      </c>
      <c r="F53" s="324" t="s">
        <v>721</v>
      </c>
      <c r="G53" s="92">
        <v>15</v>
      </c>
      <c r="H53" s="323" t="s">
        <v>716</v>
      </c>
      <c r="K53" s="158"/>
      <c r="L53" s="11"/>
    </row>
    <row r="54" spans="4:13" x14ac:dyDescent="0.25">
      <c r="D54" s="90" t="s">
        <v>715</v>
      </c>
      <c r="E54" s="323">
        <v>1</v>
      </c>
      <c r="F54" s="323" t="s">
        <v>722</v>
      </c>
      <c r="G54" s="325">
        <v>2</v>
      </c>
      <c r="H54" s="323" t="s">
        <v>722</v>
      </c>
      <c r="K54" s="158"/>
      <c r="M54" s="5"/>
    </row>
    <row r="55" spans="4:13" x14ac:dyDescent="0.25">
      <c r="D55" s="4" t="s">
        <v>961</v>
      </c>
      <c r="E55" s="30"/>
      <c r="F55" s="30"/>
      <c r="G55" s="128"/>
      <c r="K55" s="158"/>
    </row>
    <row r="56" spans="4:13" x14ac:dyDescent="0.25">
      <c r="D56" s="335" t="s">
        <v>962</v>
      </c>
      <c r="K56" s="158"/>
    </row>
    <row r="58" spans="4:13" x14ac:dyDescent="0.25">
      <c r="D58" s="606" t="s">
        <v>106</v>
      </c>
      <c r="E58" s="606"/>
      <c r="H58" s="3"/>
    </row>
    <row r="59" spans="4:13" x14ac:dyDescent="0.25">
      <c r="D59" s="4" t="s">
        <v>913</v>
      </c>
      <c r="E59" s="8">
        <v>120000</v>
      </c>
      <c r="H59" s="3"/>
    </row>
    <row r="60" spans="4:13" x14ac:dyDescent="0.25">
      <c r="H60" s="3"/>
      <c r="K60" s="5"/>
    </row>
    <row r="61" spans="4:13" x14ac:dyDescent="0.25">
      <c r="D61" s="4" t="s">
        <v>103</v>
      </c>
      <c r="H61" s="3"/>
    </row>
    <row r="62" spans="4:13" x14ac:dyDescent="0.25">
      <c r="D62" s="4" t="s">
        <v>954</v>
      </c>
      <c r="E62" s="11">
        <f>E59/Parâmetros!C40</f>
        <v>2500</v>
      </c>
      <c r="H62" s="3"/>
    </row>
    <row r="63" spans="4:13" x14ac:dyDescent="0.25">
      <c r="H63" s="3"/>
    </row>
    <row r="64" spans="4:13" x14ac:dyDescent="0.25">
      <c r="D64" s="605" t="s">
        <v>108</v>
      </c>
      <c r="E64" s="605"/>
      <c r="H64" s="3"/>
      <c r="K64" s="12"/>
    </row>
    <row r="65" spans="4:8" x14ac:dyDescent="0.25">
      <c r="D65" s="4" t="s">
        <v>107</v>
      </c>
      <c r="E65" s="330"/>
      <c r="H65" s="3"/>
    </row>
    <row r="66" spans="4:8" x14ac:dyDescent="0.25">
      <c r="D66" s="4" t="s">
        <v>849</v>
      </c>
      <c r="E66" s="331"/>
      <c r="H66" s="3"/>
    </row>
    <row r="67" spans="4:8" x14ac:dyDescent="0.25">
      <c r="D67" s="4" t="s">
        <v>914</v>
      </c>
      <c r="E67" s="8">
        <f>Financiamento!L4</f>
        <v>0</v>
      </c>
      <c r="H67" s="3"/>
    </row>
    <row r="68" spans="4:8" x14ac:dyDescent="0.25">
      <c r="D68" s="4" t="s">
        <v>915</v>
      </c>
      <c r="E68" s="8">
        <f>Financiamento!L6</f>
        <v>0</v>
      </c>
      <c r="H68" s="3"/>
    </row>
    <row r="69" spans="4:8" x14ac:dyDescent="0.25">
      <c r="D69" s="164" t="s">
        <v>916</v>
      </c>
      <c r="H69" s="3"/>
    </row>
    <row r="70" spans="4:8" x14ac:dyDescent="0.25">
      <c r="D70" s="3"/>
      <c r="E70" s="3"/>
      <c r="F70" s="3"/>
      <c r="G70" s="3"/>
      <c r="H70" s="3"/>
    </row>
    <row r="71" spans="4:8" x14ac:dyDescent="0.25">
      <c r="D71" s="3"/>
      <c r="E71" s="3"/>
      <c r="F71" s="3"/>
      <c r="G71" s="3"/>
      <c r="H71" s="3"/>
    </row>
    <row r="72" spans="4:8" x14ac:dyDescent="0.25">
      <c r="D72" s="3"/>
      <c r="E72" s="3"/>
      <c r="F72" s="3"/>
      <c r="G72" s="3"/>
      <c r="H72" s="3"/>
    </row>
    <row r="73" spans="4:8" x14ac:dyDescent="0.25">
      <c r="D73" s="3"/>
      <c r="E73" s="3"/>
      <c r="F73" s="3"/>
      <c r="G73" s="3"/>
      <c r="H73" s="3"/>
    </row>
    <row r="74" spans="4:8" x14ac:dyDescent="0.25">
      <c r="D74" s="3"/>
      <c r="E74" s="3"/>
      <c r="F74" s="3"/>
      <c r="G74" s="3"/>
      <c r="H74" s="3"/>
    </row>
    <row r="75" spans="4:8" x14ac:dyDescent="0.25">
      <c r="D75" s="3"/>
      <c r="E75" s="3"/>
      <c r="F75" s="3"/>
      <c r="G75" s="3"/>
      <c r="H75" s="3"/>
    </row>
    <row r="76" spans="4:8" x14ac:dyDescent="0.25">
      <c r="D76" s="3"/>
      <c r="E76" s="3"/>
      <c r="F76" s="3"/>
      <c r="G76" s="3"/>
      <c r="H76" s="3"/>
    </row>
    <row r="77" spans="4:8" x14ac:dyDescent="0.25">
      <c r="D77" s="3"/>
      <c r="E77" s="3"/>
      <c r="F77" s="3"/>
      <c r="G77" s="3"/>
      <c r="H77" s="3"/>
    </row>
    <row r="78" spans="4:8" x14ac:dyDescent="0.25">
      <c r="D78" s="3"/>
      <c r="E78" s="3"/>
      <c r="F78" s="3"/>
      <c r="G78" s="3"/>
      <c r="H78" s="3"/>
    </row>
    <row r="79" spans="4:8" x14ac:dyDescent="0.25">
      <c r="D79" s="3"/>
      <c r="E79" s="3"/>
      <c r="F79" s="3"/>
      <c r="G79" s="3"/>
      <c r="H79" s="3"/>
    </row>
    <row r="80" spans="4:8" x14ac:dyDescent="0.25">
      <c r="D80" s="3"/>
      <c r="E80" s="3"/>
      <c r="F80" s="3"/>
      <c r="G80" s="3"/>
      <c r="H80" s="3"/>
    </row>
    <row r="81" spans="4:8" x14ac:dyDescent="0.25">
      <c r="D81" s="3"/>
      <c r="E81" s="3"/>
      <c r="F81" s="3"/>
      <c r="G81" s="3"/>
      <c r="H81" s="3"/>
    </row>
    <row r="82" spans="4:8" x14ac:dyDescent="0.25">
      <c r="D82" s="3"/>
      <c r="E82" s="3"/>
      <c r="F82" s="3"/>
      <c r="G82" s="3"/>
      <c r="H82" s="3"/>
    </row>
    <row r="83" spans="4:8" x14ac:dyDescent="0.25">
      <c r="D83" s="3"/>
      <c r="E83" s="3"/>
      <c r="F83" s="3"/>
      <c r="G83" s="3"/>
      <c r="H83" s="3"/>
    </row>
  </sheetData>
  <mergeCells count="8">
    <mergeCell ref="D4:E4"/>
    <mergeCell ref="D22:G22"/>
    <mergeCell ref="D64:E64"/>
    <mergeCell ref="D58:E58"/>
    <mergeCell ref="E51:F51"/>
    <mergeCell ref="D47:H47"/>
    <mergeCell ref="G51:H51"/>
    <mergeCell ref="D33:E33"/>
  </mergeCells>
  <hyperlinks>
    <hyperlink ref="D69" location="Financiamento!A1" display="Valor das parcelas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Drop Down 12">
              <controlPr defaultSize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4</xdr:col>
                    <xdr:colOff>1238250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66675</xdr:rowOff>
                  </from>
                  <to>
                    <xdr:col>3</xdr:col>
                    <xdr:colOff>752475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104775</xdr:rowOff>
                  </from>
                  <to>
                    <xdr:col>3</xdr:col>
                    <xdr:colOff>752475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60</xdr:row>
                    <xdr:rowOff>0</xdr:rowOff>
                  </from>
                  <to>
                    <xdr:col>5</xdr:col>
                    <xdr:colOff>66675</xdr:colOff>
                    <xdr:row>60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Parâmetros!$B$3:$B$28</xm:f>
          </x14:formula1>
          <xm:sqref>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G94"/>
  <sheetViews>
    <sheetView zoomScale="85" zoomScaleNormal="85" workbookViewId="0">
      <selection sqref="A1:XFD1048576"/>
    </sheetView>
  </sheetViews>
  <sheetFormatPr defaultRowHeight="15.75" x14ac:dyDescent="0.25"/>
  <cols>
    <col min="1" max="1" width="9.28515625" style="175" bestFit="1" customWidth="1"/>
    <col min="2" max="2" width="27" style="175" bestFit="1" customWidth="1"/>
    <col min="3" max="3" width="16.140625" style="175" customWidth="1"/>
    <col min="4" max="4" width="11.5703125" style="175" customWidth="1"/>
    <col min="5" max="5" width="23.5703125" style="175" bestFit="1" customWidth="1"/>
    <col min="6" max="6" width="14.140625" style="175" bestFit="1" customWidth="1"/>
    <col min="7" max="8" width="9.140625" style="175"/>
    <col min="9" max="9" width="16.7109375" style="175" customWidth="1"/>
    <col min="10" max="10" width="22.42578125" style="175" customWidth="1"/>
    <col min="11" max="11" width="9.140625" style="175"/>
    <col min="12" max="12" width="12" style="175" customWidth="1"/>
    <col min="13" max="14" width="9.140625" style="175"/>
    <col min="15" max="15" width="18.85546875" style="175" bestFit="1" customWidth="1"/>
    <col min="16" max="16384" width="9.140625" style="175"/>
  </cols>
  <sheetData>
    <row r="1" spans="1:7" x14ac:dyDescent="0.25">
      <c r="B1" s="613" t="s">
        <v>110</v>
      </c>
      <c r="C1" s="613"/>
      <c r="D1" s="613"/>
      <c r="E1" s="613"/>
      <c r="F1" s="613"/>
      <c r="G1" s="613"/>
    </row>
    <row r="2" spans="1:7" x14ac:dyDescent="0.25">
      <c r="A2" s="175" t="s">
        <v>134</v>
      </c>
      <c r="B2" s="175" t="s">
        <v>25</v>
      </c>
      <c r="C2" s="175" t="s">
        <v>26</v>
      </c>
      <c r="D2" s="175" t="s">
        <v>111</v>
      </c>
      <c r="E2" s="175" t="s">
        <v>27</v>
      </c>
      <c r="F2" s="472" t="s">
        <v>109</v>
      </c>
    </row>
    <row r="3" spans="1:7" x14ac:dyDescent="0.25">
      <c r="A3" s="175">
        <v>1</v>
      </c>
      <c r="B3" s="175" t="s">
        <v>28</v>
      </c>
      <c r="C3" s="175" t="s">
        <v>29</v>
      </c>
      <c r="D3" s="175" t="s">
        <v>112</v>
      </c>
      <c r="E3" s="175" t="s">
        <v>30</v>
      </c>
      <c r="F3" s="473">
        <v>1196.27</v>
      </c>
    </row>
    <row r="4" spans="1:7" x14ac:dyDescent="0.25">
      <c r="A4" s="175">
        <v>2</v>
      </c>
      <c r="B4" s="175" t="s">
        <v>31</v>
      </c>
      <c r="C4" s="175" t="s">
        <v>32</v>
      </c>
      <c r="D4" s="175" t="s">
        <v>113</v>
      </c>
      <c r="E4" s="175" t="s">
        <v>33</v>
      </c>
      <c r="F4" s="473">
        <v>1005.89</v>
      </c>
    </row>
    <row r="5" spans="1:7" x14ac:dyDescent="0.25">
      <c r="A5" s="175">
        <v>3</v>
      </c>
      <c r="B5" s="175" t="s">
        <v>34</v>
      </c>
      <c r="C5" s="175" t="s">
        <v>35</v>
      </c>
      <c r="D5" s="175" t="s">
        <v>112</v>
      </c>
      <c r="E5" s="175" t="s">
        <v>36</v>
      </c>
      <c r="F5" s="473">
        <v>1069.33</v>
      </c>
    </row>
    <row r="6" spans="1:7" x14ac:dyDescent="0.25">
      <c r="A6" s="175">
        <v>4</v>
      </c>
      <c r="B6" s="175" t="s">
        <v>37</v>
      </c>
      <c r="C6" s="175" t="s">
        <v>38</v>
      </c>
      <c r="D6" s="175" t="s">
        <v>112</v>
      </c>
      <c r="E6" s="175" t="s">
        <v>39</v>
      </c>
      <c r="F6" s="473">
        <v>1044.6400000000001</v>
      </c>
    </row>
    <row r="7" spans="1:7" x14ac:dyDescent="0.25">
      <c r="A7" s="175">
        <v>5</v>
      </c>
      <c r="B7" s="175" t="s">
        <v>40</v>
      </c>
      <c r="C7" s="175" t="s">
        <v>41</v>
      </c>
      <c r="D7" s="175" t="s">
        <v>113</v>
      </c>
      <c r="E7" s="175" t="s">
        <v>42</v>
      </c>
      <c r="F7" s="473">
        <v>1018.12</v>
      </c>
    </row>
    <row r="8" spans="1:7" x14ac:dyDescent="0.25">
      <c r="A8" s="175">
        <v>6</v>
      </c>
      <c r="B8" s="175" t="s">
        <v>43</v>
      </c>
      <c r="C8" s="175" t="s">
        <v>44</v>
      </c>
      <c r="D8" s="175" t="s">
        <v>113</v>
      </c>
      <c r="E8" s="175" t="s">
        <v>45</v>
      </c>
      <c r="F8" s="473">
        <v>1017.78</v>
      </c>
    </row>
    <row r="9" spans="1:7" x14ac:dyDescent="0.25">
      <c r="A9" s="175">
        <v>8</v>
      </c>
      <c r="B9" s="175" t="s">
        <v>47</v>
      </c>
      <c r="C9" s="175" t="s">
        <v>48</v>
      </c>
      <c r="D9" s="175" t="s">
        <v>115</v>
      </c>
      <c r="E9" s="175" t="s">
        <v>49</v>
      </c>
      <c r="F9" s="473">
        <v>1006.3</v>
      </c>
    </row>
    <row r="10" spans="1:7" x14ac:dyDescent="0.25">
      <c r="A10" s="175">
        <v>9</v>
      </c>
      <c r="B10" s="175" t="s">
        <v>50</v>
      </c>
      <c r="C10" s="175" t="s">
        <v>51</v>
      </c>
      <c r="D10" s="175" t="s">
        <v>114</v>
      </c>
      <c r="E10" s="175" t="s">
        <v>52</v>
      </c>
      <c r="F10" s="473">
        <v>1087.76</v>
      </c>
    </row>
    <row r="11" spans="1:7" x14ac:dyDescent="0.25">
      <c r="A11" s="175">
        <v>10</v>
      </c>
      <c r="B11" s="175" t="s">
        <v>53</v>
      </c>
      <c r="C11" s="175" t="s">
        <v>54</v>
      </c>
      <c r="D11" s="175" t="s">
        <v>113</v>
      </c>
      <c r="E11" s="175" t="s">
        <v>55</v>
      </c>
      <c r="F11" s="473">
        <v>1038.51</v>
      </c>
    </row>
    <row r="12" spans="1:7" x14ac:dyDescent="0.25">
      <c r="A12" s="175">
        <v>11</v>
      </c>
      <c r="B12" s="175" t="s">
        <v>56</v>
      </c>
      <c r="C12" s="175" t="s">
        <v>57</v>
      </c>
      <c r="D12" s="175" t="s">
        <v>114</v>
      </c>
      <c r="E12" s="175" t="s">
        <v>58</v>
      </c>
      <c r="F12" s="473">
        <v>1088.98</v>
      </c>
    </row>
    <row r="13" spans="1:7" x14ac:dyDescent="0.25">
      <c r="A13" s="175">
        <v>12</v>
      </c>
      <c r="B13" s="175" t="s">
        <v>59</v>
      </c>
      <c r="C13" s="175" t="s">
        <v>60</v>
      </c>
      <c r="D13" s="175" t="s">
        <v>114</v>
      </c>
      <c r="E13" s="175" t="s">
        <v>61</v>
      </c>
      <c r="F13" s="473">
        <v>1083.18</v>
      </c>
    </row>
    <row r="14" spans="1:7" x14ac:dyDescent="0.25">
      <c r="A14" s="175">
        <v>13</v>
      </c>
      <c r="B14" s="175" t="s">
        <v>62</v>
      </c>
      <c r="C14" s="175" t="s">
        <v>23</v>
      </c>
      <c r="D14" s="175" t="s">
        <v>115</v>
      </c>
      <c r="E14" s="175" t="s">
        <v>63</v>
      </c>
      <c r="F14" s="473">
        <v>1031.28</v>
      </c>
    </row>
    <row r="15" spans="1:7" x14ac:dyDescent="0.25">
      <c r="A15" s="175">
        <v>14</v>
      </c>
      <c r="B15" s="175" t="s">
        <v>64</v>
      </c>
      <c r="C15" s="175" t="s">
        <v>65</v>
      </c>
      <c r="D15" s="175" t="s">
        <v>112</v>
      </c>
      <c r="E15" s="175" t="s">
        <v>66</v>
      </c>
      <c r="F15" s="473">
        <v>1067.8699999999999</v>
      </c>
    </row>
    <row r="16" spans="1:7" x14ac:dyDescent="0.25">
      <c r="A16" s="175">
        <v>15</v>
      </c>
      <c r="B16" s="175" t="s">
        <v>67</v>
      </c>
      <c r="C16" s="175" t="s">
        <v>68</v>
      </c>
      <c r="D16" s="175" t="s">
        <v>113</v>
      </c>
      <c r="E16" s="175" t="s">
        <v>69</v>
      </c>
      <c r="F16" s="473">
        <v>1061.07</v>
      </c>
    </row>
    <row r="17" spans="1:6" x14ac:dyDescent="0.25">
      <c r="A17" s="175">
        <v>16</v>
      </c>
      <c r="B17" s="175" t="s">
        <v>70</v>
      </c>
      <c r="C17" s="175" t="s">
        <v>71</v>
      </c>
      <c r="D17" s="175" t="s">
        <v>118</v>
      </c>
      <c r="E17" s="175" t="s">
        <v>72</v>
      </c>
      <c r="F17" s="473">
        <v>1120.8399999999999</v>
      </c>
    </row>
    <row r="18" spans="1:6" x14ac:dyDescent="0.25">
      <c r="A18" s="175">
        <v>17</v>
      </c>
      <c r="B18" s="175" t="s">
        <v>73</v>
      </c>
      <c r="C18" s="175" t="s">
        <v>74</v>
      </c>
      <c r="D18" s="175" t="s">
        <v>113</v>
      </c>
      <c r="E18" s="175" t="s">
        <v>75</v>
      </c>
      <c r="F18" s="473">
        <v>1009.94</v>
      </c>
    </row>
    <row r="19" spans="1:6" x14ac:dyDescent="0.25">
      <c r="A19" s="175">
        <v>18</v>
      </c>
      <c r="B19" s="175" t="s">
        <v>76</v>
      </c>
      <c r="C19" s="175" t="s">
        <v>77</v>
      </c>
      <c r="D19" s="175" t="s">
        <v>113</v>
      </c>
      <c r="E19" s="175" t="s">
        <v>78</v>
      </c>
      <c r="F19" s="473">
        <v>1042.18</v>
      </c>
    </row>
    <row r="20" spans="1:6" x14ac:dyDescent="0.25">
      <c r="A20" s="175">
        <v>19</v>
      </c>
      <c r="B20" s="175" t="s">
        <v>79</v>
      </c>
      <c r="C20" s="175" t="s">
        <v>80</v>
      </c>
      <c r="D20" s="175" t="s">
        <v>115</v>
      </c>
      <c r="E20" s="175" t="s">
        <v>79</v>
      </c>
      <c r="F20" s="473">
        <v>1212.94</v>
      </c>
    </row>
    <row r="21" spans="1:6" x14ac:dyDescent="0.25">
      <c r="A21" s="175">
        <v>20</v>
      </c>
      <c r="B21" s="175" t="s">
        <v>81</v>
      </c>
      <c r="C21" s="175" t="s">
        <v>82</v>
      </c>
      <c r="D21" s="175" t="s">
        <v>113</v>
      </c>
      <c r="E21" s="175" t="s">
        <v>83</v>
      </c>
      <c r="F21" s="473">
        <v>1019.32</v>
      </c>
    </row>
    <row r="22" spans="1:6" x14ac:dyDescent="0.25">
      <c r="A22" s="175">
        <v>21</v>
      </c>
      <c r="B22" s="175" t="s">
        <v>84</v>
      </c>
      <c r="C22" s="175" t="s">
        <v>85</v>
      </c>
      <c r="D22" s="175" t="s">
        <v>118</v>
      </c>
      <c r="E22" s="175" t="s">
        <v>86</v>
      </c>
      <c r="F22" s="473">
        <v>1090.3399999999999</v>
      </c>
    </row>
    <row r="23" spans="1:6" x14ac:dyDescent="0.25">
      <c r="A23" s="175">
        <v>22</v>
      </c>
      <c r="B23" s="175" t="s">
        <v>87</v>
      </c>
      <c r="C23" s="175" t="s">
        <v>88</v>
      </c>
      <c r="D23" s="175" t="s">
        <v>112</v>
      </c>
      <c r="E23" s="175" t="s">
        <v>89</v>
      </c>
      <c r="F23" s="473">
        <v>1131.54</v>
      </c>
    </row>
    <row r="24" spans="1:6" x14ac:dyDescent="0.25">
      <c r="A24" s="175">
        <v>23</v>
      </c>
      <c r="B24" s="175" t="s">
        <v>90</v>
      </c>
      <c r="C24" s="175" t="s">
        <v>91</v>
      </c>
      <c r="D24" s="175" t="s">
        <v>112</v>
      </c>
      <c r="E24" s="175" t="s">
        <v>92</v>
      </c>
      <c r="F24" s="473">
        <v>1136.8599999999999</v>
      </c>
    </row>
    <row r="25" spans="1:6" x14ac:dyDescent="0.25">
      <c r="A25" s="175">
        <v>24</v>
      </c>
      <c r="B25" s="175" t="s">
        <v>93</v>
      </c>
      <c r="C25" s="175" t="s">
        <v>94</v>
      </c>
      <c r="D25" s="175" t="s">
        <v>118</v>
      </c>
      <c r="E25" s="175" t="s">
        <v>95</v>
      </c>
      <c r="F25" s="473">
        <v>1228.69</v>
      </c>
    </row>
    <row r="26" spans="1:6" x14ac:dyDescent="0.25">
      <c r="A26" s="175">
        <v>25</v>
      </c>
      <c r="B26" s="175" t="s">
        <v>96</v>
      </c>
      <c r="C26" s="175" t="s">
        <v>22</v>
      </c>
      <c r="D26" s="175" t="s">
        <v>115</v>
      </c>
      <c r="E26" s="175" t="s">
        <v>96</v>
      </c>
      <c r="F26" s="473">
        <v>1211.19</v>
      </c>
    </row>
    <row r="27" spans="1:6" x14ac:dyDescent="0.25">
      <c r="A27" s="175">
        <v>26</v>
      </c>
      <c r="B27" s="175" t="s">
        <v>97</v>
      </c>
      <c r="C27" s="175" t="s">
        <v>98</v>
      </c>
      <c r="D27" s="175" t="s">
        <v>113</v>
      </c>
      <c r="E27" s="175" t="s">
        <v>99</v>
      </c>
      <c r="F27" s="473">
        <v>957.64</v>
      </c>
    </row>
    <row r="28" spans="1:6" x14ac:dyDescent="0.25">
      <c r="A28" s="175">
        <v>27</v>
      </c>
      <c r="B28" s="175" t="s">
        <v>100</v>
      </c>
      <c r="C28" s="175" t="s">
        <v>101</v>
      </c>
      <c r="D28" s="175" t="s">
        <v>112</v>
      </c>
      <c r="E28" s="175" t="s">
        <v>102</v>
      </c>
      <c r="F28" s="473">
        <v>1131.17</v>
      </c>
    </row>
    <row r="30" spans="1:6" x14ac:dyDescent="0.25">
      <c r="B30" s="474" t="s">
        <v>145</v>
      </c>
      <c r="C30" s="474" t="s">
        <v>142</v>
      </c>
      <c r="D30" s="474" t="s">
        <v>141</v>
      </c>
      <c r="E30" s="475" t="s">
        <v>749</v>
      </c>
      <c r="F30" s="474" t="s">
        <v>750</v>
      </c>
    </row>
    <row r="31" spans="1:6" x14ac:dyDescent="0.25">
      <c r="B31" s="474">
        <v>1</v>
      </c>
      <c r="C31" s="474">
        <v>100</v>
      </c>
      <c r="D31" s="474">
        <v>5</v>
      </c>
      <c r="E31" s="474">
        <f>D31-1</f>
        <v>4</v>
      </c>
      <c r="F31" s="474">
        <v>2000</v>
      </c>
    </row>
    <row r="32" spans="1:6" x14ac:dyDescent="0.25">
      <c r="B32" s="474">
        <v>2</v>
      </c>
      <c r="C32" s="474">
        <v>140</v>
      </c>
      <c r="D32" s="474">
        <v>7</v>
      </c>
      <c r="E32" s="474">
        <f t="shared" ref="E32:E34" si="0">D32-1</f>
        <v>6</v>
      </c>
      <c r="F32" s="474">
        <v>3100</v>
      </c>
    </row>
    <row r="33" spans="2:6" x14ac:dyDescent="0.25">
      <c r="B33" s="474">
        <v>3</v>
      </c>
      <c r="C33" s="474">
        <v>180</v>
      </c>
      <c r="D33" s="474">
        <v>9</v>
      </c>
      <c r="E33" s="474">
        <f t="shared" si="0"/>
        <v>8</v>
      </c>
      <c r="F33" s="474">
        <v>4250</v>
      </c>
    </row>
    <row r="34" spans="2:6" x14ac:dyDescent="0.25">
      <c r="B34" s="474">
        <v>4</v>
      </c>
      <c r="C34" s="474">
        <v>250</v>
      </c>
      <c r="D34" s="474">
        <v>13</v>
      </c>
      <c r="E34" s="474">
        <f t="shared" si="0"/>
        <v>12</v>
      </c>
      <c r="F34" s="474">
        <v>7000</v>
      </c>
    </row>
    <row r="36" spans="2:6" x14ac:dyDescent="0.25">
      <c r="B36" s="612" t="s">
        <v>9</v>
      </c>
      <c r="C36" s="612"/>
    </row>
    <row r="37" spans="2:6" x14ac:dyDescent="0.25">
      <c r="B37" s="175" t="s">
        <v>158</v>
      </c>
      <c r="C37" s="175">
        <f>25*12</f>
        <v>300</v>
      </c>
    </row>
    <row r="39" spans="2:6" x14ac:dyDescent="0.25">
      <c r="B39" s="175" t="s">
        <v>106</v>
      </c>
      <c r="C39" s="476">
        <f>Decisões!E59</f>
        <v>120000</v>
      </c>
    </row>
    <row r="40" spans="2:6" x14ac:dyDescent="0.25">
      <c r="B40" s="175" t="s">
        <v>9</v>
      </c>
      <c r="C40" s="477">
        <f>4*12</f>
        <v>48</v>
      </c>
    </row>
    <row r="43" spans="2:6" x14ac:dyDescent="0.25">
      <c r="B43" s="478" t="s">
        <v>119</v>
      </c>
      <c r="C43" s="478"/>
    </row>
    <row r="44" spans="2:6" x14ac:dyDescent="0.25">
      <c r="B44" s="175" t="s">
        <v>2</v>
      </c>
      <c r="C44" s="472" t="s">
        <v>120</v>
      </c>
    </row>
    <row r="45" spans="2:6" x14ac:dyDescent="0.25">
      <c r="C45" s="472"/>
    </row>
    <row r="46" spans="2:6" x14ac:dyDescent="0.25">
      <c r="B46" s="175" t="s">
        <v>28</v>
      </c>
      <c r="C46" s="479">
        <v>732793</v>
      </c>
    </row>
    <row r="47" spans="2:6" x14ac:dyDescent="0.25">
      <c r="B47" s="175" t="s">
        <v>31</v>
      </c>
      <c r="C47" s="479">
        <v>3120922</v>
      </c>
    </row>
    <row r="48" spans="2:6" x14ac:dyDescent="0.25">
      <c r="B48" s="175" t="s">
        <v>34</v>
      </c>
      <c r="C48" s="479">
        <v>668689</v>
      </c>
    </row>
    <row r="49" spans="2:3" x14ac:dyDescent="0.25">
      <c r="B49" s="175" t="s">
        <v>37</v>
      </c>
      <c r="C49" s="479">
        <v>3480937</v>
      </c>
    </row>
    <row r="50" spans="2:3" x14ac:dyDescent="0.25">
      <c r="B50" s="175" t="s">
        <v>40</v>
      </c>
      <c r="C50" s="479">
        <v>14021432</v>
      </c>
    </row>
    <row r="51" spans="2:3" x14ac:dyDescent="0.25">
      <c r="B51" s="175" t="s">
        <v>43</v>
      </c>
      <c r="C51" s="479">
        <v>8448055</v>
      </c>
    </row>
    <row r="52" spans="2:3" x14ac:dyDescent="0.25">
      <c r="B52" s="175" t="s">
        <v>47</v>
      </c>
      <c r="C52" s="479">
        <v>3512672</v>
      </c>
    </row>
    <row r="53" spans="2:3" x14ac:dyDescent="0.25">
      <c r="B53" s="175" t="s">
        <v>50</v>
      </c>
      <c r="C53" s="479">
        <v>8567008</v>
      </c>
    </row>
    <row r="54" spans="2:3" x14ac:dyDescent="0.25">
      <c r="B54" s="175" t="s">
        <v>53</v>
      </c>
      <c r="C54" s="479">
        <v>6569683</v>
      </c>
    </row>
    <row r="55" spans="2:3" x14ac:dyDescent="0.25">
      <c r="B55" s="175" t="s">
        <v>56</v>
      </c>
      <c r="C55" s="479">
        <v>3033991</v>
      </c>
    </row>
    <row r="56" spans="2:3" x14ac:dyDescent="0.25">
      <c r="B56" s="175" t="s">
        <v>59</v>
      </c>
      <c r="C56" s="479">
        <v>2449341</v>
      </c>
    </row>
    <row r="57" spans="2:3" x14ac:dyDescent="0.25">
      <c r="B57" s="175" t="s">
        <v>62</v>
      </c>
      <c r="C57" s="479">
        <v>19595309</v>
      </c>
    </row>
    <row r="58" spans="2:3" x14ac:dyDescent="0.25">
      <c r="B58" s="175" t="s">
        <v>64</v>
      </c>
      <c r="C58" s="479">
        <v>7588078</v>
      </c>
    </row>
    <row r="59" spans="2:3" x14ac:dyDescent="0.25">
      <c r="B59" s="175" t="s">
        <v>67</v>
      </c>
      <c r="C59" s="479">
        <v>3766834</v>
      </c>
    </row>
    <row r="60" spans="2:3" x14ac:dyDescent="0.25">
      <c r="B60" s="175" t="s">
        <v>70</v>
      </c>
      <c r="C60" s="479">
        <v>10439601</v>
      </c>
    </row>
    <row r="61" spans="2:3" x14ac:dyDescent="0.25">
      <c r="B61" s="175" t="s">
        <v>73</v>
      </c>
      <c r="C61" s="479">
        <v>8796032</v>
      </c>
    </row>
    <row r="62" spans="2:3" x14ac:dyDescent="0.25">
      <c r="B62" s="175" t="s">
        <v>76</v>
      </c>
      <c r="C62" s="479">
        <v>3119015</v>
      </c>
    </row>
    <row r="63" spans="2:3" x14ac:dyDescent="0.25">
      <c r="B63" s="175" t="s">
        <v>79</v>
      </c>
      <c r="C63" s="479">
        <v>15993583</v>
      </c>
    </row>
    <row r="64" spans="2:3" x14ac:dyDescent="0.25">
      <c r="B64" s="175" t="s">
        <v>81</v>
      </c>
      <c r="C64" s="479">
        <v>3168133</v>
      </c>
    </row>
    <row r="65" spans="2:3" x14ac:dyDescent="0.25">
      <c r="B65" s="175" t="s">
        <v>84</v>
      </c>
      <c r="C65" s="479">
        <v>10695532</v>
      </c>
    </row>
    <row r="66" spans="2:3" x14ac:dyDescent="0.25">
      <c r="B66" s="175" t="s">
        <v>87</v>
      </c>
      <c r="C66" s="479">
        <v>1560501</v>
      </c>
    </row>
    <row r="67" spans="2:3" x14ac:dyDescent="0.25">
      <c r="B67" s="175" t="s">
        <v>90</v>
      </c>
      <c r="C67" s="479">
        <v>451227</v>
      </c>
    </row>
    <row r="68" spans="2:3" x14ac:dyDescent="0.25">
      <c r="B68" s="175" t="s">
        <v>93</v>
      </c>
      <c r="C68" s="479">
        <v>6249682</v>
      </c>
    </row>
    <row r="69" spans="2:3" x14ac:dyDescent="0.25">
      <c r="B69" s="175" t="s">
        <v>96</v>
      </c>
      <c r="C69" s="479">
        <v>41252160</v>
      </c>
    </row>
    <row r="70" spans="2:3" x14ac:dyDescent="0.25">
      <c r="B70" s="175" t="s">
        <v>97</v>
      </c>
      <c r="C70" s="479">
        <v>2068031</v>
      </c>
    </row>
    <row r="71" spans="2:3" x14ac:dyDescent="0.25">
      <c r="B71" s="175" t="s">
        <v>100</v>
      </c>
      <c r="C71" s="479">
        <v>1383453</v>
      </c>
    </row>
    <row r="72" spans="2:3" x14ac:dyDescent="0.25">
      <c r="C72" s="479">
        <f>SUM(C46:C71)</f>
        <v>190732694</v>
      </c>
    </row>
    <row r="80" spans="2:3" x14ac:dyDescent="0.25">
      <c r="B80" s="611" t="s">
        <v>660</v>
      </c>
      <c r="C80" s="611"/>
    </row>
    <row r="81" spans="2:3" x14ac:dyDescent="0.25">
      <c r="B81" s="480"/>
      <c r="C81" s="480" t="s">
        <v>661</v>
      </c>
    </row>
    <row r="82" spans="2:3" x14ac:dyDescent="0.25">
      <c r="B82" s="480" t="s">
        <v>665</v>
      </c>
      <c r="C82" s="480" t="s">
        <v>153</v>
      </c>
    </row>
    <row r="83" spans="2:3" x14ac:dyDescent="0.25">
      <c r="B83" s="480" t="s">
        <v>666</v>
      </c>
      <c r="C83" s="480" t="s">
        <v>154</v>
      </c>
    </row>
    <row r="84" spans="2:3" x14ac:dyDescent="0.25">
      <c r="B84" s="480"/>
      <c r="C84" s="480" t="s">
        <v>152</v>
      </c>
    </row>
    <row r="85" spans="2:3" x14ac:dyDescent="0.25">
      <c r="B85" s="480"/>
      <c r="C85" s="480" t="s">
        <v>662</v>
      </c>
    </row>
    <row r="86" spans="2:3" x14ac:dyDescent="0.25">
      <c r="B86" s="480"/>
      <c r="C86" s="480" t="s">
        <v>663</v>
      </c>
    </row>
    <row r="87" spans="2:3" x14ac:dyDescent="0.25">
      <c r="B87" s="480"/>
      <c r="C87" s="480" t="s">
        <v>664</v>
      </c>
    </row>
    <row r="89" spans="2:3" x14ac:dyDescent="0.25">
      <c r="B89" s="474" t="s">
        <v>614</v>
      </c>
    </row>
    <row r="90" spans="2:3" x14ac:dyDescent="0.25">
      <c r="B90" s="474"/>
    </row>
    <row r="91" spans="2:3" x14ac:dyDescent="0.25">
      <c r="B91" s="474" t="s">
        <v>621</v>
      </c>
    </row>
    <row r="92" spans="2:3" x14ac:dyDescent="0.25">
      <c r="B92" s="474" t="s">
        <v>622</v>
      </c>
    </row>
    <row r="93" spans="2:3" x14ac:dyDescent="0.25">
      <c r="B93" s="474" t="s">
        <v>623</v>
      </c>
    </row>
    <row r="94" spans="2:3" x14ac:dyDescent="0.25">
      <c r="B94" s="474" t="s">
        <v>624</v>
      </c>
    </row>
  </sheetData>
  <sheetProtection algorithmName="SHA-512" hashValue="ibKgsT3s/EXAZRa+gtQ9R274nan/1CrICdn4iO50lNEfJTt1ueUJQ8SiuOD3YX/ZjDxRavEywe3j5M4m6QQqmQ==" saltValue="G83FsAAXb5QcoqLZ3bOo2A==" spinCount="100000" sheet="1" objects="1" scenarios="1" selectLockedCells="1" selectUnlockedCells="1"/>
  <mergeCells count="3">
    <mergeCell ref="B80:C80"/>
    <mergeCell ref="B36:C36"/>
    <mergeCell ref="B1:G1"/>
  </mergeCells>
  <hyperlinks>
    <hyperlink ref="C44" r:id="rId1"/>
    <hyperlink ref="F2" r:id="rId2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69"/>
  <sheetViews>
    <sheetView showGridLines="0" showZeros="0" zoomScale="80" zoomScaleNormal="80" workbookViewId="0">
      <pane ySplit="7" topLeftCell="A32" activePane="bottomLeft" state="frozen"/>
      <selection pane="bottomLeft" activeCell="D14" sqref="D14"/>
    </sheetView>
  </sheetViews>
  <sheetFormatPr defaultColWidth="9" defaultRowHeight="15.75" x14ac:dyDescent="0.25"/>
  <cols>
    <col min="1" max="1" width="32" style="197" customWidth="1"/>
    <col min="2" max="2" width="6.140625" style="196" customWidth="1"/>
    <col min="3" max="3" width="32.28515625" style="211" bestFit="1" customWidth="1"/>
    <col min="4" max="4" width="14.5703125" style="211" bestFit="1" customWidth="1"/>
    <col min="5" max="5" width="15.140625" style="211" bestFit="1" customWidth="1"/>
    <col min="6" max="6" width="20.5703125" style="211" bestFit="1" customWidth="1"/>
    <col min="7" max="7" width="14.85546875" style="211" bestFit="1" customWidth="1"/>
    <col min="8" max="8" width="20.5703125" style="211" bestFit="1" customWidth="1"/>
    <col min="9" max="9" width="17.7109375" style="211" bestFit="1" customWidth="1"/>
    <col min="10" max="10" width="7" style="197" customWidth="1"/>
    <col min="11" max="11" width="17.28515625" style="197" bestFit="1" customWidth="1"/>
    <col min="12" max="12" width="16.28515625" style="197" bestFit="1" customWidth="1"/>
    <col min="13" max="16378" width="9" style="197"/>
    <col min="16379" max="16383" width="9" style="197" customWidth="1"/>
    <col min="16384" max="16384" width="5.85546875" style="197" customWidth="1"/>
  </cols>
  <sheetData>
    <row r="1" spans="1:12" x14ac:dyDescent="0.25">
      <c r="C1" s="196"/>
      <c r="D1" s="175"/>
      <c r="E1" s="616" t="str">
        <f>IF(C5=0,"Informe o Valor Financiado!",IF(OR(E5=0,E5&gt;360),"Prazo Inválido!",IF(F5=0,"Informe a Taxa Anual do Financiamento!","")))</f>
        <v>Informe o Valor Financiado!</v>
      </c>
      <c r="F1" s="616"/>
      <c r="G1" s="616"/>
      <c r="H1" s="616"/>
      <c r="I1" s="219" t="s">
        <v>848</v>
      </c>
    </row>
    <row r="2" spans="1:12" x14ac:dyDescent="0.25">
      <c r="C2" s="196"/>
      <c r="D2" s="196"/>
      <c r="E2" s="196"/>
      <c r="F2" s="196"/>
      <c r="G2" s="196"/>
      <c r="H2" s="196"/>
      <c r="I2" s="196"/>
      <c r="J2" s="196"/>
    </row>
    <row r="3" spans="1:12" ht="16.5" thickBot="1" x14ac:dyDescent="0.3">
      <c r="C3" s="197"/>
      <c r="D3" s="198"/>
      <c r="E3" s="199"/>
      <c r="F3" s="617"/>
      <c r="G3" s="617"/>
      <c r="H3" s="618"/>
      <c r="I3" s="618"/>
      <c r="J3" s="196"/>
    </row>
    <row r="4" spans="1:12" x14ac:dyDescent="0.25">
      <c r="C4" s="619" t="s">
        <v>105</v>
      </c>
      <c r="D4" s="620"/>
      <c r="E4" s="218" t="s">
        <v>849</v>
      </c>
      <c r="F4" s="218" t="s">
        <v>850</v>
      </c>
      <c r="G4" s="218" t="s">
        <v>851</v>
      </c>
      <c r="H4" s="218" t="s">
        <v>852</v>
      </c>
      <c r="I4" s="218" t="s">
        <v>853</v>
      </c>
      <c r="J4" s="196"/>
      <c r="K4" s="212" t="s">
        <v>854</v>
      </c>
      <c r="L4" s="215">
        <f>E368</f>
        <v>0</v>
      </c>
    </row>
    <row r="5" spans="1:12" x14ac:dyDescent="0.25">
      <c r="C5" s="621">
        <f>Decisões!E65</f>
        <v>0</v>
      </c>
      <c r="D5" s="622"/>
      <c r="E5" s="1">
        <f>Decisões!E66</f>
        <v>0</v>
      </c>
      <c r="F5" s="163">
        <v>0.12681999999999999</v>
      </c>
      <c r="G5" s="163">
        <f>(1+F5)^(1/12)-1</f>
        <v>9.999624280349062E-3</v>
      </c>
      <c r="H5" s="1">
        <f>IF(E5&gt;0,ROUNDUP(H8,0),0)</f>
        <v>0</v>
      </c>
      <c r="I5" s="1">
        <f>ROUNDUP(H5/0.25,-2)</f>
        <v>0</v>
      </c>
      <c r="J5" s="196"/>
      <c r="K5" s="213" t="s">
        <v>855</v>
      </c>
      <c r="L5" s="216">
        <f>C5</f>
        <v>0</v>
      </c>
    </row>
    <row r="6" spans="1:12" ht="16.5" thickBot="1" x14ac:dyDescent="0.3">
      <c r="C6" s="197" t="s">
        <v>856</v>
      </c>
      <c r="D6" s="197"/>
      <c r="E6" s="197"/>
      <c r="F6" s="197"/>
      <c r="G6" s="197"/>
      <c r="H6" s="197"/>
      <c r="I6" s="200"/>
      <c r="J6" s="201"/>
      <c r="K6" s="214" t="s">
        <v>857</v>
      </c>
      <c r="L6" s="217">
        <f>L5+L4</f>
        <v>0</v>
      </c>
    </row>
    <row r="7" spans="1:12" x14ac:dyDescent="0.25">
      <c r="C7" s="218" t="s">
        <v>858</v>
      </c>
      <c r="D7" s="218" t="s">
        <v>859</v>
      </c>
      <c r="E7" s="218" t="s">
        <v>860</v>
      </c>
      <c r="F7" s="218" t="s">
        <v>861</v>
      </c>
      <c r="G7" s="218" t="s">
        <v>862</v>
      </c>
      <c r="H7" s="218" t="s">
        <v>863</v>
      </c>
      <c r="I7" s="218" t="s">
        <v>864</v>
      </c>
      <c r="J7" s="196"/>
    </row>
    <row r="8" spans="1:12" ht="18.75" x14ac:dyDescent="0.3">
      <c r="A8" s="381" t="s">
        <v>981</v>
      </c>
      <c r="C8" s="202">
        <f>IF(K8&gt;0,1,0)</f>
        <v>0</v>
      </c>
      <c r="D8" s="203">
        <f>IF(C8&gt;0,C5,0)</f>
        <v>0</v>
      </c>
      <c r="E8" s="203">
        <f>IF(C8&gt;0,D8*$G$5,0)</f>
        <v>0</v>
      </c>
      <c r="F8" s="203">
        <f>IF(C8&gt;0,D8+E8,0)</f>
        <v>0</v>
      </c>
      <c r="G8" s="203">
        <f>IF(C8&gt;0,H8-E8,0)</f>
        <v>0</v>
      </c>
      <c r="H8" s="203">
        <f>IF(C8&gt;0,PMT($G$5,$E$5,-C5),0)</f>
        <v>0</v>
      </c>
      <c r="I8" s="203">
        <f>IF(C8&gt;0,F8-H8,0)</f>
        <v>0</v>
      </c>
      <c r="J8" s="196"/>
      <c r="K8" s="204">
        <f>IF(AND(C5&gt;0,E5&gt;0,E5&lt;361,F5&gt;0),1,0)</f>
        <v>0</v>
      </c>
    </row>
    <row r="9" spans="1:12" x14ac:dyDescent="0.25">
      <c r="C9" s="202">
        <f>IF(AND(C8&gt;0,C8&lt;E$5),C8+1,0)</f>
        <v>0</v>
      </c>
      <c r="D9" s="203">
        <f>IF(C9&gt;0,I8,0)</f>
        <v>0</v>
      </c>
      <c r="E9" s="203">
        <f>IF(C9&gt;0,D9*$G$5,0)</f>
        <v>0</v>
      </c>
      <c r="F9" s="203">
        <f>IF(C9&gt;0,D9+E9,0)</f>
        <v>0</v>
      </c>
      <c r="G9" s="203">
        <f>IF(C9&gt;0,H9-E9,0)</f>
        <v>0</v>
      </c>
      <c r="H9" s="203">
        <f>IF(C9&gt;0,PMT($G$5,$E$5-C8,-D9),0)</f>
        <v>0</v>
      </c>
      <c r="I9" s="203">
        <f>IF(C9&gt;0,F9-H9,0)</f>
        <v>0</v>
      </c>
      <c r="J9" s="196"/>
      <c r="K9" s="614"/>
      <c r="L9" s="614"/>
    </row>
    <row r="10" spans="1:12" x14ac:dyDescent="0.25">
      <c r="C10" s="202">
        <f t="shared" ref="C10:C73" si="0">IF(AND(C9&gt;0,C9&lt;E$5),C9+1,0)</f>
        <v>0</v>
      </c>
      <c r="D10" s="203">
        <f t="shared" ref="D10:D73" si="1">IF(C10&gt;0,I9,0)</f>
        <v>0</v>
      </c>
      <c r="E10" s="203">
        <f t="shared" ref="E10:E73" si="2">IF(C10&gt;0,D10*$G$5,0)</f>
        <v>0</v>
      </c>
      <c r="F10" s="203">
        <f t="shared" ref="F10:F73" si="3">IF(C10&gt;0,D10+E10,0)</f>
        <v>0</v>
      </c>
      <c r="G10" s="203">
        <f t="shared" ref="G10:G73" si="4">IF(C10&gt;0,H10-E10,0)</f>
        <v>0</v>
      </c>
      <c r="H10" s="203">
        <f t="shared" ref="H10:H73" si="5">IF(C10&gt;0,PMT($G$5,$E$5-C9,-D10),0)</f>
        <v>0</v>
      </c>
      <c r="I10" s="203">
        <f t="shared" ref="I10:I73" si="6">IF(C10&gt;0,F10-H10,0)</f>
        <v>0</v>
      </c>
      <c r="J10" s="196"/>
      <c r="K10" s="205"/>
      <c r="L10" s="206"/>
    </row>
    <row r="11" spans="1:12" x14ac:dyDescent="0.25">
      <c r="C11" s="207">
        <f t="shared" si="0"/>
        <v>0</v>
      </c>
      <c r="D11" s="208">
        <f t="shared" si="1"/>
        <v>0</v>
      </c>
      <c r="E11" s="208">
        <f t="shared" si="2"/>
        <v>0</v>
      </c>
      <c r="F11" s="208">
        <f t="shared" si="3"/>
        <v>0</v>
      </c>
      <c r="G11" s="208">
        <f t="shared" si="4"/>
        <v>0</v>
      </c>
      <c r="H11" s="203">
        <f t="shared" si="5"/>
        <v>0</v>
      </c>
      <c r="I11" s="208">
        <f t="shared" si="6"/>
        <v>0</v>
      </c>
      <c r="J11" s="196"/>
      <c r="K11" s="205"/>
      <c r="L11" s="206"/>
    </row>
    <row r="12" spans="1:12" x14ac:dyDescent="0.25">
      <c r="C12" s="207">
        <f t="shared" si="0"/>
        <v>0</v>
      </c>
      <c r="D12" s="208">
        <f t="shared" si="1"/>
        <v>0</v>
      </c>
      <c r="E12" s="208">
        <f t="shared" si="2"/>
        <v>0</v>
      </c>
      <c r="F12" s="208">
        <f t="shared" si="3"/>
        <v>0</v>
      </c>
      <c r="G12" s="208">
        <f t="shared" si="4"/>
        <v>0</v>
      </c>
      <c r="H12" s="203">
        <f t="shared" si="5"/>
        <v>0</v>
      </c>
      <c r="I12" s="208">
        <f t="shared" si="6"/>
        <v>0</v>
      </c>
      <c r="J12" s="196"/>
      <c r="K12" s="205"/>
      <c r="L12" s="206"/>
    </row>
    <row r="13" spans="1:12" x14ac:dyDescent="0.25">
      <c r="C13" s="207">
        <f t="shared" si="0"/>
        <v>0</v>
      </c>
      <c r="D13" s="208">
        <f t="shared" si="1"/>
        <v>0</v>
      </c>
      <c r="E13" s="208">
        <f t="shared" si="2"/>
        <v>0</v>
      </c>
      <c r="F13" s="208">
        <f t="shared" si="3"/>
        <v>0</v>
      </c>
      <c r="G13" s="208">
        <f t="shared" si="4"/>
        <v>0</v>
      </c>
      <c r="H13" s="203">
        <f t="shared" si="5"/>
        <v>0</v>
      </c>
      <c r="I13" s="208">
        <f t="shared" si="6"/>
        <v>0</v>
      </c>
      <c r="J13" s="196"/>
      <c r="K13" s="205"/>
      <c r="L13" s="206"/>
    </row>
    <row r="14" spans="1:12" x14ac:dyDescent="0.25">
      <c r="C14" s="202">
        <f t="shared" si="0"/>
        <v>0</v>
      </c>
      <c r="D14" s="203">
        <f t="shared" si="1"/>
        <v>0</v>
      </c>
      <c r="E14" s="203">
        <f t="shared" si="2"/>
        <v>0</v>
      </c>
      <c r="F14" s="203">
        <f t="shared" si="3"/>
        <v>0</v>
      </c>
      <c r="G14" s="203">
        <f t="shared" si="4"/>
        <v>0</v>
      </c>
      <c r="H14" s="203">
        <f t="shared" si="5"/>
        <v>0</v>
      </c>
      <c r="I14" s="203">
        <f t="shared" si="6"/>
        <v>0</v>
      </c>
      <c r="J14" s="196"/>
      <c r="K14" s="205"/>
      <c r="L14" s="206"/>
    </row>
    <row r="15" spans="1:12" x14ac:dyDescent="0.25">
      <c r="C15" s="202">
        <f t="shared" si="0"/>
        <v>0</v>
      </c>
      <c r="D15" s="203">
        <f t="shared" si="1"/>
        <v>0</v>
      </c>
      <c r="E15" s="203">
        <f t="shared" si="2"/>
        <v>0</v>
      </c>
      <c r="F15" s="203">
        <f t="shared" si="3"/>
        <v>0</v>
      </c>
      <c r="G15" s="203">
        <f t="shared" si="4"/>
        <v>0</v>
      </c>
      <c r="H15" s="203">
        <f t="shared" si="5"/>
        <v>0</v>
      </c>
      <c r="I15" s="203">
        <f t="shared" si="6"/>
        <v>0</v>
      </c>
      <c r="J15" s="196"/>
      <c r="K15" s="205"/>
      <c r="L15" s="206"/>
    </row>
    <row r="16" spans="1:12" x14ac:dyDescent="0.25">
      <c r="C16" s="202">
        <f t="shared" si="0"/>
        <v>0</v>
      </c>
      <c r="D16" s="203">
        <f t="shared" si="1"/>
        <v>0</v>
      </c>
      <c r="E16" s="203">
        <f t="shared" si="2"/>
        <v>0</v>
      </c>
      <c r="F16" s="203">
        <f t="shared" si="3"/>
        <v>0</v>
      </c>
      <c r="G16" s="203">
        <f t="shared" si="4"/>
        <v>0</v>
      </c>
      <c r="H16" s="203">
        <f t="shared" si="5"/>
        <v>0</v>
      </c>
      <c r="I16" s="203">
        <f t="shared" si="6"/>
        <v>0</v>
      </c>
      <c r="J16" s="196"/>
      <c r="K16" s="205"/>
      <c r="L16" s="206"/>
    </row>
    <row r="17" spans="3:12" x14ac:dyDescent="0.25">
      <c r="C17" s="207">
        <f t="shared" si="0"/>
        <v>0</v>
      </c>
      <c r="D17" s="208">
        <f t="shared" si="1"/>
        <v>0</v>
      </c>
      <c r="E17" s="208">
        <f t="shared" si="2"/>
        <v>0</v>
      </c>
      <c r="F17" s="208">
        <f t="shared" si="3"/>
        <v>0</v>
      </c>
      <c r="G17" s="208">
        <f t="shared" si="4"/>
        <v>0</v>
      </c>
      <c r="H17" s="203">
        <f t="shared" si="5"/>
        <v>0</v>
      </c>
      <c r="I17" s="208">
        <f t="shared" si="6"/>
        <v>0</v>
      </c>
      <c r="J17" s="196"/>
      <c r="K17" s="205"/>
      <c r="L17" s="206"/>
    </row>
    <row r="18" spans="3:12" x14ac:dyDescent="0.25">
      <c r="C18" s="207">
        <f t="shared" si="0"/>
        <v>0</v>
      </c>
      <c r="D18" s="208">
        <f t="shared" si="1"/>
        <v>0</v>
      </c>
      <c r="E18" s="208">
        <f t="shared" si="2"/>
        <v>0</v>
      </c>
      <c r="F18" s="208">
        <f t="shared" si="3"/>
        <v>0</v>
      </c>
      <c r="G18" s="208">
        <f t="shared" si="4"/>
        <v>0</v>
      </c>
      <c r="H18" s="203">
        <f t="shared" si="5"/>
        <v>0</v>
      </c>
      <c r="I18" s="208">
        <f t="shared" si="6"/>
        <v>0</v>
      </c>
      <c r="J18" s="196"/>
      <c r="K18" s="209"/>
      <c r="L18" s="206"/>
    </row>
    <row r="19" spans="3:12" x14ac:dyDescent="0.25">
      <c r="C19" s="207">
        <f t="shared" si="0"/>
        <v>0</v>
      </c>
      <c r="D19" s="208">
        <f t="shared" si="1"/>
        <v>0</v>
      </c>
      <c r="E19" s="208">
        <f t="shared" si="2"/>
        <v>0</v>
      </c>
      <c r="F19" s="208">
        <f t="shared" si="3"/>
        <v>0</v>
      </c>
      <c r="G19" s="208">
        <f t="shared" si="4"/>
        <v>0</v>
      </c>
      <c r="H19" s="203">
        <f t="shared" si="5"/>
        <v>0</v>
      </c>
      <c r="I19" s="208">
        <f t="shared" si="6"/>
        <v>0</v>
      </c>
      <c r="J19" s="196"/>
      <c r="K19" s="209"/>
      <c r="L19" s="206"/>
    </row>
    <row r="20" spans="3:12" x14ac:dyDescent="0.25">
      <c r="C20" s="202">
        <f t="shared" si="0"/>
        <v>0</v>
      </c>
      <c r="D20" s="203">
        <f t="shared" si="1"/>
        <v>0</v>
      </c>
      <c r="E20" s="203">
        <f t="shared" si="2"/>
        <v>0</v>
      </c>
      <c r="F20" s="203">
        <f t="shared" si="3"/>
        <v>0</v>
      </c>
      <c r="G20" s="203">
        <f t="shared" si="4"/>
        <v>0</v>
      </c>
      <c r="H20" s="203">
        <f t="shared" si="5"/>
        <v>0</v>
      </c>
      <c r="I20" s="203">
        <f t="shared" si="6"/>
        <v>0</v>
      </c>
      <c r="J20" s="196"/>
      <c r="K20" s="209"/>
      <c r="L20" s="206"/>
    </row>
    <row r="21" spans="3:12" x14ac:dyDescent="0.25">
      <c r="C21" s="202">
        <f t="shared" si="0"/>
        <v>0</v>
      </c>
      <c r="D21" s="203">
        <f t="shared" si="1"/>
        <v>0</v>
      </c>
      <c r="E21" s="203">
        <f t="shared" si="2"/>
        <v>0</v>
      </c>
      <c r="F21" s="203">
        <f t="shared" si="3"/>
        <v>0</v>
      </c>
      <c r="G21" s="203">
        <f t="shared" si="4"/>
        <v>0</v>
      </c>
      <c r="H21" s="203">
        <f t="shared" si="5"/>
        <v>0</v>
      </c>
      <c r="I21" s="203">
        <f t="shared" si="6"/>
        <v>0</v>
      </c>
      <c r="J21" s="196"/>
      <c r="K21" s="209"/>
    </row>
    <row r="22" spans="3:12" x14ac:dyDescent="0.25">
      <c r="C22" s="202">
        <f t="shared" si="0"/>
        <v>0</v>
      </c>
      <c r="D22" s="203">
        <f t="shared" si="1"/>
        <v>0</v>
      </c>
      <c r="E22" s="203">
        <f t="shared" si="2"/>
        <v>0</v>
      </c>
      <c r="F22" s="203">
        <f t="shared" si="3"/>
        <v>0</v>
      </c>
      <c r="G22" s="203">
        <f t="shared" si="4"/>
        <v>0</v>
      </c>
      <c r="H22" s="203">
        <f t="shared" si="5"/>
        <v>0</v>
      </c>
      <c r="I22" s="203">
        <f t="shared" si="6"/>
        <v>0</v>
      </c>
      <c r="J22" s="196"/>
      <c r="K22" s="209"/>
    </row>
    <row r="23" spans="3:12" x14ac:dyDescent="0.25">
      <c r="C23" s="207">
        <f t="shared" si="0"/>
        <v>0</v>
      </c>
      <c r="D23" s="208">
        <f t="shared" si="1"/>
        <v>0</v>
      </c>
      <c r="E23" s="208">
        <f t="shared" si="2"/>
        <v>0</v>
      </c>
      <c r="F23" s="208">
        <f t="shared" si="3"/>
        <v>0</v>
      </c>
      <c r="G23" s="208">
        <f t="shared" si="4"/>
        <v>0</v>
      </c>
      <c r="H23" s="203">
        <f t="shared" si="5"/>
        <v>0</v>
      </c>
      <c r="I23" s="208">
        <f t="shared" si="6"/>
        <v>0</v>
      </c>
      <c r="J23" s="196"/>
    </row>
    <row r="24" spans="3:12" x14ac:dyDescent="0.25">
      <c r="C24" s="207">
        <f t="shared" si="0"/>
        <v>0</v>
      </c>
      <c r="D24" s="208">
        <f t="shared" si="1"/>
        <v>0</v>
      </c>
      <c r="E24" s="208">
        <f t="shared" si="2"/>
        <v>0</v>
      </c>
      <c r="F24" s="208">
        <f t="shared" si="3"/>
        <v>0</v>
      </c>
      <c r="G24" s="208">
        <f t="shared" si="4"/>
        <v>0</v>
      </c>
      <c r="H24" s="203">
        <f t="shared" si="5"/>
        <v>0</v>
      </c>
      <c r="I24" s="208">
        <f t="shared" si="6"/>
        <v>0</v>
      </c>
      <c r="J24" s="196"/>
    </row>
    <row r="25" spans="3:12" x14ac:dyDescent="0.25">
      <c r="C25" s="207">
        <f t="shared" si="0"/>
        <v>0</v>
      </c>
      <c r="D25" s="208">
        <f t="shared" si="1"/>
        <v>0</v>
      </c>
      <c r="E25" s="208">
        <f t="shared" si="2"/>
        <v>0</v>
      </c>
      <c r="F25" s="208">
        <f t="shared" si="3"/>
        <v>0</v>
      </c>
      <c r="G25" s="208">
        <f t="shared" si="4"/>
        <v>0</v>
      </c>
      <c r="H25" s="203">
        <f t="shared" si="5"/>
        <v>0</v>
      </c>
      <c r="I25" s="208">
        <f t="shared" si="6"/>
        <v>0</v>
      </c>
      <c r="J25" s="196"/>
    </row>
    <row r="26" spans="3:12" x14ac:dyDescent="0.25">
      <c r="C26" s="202">
        <f t="shared" si="0"/>
        <v>0</v>
      </c>
      <c r="D26" s="203">
        <f t="shared" si="1"/>
        <v>0</v>
      </c>
      <c r="E26" s="203">
        <f t="shared" si="2"/>
        <v>0</v>
      </c>
      <c r="F26" s="203">
        <f t="shared" si="3"/>
        <v>0</v>
      </c>
      <c r="G26" s="203">
        <f t="shared" si="4"/>
        <v>0</v>
      </c>
      <c r="H26" s="203">
        <f t="shared" si="5"/>
        <v>0</v>
      </c>
      <c r="I26" s="203">
        <f t="shared" si="6"/>
        <v>0</v>
      </c>
      <c r="J26" s="196"/>
    </row>
    <row r="27" spans="3:12" x14ac:dyDescent="0.25">
      <c r="C27" s="202">
        <f t="shared" si="0"/>
        <v>0</v>
      </c>
      <c r="D27" s="203">
        <f t="shared" si="1"/>
        <v>0</v>
      </c>
      <c r="E27" s="203">
        <f t="shared" si="2"/>
        <v>0</v>
      </c>
      <c r="F27" s="203">
        <f t="shared" si="3"/>
        <v>0</v>
      </c>
      <c r="G27" s="203">
        <f t="shared" si="4"/>
        <v>0</v>
      </c>
      <c r="H27" s="203">
        <f t="shared" si="5"/>
        <v>0</v>
      </c>
      <c r="I27" s="203">
        <f t="shared" si="6"/>
        <v>0</v>
      </c>
      <c r="J27" s="196"/>
    </row>
    <row r="28" spans="3:12" x14ac:dyDescent="0.25">
      <c r="C28" s="202">
        <f t="shared" si="0"/>
        <v>0</v>
      </c>
      <c r="D28" s="203">
        <f t="shared" si="1"/>
        <v>0</v>
      </c>
      <c r="E28" s="203">
        <f t="shared" si="2"/>
        <v>0</v>
      </c>
      <c r="F28" s="203">
        <f t="shared" si="3"/>
        <v>0</v>
      </c>
      <c r="G28" s="203">
        <f t="shared" si="4"/>
        <v>0</v>
      </c>
      <c r="H28" s="203">
        <f t="shared" si="5"/>
        <v>0</v>
      </c>
      <c r="I28" s="203">
        <f t="shared" si="6"/>
        <v>0</v>
      </c>
      <c r="J28" s="196"/>
    </row>
    <row r="29" spans="3:12" x14ac:dyDescent="0.25">
      <c r="C29" s="207">
        <f t="shared" si="0"/>
        <v>0</v>
      </c>
      <c r="D29" s="208">
        <f t="shared" si="1"/>
        <v>0</v>
      </c>
      <c r="E29" s="208">
        <f t="shared" si="2"/>
        <v>0</v>
      </c>
      <c r="F29" s="208">
        <f t="shared" si="3"/>
        <v>0</v>
      </c>
      <c r="G29" s="208">
        <f t="shared" si="4"/>
        <v>0</v>
      </c>
      <c r="H29" s="203">
        <f t="shared" si="5"/>
        <v>0</v>
      </c>
      <c r="I29" s="208">
        <f t="shared" si="6"/>
        <v>0</v>
      </c>
      <c r="J29" s="196"/>
    </row>
    <row r="30" spans="3:12" x14ac:dyDescent="0.25">
      <c r="C30" s="207">
        <f t="shared" si="0"/>
        <v>0</v>
      </c>
      <c r="D30" s="208">
        <f t="shared" si="1"/>
        <v>0</v>
      </c>
      <c r="E30" s="208">
        <f t="shared" si="2"/>
        <v>0</v>
      </c>
      <c r="F30" s="208">
        <f t="shared" si="3"/>
        <v>0</v>
      </c>
      <c r="G30" s="208">
        <f t="shared" si="4"/>
        <v>0</v>
      </c>
      <c r="H30" s="203">
        <f t="shared" si="5"/>
        <v>0</v>
      </c>
      <c r="I30" s="208">
        <f t="shared" si="6"/>
        <v>0</v>
      </c>
      <c r="J30" s="196"/>
    </row>
    <row r="31" spans="3:12" x14ac:dyDescent="0.25">
      <c r="C31" s="207">
        <f t="shared" si="0"/>
        <v>0</v>
      </c>
      <c r="D31" s="208">
        <f t="shared" si="1"/>
        <v>0</v>
      </c>
      <c r="E31" s="208">
        <f t="shared" si="2"/>
        <v>0</v>
      </c>
      <c r="F31" s="208">
        <f t="shared" si="3"/>
        <v>0</v>
      </c>
      <c r="G31" s="208">
        <f t="shared" si="4"/>
        <v>0</v>
      </c>
      <c r="H31" s="203">
        <f t="shared" si="5"/>
        <v>0</v>
      </c>
      <c r="I31" s="208">
        <f t="shared" si="6"/>
        <v>0</v>
      </c>
      <c r="J31" s="196"/>
    </row>
    <row r="32" spans="3:12" x14ac:dyDescent="0.25">
      <c r="C32" s="202">
        <f t="shared" si="0"/>
        <v>0</v>
      </c>
      <c r="D32" s="203">
        <f t="shared" si="1"/>
        <v>0</v>
      </c>
      <c r="E32" s="203">
        <f t="shared" si="2"/>
        <v>0</v>
      </c>
      <c r="F32" s="203">
        <f t="shared" si="3"/>
        <v>0</v>
      </c>
      <c r="G32" s="203">
        <f t="shared" si="4"/>
        <v>0</v>
      </c>
      <c r="H32" s="203">
        <f t="shared" si="5"/>
        <v>0</v>
      </c>
      <c r="I32" s="203">
        <f t="shared" si="6"/>
        <v>0</v>
      </c>
      <c r="J32" s="196"/>
    </row>
    <row r="33" spans="3:10" x14ac:dyDescent="0.25">
      <c r="C33" s="202">
        <f t="shared" si="0"/>
        <v>0</v>
      </c>
      <c r="D33" s="203">
        <f t="shared" si="1"/>
        <v>0</v>
      </c>
      <c r="E33" s="203">
        <f t="shared" si="2"/>
        <v>0</v>
      </c>
      <c r="F33" s="203">
        <f t="shared" si="3"/>
        <v>0</v>
      </c>
      <c r="G33" s="203">
        <f t="shared" si="4"/>
        <v>0</v>
      </c>
      <c r="H33" s="203">
        <f t="shared" si="5"/>
        <v>0</v>
      </c>
      <c r="I33" s="203">
        <f t="shared" si="6"/>
        <v>0</v>
      </c>
      <c r="J33" s="196"/>
    </row>
    <row r="34" spans="3:10" x14ac:dyDescent="0.25">
      <c r="C34" s="202">
        <f t="shared" si="0"/>
        <v>0</v>
      </c>
      <c r="D34" s="203">
        <f t="shared" si="1"/>
        <v>0</v>
      </c>
      <c r="E34" s="203">
        <f t="shared" si="2"/>
        <v>0</v>
      </c>
      <c r="F34" s="203">
        <f t="shared" si="3"/>
        <v>0</v>
      </c>
      <c r="G34" s="203">
        <f t="shared" si="4"/>
        <v>0</v>
      </c>
      <c r="H34" s="203">
        <f t="shared" si="5"/>
        <v>0</v>
      </c>
      <c r="I34" s="203">
        <f t="shared" si="6"/>
        <v>0</v>
      </c>
      <c r="J34" s="196"/>
    </row>
    <row r="35" spans="3:10" x14ac:dyDescent="0.25">
      <c r="C35" s="207">
        <f t="shared" si="0"/>
        <v>0</v>
      </c>
      <c r="D35" s="208">
        <f t="shared" si="1"/>
        <v>0</v>
      </c>
      <c r="E35" s="208">
        <f t="shared" si="2"/>
        <v>0</v>
      </c>
      <c r="F35" s="208">
        <f t="shared" si="3"/>
        <v>0</v>
      </c>
      <c r="G35" s="208">
        <f t="shared" si="4"/>
        <v>0</v>
      </c>
      <c r="H35" s="203">
        <f t="shared" si="5"/>
        <v>0</v>
      </c>
      <c r="I35" s="208">
        <f t="shared" si="6"/>
        <v>0</v>
      </c>
      <c r="J35" s="196"/>
    </row>
    <row r="36" spans="3:10" x14ac:dyDescent="0.25">
      <c r="C36" s="207">
        <f t="shared" si="0"/>
        <v>0</v>
      </c>
      <c r="D36" s="208">
        <f t="shared" si="1"/>
        <v>0</v>
      </c>
      <c r="E36" s="208">
        <f t="shared" si="2"/>
        <v>0</v>
      </c>
      <c r="F36" s="208">
        <f t="shared" si="3"/>
        <v>0</v>
      </c>
      <c r="G36" s="208">
        <f t="shared" si="4"/>
        <v>0</v>
      </c>
      <c r="H36" s="203">
        <f t="shared" si="5"/>
        <v>0</v>
      </c>
      <c r="I36" s="208">
        <f t="shared" si="6"/>
        <v>0</v>
      </c>
      <c r="J36" s="196"/>
    </row>
    <row r="37" spans="3:10" x14ac:dyDescent="0.25">
      <c r="C37" s="207">
        <f>IF(AND(C36&gt;0,C36&lt;E$5),C36+1,0)</f>
        <v>0</v>
      </c>
      <c r="D37" s="208">
        <f t="shared" si="1"/>
        <v>0</v>
      </c>
      <c r="E37" s="208">
        <f t="shared" si="2"/>
        <v>0</v>
      </c>
      <c r="F37" s="208">
        <f t="shared" si="3"/>
        <v>0</v>
      </c>
      <c r="G37" s="208">
        <f t="shared" si="4"/>
        <v>0</v>
      </c>
      <c r="H37" s="203">
        <f t="shared" si="5"/>
        <v>0</v>
      </c>
      <c r="I37" s="208">
        <f t="shared" si="6"/>
        <v>0</v>
      </c>
      <c r="J37" s="196"/>
    </row>
    <row r="38" spans="3:10" x14ac:dyDescent="0.25">
      <c r="C38" s="202">
        <f t="shared" si="0"/>
        <v>0</v>
      </c>
      <c r="D38" s="203">
        <f t="shared" si="1"/>
        <v>0</v>
      </c>
      <c r="E38" s="203">
        <f t="shared" si="2"/>
        <v>0</v>
      </c>
      <c r="F38" s="203">
        <f t="shared" si="3"/>
        <v>0</v>
      </c>
      <c r="G38" s="203">
        <f t="shared" si="4"/>
        <v>0</v>
      </c>
      <c r="H38" s="203">
        <f t="shared" si="5"/>
        <v>0</v>
      </c>
      <c r="I38" s="203">
        <f t="shared" si="6"/>
        <v>0</v>
      </c>
      <c r="J38" s="196"/>
    </row>
    <row r="39" spans="3:10" x14ac:dyDescent="0.25">
      <c r="C39" s="202"/>
      <c r="D39" s="203">
        <f t="shared" si="1"/>
        <v>0</v>
      </c>
      <c r="E39" s="203">
        <f t="shared" si="2"/>
        <v>0</v>
      </c>
      <c r="F39" s="203">
        <f t="shared" si="3"/>
        <v>0</v>
      </c>
      <c r="G39" s="203">
        <f t="shared" si="4"/>
        <v>0</v>
      </c>
      <c r="H39" s="203">
        <f t="shared" si="5"/>
        <v>0</v>
      </c>
      <c r="I39" s="203">
        <f t="shared" si="6"/>
        <v>0</v>
      </c>
      <c r="J39" s="196"/>
    </row>
    <row r="40" spans="3:10" x14ac:dyDescent="0.25">
      <c r="C40" s="202">
        <f t="shared" si="0"/>
        <v>0</v>
      </c>
      <c r="D40" s="203">
        <f t="shared" si="1"/>
        <v>0</v>
      </c>
      <c r="E40" s="203">
        <f t="shared" si="2"/>
        <v>0</v>
      </c>
      <c r="F40" s="203">
        <f t="shared" si="3"/>
        <v>0</v>
      </c>
      <c r="G40" s="203">
        <f t="shared" si="4"/>
        <v>0</v>
      </c>
      <c r="H40" s="203">
        <f t="shared" si="5"/>
        <v>0</v>
      </c>
      <c r="I40" s="203">
        <f t="shared" si="6"/>
        <v>0</v>
      </c>
      <c r="J40" s="196"/>
    </row>
    <row r="41" spans="3:10" x14ac:dyDescent="0.25">
      <c r="C41" s="207">
        <f t="shared" si="0"/>
        <v>0</v>
      </c>
      <c r="D41" s="208">
        <f t="shared" si="1"/>
        <v>0</v>
      </c>
      <c r="E41" s="208">
        <f t="shared" si="2"/>
        <v>0</v>
      </c>
      <c r="F41" s="208">
        <f t="shared" si="3"/>
        <v>0</v>
      </c>
      <c r="G41" s="208">
        <f t="shared" si="4"/>
        <v>0</v>
      </c>
      <c r="H41" s="203">
        <f t="shared" si="5"/>
        <v>0</v>
      </c>
      <c r="I41" s="208">
        <f t="shared" si="6"/>
        <v>0</v>
      </c>
      <c r="J41" s="196"/>
    </row>
    <row r="42" spans="3:10" x14ac:dyDescent="0.25">
      <c r="C42" s="207">
        <f t="shared" si="0"/>
        <v>0</v>
      </c>
      <c r="D42" s="208">
        <f t="shared" si="1"/>
        <v>0</v>
      </c>
      <c r="E42" s="208">
        <f t="shared" si="2"/>
        <v>0</v>
      </c>
      <c r="F42" s="208">
        <f t="shared" si="3"/>
        <v>0</v>
      </c>
      <c r="G42" s="208">
        <f t="shared" si="4"/>
        <v>0</v>
      </c>
      <c r="H42" s="203">
        <f t="shared" si="5"/>
        <v>0</v>
      </c>
      <c r="I42" s="208">
        <f t="shared" si="6"/>
        <v>0</v>
      </c>
      <c r="J42" s="196"/>
    </row>
    <row r="43" spans="3:10" x14ac:dyDescent="0.25">
      <c r="C43" s="207">
        <f t="shared" si="0"/>
        <v>0</v>
      </c>
      <c r="D43" s="208">
        <f t="shared" si="1"/>
        <v>0</v>
      </c>
      <c r="E43" s="208">
        <f t="shared" si="2"/>
        <v>0</v>
      </c>
      <c r="F43" s="208">
        <f t="shared" si="3"/>
        <v>0</v>
      </c>
      <c r="G43" s="208">
        <f t="shared" si="4"/>
        <v>0</v>
      </c>
      <c r="H43" s="203">
        <f t="shared" si="5"/>
        <v>0</v>
      </c>
      <c r="I43" s="208">
        <f t="shared" si="6"/>
        <v>0</v>
      </c>
      <c r="J43" s="196"/>
    </row>
    <row r="44" spans="3:10" x14ac:dyDescent="0.25">
      <c r="C44" s="202">
        <f t="shared" si="0"/>
        <v>0</v>
      </c>
      <c r="D44" s="203">
        <f t="shared" si="1"/>
        <v>0</v>
      </c>
      <c r="E44" s="203">
        <f t="shared" si="2"/>
        <v>0</v>
      </c>
      <c r="F44" s="203">
        <f t="shared" si="3"/>
        <v>0</v>
      </c>
      <c r="G44" s="203">
        <f t="shared" si="4"/>
        <v>0</v>
      </c>
      <c r="H44" s="203">
        <f t="shared" si="5"/>
        <v>0</v>
      </c>
      <c r="I44" s="203">
        <f t="shared" si="6"/>
        <v>0</v>
      </c>
      <c r="J44" s="196"/>
    </row>
    <row r="45" spans="3:10" x14ac:dyDescent="0.25">
      <c r="C45" s="202">
        <f t="shared" si="0"/>
        <v>0</v>
      </c>
      <c r="D45" s="203">
        <f t="shared" si="1"/>
        <v>0</v>
      </c>
      <c r="E45" s="203">
        <f t="shared" si="2"/>
        <v>0</v>
      </c>
      <c r="F45" s="203">
        <f t="shared" si="3"/>
        <v>0</v>
      </c>
      <c r="G45" s="203">
        <f t="shared" si="4"/>
        <v>0</v>
      </c>
      <c r="H45" s="203">
        <f t="shared" si="5"/>
        <v>0</v>
      </c>
      <c r="I45" s="203">
        <f t="shared" si="6"/>
        <v>0</v>
      </c>
      <c r="J45" s="196"/>
    </row>
    <row r="46" spans="3:10" x14ac:dyDescent="0.25">
      <c r="C46" s="202">
        <f t="shared" si="0"/>
        <v>0</v>
      </c>
      <c r="D46" s="203">
        <f t="shared" si="1"/>
        <v>0</v>
      </c>
      <c r="E46" s="203">
        <f t="shared" si="2"/>
        <v>0</v>
      </c>
      <c r="F46" s="203">
        <f t="shared" si="3"/>
        <v>0</v>
      </c>
      <c r="G46" s="203">
        <f t="shared" si="4"/>
        <v>0</v>
      </c>
      <c r="H46" s="203">
        <f t="shared" si="5"/>
        <v>0</v>
      </c>
      <c r="I46" s="203">
        <f t="shared" si="6"/>
        <v>0</v>
      </c>
      <c r="J46" s="196"/>
    </row>
    <row r="47" spans="3:10" x14ac:dyDescent="0.25">
      <c r="C47" s="207">
        <f t="shared" si="0"/>
        <v>0</v>
      </c>
      <c r="D47" s="208">
        <f t="shared" si="1"/>
        <v>0</v>
      </c>
      <c r="E47" s="208">
        <f t="shared" si="2"/>
        <v>0</v>
      </c>
      <c r="F47" s="208">
        <f t="shared" si="3"/>
        <v>0</v>
      </c>
      <c r="G47" s="208">
        <f t="shared" si="4"/>
        <v>0</v>
      </c>
      <c r="H47" s="203">
        <f t="shared" si="5"/>
        <v>0</v>
      </c>
      <c r="I47" s="208">
        <f t="shared" si="6"/>
        <v>0</v>
      </c>
      <c r="J47" s="196"/>
    </row>
    <row r="48" spans="3:10" x14ac:dyDescent="0.25">
      <c r="C48" s="207">
        <f t="shared" si="0"/>
        <v>0</v>
      </c>
      <c r="D48" s="208">
        <f t="shared" si="1"/>
        <v>0</v>
      </c>
      <c r="E48" s="208">
        <f t="shared" si="2"/>
        <v>0</v>
      </c>
      <c r="F48" s="208">
        <f t="shared" si="3"/>
        <v>0</v>
      </c>
      <c r="G48" s="208">
        <f t="shared" si="4"/>
        <v>0</v>
      </c>
      <c r="H48" s="203">
        <f t="shared" si="5"/>
        <v>0</v>
      </c>
      <c r="I48" s="208">
        <f t="shared" si="6"/>
        <v>0</v>
      </c>
      <c r="J48" s="196"/>
    </row>
    <row r="49" spans="3:10" x14ac:dyDescent="0.25">
      <c r="C49" s="207">
        <f t="shared" si="0"/>
        <v>0</v>
      </c>
      <c r="D49" s="208">
        <f t="shared" si="1"/>
        <v>0</v>
      </c>
      <c r="E49" s="208">
        <f t="shared" si="2"/>
        <v>0</v>
      </c>
      <c r="F49" s="208">
        <f t="shared" si="3"/>
        <v>0</v>
      </c>
      <c r="G49" s="208">
        <f t="shared" si="4"/>
        <v>0</v>
      </c>
      <c r="H49" s="203">
        <f t="shared" si="5"/>
        <v>0</v>
      </c>
      <c r="I49" s="208">
        <f t="shared" si="6"/>
        <v>0</v>
      </c>
      <c r="J49" s="196"/>
    </row>
    <row r="50" spans="3:10" x14ac:dyDescent="0.25">
      <c r="C50" s="202">
        <f t="shared" si="0"/>
        <v>0</v>
      </c>
      <c r="D50" s="203">
        <f t="shared" si="1"/>
        <v>0</v>
      </c>
      <c r="E50" s="203">
        <f t="shared" si="2"/>
        <v>0</v>
      </c>
      <c r="F50" s="203">
        <f t="shared" si="3"/>
        <v>0</v>
      </c>
      <c r="G50" s="203">
        <f t="shared" si="4"/>
        <v>0</v>
      </c>
      <c r="H50" s="203">
        <f t="shared" si="5"/>
        <v>0</v>
      </c>
      <c r="I50" s="203">
        <f t="shared" si="6"/>
        <v>0</v>
      </c>
      <c r="J50" s="196"/>
    </row>
    <row r="51" spans="3:10" x14ac:dyDescent="0.25">
      <c r="C51" s="202">
        <f t="shared" si="0"/>
        <v>0</v>
      </c>
      <c r="D51" s="203">
        <f t="shared" si="1"/>
        <v>0</v>
      </c>
      <c r="E51" s="203">
        <f t="shared" si="2"/>
        <v>0</v>
      </c>
      <c r="F51" s="203">
        <f t="shared" si="3"/>
        <v>0</v>
      </c>
      <c r="G51" s="203">
        <f t="shared" si="4"/>
        <v>0</v>
      </c>
      <c r="H51" s="203">
        <f t="shared" si="5"/>
        <v>0</v>
      </c>
      <c r="I51" s="203">
        <f t="shared" si="6"/>
        <v>0</v>
      </c>
      <c r="J51" s="196"/>
    </row>
    <row r="52" spans="3:10" x14ac:dyDescent="0.25">
      <c r="C52" s="202">
        <f t="shared" si="0"/>
        <v>0</v>
      </c>
      <c r="D52" s="203">
        <f t="shared" si="1"/>
        <v>0</v>
      </c>
      <c r="E52" s="203">
        <f t="shared" si="2"/>
        <v>0</v>
      </c>
      <c r="F52" s="203">
        <f t="shared" si="3"/>
        <v>0</v>
      </c>
      <c r="G52" s="203">
        <f t="shared" si="4"/>
        <v>0</v>
      </c>
      <c r="H52" s="203">
        <f t="shared" si="5"/>
        <v>0</v>
      </c>
      <c r="I52" s="203">
        <f t="shared" si="6"/>
        <v>0</v>
      </c>
      <c r="J52" s="196"/>
    </row>
    <row r="53" spans="3:10" x14ac:dyDescent="0.25">
      <c r="C53" s="207">
        <f t="shared" si="0"/>
        <v>0</v>
      </c>
      <c r="D53" s="208">
        <f t="shared" si="1"/>
        <v>0</v>
      </c>
      <c r="E53" s="208">
        <f t="shared" si="2"/>
        <v>0</v>
      </c>
      <c r="F53" s="208">
        <f t="shared" si="3"/>
        <v>0</v>
      </c>
      <c r="G53" s="208">
        <f t="shared" si="4"/>
        <v>0</v>
      </c>
      <c r="H53" s="203">
        <f t="shared" si="5"/>
        <v>0</v>
      </c>
      <c r="I53" s="208">
        <f t="shared" si="6"/>
        <v>0</v>
      </c>
      <c r="J53" s="196"/>
    </row>
    <row r="54" spans="3:10" x14ac:dyDescent="0.25">
      <c r="C54" s="207">
        <f t="shared" si="0"/>
        <v>0</v>
      </c>
      <c r="D54" s="208">
        <f t="shared" si="1"/>
        <v>0</v>
      </c>
      <c r="E54" s="208">
        <f t="shared" si="2"/>
        <v>0</v>
      </c>
      <c r="F54" s="208">
        <f t="shared" si="3"/>
        <v>0</v>
      </c>
      <c r="G54" s="208">
        <f t="shared" si="4"/>
        <v>0</v>
      </c>
      <c r="H54" s="203">
        <f t="shared" si="5"/>
        <v>0</v>
      </c>
      <c r="I54" s="208">
        <f t="shared" si="6"/>
        <v>0</v>
      </c>
      <c r="J54" s="196"/>
    </row>
    <row r="55" spans="3:10" x14ac:dyDescent="0.25">
      <c r="C55" s="207">
        <f t="shared" si="0"/>
        <v>0</v>
      </c>
      <c r="D55" s="208">
        <f t="shared" si="1"/>
        <v>0</v>
      </c>
      <c r="E55" s="208">
        <f t="shared" si="2"/>
        <v>0</v>
      </c>
      <c r="F55" s="208">
        <f t="shared" si="3"/>
        <v>0</v>
      </c>
      <c r="G55" s="208">
        <f t="shared" si="4"/>
        <v>0</v>
      </c>
      <c r="H55" s="203">
        <f t="shared" si="5"/>
        <v>0</v>
      </c>
      <c r="I55" s="208">
        <f t="shared" si="6"/>
        <v>0</v>
      </c>
      <c r="J55" s="196"/>
    </row>
    <row r="56" spans="3:10" x14ac:dyDescent="0.25">
      <c r="C56" s="202">
        <f t="shared" si="0"/>
        <v>0</v>
      </c>
      <c r="D56" s="203">
        <f t="shared" si="1"/>
        <v>0</v>
      </c>
      <c r="E56" s="203">
        <f t="shared" si="2"/>
        <v>0</v>
      </c>
      <c r="F56" s="203">
        <f t="shared" si="3"/>
        <v>0</v>
      </c>
      <c r="G56" s="203">
        <f t="shared" si="4"/>
        <v>0</v>
      </c>
      <c r="H56" s="203">
        <f t="shared" si="5"/>
        <v>0</v>
      </c>
      <c r="I56" s="203">
        <f t="shared" si="6"/>
        <v>0</v>
      </c>
      <c r="J56" s="196"/>
    </row>
    <row r="57" spans="3:10" x14ac:dyDescent="0.25">
      <c r="C57" s="202">
        <f t="shared" si="0"/>
        <v>0</v>
      </c>
      <c r="D57" s="203">
        <f t="shared" si="1"/>
        <v>0</v>
      </c>
      <c r="E57" s="203">
        <f t="shared" si="2"/>
        <v>0</v>
      </c>
      <c r="F57" s="203">
        <f t="shared" si="3"/>
        <v>0</v>
      </c>
      <c r="G57" s="203">
        <f t="shared" si="4"/>
        <v>0</v>
      </c>
      <c r="H57" s="203">
        <f t="shared" si="5"/>
        <v>0</v>
      </c>
      <c r="I57" s="203">
        <f t="shared" si="6"/>
        <v>0</v>
      </c>
      <c r="J57" s="196"/>
    </row>
    <row r="58" spans="3:10" x14ac:dyDescent="0.25">
      <c r="C58" s="202">
        <f t="shared" si="0"/>
        <v>0</v>
      </c>
      <c r="D58" s="203">
        <f t="shared" si="1"/>
        <v>0</v>
      </c>
      <c r="E58" s="203">
        <f t="shared" si="2"/>
        <v>0</v>
      </c>
      <c r="F58" s="203">
        <f t="shared" si="3"/>
        <v>0</v>
      </c>
      <c r="G58" s="203">
        <f t="shared" si="4"/>
        <v>0</v>
      </c>
      <c r="H58" s="203">
        <f t="shared" si="5"/>
        <v>0</v>
      </c>
      <c r="I58" s="203">
        <f t="shared" si="6"/>
        <v>0</v>
      </c>
      <c r="J58" s="196"/>
    </row>
    <row r="59" spans="3:10" x14ac:dyDescent="0.25">
      <c r="C59" s="207">
        <f t="shared" si="0"/>
        <v>0</v>
      </c>
      <c r="D59" s="208">
        <f t="shared" si="1"/>
        <v>0</v>
      </c>
      <c r="E59" s="208">
        <f t="shared" si="2"/>
        <v>0</v>
      </c>
      <c r="F59" s="208">
        <f t="shared" si="3"/>
        <v>0</v>
      </c>
      <c r="G59" s="208">
        <f t="shared" si="4"/>
        <v>0</v>
      </c>
      <c r="H59" s="203">
        <f t="shared" si="5"/>
        <v>0</v>
      </c>
      <c r="I59" s="208">
        <f t="shared" si="6"/>
        <v>0</v>
      </c>
      <c r="J59" s="196"/>
    </row>
    <row r="60" spans="3:10" x14ac:dyDescent="0.25">
      <c r="C60" s="207">
        <f t="shared" si="0"/>
        <v>0</v>
      </c>
      <c r="D60" s="208">
        <f t="shared" si="1"/>
        <v>0</v>
      </c>
      <c r="E60" s="208">
        <f t="shared" si="2"/>
        <v>0</v>
      </c>
      <c r="F60" s="208">
        <f t="shared" si="3"/>
        <v>0</v>
      </c>
      <c r="G60" s="208">
        <f t="shared" si="4"/>
        <v>0</v>
      </c>
      <c r="H60" s="203">
        <f t="shared" si="5"/>
        <v>0</v>
      </c>
      <c r="I60" s="208">
        <f t="shared" si="6"/>
        <v>0</v>
      </c>
      <c r="J60" s="196"/>
    </row>
    <row r="61" spans="3:10" x14ac:dyDescent="0.25">
      <c r="C61" s="207">
        <f t="shared" si="0"/>
        <v>0</v>
      </c>
      <c r="D61" s="208">
        <f t="shared" si="1"/>
        <v>0</v>
      </c>
      <c r="E61" s="208">
        <f t="shared" si="2"/>
        <v>0</v>
      </c>
      <c r="F61" s="208">
        <f t="shared" si="3"/>
        <v>0</v>
      </c>
      <c r="G61" s="208">
        <f t="shared" si="4"/>
        <v>0</v>
      </c>
      <c r="H61" s="203">
        <f t="shared" si="5"/>
        <v>0</v>
      </c>
      <c r="I61" s="208">
        <f t="shared" si="6"/>
        <v>0</v>
      </c>
      <c r="J61" s="196"/>
    </row>
    <row r="62" spans="3:10" x14ac:dyDescent="0.25">
      <c r="C62" s="202">
        <f t="shared" si="0"/>
        <v>0</v>
      </c>
      <c r="D62" s="203">
        <f t="shared" si="1"/>
        <v>0</v>
      </c>
      <c r="E62" s="203">
        <f t="shared" si="2"/>
        <v>0</v>
      </c>
      <c r="F62" s="203">
        <f t="shared" si="3"/>
        <v>0</v>
      </c>
      <c r="G62" s="203">
        <f t="shared" si="4"/>
        <v>0</v>
      </c>
      <c r="H62" s="203">
        <f t="shared" si="5"/>
        <v>0</v>
      </c>
      <c r="I62" s="203">
        <f t="shared" si="6"/>
        <v>0</v>
      </c>
      <c r="J62" s="196"/>
    </row>
    <row r="63" spans="3:10" x14ac:dyDescent="0.25">
      <c r="C63" s="202">
        <f t="shared" si="0"/>
        <v>0</v>
      </c>
      <c r="D63" s="203">
        <f t="shared" si="1"/>
        <v>0</v>
      </c>
      <c r="E63" s="203">
        <f t="shared" si="2"/>
        <v>0</v>
      </c>
      <c r="F63" s="203">
        <f t="shared" si="3"/>
        <v>0</v>
      </c>
      <c r="G63" s="203">
        <f t="shared" si="4"/>
        <v>0</v>
      </c>
      <c r="H63" s="203">
        <f t="shared" si="5"/>
        <v>0</v>
      </c>
      <c r="I63" s="203">
        <f t="shared" si="6"/>
        <v>0</v>
      </c>
      <c r="J63" s="196"/>
    </row>
    <row r="64" spans="3:10" x14ac:dyDescent="0.25">
      <c r="C64" s="202">
        <f t="shared" si="0"/>
        <v>0</v>
      </c>
      <c r="D64" s="203">
        <f t="shared" si="1"/>
        <v>0</v>
      </c>
      <c r="E64" s="203">
        <f t="shared" si="2"/>
        <v>0</v>
      </c>
      <c r="F64" s="203">
        <f t="shared" si="3"/>
        <v>0</v>
      </c>
      <c r="G64" s="203">
        <f t="shared" si="4"/>
        <v>0</v>
      </c>
      <c r="H64" s="203">
        <f t="shared" si="5"/>
        <v>0</v>
      </c>
      <c r="I64" s="203">
        <f t="shared" si="6"/>
        <v>0</v>
      </c>
      <c r="J64" s="196"/>
    </row>
    <row r="65" spans="3:10" x14ac:dyDescent="0.25">
      <c r="C65" s="207">
        <f t="shared" si="0"/>
        <v>0</v>
      </c>
      <c r="D65" s="208">
        <f t="shared" si="1"/>
        <v>0</v>
      </c>
      <c r="E65" s="208">
        <f t="shared" si="2"/>
        <v>0</v>
      </c>
      <c r="F65" s="208">
        <f t="shared" si="3"/>
        <v>0</v>
      </c>
      <c r="G65" s="208">
        <f t="shared" si="4"/>
        <v>0</v>
      </c>
      <c r="H65" s="203">
        <f t="shared" si="5"/>
        <v>0</v>
      </c>
      <c r="I65" s="208">
        <f t="shared" si="6"/>
        <v>0</v>
      </c>
      <c r="J65" s="196"/>
    </row>
    <row r="66" spans="3:10" x14ac:dyDescent="0.25">
      <c r="C66" s="207">
        <f t="shared" si="0"/>
        <v>0</v>
      </c>
      <c r="D66" s="208">
        <f t="shared" si="1"/>
        <v>0</v>
      </c>
      <c r="E66" s="208">
        <f t="shared" si="2"/>
        <v>0</v>
      </c>
      <c r="F66" s="208">
        <f t="shared" si="3"/>
        <v>0</v>
      </c>
      <c r="G66" s="208">
        <f t="shared" si="4"/>
        <v>0</v>
      </c>
      <c r="H66" s="203">
        <f t="shared" si="5"/>
        <v>0</v>
      </c>
      <c r="I66" s="208">
        <f t="shared" si="6"/>
        <v>0</v>
      </c>
      <c r="J66" s="196"/>
    </row>
    <row r="67" spans="3:10" x14ac:dyDescent="0.25">
      <c r="C67" s="207">
        <f t="shared" si="0"/>
        <v>0</v>
      </c>
      <c r="D67" s="208">
        <f t="shared" si="1"/>
        <v>0</v>
      </c>
      <c r="E67" s="208">
        <f t="shared" si="2"/>
        <v>0</v>
      </c>
      <c r="F67" s="208">
        <f t="shared" si="3"/>
        <v>0</v>
      </c>
      <c r="G67" s="208">
        <f t="shared" si="4"/>
        <v>0</v>
      </c>
      <c r="H67" s="203">
        <f t="shared" si="5"/>
        <v>0</v>
      </c>
      <c r="I67" s="208">
        <f t="shared" si="6"/>
        <v>0</v>
      </c>
      <c r="J67" s="196"/>
    </row>
    <row r="68" spans="3:10" x14ac:dyDescent="0.25">
      <c r="C68" s="202">
        <f t="shared" si="0"/>
        <v>0</v>
      </c>
      <c r="D68" s="203">
        <f t="shared" si="1"/>
        <v>0</v>
      </c>
      <c r="E68" s="203">
        <f t="shared" si="2"/>
        <v>0</v>
      </c>
      <c r="F68" s="203">
        <f t="shared" si="3"/>
        <v>0</v>
      </c>
      <c r="G68" s="203">
        <f t="shared" si="4"/>
        <v>0</v>
      </c>
      <c r="H68" s="203">
        <f t="shared" si="5"/>
        <v>0</v>
      </c>
      <c r="I68" s="203">
        <f t="shared" si="6"/>
        <v>0</v>
      </c>
      <c r="J68" s="196"/>
    </row>
    <row r="69" spans="3:10" x14ac:dyDescent="0.25">
      <c r="C69" s="202">
        <f t="shared" si="0"/>
        <v>0</v>
      </c>
      <c r="D69" s="203">
        <f t="shared" si="1"/>
        <v>0</v>
      </c>
      <c r="E69" s="203">
        <f t="shared" si="2"/>
        <v>0</v>
      </c>
      <c r="F69" s="203">
        <f t="shared" si="3"/>
        <v>0</v>
      </c>
      <c r="G69" s="203">
        <f t="shared" si="4"/>
        <v>0</v>
      </c>
      <c r="H69" s="203">
        <f t="shared" si="5"/>
        <v>0</v>
      </c>
      <c r="I69" s="203">
        <f t="shared" si="6"/>
        <v>0</v>
      </c>
      <c r="J69" s="196"/>
    </row>
    <row r="70" spans="3:10" x14ac:dyDescent="0.25">
      <c r="C70" s="202">
        <f t="shared" si="0"/>
        <v>0</v>
      </c>
      <c r="D70" s="203">
        <f t="shared" si="1"/>
        <v>0</v>
      </c>
      <c r="E70" s="203">
        <f t="shared" si="2"/>
        <v>0</v>
      </c>
      <c r="F70" s="203">
        <f t="shared" si="3"/>
        <v>0</v>
      </c>
      <c r="G70" s="203">
        <f t="shared" si="4"/>
        <v>0</v>
      </c>
      <c r="H70" s="203">
        <f t="shared" si="5"/>
        <v>0</v>
      </c>
      <c r="I70" s="203">
        <f t="shared" si="6"/>
        <v>0</v>
      </c>
      <c r="J70" s="196"/>
    </row>
    <row r="71" spans="3:10" x14ac:dyDescent="0.25">
      <c r="C71" s="207">
        <f t="shared" si="0"/>
        <v>0</v>
      </c>
      <c r="D71" s="208">
        <f t="shared" si="1"/>
        <v>0</v>
      </c>
      <c r="E71" s="208">
        <f t="shared" si="2"/>
        <v>0</v>
      </c>
      <c r="F71" s="208">
        <f t="shared" si="3"/>
        <v>0</v>
      </c>
      <c r="G71" s="208">
        <f t="shared" si="4"/>
        <v>0</v>
      </c>
      <c r="H71" s="203">
        <f t="shared" si="5"/>
        <v>0</v>
      </c>
      <c r="I71" s="208">
        <f t="shared" si="6"/>
        <v>0</v>
      </c>
      <c r="J71" s="196"/>
    </row>
    <row r="72" spans="3:10" x14ac:dyDescent="0.25">
      <c r="C72" s="207">
        <f t="shared" si="0"/>
        <v>0</v>
      </c>
      <c r="D72" s="208">
        <f t="shared" si="1"/>
        <v>0</v>
      </c>
      <c r="E72" s="208">
        <f t="shared" si="2"/>
        <v>0</v>
      </c>
      <c r="F72" s="208">
        <f t="shared" si="3"/>
        <v>0</v>
      </c>
      <c r="G72" s="208">
        <f t="shared" si="4"/>
        <v>0</v>
      </c>
      <c r="H72" s="203">
        <f t="shared" si="5"/>
        <v>0</v>
      </c>
      <c r="I72" s="208">
        <f t="shared" si="6"/>
        <v>0</v>
      </c>
      <c r="J72" s="196"/>
    </row>
    <row r="73" spans="3:10" x14ac:dyDescent="0.25">
      <c r="C73" s="207">
        <f t="shared" si="0"/>
        <v>0</v>
      </c>
      <c r="D73" s="208">
        <f t="shared" si="1"/>
        <v>0</v>
      </c>
      <c r="E73" s="208">
        <f t="shared" si="2"/>
        <v>0</v>
      </c>
      <c r="F73" s="208">
        <f t="shared" si="3"/>
        <v>0</v>
      </c>
      <c r="G73" s="208">
        <f t="shared" si="4"/>
        <v>0</v>
      </c>
      <c r="H73" s="203">
        <f t="shared" si="5"/>
        <v>0</v>
      </c>
      <c r="I73" s="208">
        <f t="shared" si="6"/>
        <v>0</v>
      </c>
      <c r="J73" s="196"/>
    </row>
    <row r="74" spans="3:10" x14ac:dyDescent="0.25">
      <c r="C74" s="202">
        <f t="shared" ref="C74:C137" si="7">IF(AND(C73&gt;0,C73&lt;E$5),C73+1,0)</f>
        <v>0</v>
      </c>
      <c r="D74" s="203">
        <f t="shared" ref="D74:D137" si="8">IF(C74&gt;0,I73,0)</f>
        <v>0</v>
      </c>
      <c r="E74" s="203">
        <f t="shared" ref="E74:E137" si="9">IF(C74&gt;0,D74*$G$5,0)</f>
        <v>0</v>
      </c>
      <c r="F74" s="203">
        <f t="shared" ref="F74:F137" si="10">IF(C74&gt;0,D74+E74,0)</f>
        <v>0</v>
      </c>
      <c r="G74" s="203">
        <f t="shared" ref="G74:G137" si="11">IF(C74&gt;0,H74-E74,0)</f>
        <v>0</v>
      </c>
      <c r="H74" s="203">
        <f t="shared" ref="H74:H137" si="12">IF(C74&gt;0,PMT($G$5,$E$5-C73,-D74),0)</f>
        <v>0</v>
      </c>
      <c r="I74" s="203">
        <f t="shared" ref="I74:I137" si="13">IF(C74&gt;0,F74-H74,0)</f>
        <v>0</v>
      </c>
      <c r="J74" s="196"/>
    </row>
    <row r="75" spans="3:10" x14ac:dyDescent="0.25">
      <c r="C75" s="202">
        <f t="shared" si="7"/>
        <v>0</v>
      </c>
      <c r="D75" s="203">
        <f t="shared" si="8"/>
        <v>0</v>
      </c>
      <c r="E75" s="203">
        <f t="shared" si="9"/>
        <v>0</v>
      </c>
      <c r="F75" s="203">
        <f t="shared" si="10"/>
        <v>0</v>
      </c>
      <c r="G75" s="203">
        <f t="shared" si="11"/>
        <v>0</v>
      </c>
      <c r="H75" s="203">
        <f t="shared" si="12"/>
        <v>0</v>
      </c>
      <c r="I75" s="203">
        <f t="shared" si="13"/>
        <v>0</v>
      </c>
      <c r="J75" s="196"/>
    </row>
    <row r="76" spans="3:10" x14ac:dyDescent="0.25">
      <c r="C76" s="202">
        <f t="shared" si="7"/>
        <v>0</v>
      </c>
      <c r="D76" s="203">
        <f t="shared" si="8"/>
        <v>0</v>
      </c>
      <c r="E76" s="203">
        <f t="shared" si="9"/>
        <v>0</v>
      </c>
      <c r="F76" s="203">
        <f t="shared" si="10"/>
        <v>0</v>
      </c>
      <c r="G76" s="203">
        <f t="shared" si="11"/>
        <v>0</v>
      </c>
      <c r="H76" s="203">
        <f t="shared" si="12"/>
        <v>0</v>
      </c>
      <c r="I76" s="203">
        <f t="shared" si="13"/>
        <v>0</v>
      </c>
      <c r="J76" s="196"/>
    </row>
    <row r="77" spans="3:10" x14ac:dyDescent="0.25">
      <c r="C77" s="207">
        <f t="shared" si="7"/>
        <v>0</v>
      </c>
      <c r="D77" s="208">
        <f t="shared" si="8"/>
        <v>0</v>
      </c>
      <c r="E77" s="208">
        <f t="shared" si="9"/>
        <v>0</v>
      </c>
      <c r="F77" s="208">
        <f t="shared" si="10"/>
        <v>0</v>
      </c>
      <c r="G77" s="208">
        <f t="shared" si="11"/>
        <v>0</v>
      </c>
      <c r="H77" s="203">
        <f t="shared" si="12"/>
        <v>0</v>
      </c>
      <c r="I77" s="208">
        <f t="shared" si="13"/>
        <v>0</v>
      </c>
      <c r="J77" s="196"/>
    </row>
    <row r="78" spans="3:10" x14ac:dyDescent="0.25">
      <c r="C78" s="207">
        <f t="shared" si="7"/>
        <v>0</v>
      </c>
      <c r="D78" s="208">
        <f t="shared" si="8"/>
        <v>0</v>
      </c>
      <c r="E78" s="208">
        <f t="shared" si="9"/>
        <v>0</v>
      </c>
      <c r="F78" s="208">
        <f t="shared" si="10"/>
        <v>0</v>
      </c>
      <c r="G78" s="208">
        <f t="shared" si="11"/>
        <v>0</v>
      </c>
      <c r="H78" s="203">
        <f t="shared" si="12"/>
        <v>0</v>
      </c>
      <c r="I78" s="208">
        <f t="shared" si="13"/>
        <v>0</v>
      </c>
      <c r="J78" s="196"/>
    </row>
    <row r="79" spans="3:10" x14ac:dyDescent="0.25">
      <c r="C79" s="207">
        <f t="shared" si="7"/>
        <v>0</v>
      </c>
      <c r="D79" s="208">
        <f t="shared" si="8"/>
        <v>0</v>
      </c>
      <c r="E79" s="208">
        <f t="shared" si="9"/>
        <v>0</v>
      </c>
      <c r="F79" s="208">
        <f t="shared" si="10"/>
        <v>0</v>
      </c>
      <c r="G79" s="208">
        <f t="shared" si="11"/>
        <v>0</v>
      </c>
      <c r="H79" s="203">
        <f t="shared" si="12"/>
        <v>0</v>
      </c>
      <c r="I79" s="208">
        <f t="shared" si="13"/>
        <v>0</v>
      </c>
      <c r="J79" s="196"/>
    </row>
    <row r="80" spans="3:10" x14ac:dyDescent="0.25">
      <c r="C80" s="202">
        <f t="shared" si="7"/>
        <v>0</v>
      </c>
      <c r="D80" s="203">
        <f t="shared" si="8"/>
        <v>0</v>
      </c>
      <c r="E80" s="203">
        <f t="shared" si="9"/>
        <v>0</v>
      </c>
      <c r="F80" s="203">
        <f t="shared" si="10"/>
        <v>0</v>
      </c>
      <c r="G80" s="203">
        <f t="shared" si="11"/>
        <v>0</v>
      </c>
      <c r="H80" s="203">
        <f t="shared" si="12"/>
        <v>0</v>
      </c>
      <c r="I80" s="203">
        <f t="shared" si="13"/>
        <v>0</v>
      </c>
      <c r="J80" s="196"/>
    </row>
    <row r="81" spans="3:10" x14ac:dyDescent="0.25">
      <c r="C81" s="202">
        <f t="shared" si="7"/>
        <v>0</v>
      </c>
      <c r="D81" s="203">
        <f t="shared" si="8"/>
        <v>0</v>
      </c>
      <c r="E81" s="203">
        <f t="shared" si="9"/>
        <v>0</v>
      </c>
      <c r="F81" s="203">
        <f t="shared" si="10"/>
        <v>0</v>
      </c>
      <c r="G81" s="203">
        <f t="shared" si="11"/>
        <v>0</v>
      </c>
      <c r="H81" s="203">
        <f t="shared" si="12"/>
        <v>0</v>
      </c>
      <c r="I81" s="203">
        <f t="shared" si="13"/>
        <v>0</v>
      </c>
      <c r="J81" s="196"/>
    </row>
    <row r="82" spans="3:10" x14ac:dyDescent="0.25">
      <c r="C82" s="202">
        <f t="shared" si="7"/>
        <v>0</v>
      </c>
      <c r="D82" s="203">
        <f t="shared" si="8"/>
        <v>0</v>
      </c>
      <c r="E82" s="203">
        <f t="shared" si="9"/>
        <v>0</v>
      </c>
      <c r="F82" s="203">
        <f t="shared" si="10"/>
        <v>0</v>
      </c>
      <c r="G82" s="203">
        <f t="shared" si="11"/>
        <v>0</v>
      </c>
      <c r="H82" s="203">
        <f t="shared" si="12"/>
        <v>0</v>
      </c>
      <c r="I82" s="203">
        <f t="shared" si="13"/>
        <v>0</v>
      </c>
      <c r="J82" s="196"/>
    </row>
    <row r="83" spans="3:10" x14ac:dyDescent="0.25">
      <c r="C83" s="207">
        <f t="shared" si="7"/>
        <v>0</v>
      </c>
      <c r="D83" s="208">
        <f t="shared" si="8"/>
        <v>0</v>
      </c>
      <c r="E83" s="208">
        <f t="shared" si="9"/>
        <v>0</v>
      </c>
      <c r="F83" s="208">
        <f t="shared" si="10"/>
        <v>0</v>
      </c>
      <c r="G83" s="208">
        <f t="shared" si="11"/>
        <v>0</v>
      </c>
      <c r="H83" s="203">
        <f t="shared" si="12"/>
        <v>0</v>
      </c>
      <c r="I83" s="208">
        <f t="shared" si="13"/>
        <v>0</v>
      </c>
      <c r="J83" s="196"/>
    </row>
    <row r="84" spans="3:10" x14ac:dyDescent="0.25">
      <c r="C84" s="207">
        <f t="shared" si="7"/>
        <v>0</v>
      </c>
      <c r="D84" s="208">
        <f t="shared" si="8"/>
        <v>0</v>
      </c>
      <c r="E84" s="208">
        <f t="shared" si="9"/>
        <v>0</v>
      </c>
      <c r="F84" s="208">
        <f t="shared" si="10"/>
        <v>0</v>
      </c>
      <c r="G84" s="208">
        <f t="shared" si="11"/>
        <v>0</v>
      </c>
      <c r="H84" s="203">
        <f t="shared" si="12"/>
        <v>0</v>
      </c>
      <c r="I84" s="208">
        <f t="shared" si="13"/>
        <v>0</v>
      </c>
      <c r="J84" s="196"/>
    </row>
    <row r="85" spans="3:10" x14ac:dyDescent="0.25">
      <c r="C85" s="207">
        <f t="shared" si="7"/>
        <v>0</v>
      </c>
      <c r="D85" s="208">
        <f t="shared" si="8"/>
        <v>0</v>
      </c>
      <c r="E85" s="208">
        <f t="shared" si="9"/>
        <v>0</v>
      </c>
      <c r="F85" s="208">
        <f t="shared" si="10"/>
        <v>0</v>
      </c>
      <c r="G85" s="208">
        <f t="shared" si="11"/>
        <v>0</v>
      </c>
      <c r="H85" s="203">
        <f t="shared" si="12"/>
        <v>0</v>
      </c>
      <c r="I85" s="208">
        <f t="shared" si="13"/>
        <v>0</v>
      </c>
      <c r="J85" s="196"/>
    </row>
    <row r="86" spans="3:10" x14ac:dyDescent="0.25">
      <c r="C86" s="202">
        <f t="shared" si="7"/>
        <v>0</v>
      </c>
      <c r="D86" s="203">
        <f t="shared" si="8"/>
        <v>0</v>
      </c>
      <c r="E86" s="203">
        <f t="shared" si="9"/>
        <v>0</v>
      </c>
      <c r="F86" s="203">
        <f t="shared" si="10"/>
        <v>0</v>
      </c>
      <c r="G86" s="203">
        <f t="shared" si="11"/>
        <v>0</v>
      </c>
      <c r="H86" s="203">
        <f t="shared" si="12"/>
        <v>0</v>
      </c>
      <c r="I86" s="203">
        <f t="shared" si="13"/>
        <v>0</v>
      </c>
      <c r="J86" s="196"/>
    </row>
    <row r="87" spans="3:10" x14ac:dyDescent="0.25">
      <c r="C87" s="202">
        <f t="shared" si="7"/>
        <v>0</v>
      </c>
      <c r="D87" s="203">
        <f t="shared" si="8"/>
        <v>0</v>
      </c>
      <c r="E87" s="203">
        <f t="shared" si="9"/>
        <v>0</v>
      </c>
      <c r="F87" s="203">
        <f t="shared" si="10"/>
        <v>0</v>
      </c>
      <c r="G87" s="203">
        <f t="shared" si="11"/>
        <v>0</v>
      </c>
      <c r="H87" s="203">
        <f t="shared" si="12"/>
        <v>0</v>
      </c>
      <c r="I87" s="203">
        <f t="shared" si="13"/>
        <v>0</v>
      </c>
      <c r="J87" s="196"/>
    </row>
    <row r="88" spans="3:10" x14ac:dyDescent="0.25">
      <c r="C88" s="202">
        <f t="shared" si="7"/>
        <v>0</v>
      </c>
      <c r="D88" s="203">
        <f t="shared" si="8"/>
        <v>0</v>
      </c>
      <c r="E88" s="203">
        <f t="shared" si="9"/>
        <v>0</v>
      </c>
      <c r="F88" s="203">
        <f t="shared" si="10"/>
        <v>0</v>
      </c>
      <c r="G88" s="203">
        <f t="shared" si="11"/>
        <v>0</v>
      </c>
      <c r="H88" s="203">
        <f t="shared" si="12"/>
        <v>0</v>
      </c>
      <c r="I88" s="203">
        <f t="shared" si="13"/>
        <v>0</v>
      </c>
      <c r="J88" s="196"/>
    </row>
    <row r="89" spans="3:10" x14ac:dyDescent="0.25">
      <c r="C89" s="207">
        <f t="shared" si="7"/>
        <v>0</v>
      </c>
      <c r="D89" s="208">
        <f t="shared" si="8"/>
        <v>0</v>
      </c>
      <c r="E89" s="208">
        <f t="shared" si="9"/>
        <v>0</v>
      </c>
      <c r="F89" s="208">
        <f t="shared" si="10"/>
        <v>0</v>
      </c>
      <c r="G89" s="208">
        <f t="shared" si="11"/>
        <v>0</v>
      </c>
      <c r="H89" s="203">
        <f t="shared" si="12"/>
        <v>0</v>
      </c>
      <c r="I89" s="208">
        <f t="shared" si="13"/>
        <v>0</v>
      </c>
      <c r="J89" s="196"/>
    </row>
    <row r="90" spans="3:10" x14ac:dyDescent="0.25">
      <c r="C90" s="207">
        <f t="shared" si="7"/>
        <v>0</v>
      </c>
      <c r="D90" s="208">
        <f t="shared" si="8"/>
        <v>0</v>
      </c>
      <c r="E90" s="208">
        <f t="shared" si="9"/>
        <v>0</v>
      </c>
      <c r="F90" s="208">
        <f t="shared" si="10"/>
        <v>0</v>
      </c>
      <c r="G90" s="208">
        <f t="shared" si="11"/>
        <v>0</v>
      </c>
      <c r="H90" s="203">
        <f t="shared" si="12"/>
        <v>0</v>
      </c>
      <c r="I90" s="208">
        <f t="shared" si="13"/>
        <v>0</v>
      </c>
      <c r="J90" s="196"/>
    </row>
    <row r="91" spans="3:10" x14ac:dyDescent="0.25">
      <c r="C91" s="207">
        <f t="shared" si="7"/>
        <v>0</v>
      </c>
      <c r="D91" s="208">
        <f t="shared" si="8"/>
        <v>0</v>
      </c>
      <c r="E91" s="208">
        <f t="shared" si="9"/>
        <v>0</v>
      </c>
      <c r="F91" s="208">
        <f t="shared" si="10"/>
        <v>0</v>
      </c>
      <c r="G91" s="208">
        <f t="shared" si="11"/>
        <v>0</v>
      </c>
      <c r="H91" s="203">
        <f t="shared" si="12"/>
        <v>0</v>
      </c>
      <c r="I91" s="208">
        <f t="shared" si="13"/>
        <v>0</v>
      </c>
      <c r="J91" s="196"/>
    </row>
    <row r="92" spans="3:10" x14ac:dyDescent="0.25">
      <c r="C92" s="202">
        <f t="shared" si="7"/>
        <v>0</v>
      </c>
      <c r="D92" s="203">
        <f t="shared" si="8"/>
        <v>0</v>
      </c>
      <c r="E92" s="203">
        <f t="shared" si="9"/>
        <v>0</v>
      </c>
      <c r="F92" s="203">
        <f t="shared" si="10"/>
        <v>0</v>
      </c>
      <c r="G92" s="203">
        <f t="shared" si="11"/>
        <v>0</v>
      </c>
      <c r="H92" s="203">
        <f t="shared" si="12"/>
        <v>0</v>
      </c>
      <c r="I92" s="203">
        <f t="shared" si="13"/>
        <v>0</v>
      </c>
      <c r="J92" s="196"/>
    </row>
    <row r="93" spans="3:10" x14ac:dyDescent="0.25">
      <c r="C93" s="202">
        <f t="shared" si="7"/>
        <v>0</v>
      </c>
      <c r="D93" s="203">
        <f t="shared" si="8"/>
        <v>0</v>
      </c>
      <c r="E93" s="203">
        <f t="shared" si="9"/>
        <v>0</v>
      </c>
      <c r="F93" s="203">
        <f t="shared" si="10"/>
        <v>0</v>
      </c>
      <c r="G93" s="203">
        <f t="shared" si="11"/>
        <v>0</v>
      </c>
      <c r="H93" s="203">
        <f t="shared" si="12"/>
        <v>0</v>
      </c>
      <c r="I93" s="203">
        <f t="shared" si="13"/>
        <v>0</v>
      </c>
      <c r="J93" s="196"/>
    </row>
    <row r="94" spans="3:10" x14ac:dyDescent="0.25">
      <c r="C94" s="202">
        <f t="shared" si="7"/>
        <v>0</v>
      </c>
      <c r="D94" s="203">
        <f t="shared" si="8"/>
        <v>0</v>
      </c>
      <c r="E94" s="203">
        <f t="shared" si="9"/>
        <v>0</v>
      </c>
      <c r="F94" s="203">
        <f t="shared" si="10"/>
        <v>0</v>
      </c>
      <c r="G94" s="203">
        <f t="shared" si="11"/>
        <v>0</v>
      </c>
      <c r="H94" s="203">
        <f t="shared" si="12"/>
        <v>0</v>
      </c>
      <c r="I94" s="203">
        <f t="shared" si="13"/>
        <v>0</v>
      </c>
      <c r="J94" s="196"/>
    </row>
    <row r="95" spans="3:10" x14ac:dyDescent="0.25">
      <c r="C95" s="207">
        <f t="shared" si="7"/>
        <v>0</v>
      </c>
      <c r="D95" s="208">
        <f t="shared" si="8"/>
        <v>0</v>
      </c>
      <c r="E95" s="208">
        <f t="shared" si="9"/>
        <v>0</v>
      </c>
      <c r="F95" s="208">
        <f t="shared" si="10"/>
        <v>0</v>
      </c>
      <c r="G95" s="208">
        <f t="shared" si="11"/>
        <v>0</v>
      </c>
      <c r="H95" s="203">
        <f t="shared" si="12"/>
        <v>0</v>
      </c>
      <c r="I95" s="208">
        <f t="shared" si="13"/>
        <v>0</v>
      </c>
      <c r="J95" s="196"/>
    </row>
    <row r="96" spans="3:10" x14ac:dyDescent="0.25">
      <c r="C96" s="207">
        <f t="shared" si="7"/>
        <v>0</v>
      </c>
      <c r="D96" s="208">
        <f t="shared" si="8"/>
        <v>0</v>
      </c>
      <c r="E96" s="208">
        <f t="shared" si="9"/>
        <v>0</v>
      </c>
      <c r="F96" s="208">
        <f t="shared" si="10"/>
        <v>0</v>
      </c>
      <c r="G96" s="208">
        <f t="shared" si="11"/>
        <v>0</v>
      </c>
      <c r="H96" s="203">
        <f t="shared" si="12"/>
        <v>0</v>
      </c>
      <c r="I96" s="208">
        <f t="shared" si="13"/>
        <v>0</v>
      </c>
      <c r="J96" s="196"/>
    </row>
    <row r="97" spans="3:10" x14ac:dyDescent="0.25">
      <c r="C97" s="207">
        <f t="shared" si="7"/>
        <v>0</v>
      </c>
      <c r="D97" s="208">
        <f t="shared" si="8"/>
        <v>0</v>
      </c>
      <c r="E97" s="208">
        <f t="shared" si="9"/>
        <v>0</v>
      </c>
      <c r="F97" s="208">
        <f t="shared" si="10"/>
        <v>0</v>
      </c>
      <c r="G97" s="208">
        <f t="shared" si="11"/>
        <v>0</v>
      </c>
      <c r="H97" s="203">
        <f t="shared" si="12"/>
        <v>0</v>
      </c>
      <c r="I97" s="208">
        <f t="shared" si="13"/>
        <v>0</v>
      </c>
      <c r="J97" s="196"/>
    </row>
    <row r="98" spans="3:10" x14ac:dyDescent="0.25">
      <c r="C98" s="202">
        <f t="shared" si="7"/>
        <v>0</v>
      </c>
      <c r="D98" s="203">
        <f t="shared" si="8"/>
        <v>0</v>
      </c>
      <c r="E98" s="203">
        <f t="shared" si="9"/>
        <v>0</v>
      </c>
      <c r="F98" s="203">
        <f t="shared" si="10"/>
        <v>0</v>
      </c>
      <c r="G98" s="203">
        <f t="shared" si="11"/>
        <v>0</v>
      </c>
      <c r="H98" s="203">
        <f t="shared" si="12"/>
        <v>0</v>
      </c>
      <c r="I98" s="203">
        <f t="shared" si="13"/>
        <v>0</v>
      </c>
      <c r="J98" s="196"/>
    </row>
    <row r="99" spans="3:10" x14ac:dyDescent="0.25">
      <c r="C99" s="202">
        <f t="shared" si="7"/>
        <v>0</v>
      </c>
      <c r="D99" s="203">
        <f t="shared" si="8"/>
        <v>0</v>
      </c>
      <c r="E99" s="203">
        <f t="shared" si="9"/>
        <v>0</v>
      </c>
      <c r="F99" s="203">
        <f t="shared" si="10"/>
        <v>0</v>
      </c>
      <c r="G99" s="203">
        <f t="shared" si="11"/>
        <v>0</v>
      </c>
      <c r="H99" s="203">
        <f t="shared" si="12"/>
        <v>0</v>
      </c>
      <c r="I99" s="203">
        <f t="shared" si="13"/>
        <v>0</v>
      </c>
      <c r="J99" s="196"/>
    </row>
    <row r="100" spans="3:10" x14ac:dyDescent="0.25">
      <c r="C100" s="202">
        <f t="shared" si="7"/>
        <v>0</v>
      </c>
      <c r="D100" s="203">
        <f t="shared" si="8"/>
        <v>0</v>
      </c>
      <c r="E100" s="203">
        <f t="shared" si="9"/>
        <v>0</v>
      </c>
      <c r="F100" s="203">
        <f t="shared" si="10"/>
        <v>0</v>
      </c>
      <c r="G100" s="203">
        <f t="shared" si="11"/>
        <v>0</v>
      </c>
      <c r="H100" s="203">
        <f t="shared" si="12"/>
        <v>0</v>
      </c>
      <c r="I100" s="203">
        <f t="shared" si="13"/>
        <v>0</v>
      </c>
      <c r="J100" s="196"/>
    </row>
    <row r="101" spans="3:10" x14ac:dyDescent="0.25">
      <c r="C101" s="207">
        <f t="shared" si="7"/>
        <v>0</v>
      </c>
      <c r="D101" s="208">
        <f t="shared" si="8"/>
        <v>0</v>
      </c>
      <c r="E101" s="208">
        <f t="shared" si="9"/>
        <v>0</v>
      </c>
      <c r="F101" s="208">
        <f t="shared" si="10"/>
        <v>0</v>
      </c>
      <c r="G101" s="208">
        <f t="shared" si="11"/>
        <v>0</v>
      </c>
      <c r="H101" s="203">
        <f t="shared" si="12"/>
        <v>0</v>
      </c>
      <c r="I101" s="208">
        <f t="shared" si="13"/>
        <v>0</v>
      </c>
      <c r="J101" s="196"/>
    </row>
    <row r="102" spans="3:10" x14ac:dyDescent="0.25">
      <c r="C102" s="207">
        <f t="shared" si="7"/>
        <v>0</v>
      </c>
      <c r="D102" s="208">
        <f t="shared" si="8"/>
        <v>0</v>
      </c>
      <c r="E102" s="208">
        <f t="shared" si="9"/>
        <v>0</v>
      </c>
      <c r="F102" s="208">
        <f t="shared" si="10"/>
        <v>0</v>
      </c>
      <c r="G102" s="208">
        <f t="shared" si="11"/>
        <v>0</v>
      </c>
      <c r="H102" s="203">
        <f t="shared" si="12"/>
        <v>0</v>
      </c>
      <c r="I102" s="208">
        <f t="shared" si="13"/>
        <v>0</v>
      </c>
      <c r="J102" s="196"/>
    </row>
    <row r="103" spans="3:10" x14ac:dyDescent="0.25">
      <c r="C103" s="207">
        <f t="shared" si="7"/>
        <v>0</v>
      </c>
      <c r="D103" s="208">
        <f t="shared" si="8"/>
        <v>0</v>
      </c>
      <c r="E103" s="208">
        <f t="shared" si="9"/>
        <v>0</v>
      </c>
      <c r="F103" s="208">
        <f t="shared" si="10"/>
        <v>0</v>
      </c>
      <c r="G103" s="208">
        <f t="shared" si="11"/>
        <v>0</v>
      </c>
      <c r="H103" s="203">
        <f t="shared" si="12"/>
        <v>0</v>
      </c>
      <c r="I103" s="208">
        <f t="shared" si="13"/>
        <v>0</v>
      </c>
      <c r="J103" s="196"/>
    </row>
    <row r="104" spans="3:10" x14ac:dyDescent="0.25">
      <c r="C104" s="202">
        <f t="shared" si="7"/>
        <v>0</v>
      </c>
      <c r="D104" s="203">
        <f t="shared" si="8"/>
        <v>0</v>
      </c>
      <c r="E104" s="203">
        <f t="shared" si="9"/>
        <v>0</v>
      </c>
      <c r="F104" s="203">
        <f t="shared" si="10"/>
        <v>0</v>
      </c>
      <c r="G104" s="203">
        <f t="shared" si="11"/>
        <v>0</v>
      </c>
      <c r="H104" s="203">
        <f t="shared" si="12"/>
        <v>0</v>
      </c>
      <c r="I104" s="203">
        <f t="shared" si="13"/>
        <v>0</v>
      </c>
      <c r="J104" s="196"/>
    </row>
    <row r="105" spans="3:10" x14ac:dyDescent="0.25">
      <c r="C105" s="202">
        <f t="shared" si="7"/>
        <v>0</v>
      </c>
      <c r="D105" s="203">
        <f t="shared" si="8"/>
        <v>0</v>
      </c>
      <c r="E105" s="203">
        <f t="shared" si="9"/>
        <v>0</v>
      </c>
      <c r="F105" s="203">
        <f t="shared" si="10"/>
        <v>0</v>
      </c>
      <c r="G105" s="203">
        <f t="shared" si="11"/>
        <v>0</v>
      </c>
      <c r="H105" s="203">
        <f t="shared" si="12"/>
        <v>0</v>
      </c>
      <c r="I105" s="203">
        <f t="shared" si="13"/>
        <v>0</v>
      </c>
      <c r="J105" s="196"/>
    </row>
    <row r="106" spans="3:10" x14ac:dyDescent="0.25">
      <c r="C106" s="202">
        <f t="shared" si="7"/>
        <v>0</v>
      </c>
      <c r="D106" s="203">
        <f t="shared" si="8"/>
        <v>0</v>
      </c>
      <c r="E106" s="203">
        <f t="shared" si="9"/>
        <v>0</v>
      </c>
      <c r="F106" s="203">
        <f t="shared" si="10"/>
        <v>0</v>
      </c>
      <c r="G106" s="203">
        <f t="shared" si="11"/>
        <v>0</v>
      </c>
      <c r="H106" s="203">
        <f t="shared" si="12"/>
        <v>0</v>
      </c>
      <c r="I106" s="203">
        <f t="shared" si="13"/>
        <v>0</v>
      </c>
      <c r="J106" s="196"/>
    </row>
    <row r="107" spans="3:10" x14ac:dyDescent="0.25">
      <c r="C107" s="207">
        <f t="shared" si="7"/>
        <v>0</v>
      </c>
      <c r="D107" s="208">
        <f t="shared" si="8"/>
        <v>0</v>
      </c>
      <c r="E107" s="208">
        <f t="shared" si="9"/>
        <v>0</v>
      </c>
      <c r="F107" s="208">
        <f t="shared" si="10"/>
        <v>0</v>
      </c>
      <c r="G107" s="208">
        <f t="shared" si="11"/>
        <v>0</v>
      </c>
      <c r="H107" s="203">
        <f t="shared" si="12"/>
        <v>0</v>
      </c>
      <c r="I107" s="208">
        <f t="shared" si="13"/>
        <v>0</v>
      </c>
      <c r="J107" s="196"/>
    </row>
    <row r="108" spans="3:10" x14ac:dyDescent="0.25">
      <c r="C108" s="207">
        <f t="shared" si="7"/>
        <v>0</v>
      </c>
      <c r="D108" s="208">
        <f t="shared" si="8"/>
        <v>0</v>
      </c>
      <c r="E108" s="208">
        <f t="shared" si="9"/>
        <v>0</v>
      </c>
      <c r="F108" s="208">
        <f t="shared" si="10"/>
        <v>0</v>
      </c>
      <c r="G108" s="208">
        <f t="shared" si="11"/>
        <v>0</v>
      </c>
      <c r="H108" s="203">
        <f t="shared" si="12"/>
        <v>0</v>
      </c>
      <c r="I108" s="208">
        <f t="shared" si="13"/>
        <v>0</v>
      </c>
      <c r="J108" s="196"/>
    </row>
    <row r="109" spans="3:10" x14ac:dyDescent="0.25">
      <c r="C109" s="207">
        <f t="shared" si="7"/>
        <v>0</v>
      </c>
      <c r="D109" s="208">
        <f t="shared" si="8"/>
        <v>0</v>
      </c>
      <c r="E109" s="208">
        <f t="shared" si="9"/>
        <v>0</v>
      </c>
      <c r="F109" s="208">
        <f t="shared" si="10"/>
        <v>0</v>
      </c>
      <c r="G109" s="208">
        <f t="shared" si="11"/>
        <v>0</v>
      </c>
      <c r="H109" s="203">
        <f t="shared" si="12"/>
        <v>0</v>
      </c>
      <c r="I109" s="208">
        <f t="shared" si="13"/>
        <v>0</v>
      </c>
      <c r="J109" s="196"/>
    </row>
    <row r="110" spans="3:10" x14ac:dyDescent="0.25">
      <c r="C110" s="202">
        <f t="shared" si="7"/>
        <v>0</v>
      </c>
      <c r="D110" s="203">
        <f t="shared" si="8"/>
        <v>0</v>
      </c>
      <c r="E110" s="203">
        <f t="shared" si="9"/>
        <v>0</v>
      </c>
      <c r="F110" s="203">
        <f t="shared" si="10"/>
        <v>0</v>
      </c>
      <c r="G110" s="203">
        <f t="shared" si="11"/>
        <v>0</v>
      </c>
      <c r="H110" s="203">
        <f t="shared" si="12"/>
        <v>0</v>
      </c>
      <c r="I110" s="203">
        <f t="shared" si="13"/>
        <v>0</v>
      </c>
      <c r="J110" s="196"/>
    </row>
    <row r="111" spans="3:10" x14ac:dyDescent="0.25">
      <c r="C111" s="202">
        <f t="shared" si="7"/>
        <v>0</v>
      </c>
      <c r="D111" s="203">
        <f t="shared" si="8"/>
        <v>0</v>
      </c>
      <c r="E111" s="203">
        <f t="shared" si="9"/>
        <v>0</v>
      </c>
      <c r="F111" s="203">
        <f t="shared" si="10"/>
        <v>0</v>
      </c>
      <c r="G111" s="203">
        <f t="shared" si="11"/>
        <v>0</v>
      </c>
      <c r="H111" s="203">
        <f t="shared" si="12"/>
        <v>0</v>
      </c>
      <c r="I111" s="203">
        <f t="shared" si="13"/>
        <v>0</v>
      </c>
      <c r="J111" s="196"/>
    </row>
    <row r="112" spans="3:10" x14ac:dyDescent="0.25">
      <c r="C112" s="202">
        <f t="shared" si="7"/>
        <v>0</v>
      </c>
      <c r="D112" s="203">
        <f t="shared" si="8"/>
        <v>0</v>
      </c>
      <c r="E112" s="203">
        <f t="shared" si="9"/>
        <v>0</v>
      </c>
      <c r="F112" s="203">
        <f t="shared" si="10"/>
        <v>0</v>
      </c>
      <c r="G112" s="203">
        <f t="shared" si="11"/>
        <v>0</v>
      </c>
      <c r="H112" s="203">
        <f t="shared" si="12"/>
        <v>0</v>
      </c>
      <c r="I112" s="203">
        <f t="shared" si="13"/>
        <v>0</v>
      </c>
      <c r="J112" s="196"/>
    </row>
    <row r="113" spans="3:10" x14ac:dyDescent="0.25">
      <c r="C113" s="207">
        <f t="shared" si="7"/>
        <v>0</v>
      </c>
      <c r="D113" s="208">
        <f t="shared" si="8"/>
        <v>0</v>
      </c>
      <c r="E113" s="208">
        <f t="shared" si="9"/>
        <v>0</v>
      </c>
      <c r="F113" s="208">
        <f t="shared" si="10"/>
        <v>0</v>
      </c>
      <c r="G113" s="208">
        <f t="shared" si="11"/>
        <v>0</v>
      </c>
      <c r="H113" s="203">
        <f t="shared" si="12"/>
        <v>0</v>
      </c>
      <c r="I113" s="208">
        <f t="shared" si="13"/>
        <v>0</v>
      </c>
      <c r="J113" s="196"/>
    </row>
    <row r="114" spans="3:10" x14ac:dyDescent="0.25">
      <c r="C114" s="207">
        <f t="shared" si="7"/>
        <v>0</v>
      </c>
      <c r="D114" s="208">
        <f t="shared" si="8"/>
        <v>0</v>
      </c>
      <c r="E114" s="208">
        <f t="shared" si="9"/>
        <v>0</v>
      </c>
      <c r="F114" s="208">
        <f t="shared" si="10"/>
        <v>0</v>
      </c>
      <c r="G114" s="208">
        <f t="shared" si="11"/>
        <v>0</v>
      </c>
      <c r="H114" s="203">
        <f t="shared" si="12"/>
        <v>0</v>
      </c>
      <c r="I114" s="208">
        <f t="shared" si="13"/>
        <v>0</v>
      </c>
      <c r="J114" s="196"/>
    </row>
    <row r="115" spans="3:10" x14ac:dyDescent="0.25">
      <c r="C115" s="207">
        <f t="shared" si="7"/>
        <v>0</v>
      </c>
      <c r="D115" s="208">
        <f t="shared" si="8"/>
        <v>0</v>
      </c>
      <c r="E115" s="208">
        <f t="shared" si="9"/>
        <v>0</v>
      </c>
      <c r="F115" s="208">
        <f t="shared" si="10"/>
        <v>0</v>
      </c>
      <c r="G115" s="208">
        <f t="shared" si="11"/>
        <v>0</v>
      </c>
      <c r="H115" s="203">
        <f t="shared" si="12"/>
        <v>0</v>
      </c>
      <c r="I115" s="208">
        <f t="shared" si="13"/>
        <v>0</v>
      </c>
      <c r="J115" s="196"/>
    </row>
    <row r="116" spans="3:10" x14ac:dyDescent="0.25">
      <c r="C116" s="202">
        <f t="shared" si="7"/>
        <v>0</v>
      </c>
      <c r="D116" s="203">
        <f t="shared" si="8"/>
        <v>0</v>
      </c>
      <c r="E116" s="203">
        <f t="shared" si="9"/>
        <v>0</v>
      </c>
      <c r="F116" s="203">
        <f t="shared" si="10"/>
        <v>0</v>
      </c>
      <c r="G116" s="203">
        <f t="shared" si="11"/>
        <v>0</v>
      </c>
      <c r="H116" s="203">
        <f t="shared" si="12"/>
        <v>0</v>
      </c>
      <c r="I116" s="203">
        <f t="shared" si="13"/>
        <v>0</v>
      </c>
      <c r="J116" s="196"/>
    </row>
    <row r="117" spans="3:10" x14ac:dyDescent="0.25">
      <c r="C117" s="202">
        <f t="shared" si="7"/>
        <v>0</v>
      </c>
      <c r="D117" s="203">
        <f t="shared" si="8"/>
        <v>0</v>
      </c>
      <c r="E117" s="203">
        <f t="shared" si="9"/>
        <v>0</v>
      </c>
      <c r="F117" s="203">
        <f t="shared" si="10"/>
        <v>0</v>
      </c>
      <c r="G117" s="203">
        <f t="shared" si="11"/>
        <v>0</v>
      </c>
      <c r="H117" s="203">
        <f t="shared" si="12"/>
        <v>0</v>
      </c>
      <c r="I117" s="203">
        <f t="shared" si="13"/>
        <v>0</v>
      </c>
      <c r="J117" s="196"/>
    </row>
    <row r="118" spans="3:10" x14ac:dyDescent="0.25">
      <c r="C118" s="202">
        <f t="shared" si="7"/>
        <v>0</v>
      </c>
      <c r="D118" s="203">
        <f t="shared" si="8"/>
        <v>0</v>
      </c>
      <c r="E118" s="203">
        <f t="shared" si="9"/>
        <v>0</v>
      </c>
      <c r="F118" s="203">
        <f t="shared" si="10"/>
        <v>0</v>
      </c>
      <c r="G118" s="203">
        <f t="shared" si="11"/>
        <v>0</v>
      </c>
      <c r="H118" s="203">
        <f t="shared" si="12"/>
        <v>0</v>
      </c>
      <c r="I118" s="203">
        <f t="shared" si="13"/>
        <v>0</v>
      </c>
      <c r="J118" s="196"/>
    </row>
    <row r="119" spans="3:10" x14ac:dyDescent="0.25">
      <c r="C119" s="207">
        <f t="shared" si="7"/>
        <v>0</v>
      </c>
      <c r="D119" s="208">
        <f t="shared" si="8"/>
        <v>0</v>
      </c>
      <c r="E119" s="208">
        <f t="shared" si="9"/>
        <v>0</v>
      </c>
      <c r="F119" s="208">
        <f t="shared" si="10"/>
        <v>0</v>
      </c>
      <c r="G119" s="208">
        <f t="shared" si="11"/>
        <v>0</v>
      </c>
      <c r="H119" s="203">
        <f t="shared" si="12"/>
        <v>0</v>
      </c>
      <c r="I119" s="208">
        <f t="shared" si="13"/>
        <v>0</v>
      </c>
      <c r="J119" s="196"/>
    </row>
    <row r="120" spans="3:10" x14ac:dyDescent="0.25">
      <c r="C120" s="207">
        <f t="shared" si="7"/>
        <v>0</v>
      </c>
      <c r="D120" s="208">
        <f t="shared" si="8"/>
        <v>0</v>
      </c>
      <c r="E120" s="208">
        <f t="shared" si="9"/>
        <v>0</v>
      </c>
      <c r="F120" s="208">
        <f t="shared" si="10"/>
        <v>0</v>
      </c>
      <c r="G120" s="208">
        <f t="shared" si="11"/>
        <v>0</v>
      </c>
      <c r="H120" s="203">
        <f t="shared" si="12"/>
        <v>0</v>
      </c>
      <c r="I120" s="208">
        <f t="shared" si="13"/>
        <v>0</v>
      </c>
      <c r="J120" s="196"/>
    </row>
    <row r="121" spans="3:10" x14ac:dyDescent="0.25">
      <c r="C121" s="207">
        <f t="shared" si="7"/>
        <v>0</v>
      </c>
      <c r="D121" s="208">
        <f t="shared" si="8"/>
        <v>0</v>
      </c>
      <c r="E121" s="208">
        <f t="shared" si="9"/>
        <v>0</v>
      </c>
      <c r="F121" s="208">
        <f t="shared" si="10"/>
        <v>0</v>
      </c>
      <c r="G121" s="208">
        <f t="shared" si="11"/>
        <v>0</v>
      </c>
      <c r="H121" s="203">
        <f t="shared" si="12"/>
        <v>0</v>
      </c>
      <c r="I121" s="208">
        <f t="shared" si="13"/>
        <v>0</v>
      </c>
      <c r="J121" s="196"/>
    </row>
    <row r="122" spans="3:10" x14ac:dyDescent="0.25">
      <c r="C122" s="202">
        <f t="shared" si="7"/>
        <v>0</v>
      </c>
      <c r="D122" s="203">
        <f t="shared" si="8"/>
        <v>0</v>
      </c>
      <c r="E122" s="203">
        <f t="shared" si="9"/>
        <v>0</v>
      </c>
      <c r="F122" s="203">
        <f t="shared" si="10"/>
        <v>0</v>
      </c>
      <c r="G122" s="203">
        <f t="shared" si="11"/>
        <v>0</v>
      </c>
      <c r="H122" s="203">
        <f t="shared" si="12"/>
        <v>0</v>
      </c>
      <c r="I122" s="203">
        <f t="shared" si="13"/>
        <v>0</v>
      </c>
      <c r="J122" s="196"/>
    </row>
    <row r="123" spans="3:10" x14ac:dyDescent="0.25">
      <c r="C123" s="202">
        <f t="shared" si="7"/>
        <v>0</v>
      </c>
      <c r="D123" s="203">
        <f t="shared" si="8"/>
        <v>0</v>
      </c>
      <c r="E123" s="203">
        <f t="shared" si="9"/>
        <v>0</v>
      </c>
      <c r="F123" s="203">
        <f t="shared" si="10"/>
        <v>0</v>
      </c>
      <c r="G123" s="203">
        <f t="shared" si="11"/>
        <v>0</v>
      </c>
      <c r="H123" s="203">
        <f t="shared" si="12"/>
        <v>0</v>
      </c>
      <c r="I123" s="203">
        <f t="shared" si="13"/>
        <v>0</v>
      </c>
      <c r="J123" s="196"/>
    </row>
    <row r="124" spans="3:10" x14ac:dyDescent="0.25">
      <c r="C124" s="202">
        <f t="shared" si="7"/>
        <v>0</v>
      </c>
      <c r="D124" s="203">
        <f t="shared" si="8"/>
        <v>0</v>
      </c>
      <c r="E124" s="203">
        <f t="shared" si="9"/>
        <v>0</v>
      </c>
      <c r="F124" s="203">
        <f t="shared" si="10"/>
        <v>0</v>
      </c>
      <c r="G124" s="203">
        <f t="shared" si="11"/>
        <v>0</v>
      </c>
      <c r="H124" s="203">
        <f t="shared" si="12"/>
        <v>0</v>
      </c>
      <c r="I124" s="203">
        <f t="shared" si="13"/>
        <v>0</v>
      </c>
      <c r="J124" s="196"/>
    </row>
    <row r="125" spans="3:10" x14ac:dyDescent="0.25">
      <c r="C125" s="207">
        <f t="shared" si="7"/>
        <v>0</v>
      </c>
      <c r="D125" s="208">
        <f t="shared" si="8"/>
        <v>0</v>
      </c>
      <c r="E125" s="208">
        <f t="shared" si="9"/>
        <v>0</v>
      </c>
      <c r="F125" s="208">
        <f t="shared" si="10"/>
        <v>0</v>
      </c>
      <c r="G125" s="208">
        <f t="shared" si="11"/>
        <v>0</v>
      </c>
      <c r="H125" s="203">
        <f t="shared" si="12"/>
        <v>0</v>
      </c>
      <c r="I125" s="208">
        <f t="shared" si="13"/>
        <v>0</v>
      </c>
      <c r="J125" s="196"/>
    </row>
    <row r="126" spans="3:10" x14ac:dyDescent="0.25">
      <c r="C126" s="207">
        <f t="shared" si="7"/>
        <v>0</v>
      </c>
      <c r="D126" s="208">
        <f t="shared" si="8"/>
        <v>0</v>
      </c>
      <c r="E126" s="208">
        <f t="shared" si="9"/>
        <v>0</v>
      </c>
      <c r="F126" s="208">
        <f t="shared" si="10"/>
        <v>0</v>
      </c>
      <c r="G126" s="208">
        <f t="shared" si="11"/>
        <v>0</v>
      </c>
      <c r="H126" s="203">
        <f t="shared" si="12"/>
        <v>0</v>
      </c>
      <c r="I126" s="208">
        <f t="shared" si="13"/>
        <v>0</v>
      </c>
      <c r="J126" s="196"/>
    </row>
    <row r="127" spans="3:10" x14ac:dyDescent="0.25">
      <c r="C127" s="207">
        <f t="shared" si="7"/>
        <v>0</v>
      </c>
      <c r="D127" s="208">
        <f t="shared" si="8"/>
        <v>0</v>
      </c>
      <c r="E127" s="208">
        <f t="shared" si="9"/>
        <v>0</v>
      </c>
      <c r="F127" s="208">
        <f t="shared" si="10"/>
        <v>0</v>
      </c>
      <c r="G127" s="208">
        <f t="shared" si="11"/>
        <v>0</v>
      </c>
      <c r="H127" s="203">
        <f t="shared" si="12"/>
        <v>0</v>
      </c>
      <c r="I127" s="208">
        <f t="shared" si="13"/>
        <v>0</v>
      </c>
      <c r="J127" s="196"/>
    </row>
    <row r="128" spans="3:10" x14ac:dyDescent="0.25">
      <c r="C128" s="202">
        <f t="shared" si="7"/>
        <v>0</v>
      </c>
      <c r="D128" s="203">
        <f t="shared" si="8"/>
        <v>0</v>
      </c>
      <c r="E128" s="203">
        <f t="shared" si="9"/>
        <v>0</v>
      </c>
      <c r="F128" s="203">
        <f t="shared" si="10"/>
        <v>0</v>
      </c>
      <c r="G128" s="203">
        <f t="shared" si="11"/>
        <v>0</v>
      </c>
      <c r="H128" s="203">
        <f t="shared" si="12"/>
        <v>0</v>
      </c>
      <c r="I128" s="203">
        <f t="shared" si="13"/>
        <v>0</v>
      </c>
      <c r="J128" s="196"/>
    </row>
    <row r="129" spans="3:10" x14ac:dyDescent="0.25">
      <c r="C129" s="202">
        <f t="shared" si="7"/>
        <v>0</v>
      </c>
      <c r="D129" s="203">
        <f t="shared" si="8"/>
        <v>0</v>
      </c>
      <c r="E129" s="203">
        <f t="shared" si="9"/>
        <v>0</v>
      </c>
      <c r="F129" s="203">
        <f t="shared" si="10"/>
        <v>0</v>
      </c>
      <c r="G129" s="203">
        <f t="shared" si="11"/>
        <v>0</v>
      </c>
      <c r="H129" s="203">
        <f t="shared" si="12"/>
        <v>0</v>
      </c>
      <c r="I129" s="203">
        <f t="shared" si="13"/>
        <v>0</v>
      </c>
      <c r="J129" s="196"/>
    </row>
    <row r="130" spans="3:10" x14ac:dyDescent="0.25">
      <c r="C130" s="202">
        <f t="shared" si="7"/>
        <v>0</v>
      </c>
      <c r="D130" s="203">
        <f t="shared" si="8"/>
        <v>0</v>
      </c>
      <c r="E130" s="203">
        <f t="shared" si="9"/>
        <v>0</v>
      </c>
      <c r="F130" s="203">
        <f t="shared" si="10"/>
        <v>0</v>
      </c>
      <c r="G130" s="203">
        <f t="shared" si="11"/>
        <v>0</v>
      </c>
      <c r="H130" s="203">
        <f t="shared" si="12"/>
        <v>0</v>
      </c>
      <c r="I130" s="203">
        <f t="shared" si="13"/>
        <v>0</v>
      </c>
      <c r="J130" s="196"/>
    </row>
    <row r="131" spans="3:10" x14ac:dyDescent="0.25">
      <c r="C131" s="207">
        <f t="shared" si="7"/>
        <v>0</v>
      </c>
      <c r="D131" s="208">
        <f t="shared" si="8"/>
        <v>0</v>
      </c>
      <c r="E131" s="208">
        <f t="shared" si="9"/>
        <v>0</v>
      </c>
      <c r="F131" s="208">
        <f t="shared" si="10"/>
        <v>0</v>
      </c>
      <c r="G131" s="208">
        <f t="shared" si="11"/>
        <v>0</v>
      </c>
      <c r="H131" s="203">
        <f t="shared" si="12"/>
        <v>0</v>
      </c>
      <c r="I131" s="208">
        <f t="shared" si="13"/>
        <v>0</v>
      </c>
      <c r="J131" s="196"/>
    </row>
    <row r="132" spans="3:10" x14ac:dyDescent="0.25">
      <c r="C132" s="207">
        <f t="shared" si="7"/>
        <v>0</v>
      </c>
      <c r="D132" s="208">
        <f t="shared" si="8"/>
        <v>0</v>
      </c>
      <c r="E132" s="208">
        <f t="shared" si="9"/>
        <v>0</v>
      </c>
      <c r="F132" s="208">
        <f t="shared" si="10"/>
        <v>0</v>
      </c>
      <c r="G132" s="208">
        <f t="shared" si="11"/>
        <v>0</v>
      </c>
      <c r="H132" s="203">
        <f t="shared" si="12"/>
        <v>0</v>
      </c>
      <c r="I132" s="208">
        <f t="shared" si="13"/>
        <v>0</v>
      </c>
      <c r="J132" s="196"/>
    </row>
    <row r="133" spans="3:10" x14ac:dyDescent="0.25">
      <c r="C133" s="207">
        <f t="shared" si="7"/>
        <v>0</v>
      </c>
      <c r="D133" s="208">
        <f t="shared" si="8"/>
        <v>0</v>
      </c>
      <c r="E133" s="208">
        <f t="shared" si="9"/>
        <v>0</v>
      </c>
      <c r="F133" s="208">
        <f t="shared" si="10"/>
        <v>0</v>
      </c>
      <c r="G133" s="208">
        <f t="shared" si="11"/>
        <v>0</v>
      </c>
      <c r="H133" s="203">
        <f t="shared" si="12"/>
        <v>0</v>
      </c>
      <c r="I133" s="208">
        <f t="shared" si="13"/>
        <v>0</v>
      </c>
      <c r="J133" s="196"/>
    </row>
    <row r="134" spans="3:10" x14ac:dyDescent="0.25">
      <c r="C134" s="202">
        <f t="shared" si="7"/>
        <v>0</v>
      </c>
      <c r="D134" s="203">
        <f t="shared" si="8"/>
        <v>0</v>
      </c>
      <c r="E134" s="203">
        <f t="shared" si="9"/>
        <v>0</v>
      </c>
      <c r="F134" s="203">
        <f t="shared" si="10"/>
        <v>0</v>
      </c>
      <c r="G134" s="203">
        <f t="shared" si="11"/>
        <v>0</v>
      </c>
      <c r="H134" s="203">
        <f t="shared" si="12"/>
        <v>0</v>
      </c>
      <c r="I134" s="203">
        <f t="shared" si="13"/>
        <v>0</v>
      </c>
      <c r="J134" s="196"/>
    </row>
    <row r="135" spans="3:10" x14ac:dyDescent="0.25">
      <c r="C135" s="202">
        <f t="shared" si="7"/>
        <v>0</v>
      </c>
      <c r="D135" s="203">
        <f t="shared" si="8"/>
        <v>0</v>
      </c>
      <c r="E135" s="203">
        <f t="shared" si="9"/>
        <v>0</v>
      </c>
      <c r="F135" s="203">
        <f t="shared" si="10"/>
        <v>0</v>
      </c>
      <c r="G135" s="203">
        <f t="shared" si="11"/>
        <v>0</v>
      </c>
      <c r="H135" s="203">
        <f t="shared" si="12"/>
        <v>0</v>
      </c>
      <c r="I135" s="203">
        <f t="shared" si="13"/>
        <v>0</v>
      </c>
      <c r="J135" s="196"/>
    </row>
    <row r="136" spans="3:10" x14ac:dyDescent="0.25">
      <c r="C136" s="202">
        <f t="shared" si="7"/>
        <v>0</v>
      </c>
      <c r="D136" s="203">
        <f t="shared" si="8"/>
        <v>0</v>
      </c>
      <c r="E136" s="203">
        <f t="shared" si="9"/>
        <v>0</v>
      </c>
      <c r="F136" s="203">
        <f t="shared" si="10"/>
        <v>0</v>
      </c>
      <c r="G136" s="203">
        <f t="shared" si="11"/>
        <v>0</v>
      </c>
      <c r="H136" s="203">
        <f t="shared" si="12"/>
        <v>0</v>
      </c>
      <c r="I136" s="203">
        <f t="shared" si="13"/>
        <v>0</v>
      </c>
      <c r="J136" s="196"/>
    </row>
    <row r="137" spans="3:10" x14ac:dyDescent="0.25">
      <c r="C137" s="207">
        <f t="shared" si="7"/>
        <v>0</v>
      </c>
      <c r="D137" s="208">
        <f t="shared" si="8"/>
        <v>0</v>
      </c>
      <c r="E137" s="208">
        <f t="shared" si="9"/>
        <v>0</v>
      </c>
      <c r="F137" s="208">
        <f t="shared" si="10"/>
        <v>0</v>
      </c>
      <c r="G137" s="208">
        <f t="shared" si="11"/>
        <v>0</v>
      </c>
      <c r="H137" s="203">
        <f t="shared" si="12"/>
        <v>0</v>
      </c>
      <c r="I137" s="208">
        <f t="shared" si="13"/>
        <v>0</v>
      </c>
      <c r="J137" s="196"/>
    </row>
    <row r="138" spans="3:10" x14ac:dyDescent="0.25">
      <c r="C138" s="207">
        <f t="shared" ref="C138:C201" si="14">IF(AND(C137&gt;0,C137&lt;E$5),C137+1,0)</f>
        <v>0</v>
      </c>
      <c r="D138" s="208">
        <f t="shared" ref="D138:D201" si="15">IF(C138&gt;0,I137,0)</f>
        <v>0</v>
      </c>
      <c r="E138" s="208">
        <f t="shared" ref="E138:E201" si="16">IF(C138&gt;0,D138*$G$5,0)</f>
        <v>0</v>
      </c>
      <c r="F138" s="208">
        <f t="shared" ref="F138:F201" si="17">IF(C138&gt;0,D138+E138,0)</f>
        <v>0</v>
      </c>
      <c r="G138" s="208">
        <f t="shared" ref="G138:G201" si="18">IF(C138&gt;0,H138-E138,0)</f>
        <v>0</v>
      </c>
      <c r="H138" s="203">
        <f t="shared" ref="H138:H201" si="19">IF(C138&gt;0,PMT($G$5,$E$5-C137,-D138),0)</f>
        <v>0</v>
      </c>
      <c r="I138" s="208">
        <f t="shared" ref="I138:I201" si="20">IF(C138&gt;0,F138-H138,0)</f>
        <v>0</v>
      </c>
      <c r="J138" s="196"/>
    </row>
    <row r="139" spans="3:10" x14ac:dyDescent="0.25">
      <c r="C139" s="207">
        <f t="shared" si="14"/>
        <v>0</v>
      </c>
      <c r="D139" s="208">
        <f t="shared" si="15"/>
        <v>0</v>
      </c>
      <c r="E139" s="208">
        <f t="shared" si="16"/>
        <v>0</v>
      </c>
      <c r="F139" s="208">
        <f t="shared" si="17"/>
        <v>0</v>
      </c>
      <c r="G139" s="208">
        <f t="shared" si="18"/>
        <v>0</v>
      </c>
      <c r="H139" s="203">
        <f t="shared" si="19"/>
        <v>0</v>
      </c>
      <c r="I139" s="208">
        <f t="shared" si="20"/>
        <v>0</v>
      </c>
      <c r="J139" s="196"/>
    </row>
    <row r="140" spans="3:10" x14ac:dyDescent="0.25">
      <c r="C140" s="202">
        <f t="shared" si="14"/>
        <v>0</v>
      </c>
      <c r="D140" s="203">
        <f t="shared" si="15"/>
        <v>0</v>
      </c>
      <c r="E140" s="203">
        <f t="shared" si="16"/>
        <v>0</v>
      </c>
      <c r="F140" s="203">
        <f t="shared" si="17"/>
        <v>0</v>
      </c>
      <c r="G140" s="203">
        <f t="shared" si="18"/>
        <v>0</v>
      </c>
      <c r="H140" s="203">
        <f t="shared" si="19"/>
        <v>0</v>
      </c>
      <c r="I140" s="203">
        <f t="shared" si="20"/>
        <v>0</v>
      </c>
      <c r="J140" s="196"/>
    </row>
    <row r="141" spans="3:10" x14ac:dyDescent="0.25">
      <c r="C141" s="202">
        <f t="shared" si="14"/>
        <v>0</v>
      </c>
      <c r="D141" s="203">
        <f t="shared" si="15"/>
        <v>0</v>
      </c>
      <c r="E141" s="203">
        <f t="shared" si="16"/>
        <v>0</v>
      </c>
      <c r="F141" s="203">
        <f t="shared" si="17"/>
        <v>0</v>
      </c>
      <c r="G141" s="203">
        <f t="shared" si="18"/>
        <v>0</v>
      </c>
      <c r="H141" s="203">
        <f t="shared" si="19"/>
        <v>0</v>
      </c>
      <c r="I141" s="203">
        <f t="shared" si="20"/>
        <v>0</v>
      </c>
      <c r="J141" s="196"/>
    </row>
    <row r="142" spans="3:10" x14ac:dyDescent="0.25">
      <c r="C142" s="202">
        <f t="shared" si="14"/>
        <v>0</v>
      </c>
      <c r="D142" s="203">
        <f t="shared" si="15"/>
        <v>0</v>
      </c>
      <c r="E142" s="203">
        <f t="shared" si="16"/>
        <v>0</v>
      </c>
      <c r="F142" s="203">
        <f t="shared" si="17"/>
        <v>0</v>
      </c>
      <c r="G142" s="203">
        <f t="shared" si="18"/>
        <v>0</v>
      </c>
      <c r="H142" s="203">
        <f t="shared" si="19"/>
        <v>0</v>
      </c>
      <c r="I142" s="203">
        <f t="shared" si="20"/>
        <v>0</v>
      </c>
      <c r="J142" s="196"/>
    </row>
    <row r="143" spans="3:10" x14ac:dyDescent="0.25">
      <c r="C143" s="207">
        <f t="shared" si="14"/>
        <v>0</v>
      </c>
      <c r="D143" s="208">
        <f t="shared" si="15"/>
        <v>0</v>
      </c>
      <c r="E143" s="208">
        <f t="shared" si="16"/>
        <v>0</v>
      </c>
      <c r="F143" s="208">
        <f t="shared" si="17"/>
        <v>0</v>
      </c>
      <c r="G143" s="208">
        <f t="shared" si="18"/>
        <v>0</v>
      </c>
      <c r="H143" s="203">
        <f t="shared" si="19"/>
        <v>0</v>
      </c>
      <c r="I143" s="208">
        <f t="shared" si="20"/>
        <v>0</v>
      </c>
      <c r="J143" s="196"/>
    </row>
    <row r="144" spans="3:10" x14ac:dyDescent="0.25">
      <c r="C144" s="207">
        <f t="shared" si="14"/>
        <v>0</v>
      </c>
      <c r="D144" s="208">
        <f t="shared" si="15"/>
        <v>0</v>
      </c>
      <c r="E144" s="208">
        <f t="shared" si="16"/>
        <v>0</v>
      </c>
      <c r="F144" s="208">
        <f t="shared" si="17"/>
        <v>0</v>
      </c>
      <c r="G144" s="208">
        <f t="shared" si="18"/>
        <v>0</v>
      </c>
      <c r="H144" s="203">
        <f t="shared" si="19"/>
        <v>0</v>
      </c>
      <c r="I144" s="208">
        <f t="shared" si="20"/>
        <v>0</v>
      </c>
      <c r="J144" s="196"/>
    </row>
    <row r="145" spans="3:10" x14ac:dyDescent="0.25">
      <c r="C145" s="207">
        <f t="shared" si="14"/>
        <v>0</v>
      </c>
      <c r="D145" s="208">
        <f t="shared" si="15"/>
        <v>0</v>
      </c>
      <c r="E145" s="208">
        <f t="shared" si="16"/>
        <v>0</v>
      </c>
      <c r="F145" s="208">
        <f t="shared" si="17"/>
        <v>0</v>
      </c>
      <c r="G145" s="208">
        <f t="shared" si="18"/>
        <v>0</v>
      </c>
      <c r="H145" s="203">
        <f t="shared" si="19"/>
        <v>0</v>
      </c>
      <c r="I145" s="208">
        <f t="shared" si="20"/>
        <v>0</v>
      </c>
      <c r="J145" s="196"/>
    </row>
    <row r="146" spans="3:10" x14ac:dyDescent="0.25">
      <c r="C146" s="202">
        <f t="shared" si="14"/>
        <v>0</v>
      </c>
      <c r="D146" s="203">
        <f t="shared" si="15"/>
        <v>0</v>
      </c>
      <c r="E146" s="203">
        <f t="shared" si="16"/>
        <v>0</v>
      </c>
      <c r="F146" s="203">
        <f t="shared" si="17"/>
        <v>0</v>
      </c>
      <c r="G146" s="203">
        <f t="shared" si="18"/>
        <v>0</v>
      </c>
      <c r="H146" s="203">
        <f t="shared" si="19"/>
        <v>0</v>
      </c>
      <c r="I146" s="203">
        <f t="shared" si="20"/>
        <v>0</v>
      </c>
      <c r="J146" s="196"/>
    </row>
    <row r="147" spans="3:10" x14ac:dyDescent="0.25">
      <c r="C147" s="202">
        <f t="shared" si="14"/>
        <v>0</v>
      </c>
      <c r="D147" s="203">
        <f t="shared" si="15"/>
        <v>0</v>
      </c>
      <c r="E147" s="203">
        <f t="shared" si="16"/>
        <v>0</v>
      </c>
      <c r="F147" s="203">
        <f t="shared" si="17"/>
        <v>0</v>
      </c>
      <c r="G147" s="203">
        <f t="shared" si="18"/>
        <v>0</v>
      </c>
      <c r="H147" s="203">
        <f t="shared" si="19"/>
        <v>0</v>
      </c>
      <c r="I147" s="203">
        <f t="shared" si="20"/>
        <v>0</v>
      </c>
      <c r="J147" s="196"/>
    </row>
    <row r="148" spans="3:10" x14ac:dyDescent="0.25">
      <c r="C148" s="202">
        <f t="shared" si="14"/>
        <v>0</v>
      </c>
      <c r="D148" s="203">
        <f t="shared" si="15"/>
        <v>0</v>
      </c>
      <c r="E148" s="203">
        <f t="shared" si="16"/>
        <v>0</v>
      </c>
      <c r="F148" s="203">
        <f t="shared" si="17"/>
        <v>0</v>
      </c>
      <c r="G148" s="203">
        <f t="shared" si="18"/>
        <v>0</v>
      </c>
      <c r="H148" s="203">
        <f t="shared" si="19"/>
        <v>0</v>
      </c>
      <c r="I148" s="203">
        <f t="shared" si="20"/>
        <v>0</v>
      </c>
      <c r="J148" s="196"/>
    </row>
    <row r="149" spans="3:10" x14ac:dyDescent="0.25">
      <c r="C149" s="207">
        <f t="shared" si="14"/>
        <v>0</v>
      </c>
      <c r="D149" s="208">
        <f t="shared" si="15"/>
        <v>0</v>
      </c>
      <c r="E149" s="208">
        <f t="shared" si="16"/>
        <v>0</v>
      </c>
      <c r="F149" s="208">
        <f t="shared" si="17"/>
        <v>0</v>
      </c>
      <c r="G149" s="208">
        <f t="shared" si="18"/>
        <v>0</v>
      </c>
      <c r="H149" s="203">
        <f t="shared" si="19"/>
        <v>0</v>
      </c>
      <c r="I149" s="208">
        <f t="shared" si="20"/>
        <v>0</v>
      </c>
      <c r="J149" s="196"/>
    </row>
    <row r="150" spans="3:10" x14ac:dyDescent="0.25">
      <c r="C150" s="207">
        <f t="shared" si="14"/>
        <v>0</v>
      </c>
      <c r="D150" s="208">
        <f t="shared" si="15"/>
        <v>0</v>
      </c>
      <c r="E150" s="208">
        <f t="shared" si="16"/>
        <v>0</v>
      </c>
      <c r="F150" s="208">
        <f t="shared" si="17"/>
        <v>0</v>
      </c>
      <c r="G150" s="208">
        <f t="shared" si="18"/>
        <v>0</v>
      </c>
      <c r="H150" s="203">
        <f t="shared" si="19"/>
        <v>0</v>
      </c>
      <c r="I150" s="208">
        <f t="shared" si="20"/>
        <v>0</v>
      </c>
      <c r="J150" s="196"/>
    </row>
    <row r="151" spans="3:10" x14ac:dyDescent="0.25">
      <c r="C151" s="207">
        <f t="shared" si="14"/>
        <v>0</v>
      </c>
      <c r="D151" s="208">
        <f t="shared" si="15"/>
        <v>0</v>
      </c>
      <c r="E151" s="208">
        <f t="shared" si="16"/>
        <v>0</v>
      </c>
      <c r="F151" s="208">
        <f t="shared" si="17"/>
        <v>0</v>
      </c>
      <c r="G151" s="208">
        <f t="shared" si="18"/>
        <v>0</v>
      </c>
      <c r="H151" s="203">
        <f t="shared" si="19"/>
        <v>0</v>
      </c>
      <c r="I151" s="208">
        <f t="shared" si="20"/>
        <v>0</v>
      </c>
      <c r="J151" s="196"/>
    </row>
    <row r="152" spans="3:10" x14ac:dyDescent="0.25">
      <c r="C152" s="202">
        <f t="shared" si="14"/>
        <v>0</v>
      </c>
      <c r="D152" s="203">
        <f t="shared" si="15"/>
        <v>0</v>
      </c>
      <c r="E152" s="203">
        <f t="shared" si="16"/>
        <v>0</v>
      </c>
      <c r="F152" s="203">
        <f t="shared" si="17"/>
        <v>0</v>
      </c>
      <c r="G152" s="203">
        <f t="shared" si="18"/>
        <v>0</v>
      </c>
      <c r="H152" s="203">
        <f t="shared" si="19"/>
        <v>0</v>
      </c>
      <c r="I152" s="203">
        <f t="shared" si="20"/>
        <v>0</v>
      </c>
      <c r="J152" s="196"/>
    </row>
    <row r="153" spans="3:10" x14ac:dyDescent="0.25">
      <c r="C153" s="202">
        <f t="shared" si="14"/>
        <v>0</v>
      </c>
      <c r="D153" s="203">
        <f t="shared" si="15"/>
        <v>0</v>
      </c>
      <c r="E153" s="203">
        <f t="shared" si="16"/>
        <v>0</v>
      </c>
      <c r="F153" s="203">
        <f t="shared" si="17"/>
        <v>0</v>
      </c>
      <c r="G153" s="203">
        <f t="shared" si="18"/>
        <v>0</v>
      </c>
      <c r="H153" s="203">
        <f t="shared" si="19"/>
        <v>0</v>
      </c>
      <c r="I153" s="203">
        <f t="shared" si="20"/>
        <v>0</v>
      </c>
      <c r="J153" s="196"/>
    </row>
    <row r="154" spans="3:10" x14ac:dyDescent="0.25">
      <c r="C154" s="202">
        <f t="shared" si="14"/>
        <v>0</v>
      </c>
      <c r="D154" s="203">
        <f t="shared" si="15"/>
        <v>0</v>
      </c>
      <c r="E154" s="203">
        <f t="shared" si="16"/>
        <v>0</v>
      </c>
      <c r="F154" s="203">
        <f t="shared" si="17"/>
        <v>0</v>
      </c>
      <c r="G154" s="203">
        <f t="shared" si="18"/>
        <v>0</v>
      </c>
      <c r="H154" s="203">
        <f t="shared" si="19"/>
        <v>0</v>
      </c>
      <c r="I154" s="203">
        <f t="shared" si="20"/>
        <v>0</v>
      </c>
      <c r="J154" s="196"/>
    </row>
    <row r="155" spans="3:10" x14ac:dyDescent="0.25">
      <c r="C155" s="207">
        <f t="shared" si="14"/>
        <v>0</v>
      </c>
      <c r="D155" s="208">
        <f t="shared" si="15"/>
        <v>0</v>
      </c>
      <c r="E155" s="208">
        <f t="shared" si="16"/>
        <v>0</v>
      </c>
      <c r="F155" s="208">
        <f t="shared" si="17"/>
        <v>0</v>
      </c>
      <c r="G155" s="208">
        <f t="shared" si="18"/>
        <v>0</v>
      </c>
      <c r="H155" s="203">
        <f t="shared" si="19"/>
        <v>0</v>
      </c>
      <c r="I155" s="208">
        <f t="shared" si="20"/>
        <v>0</v>
      </c>
      <c r="J155" s="196"/>
    </row>
    <row r="156" spans="3:10" x14ac:dyDescent="0.25">
      <c r="C156" s="207">
        <f t="shared" si="14"/>
        <v>0</v>
      </c>
      <c r="D156" s="208">
        <f t="shared" si="15"/>
        <v>0</v>
      </c>
      <c r="E156" s="208">
        <f t="shared" si="16"/>
        <v>0</v>
      </c>
      <c r="F156" s="208">
        <f t="shared" si="17"/>
        <v>0</v>
      </c>
      <c r="G156" s="208">
        <f t="shared" si="18"/>
        <v>0</v>
      </c>
      <c r="H156" s="203">
        <f t="shared" si="19"/>
        <v>0</v>
      </c>
      <c r="I156" s="208">
        <f t="shared" si="20"/>
        <v>0</v>
      </c>
      <c r="J156" s="196"/>
    </row>
    <row r="157" spans="3:10" x14ac:dyDescent="0.25">
      <c r="C157" s="207">
        <f t="shared" si="14"/>
        <v>0</v>
      </c>
      <c r="D157" s="208">
        <f t="shared" si="15"/>
        <v>0</v>
      </c>
      <c r="E157" s="208">
        <f t="shared" si="16"/>
        <v>0</v>
      </c>
      <c r="F157" s="208">
        <f t="shared" si="17"/>
        <v>0</v>
      </c>
      <c r="G157" s="208">
        <f t="shared" si="18"/>
        <v>0</v>
      </c>
      <c r="H157" s="203">
        <f t="shared" si="19"/>
        <v>0</v>
      </c>
      <c r="I157" s="208">
        <f t="shared" si="20"/>
        <v>0</v>
      </c>
      <c r="J157" s="196"/>
    </row>
    <row r="158" spans="3:10" x14ac:dyDescent="0.25">
      <c r="C158" s="202">
        <f t="shared" si="14"/>
        <v>0</v>
      </c>
      <c r="D158" s="203">
        <f t="shared" si="15"/>
        <v>0</v>
      </c>
      <c r="E158" s="203">
        <f t="shared" si="16"/>
        <v>0</v>
      </c>
      <c r="F158" s="203">
        <f t="shared" si="17"/>
        <v>0</v>
      </c>
      <c r="G158" s="203">
        <f t="shared" si="18"/>
        <v>0</v>
      </c>
      <c r="H158" s="203">
        <f t="shared" si="19"/>
        <v>0</v>
      </c>
      <c r="I158" s="203">
        <f t="shared" si="20"/>
        <v>0</v>
      </c>
      <c r="J158" s="196"/>
    </row>
    <row r="159" spans="3:10" x14ac:dyDescent="0.25">
      <c r="C159" s="202">
        <f t="shared" si="14"/>
        <v>0</v>
      </c>
      <c r="D159" s="203">
        <f t="shared" si="15"/>
        <v>0</v>
      </c>
      <c r="E159" s="203">
        <f t="shared" si="16"/>
        <v>0</v>
      </c>
      <c r="F159" s="203">
        <f t="shared" si="17"/>
        <v>0</v>
      </c>
      <c r="G159" s="203">
        <f t="shared" si="18"/>
        <v>0</v>
      </c>
      <c r="H159" s="203">
        <f t="shared" si="19"/>
        <v>0</v>
      </c>
      <c r="I159" s="203">
        <f t="shared" si="20"/>
        <v>0</v>
      </c>
      <c r="J159" s="196"/>
    </row>
    <row r="160" spans="3:10" x14ac:dyDescent="0.25">
      <c r="C160" s="202">
        <f t="shared" si="14"/>
        <v>0</v>
      </c>
      <c r="D160" s="203">
        <f t="shared" si="15"/>
        <v>0</v>
      </c>
      <c r="E160" s="203">
        <f t="shared" si="16"/>
        <v>0</v>
      </c>
      <c r="F160" s="203">
        <f t="shared" si="17"/>
        <v>0</v>
      </c>
      <c r="G160" s="203">
        <f t="shared" si="18"/>
        <v>0</v>
      </c>
      <c r="H160" s="203">
        <f t="shared" si="19"/>
        <v>0</v>
      </c>
      <c r="I160" s="203">
        <f t="shared" si="20"/>
        <v>0</v>
      </c>
      <c r="J160" s="196"/>
    </row>
    <row r="161" spans="3:10" x14ac:dyDescent="0.25">
      <c r="C161" s="207">
        <f t="shared" si="14"/>
        <v>0</v>
      </c>
      <c r="D161" s="208">
        <f t="shared" si="15"/>
        <v>0</v>
      </c>
      <c r="E161" s="208">
        <f t="shared" si="16"/>
        <v>0</v>
      </c>
      <c r="F161" s="208">
        <f t="shared" si="17"/>
        <v>0</v>
      </c>
      <c r="G161" s="208">
        <f t="shared" si="18"/>
        <v>0</v>
      </c>
      <c r="H161" s="203">
        <f t="shared" si="19"/>
        <v>0</v>
      </c>
      <c r="I161" s="208">
        <f t="shared" si="20"/>
        <v>0</v>
      </c>
      <c r="J161" s="196"/>
    </row>
    <row r="162" spans="3:10" x14ac:dyDescent="0.25">
      <c r="C162" s="207">
        <f t="shared" si="14"/>
        <v>0</v>
      </c>
      <c r="D162" s="208">
        <f t="shared" si="15"/>
        <v>0</v>
      </c>
      <c r="E162" s="208">
        <f t="shared" si="16"/>
        <v>0</v>
      </c>
      <c r="F162" s="208">
        <f t="shared" si="17"/>
        <v>0</v>
      </c>
      <c r="G162" s="208">
        <f t="shared" si="18"/>
        <v>0</v>
      </c>
      <c r="H162" s="203">
        <f t="shared" si="19"/>
        <v>0</v>
      </c>
      <c r="I162" s="208">
        <f t="shared" si="20"/>
        <v>0</v>
      </c>
      <c r="J162" s="196"/>
    </row>
    <row r="163" spans="3:10" x14ac:dyDescent="0.25">
      <c r="C163" s="207">
        <f t="shared" si="14"/>
        <v>0</v>
      </c>
      <c r="D163" s="208">
        <f t="shared" si="15"/>
        <v>0</v>
      </c>
      <c r="E163" s="208">
        <f t="shared" si="16"/>
        <v>0</v>
      </c>
      <c r="F163" s="208">
        <f t="shared" si="17"/>
        <v>0</v>
      </c>
      <c r="G163" s="208">
        <f t="shared" si="18"/>
        <v>0</v>
      </c>
      <c r="H163" s="203">
        <f t="shared" si="19"/>
        <v>0</v>
      </c>
      <c r="I163" s="208">
        <f t="shared" si="20"/>
        <v>0</v>
      </c>
      <c r="J163" s="196"/>
    </row>
    <row r="164" spans="3:10" x14ac:dyDescent="0.25">
      <c r="C164" s="202">
        <f t="shared" si="14"/>
        <v>0</v>
      </c>
      <c r="D164" s="203">
        <f t="shared" si="15"/>
        <v>0</v>
      </c>
      <c r="E164" s="203">
        <f t="shared" si="16"/>
        <v>0</v>
      </c>
      <c r="F164" s="203">
        <f t="shared" si="17"/>
        <v>0</v>
      </c>
      <c r="G164" s="203">
        <f t="shared" si="18"/>
        <v>0</v>
      </c>
      <c r="H164" s="203">
        <f t="shared" si="19"/>
        <v>0</v>
      </c>
      <c r="I164" s="203">
        <f t="shared" si="20"/>
        <v>0</v>
      </c>
      <c r="J164" s="196"/>
    </row>
    <row r="165" spans="3:10" x14ac:dyDescent="0.25">
      <c r="C165" s="202">
        <f t="shared" si="14"/>
        <v>0</v>
      </c>
      <c r="D165" s="203">
        <f t="shared" si="15"/>
        <v>0</v>
      </c>
      <c r="E165" s="203">
        <f t="shared" si="16"/>
        <v>0</v>
      </c>
      <c r="F165" s="203">
        <f t="shared" si="17"/>
        <v>0</v>
      </c>
      <c r="G165" s="203">
        <f t="shared" si="18"/>
        <v>0</v>
      </c>
      <c r="H165" s="203">
        <f t="shared" si="19"/>
        <v>0</v>
      </c>
      <c r="I165" s="203">
        <f t="shared" si="20"/>
        <v>0</v>
      </c>
      <c r="J165" s="196"/>
    </row>
    <row r="166" spans="3:10" x14ac:dyDescent="0.25">
      <c r="C166" s="202">
        <f t="shared" si="14"/>
        <v>0</v>
      </c>
      <c r="D166" s="203">
        <f t="shared" si="15"/>
        <v>0</v>
      </c>
      <c r="E166" s="203">
        <f t="shared" si="16"/>
        <v>0</v>
      </c>
      <c r="F166" s="203">
        <f t="shared" si="17"/>
        <v>0</v>
      </c>
      <c r="G166" s="203">
        <f t="shared" si="18"/>
        <v>0</v>
      </c>
      <c r="H166" s="203">
        <f t="shared" si="19"/>
        <v>0</v>
      </c>
      <c r="I166" s="203">
        <f t="shared" si="20"/>
        <v>0</v>
      </c>
      <c r="J166" s="196"/>
    </row>
    <row r="167" spans="3:10" x14ac:dyDescent="0.25">
      <c r="C167" s="207">
        <f t="shared" si="14"/>
        <v>0</v>
      </c>
      <c r="D167" s="208">
        <f t="shared" si="15"/>
        <v>0</v>
      </c>
      <c r="E167" s="208">
        <f t="shared" si="16"/>
        <v>0</v>
      </c>
      <c r="F167" s="208">
        <f t="shared" si="17"/>
        <v>0</v>
      </c>
      <c r="G167" s="208">
        <f t="shared" si="18"/>
        <v>0</v>
      </c>
      <c r="H167" s="203">
        <f t="shared" si="19"/>
        <v>0</v>
      </c>
      <c r="I167" s="208">
        <f t="shared" si="20"/>
        <v>0</v>
      </c>
      <c r="J167" s="196"/>
    </row>
    <row r="168" spans="3:10" x14ac:dyDescent="0.25">
      <c r="C168" s="207">
        <f t="shared" si="14"/>
        <v>0</v>
      </c>
      <c r="D168" s="208">
        <f t="shared" si="15"/>
        <v>0</v>
      </c>
      <c r="E168" s="208">
        <f t="shared" si="16"/>
        <v>0</v>
      </c>
      <c r="F168" s="208">
        <f t="shared" si="17"/>
        <v>0</v>
      </c>
      <c r="G168" s="208">
        <f t="shared" si="18"/>
        <v>0</v>
      </c>
      <c r="H168" s="203">
        <f t="shared" si="19"/>
        <v>0</v>
      </c>
      <c r="I168" s="208">
        <f t="shared" si="20"/>
        <v>0</v>
      </c>
      <c r="J168" s="196"/>
    </row>
    <row r="169" spans="3:10" x14ac:dyDescent="0.25">
      <c r="C169" s="207">
        <f t="shared" si="14"/>
        <v>0</v>
      </c>
      <c r="D169" s="208">
        <f t="shared" si="15"/>
        <v>0</v>
      </c>
      <c r="E169" s="208">
        <f t="shared" si="16"/>
        <v>0</v>
      </c>
      <c r="F169" s="208">
        <f t="shared" si="17"/>
        <v>0</v>
      </c>
      <c r="G169" s="208">
        <f t="shared" si="18"/>
        <v>0</v>
      </c>
      <c r="H169" s="203">
        <f t="shared" si="19"/>
        <v>0</v>
      </c>
      <c r="I169" s="208">
        <f t="shared" si="20"/>
        <v>0</v>
      </c>
      <c r="J169" s="196"/>
    </row>
    <row r="170" spans="3:10" x14ac:dyDescent="0.25">
      <c r="C170" s="202">
        <f t="shared" si="14"/>
        <v>0</v>
      </c>
      <c r="D170" s="203">
        <f t="shared" si="15"/>
        <v>0</v>
      </c>
      <c r="E170" s="203">
        <f t="shared" si="16"/>
        <v>0</v>
      </c>
      <c r="F170" s="203">
        <f t="shared" si="17"/>
        <v>0</v>
      </c>
      <c r="G170" s="203">
        <f t="shared" si="18"/>
        <v>0</v>
      </c>
      <c r="H170" s="203">
        <f t="shared" si="19"/>
        <v>0</v>
      </c>
      <c r="I170" s="203">
        <f t="shared" si="20"/>
        <v>0</v>
      </c>
      <c r="J170" s="196"/>
    </row>
    <row r="171" spans="3:10" x14ac:dyDescent="0.25">
      <c r="C171" s="202">
        <f t="shared" si="14"/>
        <v>0</v>
      </c>
      <c r="D171" s="203">
        <f t="shared" si="15"/>
        <v>0</v>
      </c>
      <c r="E171" s="203">
        <f t="shared" si="16"/>
        <v>0</v>
      </c>
      <c r="F171" s="203">
        <f t="shared" si="17"/>
        <v>0</v>
      </c>
      <c r="G171" s="203">
        <f t="shared" si="18"/>
        <v>0</v>
      </c>
      <c r="H171" s="203">
        <f t="shared" si="19"/>
        <v>0</v>
      </c>
      <c r="I171" s="203">
        <f t="shared" si="20"/>
        <v>0</v>
      </c>
      <c r="J171" s="196"/>
    </row>
    <row r="172" spans="3:10" x14ac:dyDescent="0.25">
      <c r="C172" s="202">
        <f t="shared" si="14"/>
        <v>0</v>
      </c>
      <c r="D172" s="203">
        <f t="shared" si="15"/>
        <v>0</v>
      </c>
      <c r="E172" s="203">
        <f t="shared" si="16"/>
        <v>0</v>
      </c>
      <c r="F172" s="203">
        <f t="shared" si="17"/>
        <v>0</v>
      </c>
      <c r="G172" s="203">
        <f t="shared" si="18"/>
        <v>0</v>
      </c>
      <c r="H172" s="203">
        <f t="shared" si="19"/>
        <v>0</v>
      </c>
      <c r="I172" s="203">
        <f t="shared" si="20"/>
        <v>0</v>
      </c>
      <c r="J172" s="196"/>
    </row>
    <row r="173" spans="3:10" x14ac:dyDescent="0.25">
      <c r="C173" s="207">
        <f t="shared" si="14"/>
        <v>0</v>
      </c>
      <c r="D173" s="208">
        <f t="shared" si="15"/>
        <v>0</v>
      </c>
      <c r="E173" s="208">
        <f t="shared" si="16"/>
        <v>0</v>
      </c>
      <c r="F173" s="208">
        <f t="shared" si="17"/>
        <v>0</v>
      </c>
      <c r="G173" s="208">
        <f t="shared" si="18"/>
        <v>0</v>
      </c>
      <c r="H173" s="203">
        <f t="shared" si="19"/>
        <v>0</v>
      </c>
      <c r="I173" s="208">
        <f t="shared" si="20"/>
        <v>0</v>
      </c>
      <c r="J173" s="196"/>
    </row>
    <row r="174" spans="3:10" x14ac:dyDescent="0.25">
      <c r="C174" s="207">
        <f t="shared" si="14"/>
        <v>0</v>
      </c>
      <c r="D174" s="208">
        <f t="shared" si="15"/>
        <v>0</v>
      </c>
      <c r="E174" s="208">
        <f t="shared" si="16"/>
        <v>0</v>
      </c>
      <c r="F174" s="208">
        <f t="shared" si="17"/>
        <v>0</v>
      </c>
      <c r="G174" s="208">
        <f t="shared" si="18"/>
        <v>0</v>
      </c>
      <c r="H174" s="203">
        <f t="shared" si="19"/>
        <v>0</v>
      </c>
      <c r="I174" s="208">
        <f t="shared" si="20"/>
        <v>0</v>
      </c>
      <c r="J174" s="196"/>
    </row>
    <row r="175" spans="3:10" x14ac:dyDescent="0.25">
      <c r="C175" s="207">
        <f t="shared" si="14"/>
        <v>0</v>
      </c>
      <c r="D175" s="208">
        <f t="shared" si="15"/>
        <v>0</v>
      </c>
      <c r="E175" s="208">
        <f t="shared" si="16"/>
        <v>0</v>
      </c>
      <c r="F175" s="208">
        <f t="shared" si="17"/>
        <v>0</v>
      </c>
      <c r="G175" s="208">
        <f t="shared" si="18"/>
        <v>0</v>
      </c>
      <c r="H175" s="203">
        <f t="shared" si="19"/>
        <v>0</v>
      </c>
      <c r="I175" s="208">
        <f t="shared" si="20"/>
        <v>0</v>
      </c>
      <c r="J175" s="196"/>
    </row>
    <row r="176" spans="3:10" x14ac:dyDescent="0.25">
      <c r="C176" s="202">
        <f t="shared" si="14"/>
        <v>0</v>
      </c>
      <c r="D176" s="203">
        <f t="shared" si="15"/>
        <v>0</v>
      </c>
      <c r="E176" s="203">
        <f t="shared" si="16"/>
        <v>0</v>
      </c>
      <c r="F176" s="203">
        <f t="shared" si="17"/>
        <v>0</v>
      </c>
      <c r="G176" s="203">
        <f t="shared" si="18"/>
        <v>0</v>
      </c>
      <c r="H176" s="203">
        <f t="shared" si="19"/>
        <v>0</v>
      </c>
      <c r="I176" s="203">
        <f t="shared" si="20"/>
        <v>0</v>
      </c>
      <c r="J176" s="196"/>
    </row>
    <row r="177" spans="3:10" x14ac:dyDescent="0.25">
      <c r="C177" s="202">
        <f t="shared" si="14"/>
        <v>0</v>
      </c>
      <c r="D177" s="203">
        <f t="shared" si="15"/>
        <v>0</v>
      </c>
      <c r="E177" s="203">
        <f t="shared" si="16"/>
        <v>0</v>
      </c>
      <c r="F177" s="203">
        <f t="shared" si="17"/>
        <v>0</v>
      </c>
      <c r="G177" s="203">
        <f t="shared" si="18"/>
        <v>0</v>
      </c>
      <c r="H177" s="203">
        <f t="shared" si="19"/>
        <v>0</v>
      </c>
      <c r="I177" s="203">
        <f t="shared" si="20"/>
        <v>0</v>
      </c>
      <c r="J177" s="196"/>
    </row>
    <row r="178" spans="3:10" x14ac:dyDescent="0.25">
      <c r="C178" s="202">
        <f t="shared" si="14"/>
        <v>0</v>
      </c>
      <c r="D178" s="203">
        <f t="shared" si="15"/>
        <v>0</v>
      </c>
      <c r="E178" s="203">
        <f t="shared" si="16"/>
        <v>0</v>
      </c>
      <c r="F178" s="203">
        <f t="shared" si="17"/>
        <v>0</v>
      </c>
      <c r="G178" s="203">
        <f t="shared" si="18"/>
        <v>0</v>
      </c>
      <c r="H178" s="203">
        <f t="shared" si="19"/>
        <v>0</v>
      </c>
      <c r="I178" s="203">
        <f t="shared" si="20"/>
        <v>0</v>
      </c>
      <c r="J178" s="196"/>
    </row>
    <row r="179" spans="3:10" x14ac:dyDescent="0.25">
      <c r="C179" s="207">
        <f t="shared" si="14"/>
        <v>0</v>
      </c>
      <c r="D179" s="208">
        <f t="shared" si="15"/>
        <v>0</v>
      </c>
      <c r="E179" s="208">
        <f t="shared" si="16"/>
        <v>0</v>
      </c>
      <c r="F179" s="208">
        <f t="shared" si="17"/>
        <v>0</v>
      </c>
      <c r="G179" s="208">
        <f t="shared" si="18"/>
        <v>0</v>
      </c>
      <c r="H179" s="203">
        <f t="shared" si="19"/>
        <v>0</v>
      </c>
      <c r="I179" s="208">
        <f t="shared" si="20"/>
        <v>0</v>
      </c>
      <c r="J179" s="196"/>
    </row>
    <row r="180" spans="3:10" x14ac:dyDescent="0.25">
      <c r="C180" s="207">
        <f t="shared" si="14"/>
        <v>0</v>
      </c>
      <c r="D180" s="208">
        <f t="shared" si="15"/>
        <v>0</v>
      </c>
      <c r="E180" s="208">
        <f t="shared" si="16"/>
        <v>0</v>
      </c>
      <c r="F180" s="208">
        <f t="shared" si="17"/>
        <v>0</v>
      </c>
      <c r="G180" s="208">
        <f t="shared" si="18"/>
        <v>0</v>
      </c>
      <c r="H180" s="203">
        <f t="shared" si="19"/>
        <v>0</v>
      </c>
      <c r="I180" s="208">
        <f t="shared" si="20"/>
        <v>0</v>
      </c>
      <c r="J180" s="196"/>
    </row>
    <row r="181" spans="3:10" x14ac:dyDescent="0.25">
      <c r="C181" s="207">
        <f t="shared" si="14"/>
        <v>0</v>
      </c>
      <c r="D181" s="208">
        <f t="shared" si="15"/>
        <v>0</v>
      </c>
      <c r="E181" s="208">
        <f t="shared" si="16"/>
        <v>0</v>
      </c>
      <c r="F181" s="208">
        <f t="shared" si="17"/>
        <v>0</v>
      </c>
      <c r="G181" s="208">
        <f t="shared" si="18"/>
        <v>0</v>
      </c>
      <c r="H181" s="203">
        <f t="shared" si="19"/>
        <v>0</v>
      </c>
      <c r="I181" s="208">
        <f t="shared" si="20"/>
        <v>0</v>
      </c>
      <c r="J181" s="196"/>
    </row>
    <row r="182" spans="3:10" x14ac:dyDescent="0.25">
      <c r="C182" s="202">
        <f t="shared" si="14"/>
        <v>0</v>
      </c>
      <c r="D182" s="203">
        <f t="shared" si="15"/>
        <v>0</v>
      </c>
      <c r="E182" s="203">
        <f t="shared" si="16"/>
        <v>0</v>
      </c>
      <c r="F182" s="203">
        <f t="shared" si="17"/>
        <v>0</v>
      </c>
      <c r="G182" s="203">
        <f t="shared" si="18"/>
        <v>0</v>
      </c>
      <c r="H182" s="203">
        <f t="shared" si="19"/>
        <v>0</v>
      </c>
      <c r="I182" s="203">
        <f t="shared" si="20"/>
        <v>0</v>
      </c>
      <c r="J182" s="196"/>
    </row>
    <row r="183" spans="3:10" x14ac:dyDescent="0.25">
      <c r="C183" s="202">
        <f t="shared" si="14"/>
        <v>0</v>
      </c>
      <c r="D183" s="203">
        <f t="shared" si="15"/>
        <v>0</v>
      </c>
      <c r="E183" s="203">
        <f t="shared" si="16"/>
        <v>0</v>
      </c>
      <c r="F183" s="203">
        <f t="shared" si="17"/>
        <v>0</v>
      </c>
      <c r="G183" s="203">
        <f t="shared" si="18"/>
        <v>0</v>
      </c>
      <c r="H183" s="203">
        <f t="shared" si="19"/>
        <v>0</v>
      </c>
      <c r="I183" s="203">
        <f t="shared" si="20"/>
        <v>0</v>
      </c>
      <c r="J183" s="196"/>
    </row>
    <row r="184" spans="3:10" x14ac:dyDescent="0.25">
      <c r="C184" s="202">
        <f t="shared" si="14"/>
        <v>0</v>
      </c>
      <c r="D184" s="203">
        <f t="shared" si="15"/>
        <v>0</v>
      </c>
      <c r="E184" s="203">
        <f t="shared" si="16"/>
        <v>0</v>
      </c>
      <c r="F184" s="203">
        <f t="shared" si="17"/>
        <v>0</v>
      </c>
      <c r="G184" s="203">
        <f t="shared" si="18"/>
        <v>0</v>
      </c>
      <c r="H184" s="203">
        <f t="shared" si="19"/>
        <v>0</v>
      </c>
      <c r="I184" s="203">
        <f t="shared" si="20"/>
        <v>0</v>
      </c>
      <c r="J184" s="196"/>
    </row>
    <row r="185" spans="3:10" x14ac:dyDescent="0.25">
      <c r="C185" s="207">
        <f t="shared" si="14"/>
        <v>0</v>
      </c>
      <c r="D185" s="208">
        <f t="shared" si="15"/>
        <v>0</v>
      </c>
      <c r="E185" s="208">
        <f t="shared" si="16"/>
        <v>0</v>
      </c>
      <c r="F185" s="208">
        <f t="shared" si="17"/>
        <v>0</v>
      </c>
      <c r="G185" s="208">
        <f t="shared" si="18"/>
        <v>0</v>
      </c>
      <c r="H185" s="203">
        <f t="shared" si="19"/>
        <v>0</v>
      </c>
      <c r="I185" s="208">
        <f t="shared" si="20"/>
        <v>0</v>
      </c>
      <c r="J185" s="196"/>
    </row>
    <row r="186" spans="3:10" x14ac:dyDescent="0.25">
      <c r="C186" s="207">
        <f t="shared" si="14"/>
        <v>0</v>
      </c>
      <c r="D186" s="208">
        <f t="shared" si="15"/>
        <v>0</v>
      </c>
      <c r="E186" s="208">
        <f t="shared" si="16"/>
        <v>0</v>
      </c>
      <c r="F186" s="208">
        <f t="shared" si="17"/>
        <v>0</v>
      </c>
      <c r="G186" s="208">
        <f t="shared" si="18"/>
        <v>0</v>
      </c>
      <c r="H186" s="203">
        <f t="shared" si="19"/>
        <v>0</v>
      </c>
      <c r="I186" s="208">
        <f t="shared" si="20"/>
        <v>0</v>
      </c>
      <c r="J186" s="196"/>
    </row>
    <row r="187" spans="3:10" x14ac:dyDescent="0.25">
      <c r="C187" s="207">
        <f t="shared" si="14"/>
        <v>0</v>
      </c>
      <c r="D187" s="208">
        <f t="shared" si="15"/>
        <v>0</v>
      </c>
      <c r="E187" s="208">
        <f t="shared" si="16"/>
        <v>0</v>
      </c>
      <c r="F187" s="208">
        <f t="shared" si="17"/>
        <v>0</v>
      </c>
      <c r="G187" s="208">
        <f t="shared" si="18"/>
        <v>0</v>
      </c>
      <c r="H187" s="203">
        <f t="shared" si="19"/>
        <v>0</v>
      </c>
      <c r="I187" s="208">
        <f t="shared" si="20"/>
        <v>0</v>
      </c>
      <c r="J187" s="196"/>
    </row>
    <row r="188" spans="3:10" x14ac:dyDescent="0.25">
      <c r="C188" s="202">
        <f t="shared" si="14"/>
        <v>0</v>
      </c>
      <c r="D188" s="203">
        <f t="shared" si="15"/>
        <v>0</v>
      </c>
      <c r="E188" s="203">
        <f t="shared" si="16"/>
        <v>0</v>
      </c>
      <c r="F188" s="203">
        <f t="shared" si="17"/>
        <v>0</v>
      </c>
      <c r="G188" s="203">
        <f t="shared" si="18"/>
        <v>0</v>
      </c>
      <c r="H188" s="203">
        <f t="shared" si="19"/>
        <v>0</v>
      </c>
      <c r="I188" s="203">
        <f t="shared" si="20"/>
        <v>0</v>
      </c>
      <c r="J188" s="196"/>
    </row>
    <row r="189" spans="3:10" x14ac:dyDescent="0.25">
      <c r="C189" s="202">
        <f t="shared" si="14"/>
        <v>0</v>
      </c>
      <c r="D189" s="203">
        <f t="shared" si="15"/>
        <v>0</v>
      </c>
      <c r="E189" s="203">
        <f t="shared" si="16"/>
        <v>0</v>
      </c>
      <c r="F189" s="203">
        <f t="shared" si="17"/>
        <v>0</v>
      </c>
      <c r="G189" s="203">
        <f t="shared" si="18"/>
        <v>0</v>
      </c>
      <c r="H189" s="203">
        <f t="shared" si="19"/>
        <v>0</v>
      </c>
      <c r="I189" s="203">
        <f t="shared" si="20"/>
        <v>0</v>
      </c>
      <c r="J189" s="196"/>
    </row>
    <row r="190" spans="3:10" x14ac:dyDescent="0.25">
      <c r="C190" s="202">
        <f t="shared" si="14"/>
        <v>0</v>
      </c>
      <c r="D190" s="203">
        <f t="shared" si="15"/>
        <v>0</v>
      </c>
      <c r="E190" s="203">
        <f t="shared" si="16"/>
        <v>0</v>
      </c>
      <c r="F190" s="203">
        <f t="shared" si="17"/>
        <v>0</v>
      </c>
      <c r="G190" s="203">
        <f t="shared" si="18"/>
        <v>0</v>
      </c>
      <c r="H190" s="203">
        <f t="shared" si="19"/>
        <v>0</v>
      </c>
      <c r="I190" s="203">
        <f t="shared" si="20"/>
        <v>0</v>
      </c>
      <c r="J190" s="196"/>
    </row>
    <row r="191" spans="3:10" x14ac:dyDescent="0.25">
      <c r="C191" s="207">
        <f t="shared" si="14"/>
        <v>0</v>
      </c>
      <c r="D191" s="208">
        <f t="shared" si="15"/>
        <v>0</v>
      </c>
      <c r="E191" s="208">
        <f t="shared" si="16"/>
        <v>0</v>
      </c>
      <c r="F191" s="208">
        <f t="shared" si="17"/>
        <v>0</v>
      </c>
      <c r="G191" s="208">
        <f t="shared" si="18"/>
        <v>0</v>
      </c>
      <c r="H191" s="203">
        <f t="shared" si="19"/>
        <v>0</v>
      </c>
      <c r="I191" s="208">
        <f t="shared" si="20"/>
        <v>0</v>
      </c>
      <c r="J191" s="196"/>
    </row>
    <row r="192" spans="3:10" x14ac:dyDescent="0.25">
      <c r="C192" s="207">
        <f t="shared" si="14"/>
        <v>0</v>
      </c>
      <c r="D192" s="208">
        <f t="shared" si="15"/>
        <v>0</v>
      </c>
      <c r="E192" s="208">
        <f t="shared" si="16"/>
        <v>0</v>
      </c>
      <c r="F192" s="208">
        <f t="shared" si="17"/>
        <v>0</v>
      </c>
      <c r="G192" s="208">
        <f t="shared" si="18"/>
        <v>0</v>
      </c>
      <c r="H192" s="203">
        <f t="shared" si="19"/>
        <v>0</v>
      </c>
      <c r="I192" s="208">
        <f t="shared" si="20"/>
        <v>0</v>
      </c>
      <c r="J192" s="196"/>
    </row>
    <row r="193" spans="3:10" x14ac:dyDescent="0.25">
      <c r="C193" s="207">
        <f t="shared" si="14"/>
        <v>0</v>
      </c>
      <c r="D193" s="208">
        <f t="shared" si="15"/>
        <v>0</v>
      </c>
      <c r="E193" s="208">
        <f t="shared" si="16"/>
        <v>0</v>
      </c>
      <c r="F193" s="208">
        <f t="shared" si="17"/>
        <v>0</v>
      </c>
      <c r="G193" s="208">
        <f t="shared" si="18"/>
        <v>0</v>
      </c>
      <c r="H193" s="203">
        <f t="shared" si="19"/>
        <v>0</v>
      </c>
      <c r="I193" s="208">
        <f t="shared" si="20"/>
        <v>0</v>
      </c>
      <c r="J193" s="196"/>
    </row>
    <row r="194" spans="3:10" x14ac:dyDescent="0.25">
      <c r="C194" s="202">
        <f t="shared" si="14"/>
        <v>0</v>
      </c>
      <c r="D194" s="203">
        <f t="shared" si="15"/>
        <v>0</v>
      </c>
      <c r="E194" s="203">
        <f t="shared" si="16"/>
        <v>0</v>
      </c>
      <c r="F194" s="203">
        <f t="shared" si="17"/>
        <v>0</v>
      </c>
      <c r="G194" s="203">
        <f t="shared" si="18"/>
        <v>0</v>
      </c>
      <c r="H194" s="203">
        <f t="shared" si="19"/>
        <v>0</v>
      </c>
      <c r="I194" s="203">
        <f t="shared" si="20"/>
        <v>0</v>
      </c>
      <c r="J194" s="196"/>
    </row>
    <row r="195" spans="3:10" x14ac:dyDescent="0.25">
      <c r="C195" s="202">
        <f t="shared" si="14"/>
        <v>0</v>
      </c>
      <c r="D195" s="203">
        <f t="shared" si="15"/>
        <v>0</v>
      </c>
      <c r="E195" s="203">
        <f t="shared" si="16"/>
        <v>0</v>
      </c>
      <c r="F195" s="203">
        <f t="shared" si="17"/>
        <v>0</v>
      </c>
      <c r="G195" s="203">
        <f t="shared" si="18"/>
        <v>0</v>
      </c>
      <c r="H195" s="203">
        <f t="shared" si="19"/>
        <v>0</v>
      </c>
      <c r="I195" s="203">
        <f t="shared" si="20"/>
        <v>0</v>
      </c>
      <c r="J195" s="196"/>
    </row>
    <row r="196" spans="3:10" x14ac:dyDescent="0.25">
      <c r="C196" s="202">
        <f t="shared" si="14"/>
        <v>0</v>
      </c>
      <c r="D196" s="203">
        <f t="shared" si="15"/>
        <v>0</v>
      </c>
      <c r="E196" s="203">
        <f t="shared" si="16"/>
        <v>0</v>
      </c>
      <c r="F196" s="203">
        <f t="shared" si="17"/>
        <v>0</v>
      </c>
      <c r="G196" s="203">
        <f t="shared" si="18"/>
        <v>0</v>
      </c>
      <c r="H196" s="203">
        <f t="shared" si="19"/>
        <v>0</v>
      </c>
      <c r="I196" s="203">
        <f t="shared" si="20"/>
        <v>0</v>
      </c>
      <c r="J196" s="196"/>
    </row>
    <row r="197" spans="3:10" x14ac:dyDescent="0.25">
      <c r="C197" s="207">
        <f t="shared" si="14"/>
        <v>0</v>
      </c>
      <c r="D197" s="208">
        <f t="shared" si="15"/>
        <v>0</v>
      </c>
      <c r="E197" s="208">
        <f t="shared" si="16"/>
        <v>0</v>
      </c>
      <c r="F197" s="208">
        <f t="shared" si="17"/>
        <v>0</v>
      </c>
      <c r="G197" s="208">
        <f t="shared" si="18"/>
        <v>0</v>
      </c>
      <c r="H197" s="203">
        <f t="shared" si="19"/>
        <v>0</v>
      </c>
      <c r="I197" s="208">
        <f t="shared" si="20"/>
        <v>0</v>
      </c>
      <c r="J197" s="196"/>
    </row>
    <row r="198" spans="3:10" x14ac:dyDescent="0.25">
      <c r="C198" s="207">
        <f t="shared" si="14"/>
        <v>0</v>
      </c>
      <c r="D198" s="208">
        <f t="shared" si="15"/>
        <v>0</v>
      </c>
      <c r="E198" s="208">
        <f t="shared" si="16"/>
        <v>0</v>
      </c>
      <c r="F198" s="208">
        <f t="shared" si="17"/>
        <v>0</v>
      </c>
      <c r="G198" s="208">
        <f t="shared" si="18"/>
        <v>0</v>
      </c>
      <c r="H198" s="203">
        <f t="shared" si="19"/>
        <v>0</v>
      </c>
      <c r="I198" s="208">
        <f t="shared" si="20"/>
        <v>0</v>
      </c>
      <c r="J198" s="196"/>
    </row>
    <row r="199" spans="3:10" x14ac:dyDescent="0.25">
      <c r="C199" s="207">
        <f t="shared" si="14"/>
        <v>0</v>
      </c>
      <c r="D199" s="208">
        <f t="shared" si="15"/>
        <v>0</v>
      </c>
      <c r="E199" s="208">
        <f t="shared" si="16"/>
        <v>0</v>
      </c>
      <c r="F199" s="208">
        <f t="shared" si="17"/>
        <v>0</v>
      </c>
      <c r="G199" s="208">
        <f t="shared" si="18"/>
        <v>0</v>
      </c>
      <c r="H199" s="203">
        <f t="shared" si="19"/>
        <v>0</v>
      </c>
      <c r="I199" s="208">
        <f t="shared" si="20"/>
        <v>0</v>
      </c>
      <c r="J199" s="196"/>
    </row>
    <row r="200" spans="3:10" x14ac:dyDescent="0.25">
      <c r="C200" s="202">
        <f t="shared" si="14"/>
        <v>0</v>
      </c>
      <c r="D200" s="203">
        <f t="shared" si="15"/>
        <v>0</v>
      </c>
      <c r="E200" s="203">
        <f t="shared" si="16"/>
        <v>0</v>
      </c>
      <c r="F200" s="203">
        <f t="shared" si="17"/>
        <v>0</v>
      </c>
      <c r="G200" s="203">
        <f t="shared" si="18"/>
        <v>0</v>
      </c>
      <c r="H200" s="203">
        <f t="shared" si="19"/>
        <v>0</v>
      </c>
      <c r="I200" s="203">
        <f t="shared" si="20"/>
        <v>0</v>
      </c>
      <c r="J200" s="196"/>
    </row>
    <row r="201" spans="3:10" x14ac:dyDescent="0.25">
      <c r="C201" s="202">
        <f t="shared" si="14"/>
        <v>0</v>
      </c>
      <c r="D201" s="203">
        <f t="shared" si="15"/>
        <v>0</v>
      </c>
      <c r="E201" s="203">
        <f t="shared" si="16"/>
        <v>0</v>
      </c>
      <c r="F201" s="203">
        <f t="shared" si="17"/>
        <v>0</v>
      </c>
      <c r="G201" s="203">
        <f t="shared" si="18"/>
        <v>0</v>
      </c>
      <c r="H201" s="203">
        <f t="shared" si="19"/>
        <v>0</v>
      </c>
      <c r="I201" s="203">
        <f t="shared" si="20"/>
        <v>0</v>
      </c>
      <c r="J201" s="196"/>
    </row>
    <row r="202" spans="3:10" x14ac:dyDescent="0.25">
      <c r="C202" s="202">
        <f t="shared" ref="C202:C265" si="21">IF(AND(C201&gt;0,C201&lt;E$5),C201+1,0)</f>
        <v>0</v>
      </c>
      <c r="D202" s="203">
        <f t="shared" ref="D202:D265" si="22">IF(C202&gt;0,I201,0)</f>
        <v>0</v>
      </c>
      <c r="E202" s="203">
        <f t="shared" ref="E202:E265" si="23">IF(C202&gt;0,D202*$G$5,0)</f>
        <v>0</v>
      </c>
      <c r="F202" s="203">
        <f t="shared" ref="F202:F265" si="24">IF(C202&gt;0,D202+E202,0)</f>
        <v>0</v>
      </c>
      <c r="G202" s="203">
        <f t="shared" ref="G202:G265" si="25">IF(C202&gt;0,H202-E202,0)</f>
        <v>0</v>
      </c>
      <c r="H202" s="203">
        <f t="shared" ref="H202:H265" si="26">IF(C202&gt;0,PMT($G$5,$E$5-C201,-D202),0)</f>
        <v>0</v>
      </c>
      <c r="I202" s="203">
        <f t="shared" ref="I202:I265" si="27">IF(C202&gt;0,F202-H202,0)</f>
        <v>0</v>
      </c>
      <c r="J202" s="196"/>
    </row>
    <row r="203" spans="3:10" x14ac:dyDescent="0.25">
      <c r="C203" s="207">
        <f t="shared" si="21"/>
        <v>0</v>
      </c>
      <c r="D203" s="208">
        <f t="shared" si="22"/>
        <v>0</v>
      </c>
      <c r="E203" s="208">
        <f t="shared" si="23"/>
        <v>0</v>
      </c>
      <c r="F203" s="208">
        <f t="shared" si="24"/>
        <v>0</v>
      </c>
      <c r="G203" s="208">
        <f t="shared" si="25"/>
        <v>0</v>
      </c>
      <c r="H203" s="203">
        <f t="shared" si="26"/>
        <v>0</v>
      </c>
      <c r="I203" s="208">
        <f t="shared" si="27"/>
        <v>0</v>
      </c>
      <c r="J203" s="196"/>
    </row>
    <row r="204" spans="3:10" x14ac:dyDescent="0.25">
      <c r="C204" s="207">
        <f t="shared" si="21"/>
        <v>0</v>
      </c>
      <c r="D204" s="208">
        <f t="shared" si="22"/>
        <v>0</v>
      </c>
      <c r="E204" s="208">
        <f t="shared" si="23"/>
        <v>0</v>
      </c>
      <c r="F204" s="208">
        <f t="shared" si="24"/>
        <v>0</v>
      </c>
      <c r="G204" s="208">
        <f t="shared" si="25"/>
        <v>0</v>
      </c>
      <c r="H204" s="203">
        <f t="shared" si="26"/>
        <v>0</v>
      </c>
      <c r="I204" s="208">
        <f t="shared" si="27"/>
        <v>0</v>
      </c>
      <c r="J204" s="196"/>
    </row>
    <row r="205" spans="3:10" x14ac:dyDescent="0.25">
      <c r="C205" s="207">
        <f t="shared" si="21"/>
        <v>0</v>
      </c>
      <c r="D205" s="208">
        <f t="shared" si="22"/>
        <v>0</v>
      </c>
      <c r="E205" s="208">
        <f t="shared" si="23"/>
        <v>0</v>
      </c>
      <c r="F205" s="208">
        <f t="shared" si="24"/>
        <v>0</v>
      </c>
      <c r="G205" s="208">
        <f t="shared" si="25"/>
        <v>0</v>
      </c>
      <c r="H205" s="203">
        <f t="shared" si="26"/>
        <v>0</v>
      </c>
      <c r="I205" s="208">
        <f t="shared" si="27"/>
        <v>0</v>
      </c>
      <c r="J205" s="196"/>
    </row>
    <row r="206" spans="3:10" x14ac:dyDescent="0.25">
      <c r="C206" s="202">
        <f t="shared" si="21"/>
        <v>0</v>
      </c>
      <c r="D206" s="203">
        <f t="shared" si="22"/>
        <v>0</v>
      </c>
      <c r="E206" s="203">
        <f t="shared" si="23"/>
        <v>0</v>
      </c>
      <c r="F206" s="203">
        <f t="shared" si="24"/>
        <v>0</v>
      </c>
      <c r="G206" s="203">
        <f t="shared" si="25"/>
        <v>0</v>
      </c>
      <c r="H206" s="203">
        <f t="shared" si="26"/>
        <v>0</v>
      </c>
      <c r="I206" s="203">
        <f t="shared" si="27"/>
        <v>0</v>
      </c>
      <c r="J206" s="196"/>
    </row>
    <row r="207" spans="3:10" x14ac:dyDescent="0.25">
      <c r="C207" s="202">
        <f t="shared" si="21"/>
        <v>0</v>
      </c>
      <c r="D207" s="203">
        <f t="shared" si="22"/>
        <v>0</v>
      </c>
      <c r="E207" s="203">
        <f t="shared" si="23"/>
        <v>0</v>
      </c>
      <c r="F207" s="203">
        <f t="shared" si="24"/>
        <v>0</v>
      </c>
      <c r="G207" s="203">
        <f t="shared" si="25"/>
        <v>0</v>
      </c>
      <c r="H207" s="203">
        <f t="shared" si="26"/>
        <v>0</v>
      </c>
      <c r="I207" s="203">
        <f t="shared" si="27"/>
        <v>0</v>
      </c>
      <c r="J207" s="196"/>
    </row>
    <row r="208" spans="3:10" x14ac:dyDescent="0.25">
      <c r="C208" s="202">
        <f t="shared" si="21"/>
        <v>0</v>
      </c>
      <c r="D208" s="203">
        <f t="shared" si="22"/>
        <v>0</v>
      </c>
      <c r="E208" s="203">
        <f t="shared" si="23"/>
        <v>0</v>
      </c>
      <c r="F208" s="203">
        <f t="shared" si="24"/>
        <v>0</v>
      </c>
      <c r="G208" s="203">
        <f t="shared" si="25"/>
        <v>0</v>
      </c>
      <c r="H208" s="203">
        <f t="shared" si="26"/>
        <v>0</v>
      </c>
      <c r="I208" s="203">
        <f t="shared" si="27"/>
        <v>0</v>
      </c>
      <c r="J208" s="196"/>
    </row>
    <row r="209" spans="3:10" x14ac:dyDescent="0.25">
      <c r="C209" s="207">
        <f t="shared" si="21"/>
        <v>0</v>
      </c>
      <c r="D209" s="208">
        <f t="shared" si="22"/>
        <v>0</v>
      </c>
      <c r="E209" s="208">
        <f t="shared" si="23"/>
        <v>0</v>
      </c>
      <c r="F209" s="208">
        <f t="shared" si="24"/>
        <v>0</v>
      </c>
      <c r="G209" s="208">
        <f t="shared" si="25"/>
        <v>0</v>
      </c>
      <c r="H209" s="203">
        <f t="shared" si="26"/>
        <v>0</v>
      </c>
      <c r="I209" s="208">
        <f t="shared" si="27"/>
        <v>0</v>
      </c>
      <c r="J209" s="196"/>
    </row>
    <row r="210" spans="3:10" x14ac:dyDescent="0.25">
      <c r="C210" s="207">
        <f t="shared" si="21"/>
        <v>0</v>
      </c>
      <c r="D210" s="208">
        <f t="shared" si="22"/>
        <v>0</v>
      </c>
      <c r="E210" s="208">
        <f t="shared" si="23"/>
        <v>0</v>
      </c>
      <c r="F210" s="208">
        <f t="shared" si="24"/>
        <v>0</v>
      </c>
      <c r="G210" s="208">
        <f t="shared" si="25"/>
        <v>0</v>
      </c>
      <c r="H210" s="203">
        <f t="shared" si="26"/>
        <v>0</v>
      </c>
      <c r="I210" s="208">
        <f t="shared" si="27"/>
        <v>0</v>
      </c>
      <c r="J210" s="196"/>
    </row>
    <row r="211" spans="3:10" x14ac:dyDescent="0.25">
      <c r="C211" s="207">
        <f t="shared" si="21"/>
        <v>0</v>
      </c>
      <c r="D211" s="208">
        <f t="shared" si="22"/>
        <v>0</v>
      </c>
      <c r="E211" s="208">
        <f t="shared" si="23"/>
        <v>0</v>
      </c>
      <c r="F211" s="208">
        <f t="shared" si="24"/>
        <v>0</v>
      </c>
      <c r="G211" s="208">
        <f t="shared" si="25"/>
        <v>0</v>
      </c>
      <c r="H211" s="203">
        <f t="shared" si="26"/>
        <v>0</v>
      </c>
      <c r="I211" s="208">
        <f t="shared" si="27"/>
        <v>0</v>
      </c>
      <c r="J211" s="196"/>
    </row>
    <row r="212" spans="3:10" x14ac:dyDescent="0.25">
      <c r="C212" s="202">
        <f t="shared" si="21"/>
        <v>0</v>
      </c>
      <c r="D212" s="203">
        <f t="shared" si="22"/>
        <v>0</v>
      </c>
      <c r="E212" s="203">
        <f t="shared" si="23"/>
        <v>0</v>
      </c>
      <c r="F212" s="203">
        <f t="shared" si="24"/>
        <v>0</v>
      </c>
      <c r="G212" s="203">
        <f t="shared" si="25"/>
        <v>0</v>
      </c>
      <c r="H212" s="203">
        <f t="shared" si="26"/>
        <v>0</v>
      </c>
      <c r="I212" s="203">
        <f t="shared" si="27"/>
        <v>0</v>
      </c>
      <c r="J212" s="196"/>
    </row>
    <row r="213" spans="3:10" x14ac:dyDescent="0.25">
      <c r="C213" s="202">
        <f t="shared" si="21"/>
        <v>0</v>
      </c>
      <c r="D213" s="203">
        <f t="shared" si="22"/>
        <v>0</v>
      </c>
      <c r="E213" s="203">
        <f t="shared" si="23"/>
        <v>0</v>
      </c>
      <c r="F213" s="203">
        <f t="shared" si="24"/>
        <v>0</v>
      </c>
      <c r="G213" s="203">
        <f t="shared" si="25"/>
        <v>0</v>
      </c>
      <c r="H213" s="203">
        <f t="shared" si="26"/>
        <v>0</v>
      </c>
      <c r="I213" s="203">
        <f t="shared" si="27"/>
        <v>0</v>
      </c>
      <c r="J213" s="196"/>
    </row>
    <row r="214" spans="3:10" x14ac:dyDescent="0.25">
      <c r="C214" s="202">
        <f t="shared" si="21"/>
        <v>0</v>
      </c>
      <c r="D214" s="203">
        <f t="shared" si="22"/>
        <v>0</v>
      </c>
      <c r="E214" s="203">
        <f t="shared" si="23"/>
        <v>0</v>
      </c>
      <c r="F214" s="203">
        <f t="shared" si="24"/>
        <v>0</v>
      </c>
      <c r="G214" s="203">
        <f t="shared" si="25"/>
        <v>0</v>
      </c>
      <c r="H214" s="203">
        <f t="shared" si="26"/>
        <v>0</v>
      </c>
      <c r="I214" s="203">
        <f t="shared" si="27"/>
        <v>0</v>
      </c>
      <c r="J214" s="196"/>
    </row>
    <row r="215" spans="3:10" x14ac:dyDescent="0.25">
      <c r="C215" s="207">
        <f t="shared" si="21"/>
        <v>0</v>
      </c>
      <c r="D215" s="208">
        <f t="shared" si="22"/>
        <v>0</v>
      </c>
      <c r="E215" s="208">
        <f t="shared" si="23"/>
        <v>0</v>
      </c>
      <c r="F215" s="208">
        <f t="shared" si="24"/>
        <v>0</v>
      </c>
      <c r="G215" s="208">
        <f t="shared" si="25"/>
        <v>0</v>
      </c>
      <c r="H215" s="203">
        <f t="shared" si="26"/>
        <v>0</v>
      </c>
      <c r="I215" s="208">
        <f t="shared" si="27"/>
        <v>0</v>
      </c>
      <c r="J215" s="196"/>
    </row>
    <row r="216" spans="3:10" x14ac:dyDescent="0.25">
      <c r="C216" s="207">
        <f t="shared" si="21"/>
        <v>0</v>
      </c>
      <c r="D216" s="208">
        <f t="shared" si="22"/>
        <v>0</v>
      </c>
      <c r="E216" s="208">
        <f t="shared" si="23"/>
        <v>0</v>
      </c>
      <c r="F216" s="208">
        <f t="shared" si="24"/>
        <v>0</v>
      </c>
      <c r="G216" s="208">
        <f t="shared" si="25"/>
        <v>0</v>
      </c>
      <c r="H216" s="203">
        <f t="shared" si="26"/>
        <v>0</v>
      </c>
      <c r="I216" s="208">
        <f t="shared" si="27"/>
        <v>0</v>
      </c>
      <c r="J216" s="196"/>
    </row>
    <row r="217" spans="3:10" x14ac:dyDescent="0.25">
      <c r="C217" s="207">
        <f t="shared" si="21"/>
        <v>0</v>
      </c>
      <c r="D217" s="208">
        <f t="shared" si="22"/>
        <v>0</v>
      </c>
      <c r="E217" s="208">
        <f t="shared" si="23"/>
        <v>0</v>
      </c>
      <c r="F217" s="208">
        <f t="shared" si="24"/>
        <v>0</v>
      </c>
      <c r="G217" s="208">
        <f t="shared" si="25"/>
        <v>0</v>
      </c>
      <c r="H217" s="203">
        <f t="shared" si="26"/>
        <v>0</v>
      </c>
      <c r="I217" s="208">
        <f t="shared" si="27"/>
        <v>0</v>
      </c>
      <c r="J217" s="196"/>
    </row>
    <row r="218" spans="3:10" x14ac:dyDescent="0.25">
      <c r="C218" s="202">
        <f t="shared" si="21"/>
        <v>0</v>
      </c>
      <c r="D218" s="203">
        <f t="shared" si="22"/>
        <v>0</v>
      </c>
      <c r="E218" s="203">
        <f t="shared" si="23"/>
        <v>0</v>
      </c>
      <c r="F218" s="203">
        <f t="shared" si="24"/>
        <v>0</v>
      </c>
      <c r="G218" s="203">
        <f t="shared" si="25"/>
        <v>0</v>
      </c>
      <c r="H218" s="203">
        <f t="shared" si="26"/>
        <v>0</v>
      </c>
      <c r="I218" s="203">
        <f t="shared" si="27"/>
        <v>0</v>
      </c>
      <c r="J218" s="196"/>
    </row>
    <row r="219" spans="3:10" x14ac:dyDescent="0.25">
      <c r="C219" s="202">
        <f t="shared" si="21"/>
        <v>0</v>
      </c>
      <c r="D219" s="203">
        <f t="shared" si="22"/>
        <v>0</v>
      </c>
      <c r="E219" s="203">
        <f t="shared" si="23"/>
        <v>0</v>
      </c>
      <c r="F219" s="203">
        <f t="shared" si="24"/>
        <v>0</v>
      </c>
      <c r="G219" s="203">
        <f t="shared" si="25"/>
        <v>0</v>
      </c>
      <c r="H219" s="203">
        <f t="shared" si="26"/>
        <v>0</v>
      </c>
      <c r="I219" s="203">
        <f t="shared" si="27"/>
        <v>0</v>
      </c>
      <c r="J219" s="196"/>
    </row>
    <row r="220" spans="3:10" x14ac:dyDescent="0.25">
      <c r="C220" s="202">
        <f t="shared" si="21"/>
        <v>0</v>
      </c>
      <c r="D220" s="203">
        <f t="shared" si="22"/>
        <v>0</v>
      </c>
      <c r="E220" s="203">
        <f t="shared" si="23"/>
        <v>0</v>
      </c>
      <c r="F220" s="203">
        <f t="shared" si="24"/>
        <v>0</v>
      </c>
      <c r="G220" s="203">
        <f t="shared" si="25"/>
        <v>0</v>
      </c>
      <c r="H220" s="203">
        <f t="shared" si="26"/>
        <v>0</v>
      </c>
      <c r="I220" s="203">
        <f t="shared" si="27"/>
        <v>0</v>
      </c>
      <c r="J220" s="196"/>
    </row>
    <row r="221" spans="3:10" x14ac:dyDescent="0.25">
      <c r="C221" s="207">
        <f t="shared" si="21"/>
        <v>0</v>
      </c>
      <c r="D221" s="208">
        <f t="shared" si="22"/>
        <v>0</v>
      </c>
      <c r="E221" s="208">
        <f t="shared" si="23"/>
        <v>0</v>
      </c>
      <c r="F221" s="208">
        <f t="shared" si="24"/>
        <v>0</v>
      </c>
      <c r="G221" s="208">
        <f t="shared" si="25"/>
        <v>0</v>
      </c>
      <c r="H221" s="203">
        <f t="shared" si="26"/>
        <v>0</v>
      </c>
      <c r="I221" s="208">
        <f t="shared" si="27"/>
        <v>0</v>
      </c>
      <c r="J221" s="196"/>
    </row>
    <row r="222" spans="3:10" x14ac:dyDescent="0.25">
      <c r="C222" s="207">
        <f t="shared" si="21"/>
        <v>0</v>
      </c>
      <c r="D222" s="208">
        <f t="shared" si="22"/>
        <v>0</v>
      </c>
      <c r="E222" s="208">
        <f t="shared" si="23"/>
        <v>0</v>
      </c>
      <c r="F222" s="208">
        <f t="shared" si="24"/>
        <v>0</v>
      </c>
      <c r="G222" s="208">
        <f t="shared" si="25"/>
        <v>0</v>
      </c>
      <c r="H222" s="203">
        <f t="shared" si="26"/>
        <v>0</v>
      </c>
      <c r="I222" s="208">
        <f t="shared" si="27"/>
        <v>0</v>
      </c>
      <c r="J222" s="196"/>
    </row>
    <row r="223" spans="3:10" x14ac:dyDescent="0.25">
      <c r="C223" s="207">
        <f t="shared" si="21"/>
        <v>0</v>
      </c>
      <c r="D223" s="208">
        <f t="shared" si="22"/>
        <v>0</v>
      </c>
      <c r="E223" s="208">
        <f t="shared" si="23"/>
        <v>0</v>
      </c>
      <c r="F223" s="208">
        <f t="shared" si="24"/>
        <v>0</v>
      </c>
      <c r="G223" s="208">
        <f t="shared" si="25"/>
        <v>0</v>
      </c>
      <c r="H223" s="203">
        <f t="shared" si="26"/>
        <v>0</v>
      </c>
      <c r="I223" s="208">
        <f t="shared" si="27"/>
        <v>0</v>
      </c>
      <c r="J223" s="196"/>
    </row>
    <row r="224" spans="3:10" x14ac:dyDescent="0.25">
      <c r="C224" s="202">
        <f t="shared" si="21"/>
        <v>0</v>
      </c>
      <c r="D224" s="203">
        <f t="shared" si="22"/>
        <v>0</v>
      </c>
      <c r="E224" s="203">
        <f t="shared" si="23"/>
        <v>0</v>
      </c>
      <c r="F224" s="203">
        <f t="shared" si="24"/>
        <v>0</v>
      </c>
      <c r="G224" s="203">
        <f t="shared" si="25"/>
        <v>0</v>
      </c>
      <c r="H224" s="203">
        <f t="shared" si="26"/>
        <v>0</v>
      </c>
      <c r="I224" s="203">
        <f t="shared" si="27"/>
        <v>0</v>
      </c>
      <c r="J224" s="196"/>
    </row>
    <row r="225" spans="3:10" x14ac:dyDescent="0.25">
      <c r="C225" s="202">
        <f t="shared" si="21"/>
        <v>0</v>
      </c>
      <c r="D225" s="203">
        <f t="shared" si="22"/>
        <v>0</v>
      </c>
      <c r="E225" s="203">
        <f t="shared" si="23"/>
        <v>0</v>
      </c>
      <c r="F225" s="203">
        <f t="shared" si="24"/>
        <v>0</v>
      </c>
      <c r="G225" s="203">
        <f t="shared" si="25"/>
        <v>0</v>
      </c>
      <c r="H225" s="203">
        <f t="shared" si="26"/>
        <v>0</v>
      </c>
      <c r="I225" s="203">
        <f t="shared" si="27"/>
        <v>0</v>
      </c>
      <c r="J225" s="196"/>
    </row>
    <row r="226" spans="3:10" x14ac:dyDescent="0.25">
      <c r="C226" s="202">
        <f t="shared" si="21"/>
        <v>0</v>
      </c>
      <c r="D226" s="203">
        <f t="shared" si="22"/>
        <v>0</v>
      </c>
      <c r="E226" s="203">
        <f t="shared" si="23"/>
        <v>0</v>
      </c>
      <c r="F226" s="203">
        <f t="shared" si="24"/>
        <v>0</v>
      </c>
      <c r="G226" s="203">
        <f t="shared" si="25"/>
        <v>0</v>
      </c>
      <c r="H226" s="203">
        <f t="shared" si="26"/>
        <v>0</v>
      </c>
      <c r="I226" s="203">
        <f t="shared" si="27"/>
        <v>0</v>
      </c>
      <c r="J226" s="196"/>
    </row>
    <row r="227" spans="3:10" x14ac:dyDescent="0.25">
      <c r="C227" s="207">
        <f t="shared" si="21"/>
        <v>0</v>
      </c>
      <c r="D227" s="208">
        <f t="shared" si="22"/>
        <v>0</v>
      </c>
      <c r="E227" s="208">
        <f t="shared" si="23"/>
        <v>0</v>
      </c>
      <c r="F227" s="208">
        <f t="shared" si="24"/>
        <v>0</v>
      </c>
      <c r="G227" s="208">
        <f t="shared" si="25"/>
        <v>0</v>
      </c>
      <c r="H227" s="203">
        <f t="shared" si="26"/>
        <v>0</v>
      </c>
      <c r="I227" s="208">
        <f t="shared" si="27"/>
        <v>0</v>
      </c>
      <c r="J227" s="196"/>
    </row>
    <row r="228" spans="3:10" x14ac:dyDescent="0.25">
      <c r="C228" s="207">
        <f t="shared" si="21"/>
        <v>0</v>
      </c>
      <c r="D228" s="208">
        <f t="shared" si="22"/>
        <v>0</v>
      </c>
      <c r="E228" s="208">
        <f t="shared" si="23"/>
        <v>0</v>
      </c>
      <c r="F228" s="208">
        <f t="shared" si="24"/>
        <v>0</v>
      </c>
      <c r="G228" s="208">
        <f t="shared" si="25"/>
        <v>0</v>
      </c>
      <c r="H228" s="203">
        <f t="shared" si="26"/>
        <v>0</v>
      </c>
      <c r="I228" s="208">
        <f t="shared" si="27"/>
        <v>0</v>
      </c>
      <c r="J228" s="196"/>
    </row>
    <row r="229" spans="3:10" x14ac:dyDescent="0.25">
      <c r="C229" s="207">
        <f t="shared" si="21"/>
        <v>0</v>
      </c>
      <c r="D229" s="208">
        <f t="shared" si="22"/>
        <v>0</v>
      </c>
      <c r="E229" s="208">
        <f t="shared" si="23"/>
        <v>0</v>
      </c>
      <c r="F229" s="208">
        <f t="shared" si="24"/>
        <v>0</v>
      </c>
      <c r="G229" s="208">
        <f t="shared" si="25"/>
        <v>0</v>
      </c>
      <c r="H229" s="203">
        <f t="shared" si="26"/>
        <v>0</v>
      </c>
      <c r="I229" s="208">
        <f t="shared" si="27"/>
        <v>0</v>
      </c>
      <c r="J229" s="196"/>
    </row>
    <row r="230" spans="3:10" x14ac:dyDescent="0.25">
      <c r="C230" s="202">
        <f t="shared" si="21"/>
        <v>0</v>
      </c>
      <c r="D230" s="203">
        <f t="shared" si="22"/>
        <v>0</v>
      </c>
      <c r="E230" s="203">
        <f t="shared" si="23"/>
        <v>0</v>
      </c>
      <c r="F230" s="203">
        <f t="shared" si="24"/>
        <v>0</v>
      </c>
      <c r="G230" s="203">
        <f t="shared" si="25"/>
        <v>0</v>
      </c>
      <c r="H230" s="203">
        <f t="shared" si="26"/>
        <v>0</v>
      </c>
      <c r="I230" s="203">
        <f t="shared" si="27"/>
        <v>0</v>
      </c>
      <c r="J230" s="196"/>
    </row>
    <row r="231" spans="3:10" x14ac:dyDescent="0.25">
      <c r="C231" s="202">
        <f t="shared" si="21"/>
        <v>0</v>
      </c>
      <c r="D231" s="203">
        <f t="shared" si="22"/>
        <v>0</v>
      </c>
      <c r="E231" s="203">
        <f t="shared" si="23"/>
        <v>0</v>
      </c>
      <c r="F231" s="203">
        <f t="shared" si="24"/>
        <v>0</v>
      </c>
      <c r="G231" s="203">
        <f t="shared" si="25"/>
        <v>0</v>
      </c>
      <c r="H231" s="203">
        <f t="shared" si="26"/>
        <v>0</v>
      </c>
      <c r="I231" s="203">
        <f t="shared" si="27"/>
        <v>0</v>
      </c>
      <c r="J231" s="196"/>
    </row>
    <row r="232" spans="3:10" x14ac:dyDescent="0.25">
      <c r="C232" s="202">
        <f t="shared" si="21"/>
        <v>0</v>
      </c>
      <c r="D232" s="203">
        <f t="shared" si="22"/>
        <v>0</v>
      </c>
      <c r="E232" s="203">
        <f t="shared" si="23"/>
        <v>0</v>
      </c>
      <c r="F232" s="203">
        <f t="shared" si="24"/>
        <v>0</v>
      </c>
      <c r="G232" s="203">
        <f t="shared" si="25"/>
        <v>0</v>
      </c>
      <c r="H232" s="203">
        <f t="shared" si="26"/>
        <v>0</v>
      </c>
      <c r="I232" s="203">
        <f t="shared" si="27"/>
        <v>0</v>
      </c>
      <c r="J232" s="196"/>
    </row>
    <row r="233" spans="3:10" x14ac:dyDescent="0.25">
      <c r="C233" s="207">
        <f t="shared" si="21"/>
        <v>0</v>
      </c>
      <c r="D233" s="208">
        <f t="shared" si="22"/>
        <v>0</v>
      </c>
      <c r="E233" s="208">
        <f t="shared" si="23"/>
        <v>0</v>
      </c>
      <c r="F233" s="208">
        <f t="shared" si="24"/>
        <v>0</v>
      </c>
      <c r="G233" s="208">
        <f t="shared" si="25"/>
        <v>0</v>
      </c>
      <c r="H233" s="203">
        <f t="shared" si="26"/>
        <v>0</v>
      </c>
      <c r="I233" s="208">
        <f t="shared" si="27"/>
        <v>0</v>
      </c>
      <c r="J233" s="196"/>
    </row>
    <row r="234" spans="3:10" x14ac:dyDescent="0.25">
      <c r="C234" s="207">
        <f t="shared" si="21"/>
        <v>0</v>
      </c>
      <c r="D234" s="208">
        <f t="shared" si="22"/>
        <v>0</v>
      </c>
      <c r="E234" s="208">
        <f t="shared" si="23"/>
        <v>0</v>
      </c>
      <c r="F234" s="208">
        <f t="shared" si="24"/>
        <v>0</v>
      </c>
      <c r="G234" s="208">
        <f t="shared" si="25"/>
        <v>0</v>
      </c>
      <c r="H234" s="203">
        <f t="shared" si="26"/>
        <v>0</v>
      </c>
      <c r="I234" s="208">
        <f t="shared" si="27"/>
        <v>0</v>
      </c>
      <c r="J234" s="196"/>
    </row>
    <row r="235" spans="3:10" x14ac:dyDescent="0.25">
      <c r="C235" s="207">
        <f t="shared" si="21"/>
        <v>0</v>
      </c>
      <c r="D235" s="208">
        <f t="shared" si="22"/>
        <v>0</v>
      </c>
      <c r="E235" s="208">
        <f t="shared" si="23"/>
        <v>0</v>
      </c>
      <c r="F235" s="208">
        <f t="shared" si="24"/>
        <v>0</v>
      </c>
      <c r="G235" s="208">
        <f t="shared" si="25"/>
        <v>0</v>
      </c>
      <c r="H235" s="203">
        <f t="shared" si="26"/>
        <v>0</v>
      </c>
      <c r="I235" s="208">
        <f t="shared" si="27"/>
        <v>0</v>
      </c>
      <c r="J235" s="196"/>
    </row>
    <row r="236" spans="3:10" x14ac:dyDescent="0.25">
      <c r="C236" s="202">
        <f t="shared" si="21"/>
        <v>0</v>
      </c>
      <c r="D236" s="203">
        <f t="shared" si="22"/>
        <v>0</v>
      </c>
      <c r="E236" s="203">
        <f t="shared" si="23"/>
        <v>0</v>
      </c>
      <c r="F236" s="203">
        <f t="shared" si="24"/>
        <v>0</v>
      </c>
      <c r="G236" s="203">
        <f t="shared" si="25"/>
        <v>0</v>
      </c>
      <c r="H236" s="203">
        <f t="shared" si="26"/>
        <v>0</v>
      </c>
      <c r="I236" s="203">
        <f t="shared" si="27"/>
        <v>0</v>
      </c>
      <c r="J236" s="196"/>
    </row>
    <row r="237" spans="3:10" x14ac:dyDescent="0.25">
      <c r="C237" s="202">
        <f t="shared" si="21"/>
        <v>0</v>
      </c>
      <c r="D237" s="203">
        <f t="shared" si="22"/>
        <v>0</v>
      </c>
      <c r="E237" s="203">
        <f t="shared" si="23"/>
        <v>0</v>
      </c>
      <c r="F237" s="203">
        <f t="shared" si="24"/>
        <v>0</v>
      </c>
      <c r="G237" s="203">
        <f t="shared" si="25"/>
        <v>0</v>
      </c>
      <c r="H237" s="203">
        <f t="shared" si="26"/>
        <v>0</v>
      </c>
      <c r="I237" s="203">
        <f t="shared" si="27"/>
        <v>0</v>
      </c>
      <c r="J237" s="196"/>
    </row>
    <row r="238" spans="3:10" x14ac:dyDescent="0.25">
      <c r="C238" s="202">
        <f t="shared" si="21"/>
        <v>0</v>
      </c>
      <c r="D238" s="203">
        <f t="shared" si="22"/>
        <v>0</v>
      </c>
      <c r="E238" s="203">
        <f t="shared" si="23"/>
        <v>0</v>
      </c>
      <c r="F238" s="203">
        <f t="shared" si="24"/>
        <v>0</v>
      </c>
      <c r="G238" s="203">
        <f t="shared" si="25"/>
        <v>0</v>
      </c>
      <c r="H238" s="203">
        <f t="shared" si="26"/>
        <v>0</v>
      </c>
      <c r="I238" s="203">
        <f t="shared" si="27"/>
        <v>0</v>
      </c>
      <c r="J238" s="196"/>
    </row>
    <row r="239" spans="3:10" x14ac:dyDescent="0.25">
      <c r="C239" s="207">
        <f t="shared" si="21"/>
        <v>0</v>
      </c>
      <c r="D239" s="208">
        <f t="shared" si="22"/>
        <v>0</v>
      </c>
      <c r="E239" s="208">
        <f t="shared" si="23"/>
        <v>0</v>
      </c>
      <c r="F239" s="208">
        <f t="shared" si="24"/>
        <v>0</v>
      </c>
      <c r="G239" s="208">
        <f t="shared" si="25"/>
        <v>0</v>
      </c>
      <c r="H239" s="203">
        <f t="shared" si="26"/>
        <v>0</v>
      </c>
      <c r="I239" s="208">
        <f t="shared" si="27"/>
        <v>0</v>
      </c>
      <c r="J239" s="196"/>
    </row>
    <row r="240" spans="3:10" x14ac:dyDescent="0.25">
      <c r="C240" s="207">
        <f t="shared" si="21"/>
        <v>0</v>
      </c>
      <c r="D240" s="208">
        <f t="shared" si="22"/>
        <v>0</v>
      </c>
      <c r="E240" s="208">
        <f t="shared" si="23"/>
        <v>0</v>
      </c>
      <c r="F240" s="208">
        <f t="shared" si="24"/>
        <v>0</v>
      </c>
      <c r="G240" s="208">
        <f t="shared" si="25"/>
        <v>0</v>
      </c>
      <c r="H240" s="203">
        <f t="shared" si="26"/>
        <v>0</v>
      </c>
      <c r="I240" s="208">
        <f t="shared" si="27"/>
        <v>0</v>
      </c>
      <c r="J240" s="196"/>
    </row>
    <row r="241" spans="3:13" x14ac:dyDescent="0.25">
      <c r="C241" s="207">
        <f t="shared" si="21"/>
        <v>0</v>
      </c>
      <c r="D241" s="208">
        <f t="shared" si="22"/>
        <v>0</v>
      </c>
      <c r="E241" s="208">
        <f t="shared" si="23"/>
        <v>0</v>
      </c>
      <c r="F241" s="208">
        <f t="shared" si="24"/>
        <v>0</v>
      </c>
      <c r="G241" s="208">
        <f t="shared" si="25"/>
        <v>0</v>
      </c>
      <c r="H241" s="203">
        <f t="shared" si="26"/>
        <v>0</v>
      </c>
      <c r="I241" s="208">
        <f t="shared" si="27"/>
        <v>0</v>
      </c>
      <c r="J241" s="196"/>
    </row>
    <row r="242" spans="3:13" x14ac:dyDescent="0.25">
      <c r="C242" s="202">
        <f t="shared" si="21"/>
        <v>0</v>
      </c>
      <c r="D242" s="203">
        <f t="shared" si="22"/>
        <v>0</v>
      </c>
      <c r="E242" s="203">
        <f t="shared" si="23"/>
        <v>0</v>
      </c>
      <c r="F242" s="203">
        <f t="shared" si="24"/>
        <v>0</v>
      </c>
      <c r="G242" s="203">
        <f t="shared" si="25"/>
        <v>0</v>
      </c>
      <c r="H242" s="203">
        <f t="shared" si="26"/>
        <v>0</v>
      </c>
      <c r="I242" s="203">
        <f t="shared" si="27"/>
        <v>0</v>
      </c>
      <c r="J242" s="196"/>
      <c r="M242" s="210"/>
    </row>
    <row r="243" spans="3:13" x14ac:dyDescent="0.25">
      <c r="C243" s="202">
        <f t="shared" si="21"/>
        <v>0</v>
      </c>
      <c r="D243" s="203">
        <f t="shared" si="22"/>
        <v>0</v>
      </c>
      <c r="E243" s="203">
        <f t="shared" si="23"/>
        <v>0</v>
      </c>
      <c r="F243" s="203">
        <f t="shared" si="24"/>
        <v>0</v>
      </c>
      <c r="G243" s="203">
        <f t="shared" si="25"/>
        <v>0</v>
      </c>
      <c r="H243" s="203">
        <f t="shared" si="26"/>
        <v>0</v>
      </c>
      <c r="I243" s="203">
        <f t="shared" si="27"/>
        <v>0</v>
      </c>
      <c r="J243" s="196"/>
    </row>
    <row r="244" spans="3:13" x14ac:dyDescent="0.25">
      <c r="C244" s="202">
        <f t="shared" si="21"/>
        <v>0</v>
      </c>
      <c r="D244" s="203">
        <f t="shared" si="22"/>
        <v>0</v>
      </c>
      <c r="E244" s="203">
        <f t="shared" si="23"/>
        <v>0</v>
      </c>
      <c r="F244" s="203">
        <f t="shared" si="24"/>
        <v>0</v>
      </c>
      <c r="G244" s="203">
        <f t="shared" si="25"/>
        <v>0</v>
      </c>
      <c r="H244" s="203">
        <f t="shared" si="26"/>
        <v>0</v>
      </c>
      <c r="I244" s="203">
        <f t="shared" si="27"/>
        <v>0</v>
      </c>
      <c r="J244" s="196"/>
    </row>
    <row r="245" spans="3:13" x14ac:dyDescent="0.25">
      <c r="C245" s="207">
        <f t="shared" si="21"/>
        <v>0</v>
      </c>
      <c r="D245" s="208">
        <f t="shared" si="22"/>
        <v>0</v>
      </c>
      <c r="E245" s="208">
        <f t="shared" si="23"/>
        <v>0</v>
      </c>
      <c r="F245" s="208">
        <f t="shared" si="24"/>
        <v>0</v>
      </c>
      <c r="G245" s="208">
        <f t="shared" si="25"/>
        <v>0</v>
      </c>
      <c r="H245" s="203">
        <f t="shared" si="26"/>
        <v>0</v>
      </c>
      <c r="I245" s="208">
        <f t="shared" si="27"/>
        <v>0</v>
      </c>
      <c r="J245" s="196"/>
    </row>
    <row r="246" spans="3:13" x14ac:dyDescent="0.25">
      <c r="C246" s="207">
        <f t="shared" si="21"/>
        <v>0</v>
      </c>
      <c r="D246" s="208">
        <f t="shared" si="22"/>
        <v>0</v>
      </c>
      <c r="E246" s="208">
        <f t="shared" si="23"/>
        <v>0</v>
      </c>
      <c r="F246" s="208">
        <f t="shared" si="24"/>
        <v>0</v>
      </c>
      <c r="G246" s="208">
        <f t="shared" si="25"/>
        <v>0</v>
      </c>
      <c r="H246" s="203">
        <f t="shared" si="26"/>
        <v>0</v>
      </c>
      <c r="I246" s="208">
        <f t="shared" si="27"/>
        <v>0</v>
      </c>
      <c r="J246" s="196"/>
    </row>
    <row r="247" spans="3:13" x14ac:dyDescent="0.25">
      <c r="C247" s="207">
        <f t="shared" si="21"/>
        <v>0</v>
      </c>
      <c r="D247" s="208">
        <f t="shared" si="22"/>
        <v>0</v>
      </c>
      <c r="E247" s="208">
        <f t="shared" si="23"/>
        <v>0</v>
      </c>
      <c r="F247" s="208">
        <f t="shared" si="24"/>
        <v>0</v>
      </c>
      <c r="G247" s="208">
        <f t="shared" si="25"/>
        <v>0</v>
      </c>
      <c r="H247" s="203">
        <f t="shared" si="26"/>
        <v>0</v>
      </c>
      <c r="I247" s="208">
        <f t="shared" si="27"/>
        <v>0</v>
      </c>
      <c r="J247" s="196"/>
    </row>
    <row r="248" spans="3:13" x14ac:dyDescent="0.25">
      <c r="C248" s="202">
        <f t="shared" si="21"/>
        <v>0</v>
      </c>
      <c r="D248" s="203">
        <f t="shared" si="22"/>
        <v>0</v>
      </c>
      <c r="E248" s="203">
        <f t="shared" si="23"/>
        <v>0</v>
      </c>
      <c r="F248" s="203">
        <f t="shared" si="24"/>
        <v>0</v>
      </c>
      <c r="G248" s="203">
        <f t="shared" si="25"/>
        <v>0</v>
      </c>
      <c r="H248" s="203">
        <f t="shared" si="26"/>
        <v>0</v>
      </c>
      <c r="I248" s="203">
        <f t="shared" si="27"/>
        <v>0</v>
      </c>
      <c r="J248" s="196"/>
    </row>
    <row r="249" spans="3:13" x14ac:dyDescent="0.25">
      <c r="C249" s="202">
        <f t="shared" si="21"/>
        <v>0</v>
      </c>
      <c r="D249" s="203">
        <f t="shared" si="22"/>
        <v>0</v>
      </c>
      <c r="E249" s="203">
        <f t="shared" si="23"/>
        <v>0</v>
      </c>
      <c r="F249" s="203">
        <f t="shared" si="24"/>
        <v>0</v>
      </c>
      <c r="G249" s="203">
        <f t="shared" si="25"/>
        <v>0</v>
      </c>
      <c r="H249" s="203">
        <f t="shared" si="26"/>
        <v>0</v>
      </c>
      <c r="I249" s="203">
        <f t="shared" si="27"/>
        <v>0</v>
      </c>
      <c r="J249" s="196"/>
    </row>
    <row r="250" spans="3:13" x14ac:dyDescent="0.25">
      <c r="C250" s="202">
        <f t="shared" si="21"/>
        <v>0</v>
      </c>
      <c r="D250" s="203">
        <f t="shared" si="22"/>
        <v>0</v>
      </c>
      <c r="E250" s="203">
        <f t="shared" si="23"/>
        <v>0</v>
      </c>
      <c r="F250" s="203">
        <f t="shared" si="24"/>
        <v>0</v>
      </c>
      <c r="G250" s="203">
        <f t="shared" si="25"/>
        <v>0</v>
      </c>
      <c r="H250" s="203">
        <f t="shared" si="26"/>
        <v>0</v>
      </c>
      <c r="I250" s="203">
        <f t="shared" si="27"/>
        <v>0</v>
      </c>
      <c r="J250" s="196"/>
    </row>
    <row r="251" spans="3:13" x14ac:dyDescent="0.25">
      <c r="C251" s="207">
        <f t="shared" si="21"/>
        <v>0</v>
      </c>
      <c r="D251" s="208">
        <f t="shared" si="22"/>
        <v>0</v>
      </c>
      <c r="E251" s="208">
        <f t="shared" si="23"/>
        <v>0</v>
      </c>
      <c r="F251" s="208">
        <f t="shared" si="24"/>
        <v>0</v>
      </c>
      <c r="G251" s="208">
        <f t="shared" si="25"/>
        <v>0</v>
      </c>
      <c r="H251" s="203">
        <f t="shared" si="26"/>
        <v>0</v>
      </c>
      <c r="I251" s="208">
        <f t="shared" si="27"/>
        <v>0</v>
      </c>
      <c r="J251" s="196"/>
    </row>
    <row r="252" spans="3:13" x14ac:dyDescent="0.25">
      <c r="C252" s="207">
        <f t="shared" si="21"/>
        <v>0</v>
      </c>
      <c r="D252" s="208">
        <f t="shared" si="22"/>
        <v>0</v>
      </c>
      <c r="E252" s="208">
        <f t="shared" si="23"/>
        <v>0</v>
      </c>
      <c r="F252" s="208">
        <f t="shared" si="24"/>
        <v>0</v>
      </c>
      <c r="G252" s="208">
        <f t="shared" si="25"/>
        <v>0</v>
      </c>
      <c r="H252" s="203">
        <f t="shared" si="26"/>
        <v>0</v>
      </c>
      <c r="I252" s="208">
        <f t="shared" si="27"/>
        <v>0</v>
      </c>
      <c r="J252" s="196"/>
    </row>
    <row r="253" spans="3:13" x14ac:dyDescent="0.25">
      <c r="C253" s="207">
        <f t="shared" si="21"/>
        <v>0</v>
      </c>
      <c r="D253" s="208">
        <f t="shared" si="22"/>
        <v>0</v>
      </c>
      <c r="E253" s="208">
        <f t="shared" si="23"/>
        <v>0</v>
      </c>
      <c r="F253" s="208">
        <f t="shared" si="24"/>
        <v>0</v>
      </c>
      <c r="G253" s="208">
        <f t="shared" si="25"/>
        <v>0</v>
      </c>
      <c r="H253" s="203">
        <f t="shared" si="26"/>
        <v>0</v>
      </c>
      <c r="I253" s="208">
        <f t="shared" si="27"/>
        <v>0</v>
      </c>
      <c r="J253" s="196"/>
    </row>
    <row r="254" spans="3:13" x14ac:dyDescent="0.25">
      <c r="C254" s="202">
        <f t="shared" si="21"/>
        <v>0</v>
      </c>
      <c r="D254" s="203">
        <f t="shared" si="22"/>
        <v>0</v>
      </c>
      <c r="E254" s="203">
        <f t="shared" si="23"/>
        <v>0</v>
      </c>
      <c r="F254" s="203">
        <f t="shared" si="24"/>
        <v>0</v>
      </c>
      <c r="G254" s="203">
        <f t="shared" si="25"/>
        <v>0</v>
      </c>
      <c r="H254" s="203">
        <f t="shared" si="26"/>
        <v>0</v>
      </c>
      <c r="I254" s="203">
        <f t="shared" si="27"/>
        <v>0</v>
      </c>
      <c r="J254" s="196"/>
    </row>
    <row r="255" spans="3:13" x14ac:dyDescent="0.25">
      <c r="C255" s="202">
        <f t="shared" si="21"/>
        <v>0</v>
      </c>
      <c r="D255" s="203">
        <f t="shared" si="22"/>
        <v>0</v>
      </c>
      <c r="E255" s="203">
        <f t="shared" si="23"/>
        <v>0</v>
      </c>
      <c r="F255" s="203">
        <f t="shared" si="24"/>
        <v>0</v>
      </c>
      <c r="G255" s="203">
        <f t="shared" si="25"/>
        <v>0</v>
      </c>
      <c r="H255" s="203">
        <f t="shared" si="26"/>
        <v>0</v>
      </c>
      <c r="I255" s="203">
        <f t="shared" si="27"/>
        <v>0</v>
      </c>
      <c r="J255" s="196"/>
    </row>
    <row r="256" spans="3:13" x14ac:dyDescent="0.25">
      <c r="C256" s="202">
        <f t="shared" si="21"/>
        <v>0</v>
      </c>
      <c r="D256" s="203">
        <f t="shared" si="22"/>
        <v>0</v>
      </c>
      <c r="E256" s="203">
        <f t="shared" si="23"/>
        <v>0</v>
      </c>
      <c r="F256" s="203">
        <f t="shared" si="24"/>
        <v>0</v>
      </c>
      <c r="G256" s="203">
        <f t="shared" si="25"/>
        <v>0</v>
      </c>
      <c r="H256" s="203">
        <f t="shared" si="26"/>
        <v>0</v>
      </c>
      <c r="I256" s="203">
        <f t="shared" si="27"/>
        <v>0</v>
      </c>
      <c r="J256" s="196"/>
    </row>
    <row r="257" spans="3:10" x14ac:dyDescent="0.25">
      <c r="C257" s="207">
        <f t="shared" si="21"/>
        <v>0</v>
      </c>
      <c r="D257" s="208">
        <f t="shared" si="22"/>
        <v>0</v>
      </c>
      <c r="E257" s="208">
        <f t="shared" si="23"/>
        <v>0</v>
      </c>
      <c r="F257" s="208">
        <f t="shared" si="24"/>
        <v>0</v>
      </c>
      <c r="G257" s="208">
        <f t="shared" si="25"/>
        <v>0</v>
      </c>
      <c r="H257" s="203">
        <f t="shared" si="26"/>
        <v>0</v>
      </c>
      <c r="I257" s="208">
        <f t="shared" si="27"/>
        <v>0</v>
      </c>
      <c r="J257" s="196"/>
    </row>
    <row r="258" spans="3:10" x14ac:dyDescent="0.25">
      <c r="C258" s="207">
        <f t="shared" si="21"/>
        <v>0</v>
      </c>
      <c r="D258" s="208">
        <f t="shared" si="22"/>
        <v>0</v>
      </c>
      <c r="E258" s="208">
        <f t="shared" si="23"/>
        <v>0</v>
      </c>
      <c r="F258" s="208">
        <f t="shared" si="24"/>
        <v>0</v>
      </c>
      <c r="G258" s="208">
        <f t="shared" si="25"/>
        <v>0</v>
      </c>
      <c r="H258" s="203">
        <f t="shared" si="26"/>
        <v>0</v>
      </c>
      <c r="I258" s="208">
        <f t="shared" si="27"/>
        <v>0</v>
      </c>
      <c r="J258" s="196"/>
    </row>
    <row r="259" spans="3:10" x14ac:dyDescent="0.25">
      <c r="C259" s="207">
        <f t="shared" si="21"/>
        <v>0</v>
      </c>
      <c r="D259" s="208">
        <f t="shared" si="22"/>
        <v>0</v>
      </c>
      <c r="E259" s="208">
        <f t="shared" si="23"/>
        <v>0</v>
      </c>
      <c r="F259" s="208">
        <f t="shared" si="24"/>
        <v>0</v>
      </c>
      <c r="G259" s="208">
        <f t="shared" si="25"/>
        <v>0</v>
      </c>
      <c r="H259" s="203">
        <f t="shared" si="26"/>
        <v>0</v>
      </c>
      <c r="I259" s="208">
        <f t="shared" si="27"/>
        <v>0</v>
      </c>
      <c r="J259" s="196"/>
    </row>
    <row r="260" spans="3:10" x14ac:dyDescent="0.25">
      <c r="C260" s="202">
        <f t="shared" si="21"/>
        <v>0</v>
      </c>
      <c r="D260" s="203">
        <f t="shared" si="22"/>
        <v>0</v>
      </c>
      <c r="E260" s="203">
        <f t="shared" si="23"/>
        <v>0</v>
      </c>
      <c r="F260" s="203">
        <f t="shared" si="24"/>
        <v>0</v>
      </c>
      <c r="G260" s="203">
        <f t="shared" si="25"/>
        <v>0</v>
      </c>
      <c r="H260" s="203">
        <f t="shared" si="26"/>
        <v>0</v>
      </c>
      <c r="I260" s="203">
        <f t="shared" si="27"/>
        <v>0</v>
      </c>
      <c r="J260" s="196"/>
    </row>
    <row r="261" spans="3:10" x14ac:dyDescent="0.25">
      <c r="C261" s="202">
        <f t="shared" si="21"/>
        <v>0</v>
      </c>
      <c r="D261" s="203">
        <f t="shared" si="22"/>
        <v>0</v>
      </c>
      <c r="E261" s="203">
        <f t="shared" si="23"/>
        <v>0</v>
      </c>
      <c r="F261" s="203">
        <f t="shared" si="24"/>
        <v>0</v>
      </c>
      <c r="G261" s="203">
        <f t="shared" si="25"/>
        <v>0</v>
      </c>
      <c r="H261" s="203">
        <f t="shared" si="26"/>
        <v>0</v>
      </c>
      <c r="I261" s="203">
        <f t="shared" si="27"/>
        <v>0</v>
      </c>
      <c r="J261" s="196"/>
    </row>
    <row r="262" spans="3:10" x14ac:dyDescent="0.25">
      <c r="C262" s="202">
        <f t="shared" si="21"/>
        <v>0</v>
      </c>
      <c r="D262" s="203">
        <f t="shared" si="22"/>
        <v>0</v>
      </c>
      <c r="E262" s="203">
        <f t="shared" si="23"/>
        <v>0</v>
      </c>
      <c r="F262" s="203">
        <f t="shared" si="24"/>
        <v>0</v>
      </c>
      <c r="G262" s="203">
        <f t="shared" si="25"/>
        <v>0</v>
      </c>
      <c r="H262" s="203">
        <f t="shared" si="26"/>
        <v>0</v>
      </c>
      <c r="I262" s="203">
        <f t="shared" si="27"/>
        <v>0</v>
      </c>
      <c r="J262" s="196"/>
    </row>
    <row r="263" spans="3:10" x14ac:dyDescent="0.25">
      <c r="C263" s="207">
        <f t="shared" si="21"/>
        <v>0</v>
      </c>
      <c r="D263" s="208">
        <f t="shared" si="22"/>
        <v>0</v>
      </c>
      <c r="E263" s="208">
        <f t="shared" si="23"/>
        <v>0</v>
      </c>
      <c r="F263" s="208">
        <f t="shared" si="24"/>
        <v>0</v>
      </c>
      <c r="G263" s="208">
        <f t="shared" si="25"/>
        <v>0</v>
      </c>
      <c r="H263" s="203">
        <f t="shared" si="26"/>
        <v>0</v>
      </c>
      <c r="I263" s="208">
        <f t="shared" si="27"/>
        <v>0</v>
      </c>
      <c r="J263" s="196"/>
    </row>
    <row r="264" spans="3:10" x14ac:dyDescent="0.25">
      <c r="C264" s="207">
        <f t="shared" si="21"/>
        <v>0</v>
      </c>
      <c r="D264" s="208">
        <f t="shared" si="22"/>
        <v>0</v>
      </c>
      <c r="E264" s="208">
        <f t="shared" si="23"/>
        <v>0</v>
      </c>
      <c r="F264" s="208">
        <f t="shared" si="24"/>
        <v>0</v>
      </c>
      <c r="G264" s="208">
        <f t="shared" si="25"/>
        <v>0</v>
      </c>
      <c r="H264" s="203">
        <f t="shared" si="26"/>
        <v>0</v>
      </c>
      <c r="I264" s="208">
        <f t="shared" si="27"/>
        <v>0</v>
      </c>
      <c r="J264" s="196"/>
    </row>
    <row r="265" spans="3:10" x14ac:dyDescent="0.25">
      <c r="C265" s="207">
        <f t="shared" si="21"/>
        <v>0</v>
      </c>
      <c r="D265" s="208">
        <f t="shared" si="22"/>
        <v>0</v>
      </c>
      <c r="E265" s="208">
        <f t="shared" si="23"/>
        <v>0</v>
      </c>
      <c r="F265" s="208">
        <f t="shared" si="24"/>
        <v>0</v>
      </c>
      <c r="G265" s="208">
        <f t="shared" si="25"/>
        <v>0</v>
      </c>
      <c r="H265" s="203">
        <f t="shared" si="26"/>
        <v>0</v>
      </c>
      <c r="I265" s="208">
        <f t="shared" si="27"/>
        <v>0</v>
      </c>
      <c r="J265" s="196"/>
    </row>
    <row r="266" spans="3:10" x14ac:dyDescent="0.25">
      <c r="C266" s="202">
        <f t="shared" ref="C266:C329" si="28">IF(AND(C265&gt;0,C265&lt;E$5),C265+1,0)</f>
        <v>0</v>
      </c>
      <c r="D266" s="203">
        <f t="shared" ref="D266:D329" si="29">IF(C266&gt;0,I265,0)</f>
        <v>0</v>
      </c>
      <c r="E266" s="203">
        <f t="shared" ref="E266:E329" si="30">IF(C266&gt;0,D266*$G$5,0)</f>
        <v>0</v>
      </c>
      <c r="F266" s="203">
        <f t="shared" ref="F266:F329" si="31">IF(C266&gt;0,D266+E266,0)</f>
        <v>0</v>
      </c>
      <c r="G266" s="203">
        <f t="shared" ref="G266:G329" si="32">IF(C266&gt;0,H266-E266,0)</f>
        <v>0</v>
      </c>
      <c r="H266" s="203">
        <f t="shared" ref="H266:H329" si="33">IF(C266&gt;0,PMT($G$5,$E$5-C265,-D266),0)</f>
        <v>0</v>
      </c>
      <c r="I266" s="203">
        <f t="shared" ref="I266:I329" si="34">IF(C266&gt;0,F266-H266,0)</f>
        <v>0</v>
      </c>
      <c r="J266" s="196"/>
    </row>
    <row r="267" spans="3:10" x14ac:dyDescent="0.25">
      <c r="C267" s="202">
        <f t="shared" si="28"/>
        <v>0</v>
      </c>
      <c r="D267" s="203">
        <f t="shared" si="29"/>
        <v>0</v>
      </c>
      <c r="E267" s="203">
        <f t="shared" si="30"/>
        <v>0</v>
      </c>
      <c r="F267" s="203">
        <f t="shared" si="31"/>
        <v>0</v>
      </c>
      <c r="G267" s="203">
        <f t="shared" si="32"/>
        <v>0</v>
      </c>
      <c r="H267" s="203">
        <f t="shared" si="33"/>
        <v>0</v>
      </c>
      <c r="I267" s="203">
        <f t="shared" si="34"/>
        <v>0</v>
      </c>
      <c r="J267" s="196"/>
    </row>
    <row r="268" spans="3:10" x14ac:dyDescent="0.25">
      <c r="C268" s="202">
        <f t="shared" si="28"/>
        <v>0</v>
      </c>
      <c r="D268" s="203">
        <f t="shared" si="29"/>
        <v>0</v>
      </c>
      <c r="E268" s="203">
        <f t="shared" si="30"/>
        <v>0</v>
      </c>
      <c r="F268" s="203">
        <f t="shared" si="31"/>
        <v>0</v>
      </c>
      <c r="G268" s="203">
        <f t="shared" si="32"/>
        <v>0</v>
      </c>
      <c r="H268" s="203">
        <f t="shared" si="33"/>
        <v>0</v>
      </c>
      <c r="I268" s="203">
        <f t="shared" si="34"/>
        <v>0</v>
      </c>
      <c r="J268" s="196"/>
    </row>
    <row r="269" spans="3:10" x14ac:dyDescent="0.25">
      <c r="C269" s="207">
        <f t="shared" si="28"/>
        <v>0</v>
      </c>
      <c r="D269" s="208">
        <f t="shared" si="29"/>
        <v>0</v>
      </c>
      <c r="E269" s="208">
        <f t="shared" si="30"/>
        <v>0</v>
      </c>
      <c r="F269" s="208">
        <f t="shared" si="31"/>
        <v>0</v>
      </c>
      <c r="G269" s="208">
        <f t="shared" si="32"/>
        <v>0</v>
      </c>
      <c r="H269" s="203">
        <f t="shared" si="33"/>
        <v>0</v>
      </c>
      <c r="I269" s="208">
        <f t="shared" si="34"/>
        <v>0</v>
      </c>
      <c r="J269" s="196"/>
    </row>
    <row r="270" spans="3:10" x14ac:dyDescent="0.25">
      <c r="C270" s="207">
        <f t="shared" si="28"/>
        <v>0</v>
      </c>
      <c r="D270" s="208">
        <f t="shared" si="29"/>
        <v>0</v>
      </c>
      <c r="E270" s="208">
        <f t="shared" si="30"/>
        <v>0</v>
      </c>
      <c r="F270" s="208">
        <f t="shared" si="31"/>
        <v>0</v>
      </c>
      <c r="G270" s="208">
        <f t="shared" si="32"/>
        <v>0</v>
      </c>
      <c r="H270" s="203">
        <f t="shared" si="33"/>
        <v>0</v>
      </c>
      <c r="I270" s="208">
        <f t="shared" si="34"/>
        <v>0</v>
      </c>
      <c r="J270" s="196"/>
    </row>
    <row r="271" spans="3:10" x14ac:dyDescent="0.25">
      <c r="C271" s="207">
        <f t="shared" si="28"/>
        <v>0</v>
      </c>
      <c r="D271" s="208">
        <f t="shared" si="29"/>
        <v>0</v>
      </c>
      <c r="E271" s="208">
        <f t="shared" si="30"/>
        <v>0</v>
      </c>
      <c r="F271" s="208">
        <f t="shared" si="31"/>
        <v>0</v>
      </c>
      <c r="G271" s="208">
        <f t="shared" si="32"/>
        <v>0</v>
      </c>
      <c r="H271" s="203">
        <f t="shared" si="33"/>
        <v>0</v>
      </c>
      <c r="I271" s="208">
        <f t="shared" si="34"/>
        <v>0</v>
      </c>
      <c r="J271" s="196"/>
    </row>
    <row r="272" spans="3:10" x14ac:dyDescent="0.25">
      <c r="C272" s="202">
        <f t="shared" si="28"/>
        <v>0</v>
      </c>
      <c r="D272" s="203">
        <f t="shared" si="29"/>
        <v>0</v>
      </c>
      <c r="E272" s="203">
        <f t="shared" si="30"/>
        <v>0</v>
      </c>
      <c r="F272" s="203">
        <f t="shared" si="31"/>
        <v>0</v>
      </c>
      <c r="G272" s="203">
        <f t="shared" si="32"/>
        <v>0</v>
      </c>
      <c r="H272" s="203">
        <f t="shared" si="33"/>
        <v>0</v>
      </c>
      <c r="I272" s="203">
        <f t="shared" si="34"/>
        <v>0</v>
      </c>
      <c r="J272" s="196"/>
    </row>
    <row r="273" spans="3:10" x14ac:dyDescent="0.25">
      <c r="C273" s="202">
        <f t="shared" si="28"/>
        <v>0</v>
      </c>
      <c r="D273" s="203">
        <f t="shared" si="29"/>
        <v>0</v>
      </c>
      <c r="E273" s="203">
        <f t="shared" si="30"/>
        <v>0</v>
      </c>
      <c r="F273" s="203">
        <f t="shared" si="31"/>
        <v>0</v>
      </c>
      <c r="G273" s="203">
        <f t="shared" si="32"/>
        <v>0</v>
      </c>
      <c r="H273" s="203">
        <f t="shared" si="33"/>
        <v>0</v>
      </c>
      <c r="I273" s="203">
        <f t="shared" si="34"/>
        <v>0</v>
      </c>
      <c r="J273" s="196"/>
    </row>
    <row r="274" spans="3:10" x14ac:dyDescent="0.25">
      <c r="C274" s="202">
        <f t="shared" si="28"/>
        <v>0</v>
      </c>
      <c r="D274" s="203">
        <f t="shared" si="29"/>
        <v>0</v>
      </c>
      <c r="E274" s="203">
        <f t="shared" si="30"/>
        <v>0</v>
      </c>
      <c r="F274" s="203">
        <f t="shared" si="31"/>
        <v>0</v>
      </c>
      <c r="G274" s="203">
        <f t="shared" si="32"/>
        <v>0</v>
      </c>
      <c r="H274" s="203">
        <f t="shared" si="33"/>
        <v>0</v>
      </c>
      <c r="I274" s="203">
        <f t="shared" si="34"/>
        <v>0</v>
      </c>
      <c r="J274" s="196"/>
    </row>
    <row r="275" spans="3:10" x14ac:dyDescent="0.25">
      <c r="C275" s="207">
        <f t="shared" si="28"/>
        <v>0</v>
      </c>
      <c r="D275" s="208">
        <f t="shared" si="29"/>
        <v>0</v>
      </c>
      <c r="E275" s="208">
        <f t="shared" si="30"/>
        <v>0</v>
      </c>
      <c r="F275" s="208">
        <f t="shared" si="31"/>
        <v>0</v>
      </c>
      <c r="G275" s="208">
        <f t="shared" si="32"/>
        <v>0</v>
      </c>
      <c r="H275" s="203">
        <f t="shared" si="33"/>
        <v>0</v>
      </c>
      <c r="I275" s="208">
        <f t="shared" si="34"/>
        <v>0</v>
      </c>
      <c r="J275" s="196"/>
    </row>
    <row r="276" spans="3:10" x14ac:dyDescent="0.25">
      <c r="C276" s="207">
        <f t="shared" si="28"/>
        <v>0</v>
      </c>
      <c r="D276" s="208">
        <f t="shared" si="29"/>
        <v>0</v>
      </c>
      <c r="E276" s="208">
        <f t="shared" si="30"/>
        <v>0</v>
      </c>
      <c r="F276" s="208">
        <f t="shared" si="31"/>
        <v>0</v>
      </c>
      <c r="G276" s="208">
        <f t="shared" si="32"/>
        <v>0</v>
      </c>
      <c r="H276" s="203">
        <f t="shared" si="33"/>
        <v>0</v>
      </c>
      <c r="I276" s="208">
        <f t="shared" si="34"/>
        <v>0</v>
      </c>
      <c r="J276" s="196"/>
    </row>
    <row r="277" spans="3:10" x14ac:dyDescent="0.25">
      <c r="C277" s="207">
        <f t="shared" si="28"/>
        <v>0</v>
      </c>
      <c r="D277" s="208">
        <f t="shared" si="29"/>
        <v>0</v>
      </c>
      <c r="E277" s="208">
        <f t="shared" si="30"/>
        <v>0</v>
      </c>
      <c r="F277" s="208">
        <f t="shared" si="31"/>
        <v>0</v>
      </c>
      <c r="G277" s="208">
        <f t="shared" si="32"/>
        <v>0</v>
      </c>
      <c r="H277" s="203">
        <f t="shared" si="33"/>
        <v>0</v>
      </c>
      <c r="I277" s="208">
        <f t="shared" si="34"/>
        <v>0</v>
      </c>
      <c r="J277" s="196"/>
    </row>
    <row r="278" spans="3:10" x14ac:dyDescent="0.25">
      <c r="C278" s="202">
        <f t="shared" si="28"/>
        <v>0</v>
      </c>
      <c r="D278" s="203">
        <f t="shared" si="29"/>
        <v>0</v>
      </c>
      <c r="E278" s="203">
        <f t="shared" si="30"/>
        <v>0</v>
      </c>
      <c r="F278" s="203">
        <f t="shared" si="31"/>
        <v>0</v>
      </c>
      <c r="G278" s="203">
        <f t="shared" si="32"/>
        <v>0</v>
      </c>
      <c r="H278" s="203">
        <f t="shared" si="33"/>
        <v>0</v>
      </c>
      <c r="I278" s="203">
        <f t="shared" si="34"/>
        <v>0</v>
      </c>
      <c r="J278" s="196"/>
    </row>
    <row r="279" spans="3:10" x14ac:dyDescent="0.25">
      <c r="C279" s="202">
        <f t="shared" si="28"/>
        <v>0</v>
      </c>
      <c r="D279" s="203">
        <f t="shared" si="29"/>
        <v>0</v>
      </c>
      <c r="E279" s="203">
        <f t="shared" si="30"/>
        <v>0</v>
      </c>
      <c r="F279" s="203">
        <f t="shared" si="31"/>
        <v>0</v>
      </c>
      <c r="G279" s="203">
        <f t="shared" si="32"/>
        <v>0</v>
      </c>
      <c r="H279" s="203">
        <f t="shared" si="33"/>
        <v>0</v>
      </c>
      <c r="I279" s="203">
        <f t="shared" si="34"/>
        <v>0</v>
      </c>
      <c r="J279" s="196"/>
    </row>
    <row r="280" spans="3:10" x14ac:dyDescent="0.25">
      <c r="C280" s="202">
        <f t="shared" si="28"/>
        <v>0</v>
      </c>
      <c r="D280" s="203">
        <f t="shared" si="29"/>
        <v>0</v>
      </c>
      <c r="E280" s="203">
        <f t="shared" si="30"/>
        <v>0</v>
      </c>
      <c r="F280" s="203">
        <f t="shared" si="31"/>
        <v>0</v>
      </c>
      <c r="G280" s="203">
        <f t="shared" si="32"/>
        <v>0</v>
      </c>
      <c r="H280" s="203">
        <f t="shared" si="33"/>
        <v>0</v>
      </c>
      <c r="I280" s="203">
        <f t="shared" si="34"/>
        <v>0</v>
      </c>
      <c r="J280" s="196"/>
    </row>
    <row r="281" spans="3:10" x14ac:dyDescent="0.25">
      <c r="C281" s="207">
        <f t="shared" si="28"/>
        <v>0</v>
      </c>
      <c r="D281" s="208">
        <f t="shared" si="29"/>
        <v>0</v>
      </c>
      <c r="E281" s="208">
        <f t="shared" si="30"/>
        <v>0</v>
      </c>
      <c r="F281" s="208">
        <f t="shared" si="31"/>
        <v>0</v>
      </c>
      <c r="G281" s="208">
        <f t="shared" si="32"/>
        <v>0</v>
      </c>
      <c r="H281" s="203">
        <f t="shared" si="33"/>
        <v>0</v>
      </c>
      <c r="I281" s="208">
        <f t="shared" si="34"/>
        <v>0</v>
      </c>
      <c r="J281" s="196"/>
    </row>
    <row r="282" spans="3:10" x14ac:dyDescent="0.25">
      <c r="C282" s="207">
        <f t="shared" si="28"/>
        <v>0</v>
      </c>
      <c r="D282" s="208">
        <f t="shared" si="29"/>
        <v>0</v>
      </c>
      <c r="E282" s="208">
        <f t="shared" si="30"/>
        <v>0</v>
      </c>
      <c r="F282" s="208">
        <f t="shared" si="31"/>
        <v>0</v>
      </c>
      <c r="G282" s="208">
        <f t="shared" si="32"/>
        <v>0</v>
      </c>
      <c r="H282" s="203">
        <f t="shared" si="33"/>
        <v>0</v>
      </c>
      <c r="I282" s="208">
        <f t="shared" si="34"/>
        <v>0</v>
      </c>
      <c r="J282" s="196"/>
    </row>
    <row r="283" spans="3:10" x14ac:dyDescent="0.25">
      <c r="C283" s="207">
        <f t="shared" si="28"/>
        <v>0</v>
      </c>
      <c r="D283" s="208">
        <f t="shared" si="29"/>
        <v>0</v>
      </c>
      <c r="E283" s="208">
        <f t="shared" si="30"/>
        <v>0</v>
      </c>
      <c r="F283" s="208">
        <f t="shared" si="31"/>
        <v>0</v>
      </c>
      <c r="G283" s="208">
        <f t="shared" si="32"/>
        <v>0</v>
      </c>
      <c r="H283" s="203">
        <f t="shared" si="33"/>
        <v>0</v>
      </c>
      <c r="I283" s="208">
        <f t="shared" si="34"/>
        <v>0</v>
      </c>
      <c r="J283" s="196"/>
    </row>
    <row r="284" spans="3:10" x14ac:dyDescent="0.25">
      <c r="C284" s="202">
        <f t="shared" si="28"/>
        <v>0</v>
      </c>
      <c r="D284" s="203">
        <f t="shared" si="29"/>
        <v>0</v>
      </c>
      <c r="E284" s="203">
        <f t="shared" si="30"/>
        <v>0</v>
      </c>
      <c r="F284" s="203">
        <f t="shared" si="31"/>
        <v>0</v>
      </c>
      <c r="G284" s="203">
        <f t="shared" si="32"/>
        <v>0</v>
      </c>
      <c r="H284" s="203">
        <f t="shared" si="33"/>
        <v>0</v>
      </c>
      <c r="I284" s="203">
        <f t="shared" si="34"/>
        <v>0</v>
      </c>
      <c r="J284" s="196"/>
    </row>
    <row r="285" spans="3:10" x14ac:dyDescent="0.25">
      <c r="C285" s="202">
        <f t="shared" si="28"/>
        <v>0</v>
      </c>
      <c r="D285" s="203">
        <f t="shared" si="29"/>
        <v>0</v>
      </c>
      <c r="E285" s="203">
        <f t="shared" si="30"/>
        <v>0</v>
      </c>
      <c r="F285" s="203">
        <f t="shared" si="31"/>
        <v>0</v>
      </c>
      <c r="G285" s="203">
        <f t="shared" si="32"/>
        <v>0</v>
      </c>
      <c r="H285" s="203">
        <f t="shared" si="33"/>
        <v>0</v>
      </c>
      <c r="I285" s="203">
        <f t="shared" si="34"/>
        <v>0</v>
      </c>
      <c r="J285" s="196"/>
    </row>
    <row r="286" spans="3:10" x14ac:dyDescent="0.25">
      <c r="C286" s="202">
        <f t="shared" si="28"/>
        <v>0</v>
      </c>
      <c r="D286" s="203">
        <f t="shared" si="29"/>
        <v>0</v>
      </c>
      <c r="E286" s="203">
        <f t="shared" si="30"/>
        <v>0</v>
      </c>
      <c r="F286" s="203">
        <f t="shared" si="31"/>
        <v>0</v>
      </c>
      <c r="G286" s="203">
        <f t="shared" si="32"/>
        <v>0</v>
      </c>
      <c r="H286" s="203">
        <f t="shared" si="33"/>
        <v>0</v>
      </c>
      <c r="I286" s="203">
        <f t="shared" si="34"/>
        <v>0</v>
      </c>
      <c r="J286" s="196"/>
    </row>
    <row r="287" spans="3:10" x14ac:dyDescent="0.25">
      <c r="C287" s="207">
        <f t="shared" si="28"/>
        <v>0</v>
      </c>
      <c r="D287" s="208">
        <f t="shared" si="29"/>
        <v>0</v>
      </c>
      <c r="E287" s="208">
        <f t="shared" si="30"/>
        <v>0</v>
      </c>
      <c r="F287" s="208">
        <f t="shared" si="31"/>
        <v>0</v>
      </c>
      <c r="G287" s="208">
        <f t="shared" si="32"/>
        <v>0</v>
      </c>
      <c r="H287" s="203">
        <f t="shared" si="33"/>
        <v>0</v>
      </c>
      <c r="I287" s="208">
        <f t="shared" si="34"/>
        <v>0</v>
      </c>
      <c r="J287" s="196"/>
    </row>
    <row r="288" spans="3:10" x14ac:dyDescent="0.25">
      <c r="C288" s="207">
        <f t="shared" si="28"/>
        <v>0</v>
      </c>
      <c r="D288" s="208">
        <f t="shared" si="29"/>
        <v>0</v>
      </c>
      <c r="E288" s="208">
        <f t="shared" si="30"/>
        <v>0</v>
      </c>
      <c r="F288" s="208">
        <f t="shared" si="31"/>
        <v>0</v>
      </c>
      <c r="G288" s="208">
        <f t="shared" si="32"/>
        <v>0</v>
      </c>
      <c r="H288" s="203">
        <f t="shared" si="33"/>
        <v>0</v>
      </c>
      <c r="I288" s="208">
        <f t="shared" si="34"/>
        <v>0</v>
      </c>
      <c r="J288" s="196"/>
    </row>
    <row r="289" spans="3:10" x14ac:dyDescent="0.25">
      <c r="C289" s="207">
        <f t="shared" si="28"/>
        <v>0</v>
      </c>
      <c r="D289" s="208">
        <f t="shared" si="29"/>
        <v>0</v>
      </c>
      <c r="E289" s="208">
        <f t="shared" si="30"/>
        <v>0</v>
      </c>
      <c r="F289" s="208">
        <f t="shared" si="31"/>
        <v>0</v>
      </c>
      <c r="G289" s="208">
        <f t="shared" si="32"/>
        <v>0</v>
      </c>
      <c r="H289" s="203">
        <f t="shared" si="33"/>
        <v>0</v>
      </c>
      <c r="I289" s="208">
        <f t="shared" si="34"/>
        <v>0</v>
      </c>
      <c r="J289" s="196"/>
    </row>
    <row r="290" spans="3:10" x14ac:dyDescent="0.25">
      <c r="C290" s="202">
        <f t="shared" si="28"/>
        <v>0</v>
      </c>
      <c r="D290" s="203">
        <f t="shared" si="29"/>
        <v>0</v>
      </c>
      <c r="E290" s="203">
        <f t="shared" si="30"/>
        <v>0</v>
      </c>
      <c r="F290" s="203">
        <f t="shared" si="31"/>
        <v>0</v>
      </c>
      <c r="G290" s="203">
        <f t="shared" si="32"/>
        <v>0</v>
      </c>
      <c r="H290" s="203">
        <f t="shared" si="33"/>
        <v>0</v>
      </c>
      <c r="I290" s="203">
        <f t="shared" si="34"/>
        <v>0</v>
      </c>
      <c r="J290" s="196"/>
    </row>
    <row r="291" spans="3:10" x14ac:dyDescent="0.25">
      <c r="C291" s="202">
        <f t="shared" si="28"/>
        <v>0</v>
      </c>
      <c r="D291" s="203">
        <f t="shared" si="29"/>
        <v>0</v>
      </c>
      <c r="E291" s="203">
        <f t="shared" si="30"/>
        <v>0</v>
      </c>
      <c r="F291" s="203">
        <f t="shared" si="31"/>
        <v>0</v>
      </c>
      <c r="G291" s="203">
        <f t="shared" si="32"/>
        <v>0</v>
      </c>
      <c r="H291" s="203">
        <f t="shared" si="33"/>
        <v>0</v>
      </c>
      <c r="I291" s="203">
        <f t="shared" si="34"/>
        <v>0</v>
      </c>
      <c r="J291" s="196"/>
    </row>
    <row r="292" spans="3:10" x14ac:dyDescent="0.25">
      <c r="C292" s="202">
        <f t="shared" si="28"/>
        <v>0</v>
      </c>
      <c r="D292" s="203">
        <f t="shared" si="29"/>
        <v>0</v>
      </c>
      <c r="E292" s="203">
        <f t="shared" si="30"/>
        <v>0</v>
      </c>
      <c r="F292" s="203">
        <f t="shared" si="31"/>
        <v>0</v>
      </c>
      <c r="G292" s="203">
        <f t="shared" si="32"/>
        <v>0</v>
      </c>
      <c r="H292" s="203">
        <f t="shared" si="33"/>
        <v>0</v>
      </c>
      <c r="I292" s="203">
        <f t="shared" si="34"/>
        <v>0</v>
      </c>
      <c r="J292" s="196"/>
    </row>
    <row r="293" spans="3:10" x14ac:dyDescent="0.25">
      <c r="C293" s="207">
        <f t="shared" si="28"/>
        <v>0</v>
      </c>
      <c r="D293" s="208">
        <f t="shared" si="29"/>
        <v>0</v>
      </c>
      <c r="E293" s="208">
        <f t="shared" si="30"/>
        <v>0</v>
      </c>
      <c r="F293" s="208">
        <f t="shared" si="31"/>
        <v>0</v>
      </c>
      <c r="G293" s="208">
        <f t="shared" si="32"/>
        <v>0</v>
      </c>
      <c r="H293" s="203">
        <f t="shared" si="33"/>
        <v>0</v>
      </c>
      <c r="I293" s="208">
        <f t="shared" si="34"/>
        <v>0</v>
      </c>
      <c r="J293" s="196"/>
    </row>
    <row r="294" spans="3:10" x14ac:dyDescent="0.25">
      <c r="C294" s="207">
        <f t="shared" si="28"/>
        <v>0</v>
      </c>
      <c r="D294" s="208">
        <f t="shared" si="29"/>
        <v>0</v>
      </c>
      <c r="E294" s="208">
        <f t="shared" si="30"/>
        <v>0</v>
      </c>
      <c r="F294" s="208">
        <f t="shared" si="31"/>
        <v>0</v>
      </c>
      <c r="G294" s="208">
        <f t="shared" si="32"/>
        <v>0</v>
      </c>
      <c r="H294" s="203">
        <f t="shared" si="33"/>
        <v>0</v>
      </c>
      <c r="I294" s="208">
        <f t="shared" si="34"/>
        <v>0</v>
      </c>
      <c r="J294" s="196"/>
    </row>
    <row r="295" spans="3:10" x14ac:dyDescent="0.25">
      <c r="C295" s="207">
        <f t="shared" si="28"/>
        <v>0</v>
      </c>
      <c r="D295" s="208">
        <f t="shared" si="29"/>
        <v>0</v>
      </c>
      <c r="E295" s="208">
        <f t="shared" si="30"/>
        <v>0</v>
      </c>
      <c r="F295" s="208">
        <f t="shared" si="31"/>
        <v>0</v>
      </c>
      <c r="G295" s="208">
        <f t="shared" si="32"/>
        <v>0</v>
      </c>
      <c r="H295" s="203">
        <f t="shared" si="33"/>
        <v>0</v>
      </c>
      <c r="I295" s="208">
        <f t="shared" si="34"/>
        <v>0</v>
      </c>
      <c r="J295" s="196"/>
    </row>
    <row r="296" spans="3:10" x14ac:dyDescent="0.25">
      <c r="C296" s="202">
        <f t="shared" si="28"/>
        <v>0</v>
      </c>
      <c r="D296" s="203">
        <f t="shared" si="29"/>
        <v>0</v>
      </c>
      <c r="E296" s="203">
        <f t="shared" si="30"/>
        <v>0</v>
      </c>
      <c r="F296" s="203">
        <f t="shared" si="31"/>
        <v>0</v>
      </c>
      <c r="G296" s="203">
        <f t="shared" si="32"/>
        <v>0</v>
      </c>
      <c r="H296" s="203">
        <f t="shared" si="33"/>
        <v>0</v>
      </c>
      <c r="I296" s="203">
        <f t="shared" si="34"/>
        <v>0</v>
      </c>
      <c r="J296" s="196"/>
    </row>
    <row r="297" spans="3:10" x14ac:dyDescent="0.25">
      <c r="C297" s="202">
        <f t="shared" si="28"/>
        <v>0</v>
      </c>
      <c r="D297" s="203">
        <f t="shared" si="29"/>
        <v>0</v>
      </c>
      <c r="E297" s="203">
        <f t="shared" si="30"/>
        <v>0</v>
      </c>
      <c r="F297" s="203">
        <f t="shared" si="31"/>
        <v>0</v>
      </c>
      <c r="G297" s="203">
        <f t="shared" si="32"/>
        <v>0</v>
      </c>
      <c r="H297" s="203">
        <f t="shared" si="33"/>
        <v>0</v>
      </c>
      <c r="I297" s="203">
        <f t="shared" si="34"/>
        <v>0</v>
      </c>
      <c r="J297" s="196"/>
    </row>
    <row r="298" spans="3:10" x14ac:dyDescent="0.25">
      <c r="C298" s="202">
        <f t="shared" si="28"/>
        <v>0</v>
      </c>
      <c r="D298" s="203">
        <f t="shared" si="29"/>
        <v>0</v>
      </c>
      <c r="E298" s="203">
        <f t="shared" si="30"/>
        <v>0</v>
      </c>
      <c r="F298" s="203">
        <f t="shared" si="31"/>
        <v>0</v>
      </c>
      <c r="G298" s="203">
        <f t="shared" si="32"/>
        <v>0</v>
      </c>
      <c r="H298" s="203">
        <f t="shared" si="33"/>
        <v>0</v>
      </c>
      <c r="I298" s="203">
        <f t="shared" si="34"/>
        <v>0</v>
      </c>
      <c r="J298" s="196"/>
    </row>
    <row r="299" spans="3:10" x14ac:dyDescent="0.25">
      <c r="C299" s="207">
        <f t="shared" si="28"/>
        <v>0</v>
      </c>
      <c r="D299" s="208">
        <f t="shared" si="29"/>
        <v>0</v>
      </c>
      <c r="E299" s="208">
        <f t="shared" si="30"/>
        <v>0</v>
      </c>
      <c r="F299" s="208">
        <f t="shared" si="31"/>
        <v>0</v>
      </c>
      <c r="G299" s="208">
        <f t="shared" si="32"/>
        <v>0</v>
      </c>
      <c r="H299" s="203">
        <f t="shared" si="33"/>
        <v>0</v>
      </c>
      <c r="I299" s="208">
        <f t="shared" si="34"/>
        <v>0</v>
      </c>
      <c r="J299" s="196"/>
    </row>
    <row r="300" spans="3:10" x14ac:dyDescent="0.25">
      <c r="C300" s="207">
        <f t="shared" si="28"/>
        <v>0</v>
      </c>
      <c r="D300" s="208">
        <f t="shared" si="29"/>
        <v>0</v>
      </c>
      <c r="E300" s="208">
        <f t="shared" si="30"/>
        <v>0</v>
      </c>
      <c r="F300" s="208">
        <f t="shared" si="31"/>
        <v>0</v>
      </c>
      <c r="G300" s="208">
        <f t="shared" si="32"/>
        <v>0</v>
      </c>
      <c r="H300" s="203">
        <f t="shared" si="33"/>
        <v>0</v>
      </c>
      <c r="I300" s="208">
        <f t="shared" si="34"/>
        <v>0</v>
      </c>
      <c r="J300" s="196"/>
    </row>
    <row r="301" spans="3:10" x14ac:dyDescent="0.25">
      <c r="C301" s="207">
        <f t="shared" si="28"/>
        <v>0</v>
      </c>
      <c r="D301" s="208">
        <f t="shared" si="29"/>
        <v>0</v>
      </c>
      <c r="E301" s="208">
        <f t="shared" si="30"/>
        <v>0</v>
      </c>
      <c r="F301" s="208">
        <f t="shared" si="31"/>
        <v>0</v>
      </c>
      <c r="G301" s="208">
        <f t="shared" si="32"/>
        <v>0</v>
      </c>
      <c r="H301" s="203">
        <f t="shared" si="33"/>
        <v>0</v>
      </c>
      <c r="I301" s="208">
        <f t="shared" si="34"/>
        <v>0</v>
      </c>
      <c r="J301" s="196"/>
    </row>
    <row r="302" spans="3:10" x14ac:dyDescent="0.25">
      <c r="C302" s="202">
        <f t="shared" si="28"/>
        <v>0</v>
      </c>
      <c r="D302" s="203">
        <f t="shared" si="29"/>
        <v>0</v>
      </c>
      <c r="E302" s="203">
        <f t="shared" si="30"/>
        <v>0</v>
      </c>
      <c r="F302" s="203">
        <f t="shared" si="31"/>
        <v>0</v>
      </c>
      <c r="G302" s="203">
        <f t="shared" si="32"/>
        <v>0</v>
      </c>
      <c r="H302" s="203">
        <f t="shared" si="33"/>
        <v>0</v>
      </c>
      <c r="I302" s="203">
        <f t="shared" si="34"/>
        <v>0</v>
      </c>
      <c r="J302" s="196"/>
    </row>
    <row r="303" spans="3:10" x14ac:dyDescent="0.25">
      <c r="C303" s="202">
        <f t="shared" si="28"/>
        <v>0</v>
      </c>
      <c r="D303" s="203">
        <f t="shared" si="29"/>
        <v>0</v>
      </c>
      <c r="E303" s="203">
        <f t="shared" si="30"/>
        <v>0</v>
      </c>
      <c r="F303" s="203">
        <f t="shared" si="31"/>
        <v>0</v>
      </c>
      <c r="G303" s="203">
        <f t="shared" si="32"/>
        <v>0</v>
      </c>
      <c r="H303" s="203">
        <f t="shared" si="33"/>
        <v>0</v>
      </c>
      <c r="I303" s="203">
        <f t="shared" si="34"/>
        <v>0</v>
      </c>
      <c r="J303" s="196"/>
    </row>
    <row r="304" spans="3:10" x14ac:dyDescent="0.25">
      <c r="C304" s="202">
        <f t="shared" si="28"/>
        <v>0</v>
      </c>
      <c r="D304" s="203">
        <f t="shared" si="29"/>
        <v>0</v>
      </c>
      <c r="E304" s="203">
        <f t="shared" si="30"/>
        <v>0</v>
      </c>
      <c r="F304" s="203">
        <f t="shared" si="31"/>
        <v>0</v>
      </c>
      <c r="G304" s="203">
        <f t="shared" si="32"/>
        <v>0</v>
      </c>
      <c r="H304" s="203">
        <f t="shared" si="33"/>
        <v>0</v>
      </c>
      <c r="I304" s="203">
        <f t="shared" si="34"/>
        <v>0</v>
      </c>
      <c r="J304" s="196"/>
    </row>
    <row r="305" spans="3:10" x14ac:dyDescent="0.25">
      <c r="C305" s="207">
        <f t="shared" si="28"/>
        <v>0</v>
      </c>
      <c r="D305" s="208">
        <f t="shared" si="29"/>
        <v>0</v>
      </c>
      <c r="E305" s="208">
        <f t="shared" si="30"/>
        <v>0</v>
      </c>
      <c r="F305" s="208">
        <f t="shared" si="31"/>
        <v>0</v>
      </c>
      <c r="G305" s="208">
        <f t="shared" si="32"/>
        <v>0</v>
      </c>
      <c r="H305" s="203">
        <f t="shared" si="33"/>
        <v>0</v>
      </c>
      <c r="I305" s="208">
        <f t="shared" si="34"/>
        <v>0</v>
      </c>
      <c r="J305" s="196"/>
    </row>
    <row r="306" spans="3:10" x14ac:dyDescent="0.25">
      <c r="C306" s="207">
        <f t="shared" si="28"/>
        <v>0</v>
      </c>
      <c r="D306" s="208">
        <f t="shared" si="29"/>
        <v>0</v>
      </c>
      <c r="E306" s="208">
        <f t="shared" si="30"/>
        <v>0</v>
      </c>
      <c r="F306" s="208">
        <f t="shared" si="31"/>
        <v>0</v>
      </c>
      <c r="G306" s="208">
        <f t="shared" si="32"/>
        <v>0</v>
      </c>
      <c r="H306" s="203">
        <f t="shared" si="33"/>
        <v>0</v>
      </c>
      <c r="I306" s="208">
        <f t="shared" si="34"/>
        <v>0</v>
      </c>
      <c r="J306" s="196"/>
    </row>
    <row r="307" spans="3:10" x14ac:dyDescent="0.25">
      <c r="C307" s="207">
        <f t="shared" si="28"/>
        <v>0</v>
      </c>
      <c r="D307" s="208">
        <f t="shared" si="29"/>
        <v>0</v>
      </c>
      <c r="E307" s="208">
        <f t="shared" si="30"/>
        <v>0</v>
      </c>
      <c r="F307" s="208">
        <f t="shared" si="31"/>
        <v>0</v>
      </c>
      <c r="G307" s="208">
        <f t="shared" si="32"/>
        <v>0</v>
      </c>
      <c r="H307" s="203">
        <f t="shared" si="33"/>
        <v>0</v>
      </c>
      <c r="I307" s="208">
        <f t="shared" si="34"/>
        <v>0</v>
      </c>
      <c r="J307" s="196"/>
    </row>
    <row r="308" spans="3:10" x14ac:dyDescent="0.25">
      <c r="C308" s="202">
        <f t="shared" si="28"/>
        <v>0</v>
      </c>
      <c r="D308" s="203">
        <f t="shared" si="29"/>
        <v>0</v>
      </c>
      <c r="E308" s="203">
        <f t="shared" si="30"/>
        <v>0</v>
      </c>
      <c r="F308" s="203">
        <f t="shared" si="31"/>
        <v>0</v>
      </c>
      <c r="G308" s="203">
        <f t="shared" si="32"/>
        <v>0</v>
      </c>
      <c r="H308" s="203">
        <f t="shared" si="33"/>
        <v>0</v>
      </c>
      <c r="I308" s="203">
        <f t="shared" si="34"/>
        <v>0</v>
      </c>
      <c r="J308" s="196"/>
    </row>
    <row r="309" spans="3:10" x14ac:dyDescent="0.25">
      <c r="C309" s="202">
        <f t="shared" si="28"/>
        <v>0</v>
      </c>
      <c r="D309" s="203">
        <f t="shared" si="29"/>
        <v>0</v>
      </c>
      <c r="E309" s="203">
        <f t="shared" si="30"/>
        <v>0</v>
      </c>
      <c r="F309" s="203">
        <f t="shared" si="31"/>
        <v>0</v>
      </c>
      <c r="G309" s="203">
        <f t="shared" si="32"/>
        <v>0</v>
      </c>
      <c r="H309" s="203">
        <f t="shared" si="33"/>
        <v>0</v>
      </c>
      <c r="I309" s="203">
        <f t="shared" si="34"/>
        <v>0</v>
      </c>
      <c r="J309" s="196"/>
    </row>
    <row r="310" spans="3:10" x14ac:dyDescent="0.25">
      <c r="C310" s="202">
        <f t="shared" si="28"/>
        <v>0</v>
      </c>
      <c r="D310" s="203">
        <f t="shared" si="29"/>
        <v>0</v>
      </c>
      <c r="E310" s="203">
        <f t="shared" si="30"/>
        <v>0</v>
      </c>
      <c r="F310" s="203">
        <f t="shared" si="31"/>
        <v>0</v>
      </c>
      <c r="G310" s="203">
        <f t="shared" si="32"/>
        <v>0</v>
      </c>
      <c r="H310" s="203">
        <f t="shared" si="33"/>
        <v>0</v>
      </c>
      <c r="I310" s="203">
        <f t="shared" si="34"/>
        <v>0</v>
      </c>
      <c r="J310" s="196"/>
    </row>
    <row r="311" spans="3:10" x14ac:dyDescent="0.25">
      <c r="C311" s="207">
        <f t="shared" si="28"/>
        <v>0</v>
      </c>
      <c r="D311" s="208">
        <f t="shared" si="29"/>
        <v>0</v>
      </c>
      <c r="E311" s="208">
        <f t="shared" si="30"/>
        <v>0</v>
      </c>
      <c r="F311" s="208">
        <f t="shared" si="31"/>
        <v>0</v>
      </c>
      <c r="G311" s="208">
        <f t="shared" si="32"/>
        <v>0</v>
      </c>
      <c r="H311" s="203">
        <f t="shared" si="33"/>
        <v>0</v>
      </c>
      <c r="I311" s="208">
        <f t="shared" si="34"/>
        <v>0</v>
      </c>
      <c r="J311" s="196"/>
    </row>
    <row r="312" spans="3:10" x14ac:dyDescent="0.25">
      <c r="C312" s="207">
        <f t="shared" si="28"/>
        <v>0</v>
      </c>
      <c r="D312" s="208">
        <f t="shared" si="29"/>
        <v>0</v>
      </c>
      <c r="E312" s="208">
        <f t="shared" si="30"/>
        <v>0</v>
      </c>
      <c r="F312" s="208">
        <f t="shared" si="31"/>
        <v>0</v>
      </c>
      <c r="G312" s="208">
        <f t="shared" si="32"/>
        <v>0</v>
      </c>
      <c r="H312" s="203">
        <f t="shared" si="33"/>
        <v>0</v>
      </c>
      <c r="I312" s="208">
        <f t="shared" si="34"/>
        <v>0</v>
      </c>
      <c r="J312" s="196"/>
    </row>
    <row r="313" spans="3:10" x14ac:dyDescent="0.25">
      <c r="C313" s="207">
        <f t="shared" si="28"/>
        <v>0</v>
      </c>
      <c r="D313" s="208">
        <f t="shared" si="29"/>
        <v>0</v>
      </c>
      <c r="E313" s="208">
        <f t="shared" si="30"/>
        <v>0</v>
      </c>
      <c r="F313" s="208">
        <f t="shared" si="31"/>
        <v>0</v>
      </c>
      <c r="G313" s="208">
        <f t="shared" si="32"/>
        <v>0</v>
      </c>
      <c r="H313" s="203">
        <f t="shared" si="33"/>
        <v>0</v>
      </c>
      <c r="I313" s="208">
        <f t="shared" si="34"/>
        <v>0</v>
      </c>
      <c r="J313" s="196"/>
    </row>
    <row r="314" spans="3:10" x14ac:dyDescent="0.25">
      <c r="C314" s="202">
        <f t="shared" si="28"/>
        <v>0</v>
      </c>
      <c r="D314" s="203">
        <f t="shared" si="29"/>
        <v>0</v>
      </c>
      <c r="E314" s="203">
        <f t="shared" si="30"/>
        <v>0</v>
      </c>
      <c r="F314" s="203">
        <f t="shared" si="31"/>
        <v>0</v>
      </c>
      <c r="G314" s="203">
        <f t="shared" si="32"/>
        <v>0</v>
      </c>
      <c r="H314" s="203">
        <f t="shared" si="33"/>
        <v>0</v>
      </c>
      <c r="I314" s="203">
        <f t="shared" si="34"/>
        <v>0</v>
      </c>
      <c r="J314" s="196"/>
    </row>
    <row r="315" spans="3:10" x14ac:dyDescent="0.25">
      <c r="C315" s="202">
        <f t="shared" si="28"/>
        <v>0</v>
      </c>
      <c r="D315" s="203">
        <f t="shared" si="29"/>
        <v>0</v>
      </c>
      <c r="E315" s="203">
        <f t="shared" si="30"/>
        <v>0</v>
      </c>
      <c r="F315" s="203">
        <f t="shared" si="31"/>
        <v>0</v>
      </c>
      <c r="G315" s="203">
        <f t="shared" si="32"/>
        <v>0</v>
      </c>
      <c r="H315" s="203">
        <f t="shared" si="33"/>
        <v>0</v>
      </c>
      <c r="I315" s="203">
        <f t="shared" si="34"/>
        <v>0</v>
      </c>
      <c r="J315" s="196"/>
    </row>
    <row r="316" spans="3:10" x14ac:dyDescent="0.25">
      <c r="C316" s="202">
        <f t="shared" si="28"/>
        <v>0</v>
      </c>
      <c r="D316" s="203">
        <f t="shared" si="29"/>
        <v>0</v>
      </c>
      <c r="E316" s="203">
        <f t="shared" si="30"/>
        <v>0</v>
      </c>
      <c r="F316" s="203">
        <f t="shared" si="31"/>
        <v>0</v>
      </c>
      <c r="G316" s="203">
        <f t="shared" si="32"/>
        <v>0</v>
      </c>
      <c r="H316" s="203">
        <f t="shared" si="33"/>
        <v>0</v>
      </c>
      <c r="I316" s="203">
        <f t="shared" si="34"/>
        <v>0</v>
      </c>
      <c r="J316" s="196"/>
    </row>
    <row r="317" spans="3:10" x14ac:dyDescent="0.25">
      <c r="C317" s="207">
        <f t="shared" si="28"/>
        <v>0</v>
      </c>
      <c r="D317" s="208">
        <f t="shared" si="29"/>
        <v>0</v>
      </c>
      <c r="E317" s="208">
        <f t="shared" si="30"/>
        <v>0</v>
      </c>
      <c r="F317" s="208">
        <f t="shared" si="31"/>
        <v>0</v>
      </c>
      <c r="G317" s="208">
        <f t="shared" si="32"/>
        <v>0</v>
      </c>
      <c r="H317" s="203">
        <f t="shared" si="33"/>
        <v>0</v>
      </c>
      <c r="I317" s="208">
        <f t="shared" si="34"/>
        <v>0</v>
      </c>
      <c r="J317" s="196"/>
    </row>
    <row r="318" spans="3:10" x14ac:dyDescent="0.25">
      <c r="C318" s="207">
        <f t="shared" si="28"/>
        <v>0</v>
      </c>
      <c r="D318" s="208">
        <f t="shared" si="29"/>
        <v>0</v>
      </c>
      <c r="E318" s="208">
        <f t="shared" si="30"/>
        <v>0</v>
      </c>
      <c r="F318" s="208">
        <f t="shared" si="31"/>
        <v>0</v>
      </c>
      <c r="G318" s="208">
        <f t="shared" si="32"/>
        <v>0</v>
      </c>
      <c r="H318" s="203">
        <f t="shared" si="33"/>
        <v>0</v>
      </c>
      <c r="I318" s="208">
        <f t="shared" si="34"/>
        <v>0</v>
      </c>
      <c r="J318" s="196"/>
    </row>
    <row r="319" spans="3:10" x14ac:dyDescent="0.25">
      <c r="C319" s="207">
        <f t="shared" si="28"/>
        <v>0</v>
      </c>
      <c r="D319" s="208">
        <f t="shared" si="29"/>
        <v>0</v>
      </c>
      <c r="E319" s="208">
        <f t="shared" si="30"/>
        <v>0</v>
      </c>
      <c r="F319" s="208">
        <f t="shared" si="31"/>
        <v>0</v>
      </c>
      <c r="G319" s="208">
        <f t="shared" si="32"/>
        <v>0</v>
      </c>
      <c r="H319" s="203">
        <f t="shared" si="33"/>
        <v>0</v>
      </c>
      <c r="I319" s="208">
        <f t="shared" si="34"/>
        <v>0</v>
      </c>
      <c r="J319" s="196"/>
    </row>
    <row r="320" spans="3:10" x14ac:dyDescent="0.25">
      <c r="C320" s="202">
        <f t="shared" si="28"/>
        <v>0</v>
      </c>
      <c r="D320" s="203">
        <f t="shared" si="29"/>
        <v>0</v>
      </c>
      <c r="E320" s="203">
        <f t="shared" si="30"/>
        <v>0</v>
      </c>
      <c r="F320" s="203">
        <f t="shared" si="31"/>
        <v>0</v>
      </c>
      <c r="G320" s="203">
        <f t="shared" si="32"/>
        <v>0</v>
      </c>
      <c r="H320" s="203">
        <f t="shared" si="33"/>
        <v>0</v>
      </c>
      <c r="I320" s="203">
        <f t="shared" si="34"/>
        <v>0</v>
      </c>
      <c r="J320" s="196"/>
    </row>
    <row r="321" spans="3:10" x14ac:dyDescent="0.25">
      <c r="C321" s="202">
        <f t="shared" si="28"/>
        <v>0</v>
      </c>
      <c r="D321" s="203">
        <f t="shared" si="29"/>
        <v>0</v>
      </c>
      <c r="E321" s="203">
        <f t="shared" si="30"/>
        <v>0</v>
      </c>
      <c r="F321" s="203">
        <f t="shared" si="31"/>
        <v>0</v>
      </c>
      <c r="G321" s="203">
        <f t="shared" si="32"/>
        <v>0</v>
      </c>
      <c r="H321" s="203">
        <f t="shared" si="33"/>
        <v>0</v>
      </c>
      <c r="I321" s="203">
        <f t="shared" si="34"/>
        <v>0</v>
      </c>
      <c r="J321" s="196"/>
    </row>
    <row r="322" spans="3:10" x14ac:dyDescent="0.25">
      <c r="C322" s="202">
        <f t="shared" si="28"/>
        <v>0</v>
      </c>
      <c r="D322" s="203">
        <f t="shared" si="29"/>
        <v>0</v>
      </c>
      <c r="E322" s="203">
        <f t="shared" si="30"/>
        <v>0</v>
      </c>
      <c r="F322" s="203">
        <f t="shared" si="31"/>
        <v>0</v>
      </c>
      <c r="G322" s="203">
        <f t="shared" si="32"/>
        <v>0</v>
      </c>
      <c r="H322" s="203">
        <f t="shared" si="33"/>
        <v>0</v>
      </c>
      <c r="I322" s="203">
        <f t="shared" si="34"/>
        <v>0</v>
      </c>
      <c r="J322" s="196"/>
    </row>
    <row r="323" spans="3:10" x14ac:dyDescent="0.25">
      <c r="C323" s="207">
        <f t="shared" si="28"/>
        <v>0</v>
      </c>
      <c r="D323" s="208">
        <f t="shared" si="29"/>
        <v>0</v>
      </c>
      <c r="E323" s="208">
        <f t="shared" si="30"/>
        <v>0</v>
      </c>
      <c r="F323" s="208">
        <f t="shared" si="31"/>
        <v>0</v>
      </c>
      <c r="G323" s="208">
        <f t="shared" si="32"/>
        <v>0</v>
      </c>
      <c r="H323" s="203">
        <f t="shared" si="33"/>
        <v>0</v>
      </c>
      <c r="I323" s="208">
        <f t="shared" si="34"/>
        <v>0</v>
      </c>
      <c r="J323" s="196"/>
    </row>
    <row r="324" spans="3:10" x14ac:dyDescent="0.25">
      <c r="C324" s="207">
        <f t="shared" si="28"/>
        <v>0</v>
      </c>
      <c r="D324" s="208">
        <f t="shared" si="29"/>
        <v>0</v>
      </c>
      <c r="E324" s="208">
        <f t="shared" si="30"/>
        <v>0</v>
      </c>
      <c r="F324" s="208">
        <f t="shared" si="31"/>
        <v>0</v>
      </c>
      <c r="G324" s="208">
        <f t="shared" si="32"/>
        <v>0</v>
      </c>
      <c r="H324" s="203">
        <f t="shared" si="33"/>
        <v>0</v>
      </c>
      <c r="I324" s="208">
        <f t="shared" si="34"/>
        <v>0</v>
      </c>
      <c r="J324" s="196"/>
    </row>
    <row r="325" spans="3:10" x14ac:dyDescent="0.25">
      <c r="C325" s="207">
        <f t="shared" si="28"/>
        <v>0</v>
      </c>
      <c r="D325" s="208">
        <f t="shared" si="29"/>
        <v>0</v>
      </c>
      <c r="E325" s="208">
        <f t="shared" si="30"/>
        <v>0</v>
      </c>
      <c r="F325" s="208">
        <f t="shared" si="31"/>
        <v>0</v>
      </c>
      <c r="G325" s="208">
        <f t="shared" si="32"/>
        <v>0</v>
      </c>
      <c r="H325" s="203">
        <f t="shared" si="33"/>
        <v>0</v>
      </c>
      <c r="I325" s="208">
        <f t="shared" si="34"/>
        <v>0</v>
      </c>
      <c r="J325" s="196"/>
    </row>
    <row r="326" spans="3:10" x14ac:dyDescent="0.25">
      <c r="C326" s="202">
        <f t="shared" si="28"/>
        <v>0</v>
      </c>
      <c r="D326" s="203">
        <f t="shared" si="29"/>
        <v>0</v>
      </c>
      <c r="E326" s="203">
        <f t="shared" si="30"/>
        <v>0</v>
      </c>
      <c r="F326" s="203">
        <f t="shared" si="31"/>
        <v>0</v>
      </c>
      <c r="G326" s="203">
        <f t="shared" si="32"/>
        <v>0</v>
      </c>
      <c r="H326" s="203">
        <f t="shared" si="33"/>
        <v>0</v>
      </c>
      <c r="I326" s="203">
        <f t="shared" si="34"/>
        <v>0</v>
      </c>
      <c r="J326" s="196"/>
    </row>
    <row r="327" spans="3:10" x14ac:dyDescent="0.25">
      <c r="C327" s="202">
        <f t="shared" si="28"/>
        <v>0</v>
      </c>
      <c r="D327" s="203">
        <f t="shared" si="29"/>
        <v>0</v>
      </c>
      <c r="E327" s="203">
        <f t="shared" si="30"/>
        <v>0</v>
      </c>
      <c r="F327" s="203">
        <f t="shared" si="31"/>
        <v>0</v>
      </c>
      <c r="G327" s="203">
        <f t="shared" si="32"/>
        <v>0</v>
      </c>
      <c r="H327" s="203">
        <f t="shared" si="33"/>
        <v>0</v>
      </c>
      <c r="I327" s="203">
        <f t="shared" si="34"/>
        <v>0</v>
      </c>
      <c r="J327" s="196"/>
    </row>
    <row r="328" spans="3:10" x14ac:dyDescent="0.25">
      <c r="C328" s="202">
        <f t="shared" si="28"/>
        <v>0</v>
      </c>
      <c r="D328" s="203">
        <f t="shared" si="29"/>
        <v>0</v>
      </c>
      <c r="E328" s="203">
        <f t="shared" si="30"/>
        <v>0</v>
      </c>
      <c r="F328" s="203">
        <f t="shared" si="31"/>
        <v>0</v>
      </c>
      <c r="G328" s="203">
        <f t="shared" si="32"/>
        <v>0</v>
      </c>
      <c r="H328" s="203">
        <f t="shared" si="33"/>
        <v>0</v>
      </c>
      <c r="I328" s="203">
        <f t="shared" si="34"/>
        <v>0</v>
      </c>
      <c r="J328" s="196"/>
    </row>
    <row r="329" spans="3:10" x14ac:dyDescent="0.25">
      <c r="C329" s="207">
        <f t="shared" si="28"/>
        <v>0</v>
      </c>
      <c r="D329" s="208">
        <f t="shared" si="29"/>
        <v>0</v>
      </c>
      <c r="E329" s="208">
        <f t="shared" si="30"/>
        <v>0</v>
      </c>
      <c r="F329" s="208">
        <f t="shared" si="31"/>
        <v>0</v>
      </c>
      <c r="G329" s="208">
        <f t="shared" si="32"/>
        <v>0</v>
      </c>
      <c r="H329" s="203">
        <f t="shared" si="33"/>
        <v>0</v>
      </c>
      <c r="I329" s="208">
        <f t="shared" si="34"/>
        <v>0</v>
      </c>
      <c r="J329" s="196"/>
    </row>
    <row r="330" spans="3:10" x14ac:dyDescent="0.25">
      <c r="C330" s="207">
        <f t="shared" ref="C330:C367" si="35">IF(AND(C329&gt;0,C329&lt;E$5),C329+1,0)</f>
        <v>0</v>
      </c>
      <c r="D330" s="208">
        <f t="shared" ref="D330:D367" si="36">IF(C330&gt;0,I329,0)</f>
        <v>0</v>
      </c>
      <c r="E330" s="208">
        <f t="shared" ref="E330:E367" si="37">IF(C330&gt;0,D330*$G$5,0)</f>
        <v>0</v>
      </c>
      <c r="F330" s="208">
        <f t="shared" ref="F330:F367" si="38">IF(C330&gt;0,D330+E330,0)</f>
        <v>0</v>
      </c>
      <c r="G330" s="208">
        <f t="shared" ref="G330:G367" si="39">IF(C330&gt;0,H330-E330,0)</f>
        <v>0</v>
      </c>
      <c r="H330" s="203">
        <f t="shared" ref="H330:H367" si="40">IF(C330&gt;0,PMT($G$5,$E$5-C329,-D330),0)</f>
        <v>0</v>
      </c>
      <c r="I330" s="208">
        <f t="shared" ref="I330:I367" si="41">IF(C330&gt;0,F330-H330,0)</f>
        <v>0</v>
      </c>
      <c r="J330" s="196"/>
    </row>
    <row r="331" spans="3:10" x14ac:dyDescent="0.25">
      <c r="C331" s="207">
        <f t="shared" si="35"/>
        <v>0</v>
      </c>
      <c r="D331" s="208">
        <f t="shared" si="36"/>
        <v>0</v>
      </c>
      <c r="E331" s="208">
        <f t="shared" si="37"/>
        <v>0</v>
      </c>
      <c r="F331" s="208">
        <f t="shared" si="38"/>
        <v>0</v>
      </c>
      <c r="G331" s="208">
        <f t="shared" si="39"/>
        <v>0</v>
      </c>
      <c r="H331" s="203">
        <f t="shared" si="40"/>
        <v>0</v>
      </c>
      <c r="I331" s="208">
        <f t="shared" si="41"/>
        <v>0</v>
      </c>
      <c r="J331" s="196"/>
    </row>
    <row r="332" spans="3:10" x14ac:dyDescent="0.25">
      <c r="C332" s="202">
        <f t="shared" si="35"/>
        <v>0</v>
      </c>
      <c r="D332" s="203">
        <f t="shared" si="36"/>
        <v>0</v>
      </c>
      <c r="E332" s="203">
        <f t="shared" si="37"/>
        <v>0</v>
      </c>
      <c r="F332" s="203">
        <f t="shared" si="38"/>
        <v>0</v>
      </c>
      <c r="G332" s="203">
        <f t="shared" si="39"/>
        <v>0</v>
      </c>
      <c r="H332" s="203">
        <f t="shared" si="40"/>
        <v>0</v>
      </c>
      <c r="I332" s="203">
        <f t="shared" si="41"/>
        <v>0</v>
      </c>
      <c r="J332" s="196"/>
    </row>
    <row r="333" spans="3:10" x14ac:dyDescent="0.25">
      <c r="C333" s="202">
        <f t="shared" si="35"/>
        <v>0</v>
      </c>
      <c r="D333" s="203">
        <f t="shared" si="36"/>
        <v>0</v>
      </c>
      <c r="E333" s="203">
        <f t="shared" si="37"/>
        <v>0</v>
      </c>
      <c r="F333" s="203">
        <f t="shared" si="38"/>
        <v>0</v>
      </c>
      <c r="G333" s="203">
        <f t="shared" si="39"/>
        <v>0</v>
      </c>
      <c r="H333" s="203">
        <f t="shared" si="40"/>
        <v>0</v>
      </c>
      <c r="I333" s="203">
        <f t="shared" si="41"/>
        <v>0</v>
      </c>
      <c r="J333" s="196"/>
    </row>
    <row r="334" spans="3:10" x14ac:dyDescent="0.25">
      <c r="C334" s="202">
        <f t="shared" si="35"/>
        <v>0</v>
      </c>
      <c r="D334" s="203">
        <f t="shared" si="36"/>
        <v>0</v>
      </c>
      <c r="E334" s="203">
        <f t="shared" si="37"/>
        <v>0</v>
      </c>
      <c r="F334" s="203">
        <f t="shared" si="38"/>
        <v>0</v>
      </c>
      <c r="G334" s="203">
        <f t="shared" si="39"/>
        <v>0</v>
      </c>
      <c r="H334" s="203">
        <f t="shared" si="40"/>
        <v>0</v>
      </c>
      <c r="I334" s="203">
        <f t="shared" si="41"/>
        <v>0</v>
      </c>
      <c r="J334" s="196"/>
    </row>
    <row r="335" spans="3:10" x14ac:dyDescent="0.25">
      <c r="C335" s="207">
        <f t="shared" si="35"/>
        <v>0</v>
      </c>
      <c r="D335" s="208">
        <f t="shared" si="36"/>
        <v>0</v>
      </c>
      <c r="E335" s="208">
        <f t="shared" si="37"/>
        <v>0</v>
      </c>
      <c r="F335" s="208">
        <f t="shared" si="38"/>
        <v>0</v>
      </c>
      <c r="G335" s="208">
        <f t="shared" si="39"/>
        <v>0</v>
      </c>
      <c r="H335" s="203">
        <f t="shared" si="40"/>
        <v>0</v>
      </c>
      <c r="I335" s="208">
        <f t="shared" si="41"/>
        <v>0</v>
      </c>
      <c r="J335" s="196"/>
    </row>
    <row r="336" spans="3:10" x14ac:dyDescent="0.25">
      <c r="C336" s="207">
        <f t="shared" si="35"/>
        <v>0</v>
      </c>
      <c r="D336" s="208">
        <f t="shared" si="36"/>
        <v>0</v>
      </c>
      <c r="E336" s="208">
        <f t="shared" si="37"/>
        <v>0</v>
      </c>
      <c r="F336" s="208">
        <f t="shared" si="38"/>
        <v>0</v>
      </c>
      <c r="G336" s="208">
        <f t="shared" si="39"/>
        <v>0</v>
      </c>
      <c r="H336" s="203">
        <f t="shared" si="40"/>
        <v>0</v>
      </c>
      <c r="I336" s="208">
        <f t="shared" si="41"/>
        <v>0</v>
      </c>
      <c r="J336" s="196"/>
    </row>
    <row r="337" spans="3:10" x14ac:dyDescent="0.25">
      <c r="C337" s="207">
        <f t="shared" si="35"/>
        <v>0</v>
      </c>
      <c r="D337" s="208">
        <f t="shared" si="36"/>
        <v>0</v>
      </c>
      <c r="E337" s="208">
        <f t="shared" si="37"/>
        <v>0</v>
      </c>
      <c r="F337" s="208">
        <f t="shared" si="38"/>
        <v>0</v>
      </c>
      <c r="G337" s="208">
        <f t="shared" si="39"/>
        <v>0</v>
      </c>
      <c r="H337" s="203">
        <f t="shared" si="40"/>
        <v>0</v>
      </c>
      <c r="I337" s="208">
        <f t="shared" si="41"/>
        <v>0</v>
      </c>
      <c r="J337" s="196"/>
    </row>
    <row r="338" spans="3:10" x14ac:dyDescent="0.25">
      <c r="C338" s="202">
        <f t="shared" si="35"/>
        <v>0</v>
      </c>
      <c r="D338" s="203">
        <f t="shared" si="36"/>
        <v>0</v>
      </c>
      <c r="E338" s="203">
        <f t="shared" si="37"/>
        <v>0</v>
      </c>
      <c r="F338" s="203">
        <f t="shared" si="38"/>
        <v>0</v>
      </c>
      <c r="G338" s="203">
        <f t="shared" si="39"/>
        <v>0</v>
      </c>
      <c r="H338" s="203">
        <f t="shared" si="40"/>
        <v>0</v>
      </c>
      <c r="I338" s="203">
        <f t="shared" si="41"/>
        <v>0</v>
      </c>
      <c r="J338" s="196"/>
    </row>
    <row r="339" spans="3:10" x14ac:dyDescent="0.25">
      <c r="C339" s="202">
        <f t="shared" si="35"/>
        <v>0</v>
      </c>
      <c r="D339" s="203">
        <f t="shared" si="36"/>
        <v>0</v>
      </c>
      <c r="E339" s="203">
        <f t="shared" si="37"/>
        <v>0</v>
      </c>
      <c r="F339" s="203">
        <f t="shared" si="38"/>
        <v>0</v>
      </c>
      <c r="G339" s="203">
        <f t="shared" si="39"/>
        <v>0</v>
      </c>
      <c r="H339" s="203">
        <f t="shared" si="40"/>
        <v>0</v>
      </c>
      <c r="I339" s="203">
        <f t="shared" si="41"/>
        <v>0</v>
      </c>
      <c r="J339" s="196"/>
    </row>
    <row r="340" spans="3:10" x14ac:dyDescent="0.25">
      <c r="C340" s="202">
        <f t="shared" si="35"/>
        <v>0</v>
      </c>
      <c r="D340" s="203">
        <f t="shared" si="36"/>
        <v>0</v>
      </c>
      <c r="E340" s="203">
        <f t="shared" si="37"/>
        <v>0</v>
      </c>
      <c r="F340" s="203">
        <f t="shared" si="38"/>
        <v>0</v>
      </c>
      <c r="G340" s="203">
        <f t="shared" si="39"/>
        <v>0</v>
      </c>
      <c r="H340" s="203">
        <f t="shared" si="40"/>
        <v>0</v>
      </c>
      <c r="I340" s="203">
        <f t="shared" si="41"/>
        <v>0</v>
      </c>
      <c r="J340" s="196"/>
    </row>
    <row r="341" spans="3:10" x14ac:dyDescent="0.25">
      <c r="C341" s="207">
        <f t="shared" si="35"/>
        <v>0</v>
      </c>
      <c r="D341" s="208">
        <f t="shared" si="36"/>
        <v>0</v>
      </c>
      <c r="E341" s="208">
        <f t="shared" si="37"/>
        <v>0</v>
      </c>
      <c r="F341" s="208">
        <f t="shared" si="38"/>
        <v>0</v>
      </c>
      <c r="G341" s="208">
        <f t="shared" si="39"/>
        <v>0</v>
      </c>
      <c r="H341" s="203">
        <f t="shared" si="40"/>
        <v>0</v>
      </c>
      <c r="I341" s="208">
        <f t="shared" si="41"/>
        <v>0</v>
      </c>
      <c r="J341" s="196"/>
    </row>
    <row r="342" spans="3:10" x14ac:dyDescent="0.25">
      <c r="C342" s="207">
        <f t="shared" si="35"/>
        <v>0</v>
      </c>
      <c r="D342" s="208">
        <f t="shared" si="36"/>
        <v>0</v>
      </c>
      <c r="E342" s="208">
        <f t="shared" si="37"/>
        <v>0</v>
      </c>
      <c r="F342" s="208">
        <f t="shared" si="38"/>
        <v>0</v>
      </c>
      <c r="G342" s="208">
        <f t="shared" si="39"/>
        <v>0</v>
      </c>
      <c r="H342" s="203">
        <f t="shared" si="40"/>
        <v>0</v>
      </c>
      <c r="I342" s="208">
        <f t="shared" si="41"/>
        <v>0</v>
      </c>
      <c r="J342" s="196"/>
    </row>
    <row r="343" spans="3:10" x14ac:dyDescent="0.25">
      <c r="C343" s="207">
        <f t="shared" si="35"/>
        <v>0</v>
      </c>
      <c r="D343" s="208">
        <f t="shared" si="36"/>
        <v>0</v>
      </c>
      <c r="E343" s="208">
        <f t="shared" si="37"/>
        <v>0</v>
      </c>
      <c r="F343" s="208">
        <f t="shared" si="38"/>
        <v>0</v>
      </c>
      <c r="G343" s="208">
        <f t="shared" si="39"/>
        <v>0</v>
      </c>
      <c r="H343" s="203">
        <f t="shared" si="40"/>
        <v>0</v>
      </c>
      <c r="I343" s="208">
        <f t="shared" si="41"/>
        <v>0</v>
      </c>
      <c r="J343" s="196"/>
    </row>
    <row r="344" spans="3:10" x14ac:dyDescent="0.25">
      <c r="C344" s="202">
        <f t="shared" si="35"/>
        <v>0</v>
      </c>
      <c r="D344" s="203">
        <f t="shared" si="36"/>
        <v>0</v>
      </c>
      <c r="E344" s="203">
        <f t="shared" si="37"/>
        <v>0</v>
      </c>
      <c r="F344" s="203">
        <f t="shared" si="38"/>
        <v>0</v>
      </c>
      <c r="G344" s="203">
        <f t="shared" si="39"/>
        <v>0</v>
      </c>
      <c r="H344" s="203">
        <f t="shared" si="40"/>
        <v>0</v>
      </c>
      <c r="I344" s="203">
        <f t="shared" si="41"/>
        <v>0</v>
      </c>
      <c r="J344" s="196"/>
    </row>
    <row r="345" spans="3:10" x14ac:dyDescent="0.25">
      <c r="C345" s="202">
        <f t="shared" si="35"/>
        <v>0</v>
      </c>
      <c r="D345" s="203">
        <f t="shared" si="36"/>
        <v>0</v>
      </c>
      <c r="E345" s="203">
        <f t="shared" si="37"/>
        <v>0</v>
      </c>
      <c r="F345" s="203">
        <f t="shared" si="38"/>
        <v>0</v>
      </c>
      <c r="G345" s="203">
        <f t="shared" si="39"/>
        <v>0</v>
      </c>
      <c r="H345" s="203">
        <f t="shared" si="40"/>
        <v>0</v>
      </c>
      <c r="I345" s="203">
        <f t="shared" si="41"/>
        <v>0</v>
      </c>
      <c r="J345" s="196"/>
    </row>
    <row r="346" spans="3:10" x14ac:dyDescent="0.25">
      <c r="C346" s="202">
        <f t="shared" si="35"/>
        <v>0</v>
      </c>
      <c r="D346" s="203">
        <f t="shared" si="36"/>
        <v>0</v>
      </c>
      <c r="E346" s="203">
        <f t="shared" si="37"/>
        <v>0</v>
      </c>
      <c r="F346" s="203">
        <f t="shared" si="38"/>
        <v>0</v>
      </c>
      <c r="G346" s="203">
        <f t="shared" si="39"/>
        <v>0</v>
      </c>
      <c r="H346" s="203">
        <f t="shared" si="40"/>
        <v>0</v>
      </c>
      <c r="I346" s="203">
        <f t="shared" si="41"/>
        <v>0</v>
      </c>
      <c r="J346" s="196"/>
    </row>
    <row r="347" spans="3:10" x14ac:dyDescent="0.25">
      <c r="C347" s="207">
        <f t="shared" si="35"/>
        <v>0</v>
      </c>
      <c r="D347" s="208">
        <f t="shared" si="36"/>
        <v>0</v>
      </c>
      <c r="E347" s="208">
        <f t="shared" si="37"/>
        <v>0</v>
      </c>
      <c r="F347" s="208">
        <f t="shared" si="38"/>
        <v>0</v>
      </c>
      <c r="G347" s="208">
        <f t="shared" si="39"/>
        <v>0</v>
      </c>
      <c r="H347" s="203">
        <f t="shared" si="40"/>
        <v>0</v>
      </c>
      <c r="I347" s="208">
        <f t="shared" si="41"/>
        <v>0</v>
      </c>
      <c r="J347" s="196"/>
    </row>
    <row r="348" spans="3:10" x14ac:dyDescent="0.25">
      <c r="C348" s="207">
        <f t="shared" si="35"/>
        <v>0</v>
      </c>
      <c r="D348" s="208">
        <f t="shared" si="36"/>
        <v>0</v>
      </c>
      <c r="E348" s="208">
        <f t="shared" si="37"/>
        <v>0</v>
      </c>
      <c r="F348" s="208">
        <f t="shared" si="38"/>
        <v>0</v>
      </c>
      <c r="G348" s="208">
        <f t="shared" si="39"/>
        <v>0</v>
      </c>
      <c r="H348" s="203">
        <f t="shared" si="40"/>
        <v>0</v>
      </c>
      <c r="I348" s="208">
        <f t="shared" si="41"/>
        <v>0</v>
      </c>
      <c r="J348" s="196"/>
    </row>
    <row r="349" spans="3:10" x14ac:dyDescent="0.25">
      <c r="C349" s="207">
        <f t="shared" si="35"/>
        <v>0</v>
      </c>
      <c r="D349" s="208">
        <f t="shared" si="36"/>
        <v>0</v>
      </c>
      <c r="E349" s="208">
        <f t="shared" si="37"/>
        <v>0</v>
      </c>
      <c r="F349" s="208">
        <f t="shared" si="38"/>
        <v>0</v>
      </c>
      <c r="G349" s="208">
        <f t="shared" si="39"/>
        <v>0</v>
      </c>
      <c r="H349" s="203">
        <f t="shared" si="40"/>
        <v>0</v>
      </c>
      <c r="I349" s="208">
        <f t="shared" si="41"/>
        <v>0</v>
      </c>
      <c r="J349" s="196"/>
    </row>
    <row r="350" spans="3:10" x14ac:dyDescent="0.25">
      <c r="C350" s="202">
        <f t="shared" si="35"/>
        <v>0</v>
      </c>
      <c r="D350" s="203">
        <f t="shared" si="36"/>
        <v>0</v>
      </c>
      <c r="E350" s="203">
        <f t="shared" si="37"/>
        <v>0</v>
      </c>
      <c r="F350" s="203">
        <f t="shared" si="38"/>
        <v>0</v>
      </c>
      <c r="G350" s="203">
        <f t="shared" si="39"/>
        <v>0</v>
      </c>
      <c r="H350" s="203">
        <f t="shared" si="40"/>
        <v>0</v>
      </c>
      <c r="I350" s="203">
        <f t="shared" si="41"/>
        <v>0</v>
      </c>
      <c r="J350" s="196"/>
    </row>
    <row r="351" spans="3:10" x14ac:dyDescent="0.25">
      <c r="C351" s="202">
        <f t="shared" si="35"/>
        <v>0</v>
      </c>
      <c r="D351" s="203">
        <f t="shared" si="36"/>
        <v>0</v>
      </c>
      <c r="E351" s="203">
        <f t="shared" si="37"/>
        <v>0</v>
      </c>
      <c r="F351" s="203">
        <f t="shared" si="38"/>
        <v>0</v>
      </c>
      <c r="G351" s="203">
        <f t="shared" si="39"/>
        <v>0</v>
      </c>
      <c r="H351" s="203">
        <f t="shared" si="40"/>
        <v>0</v>
      </c>
      <c r="I351" s="203">
        <f t="shared" si="41"/>
        <v>0</v>
      </c>
      <c r="J351" s="196"/>
    </row>
    <row r="352" spans="3:10" x14ac:dyDescent="0.25">
      <c r="C352" s="202">
        <f t="shared" si="35"/>
        <v>0</v>
      </c>
      <c r="D352" s="203">
        <f t="shared" si="36"/>
        <v>0</v>
      </c>
      <c r="E352" s="203">
        <f t="shared" si="37"/>
        <v>0</v>
      </c>
      <c r="F352" s="203">
        <f t="shared" si="38"/>
        <v>0</v>
      </c>
      <c r="G352" s="203">
        <f t="shared" si="39"/>
        <v>0</v>
      </c>
      <c r="H352" s="203">
        <f t="shared" si="40"/>
        <v>0</v>
      </c>
      <c r="I352" s="203">
        <f t="shared" si="41"/>
        <v>0</v>
      </c>
      <c r="J352" s="196"/>
    </row>
    <row r="353" spans="3:10" x14ac:dyDescent="0.25">
      <c r="C353" s="207">
        <f t="shared" si="35"/>
        <v>0</v>
      </c>
      <c r="D353" s="208">
        <f t="shared" si="36"/>
        <v>0</v>
      </c>
      <c r="E353" s="208">
        <f t="shared" si="37"/>
        <v>0</v>
      </c>
      <c r="F353" s="208">
        <f t="shared" si="38"/>
        <v>0</v>
      </c>
      <c r="G353" s="208">
        <f t="shared" si="39"/>
        <v>0</v>
      </c>
      <c r="H353" s="203">
        <f t="shared" si="40"/>
        <v>0</v>
      </c>
      <c r="I353" s="208">
        <f t="shared" si="41"/>
        <v>0</v>
      </c>
      <c r="J353" s="196"/>
    </row>
    <row r="354" spans="3:10" x14ac:dyDescent="0.25">
      <c r="C354" s="207">
        <f t="shared" si="35"/>
        <v>0</v>
      </c>
      <c r="D354" s="208">
        <f t="shared" si="36"/>
        <v>0</v>
      </c>
      <c r="E354" s="208">
        <f t="shared" si="37"/>
        <v>0</v>
      </c>
      <c r="F354" s="208">
        <f t="shared" si="38"/>
        <v>0</v>
      </c>
      <c r="G354" s="208">
        <f t="shared" si="39"/>
        <v>0</v>
      </c>
      <c r="H354" s="203">
        <f t="shared" si="40"/>
        <v>0</v>
      </c>
      <c r="I354" s="208">
        <f t="shared" si="41"/>
        <v>0</v>
      </c>
      <c r="J354" s="196"/>
    </row>
    <row r="355" spans="3:10" x14ac:dyDescent="0.25">
      <c r="C355" s="207">
        <f t="shared" si="35"/>
        <v>0</v>
      </c>
      <c r="D355" s="208">
        <f t="shared" si="36"/>
        <v>0</v>
      </c>
      <c r="E355" s="208">
        <f t="shared" si="37"/>
        <v>0</v>
      </c>
      <c r="F355" s="208">
        <f t="shared" si="38"/>
        <v>0</v>
      </c>
      <c r="G355" s="208">
        <f t="shared" si="39"/>
        <v>0</v>
      </c>
      <c r="H355" s="203">
        <f t="shared" si="40"/>
        <v>0</v>
      </c>
      <c r="I355" s="208">
        <f t="shared" si="41"/>
        <v>0</v>
      </c>
      <c r="J355" s="196"/>
    </row>
    <row r="356" spans="3:10" x14ac:dyDescent="0.25">
      <c r="C356" s="202">
        <f t="shared" si="35"/>
        <v>0</v>
      </c>
      <c r="D356" s="203">
        <f t="shared" si="36"/>
        <v>0</v>
      </c>
      <c r="E356" s="203">
        <f t="shared" si="37"/>
        <v>0</v>
      </c>
      <c r="F356" s="203">
        <f t="shared" si="38"/>
        <v>0</v>
      </c>
      <c r="G356" s="203">
        <f t="shared" si="39"/>
        <v>0</v>
      </c>
      <c r="H356" s="203">
        <f t="shared" si="40"/>
        <v>0</v>
      </c>
      <c r="I356" s="203">
        <f t="shared" si="41"/>
        <v>0</v>
      </c>
      <c r="J356" s="196"/>
    </row>
    <row r="357" spans="3:10" x14ac:dyDescent="0.25">
      <c r="C357" s="202">
        <f t="shared" si="35"/>
        <v>0</v>
      </c>
      <c r="D357" s="203">
        <f t="shared" si="36"/>
        <v>0</v>
      </c>
      <c r="E357" s="203">
        <f t="shared" si="37"/>
        <v>0</v>
      </c>
      <c r="F357" s="203">
        <f t="shared" si="38"/>
        <v>0</v>
      </c>
      <c r="G357" s="203">
        <f t="shared" si="39"/>
        <v>0</v>
      </c>
      <c r="H357" s="203">
        <f t="shared" si="40"/>
        <v>0</v>
      </c>
      <c r="I357" s="203">
        <f t="shared" si="41"/>
        <v>0</v>
      </c>
      <c r="J357" s="196"/>
    </row>
    <row r="358" spans="3:10" x14ac:dyDescent="0.25">
      <c r="C358" s="202">
        <f t="shared" si="35"/>
        <v>0</v>
      </c>
      <c r="D358" s="203">
        <f t="shared" si="36"/>
        <v>0</v>
      </c>
      <c r="E358" s="203">
        <f t="shared" si="37"/>
        <v>0</v>
      </c>
      <c r="F358" s="203">
        <f t="shared" si="38"/>
        <v>0</v>
      </c>
      <c r="G358" s="203">
        <f t="shared" si="39"/>
        <v>0</v>
      </c>
      <c r="H358" s="203">
        <f t="shared" si="40"/>
        <v>0</v>
      </c>
      <c r="I358" s="203">
        <f t="shared" si="41"/>
        <v>0</v>
      </c>
      <c r="J358" s="196"/>
    </row>
    <row r="359" spans="3:10" x14ac:dyDescent="0.25">
      <c r="C359" s="207">
        <f t="shared" si="35"/>
        <v>0</v>
      </c>
      <c r="D359" s="208">
        <f t="shared" si="36"/>
        <v>0</v>
      </c>
      <c r="E359" s="208">
        <f t="shared" si="37"/>
        <v>0</v>
      </c>
      <c r="F359" s="208">
        <f t="shared" si="38"/>
        <v>0</v>
      </c>
      <c r="G359" s="208">
        <f t="shared" si="39"/>
        <v>0</v>
      </c>
      <c r="H359" s="203">
        <f t="shared" si="40"/>
        <v>0</v>
      </c>
      <c r="I359" s="208">
        <f t="shared" si="41"/>
        <v>0</v>
      </c>
      <c r="J359" s="196"/>
    </row>
    <row r="360" spans="3:10" x14ac:dyDescent="0.25">
      <c r="C360" s="207">
        <f t="shared" si="35"/>
        <v>0</v>
      </c>
      <c r="D360" s="208">
        <f t="shared" si="36"/>
        <v>0</v>
      </c>
      <c r="E360" s="208">
        <f t="shared" si="37"/>
        <v>0</v>
      </c>
      <c r="F360" s="208">
        <f t="shared" si="38"/>
        <v>0</v>
      </c>
      <c r="G360" s="208">
        <f t="shared" si="39"/>
        <v>0</v>
      </c>
      <c r="H360" s="203">
        <f t="shared" si="40"/>
        <v>0</v>
      </c>
      <c r="I360" s="208">
        <f t="shared" si="41"/>
        <v>0</v>
      </c>
      <c r="J360" s="196"/>
    </row>
    <row r="361" spans="3:10" x14ac:dyDescent="0.25">
      <c r="C361" s="207">
        <f t="shared" si="35"/>
        <v>0</v>
      </c>
      <c r="D361" s="208">
        <f t="shared" si="36"/>
        <v>0</v>
      </c>
      <c r="E361" s="208">
        <f t="shared" si="37"/>
        <v>0</v>
      </c>
      <c r="F361" s="208">
        <f t="shared" si="38"/>
        <v>0</v>
      </c>
      <c r="G361" s="208">
        <f t="shared" si="39"/>
        <v>0</v>
      </c>
      <c r="H361" s="203">
        <f t="shared" si="40"/>
        <v>0</v>
      </c>
      <c r="I361" s="208">
        <f t="shared" si="41"/>
        <v>0</v>
      </c>
      <c r="J361" s="196"/>
    </row>
    <row r="362" spans="3:10" x14ac:dyDescent="0.25">
      <c r="C362" s="202">
        <f t="shared" si="35"/>
        <v>0</v>
      </c>
      <c r="D362" s="203">
        <f t="shared" si="36"/>
        <v>0</v>
      </c>
      <c r="E362" s="203">
        <f t="shared" si="37"/>
        <v>0</v>
      </c>
      <c r="F362" s="203">
        <f t="shared" si="38"/>
        <v>0</v>
      </c>
      <c r="G362" s="203">
        <f t="shared" si="39"/>
        <v>0</v>
      </c>
      <c r="H362" s="203">
        <f t="shared" si="40"/>
        <v>0</v>
      </c>
      <c r="I362" s="203">
        <f t="shared" si="41"/>
        <v>0</v>
      </c>
      <c r="J362" s="196"/>
    </row>
    <row r="363" spans="3:10" x14ac:dyDescent="0.25">
      <c r="C363" s="202">
        <f t="shared" si="35"/>
        <v>0</v>
      </c>
      <c r="D363" s="203">
        <f t="shared" si="36"/>
        <v>0</v>
      </c>
      <c r="E363" s="203">
        <f t="shared" si="37"/>
        <v>0</v>
      </c>
      <c r="F363" s="203">
        <f t="shared" si="38"/>
        <v>0</v>
      </c>
      <c r="G363" s="203">
        <f t="shared" si="39"/>
        <v>0</v>
      </c>
      <c r="H363" s="203">
        <f t="shared" si="40"/>
        <v>0</v>
      </c>
      <c r="I363" s="203">
        <f t="shared" si="41"/>
        <v>0</v>
      </c>
      <c r="J363" s="196"/>
    </row>
    <row r="364" spans="3:10" x14ac:dyDescent="0.25">
      <c r="C364" s="202">
        <f t="shared" si="35"/>
        <v>0</v>
      </c>
      <c r="D364" s="203">
        <f t="shared" si="36"/>
        <v>0</v>
      </c>
      <c r="E364" s="203">
        <f t="shared" si="37"/>
        <v>0</v>
      </c>
      <c r="F364" s="203">
        <f t="shared" si="38"/>
        <v>0</v>
      </c>
      <c r="G364" s="203">
        <f t="shared" si="39"/>
        <v>0</v>
      </c>
      <c r="H364" s="203">
        <f t="shared" si="40"/>
        <v>0</v>
      </c>
      <c r="I364" s="203">
        <f t="shared" si="41"/>
        <v>0</v>
      </c>
      <c r="J364" s="196"/>
    </row>
    <row r="365" spans="3:10" x14ac:dyDescent="0.25">
      <c r="C365" s="207">
        <f t="shared" si="35"/>
        <v>0</v>
      </c>
      <c r="D365" s="208">
        <f t="shared" si="36"/>
        <v>0</v>
      </c>
      <c r="E365" s="208">
        <f t="shared" si="37"/>
        <v>0</v>
      </c>
      <c r="F365" s="208">
        <f t="shared" si="38"/>
        <v>0</v>
      </c>
      <c r="G365" s="208">
        <f t="shared" si="39"/>
        <v>0</v>
      </c>
      <c r="H365" s="203">
        <f t="shared" si="40"/>
        <v>0</v>
      </c>
      <c r="I365" s="208">
        <f t="shared" si="41"/>
        <v>0</v>
      </c>
      <c r="J365" s="196"/>
    </row>
    <row r="366" spans="3:10" x14ac:dyDescent="0.25">
      <c r="C366" s="207">
        <f t="shared" si="35"/>
        <v>0</v>
      </c>
      <c r="D366" s="208">
        <f t="shared" si="36"/>
        <v>0</v>
      </c>
      <c r="E366" s="208">
        <f t="shared" si="37"/>
        <v>0</v>
      </c>
      <c r="F366" s="208">
        <f t="shared" si="38"/>
        <v>0</v>
      </c>
      <c r="G366" s="208">
        <f t="shared" si="39"/>
        <v>0</v>
      </c>
      <c r="H366" s="203">
        <f t="shared" si="40"/>
        <v>0</v>
      </c>
      <c r="I366" s="208">
        <f t="shared" si="41"/>
        <v>0</v>
      </c>
      <c r="J366" s="196"/>
    </row>
    <row r="367" spans="3:10" x14ac:dyDescent="0.25">
      <c r="C367" s="207">
        <f t="shared" si="35"/>
        <v>0</v>
      </c>
      <c r="D367" s="208">
        <f t="shared" si="36"/>
        <v>0</v>
      </c>
      <c r="E367" s="208">
        <f t="shared" si="37"/>
        <v>0</v>
      </c>
      <c r="F367" s="208">
        <f t="shared" si="38"/>
        <v>0</v>
      </c>
      <c r="G367" s="208">
        <f t="shared" si="39"/>
        <v>0</v>
      </c>
      <c r="H367" s="203">
        <f t="shared" si="40"/>
        <v>0</v>
      </c>
      <c r="I367" s="208">
        <f t="shared" si="41"/>
        <v>0</v>
      </c>
      <c r="J367" s="196"/>
    </row>
    <row r="368" spans="3:10" x14ac:dyDescent="0.25">
      <c r="C368" s="615" t="s">
        <v>865</v>
      </c>
      <c r="D368" s="615"/>
      <c r="E368" s="203">
        <f>SUM(E8:E367)</f>
        <v>0</v>
      </c>
      <c r="F368" s="203"/>
      <c r="G368" s="203">
        <f>SUM(G8:G367)</f>
        <v>0</v>
      </c>
      <c r="H368" s="203">
        <f>SUM(H8:H367)</f>
        <v>0</v>
      </c>
      <c r="I368" s="203"/>
      <c r="J368" s="196"/>
    </row>
    <row r="369" spans="10:10" x14ac:dyDescent="0.25">
      <c r="J369" s="196"/>
    </row>
  </sheetData>
  <sheetProtection algorithmName="SHA-512" hashValue="4LVjQUZBwW0h8JLAuxjXp03nsy37A1f7zACNHdl9ICKba0UyJ3UoxdLa9dh/EYo3xqPkcvQ0zR0cAtDyx2HakA==" saltValue="VHbTsW7jlLqiHx6ZKAUD7A==" spinCount="100000" sheet="1" formatRows="0" selectLockedCells="1"/>
  <mergeCells count="7">
    <mergeCell ref="K9:L9"/>
    <mergeCell ref="C368:D368"/>
    <mergeCell ref="E1:H1"/>
    <mergeCell ref="F3:G3"/>
    <mergeCell ref="H3:I3"/>
    <mergeCell ref="C4:D4"/>
    <mergeCell ref="C5:D5"/>
  </mergeCells>
  <conditionalFormatting sqref="E1:H1">
    <cfRule type="cellIs" dxfId="10" priority="1" stopIfTrue="1" operator="greaterThan">
      <formula>""""""</formula>
    </cfRule>
  </conditionalFormatting>
  <printOptions horizontalCentered="1"/>
  <pageMargins left="0.7" right="0.7" top="0.75" bottom="0.75" header="0.3" footer="0.3"/>
  <pageSetup paperSize="9" orientation="portrait" horizontalDpi="4294967293" r:id="rId1"/>
  <headerFooter>
    <oddFooter>&amp;CPág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>
    <tabColor theme="1"/>
  </sheetPr>
  <dimension ref="A1:K557"/>
  <sheetViews>
    <sheetView zoomScale="85" zoomScaleNormal="85" workbookViewId="0">
      <pane xSplit="1" topLeftCell="B1" activePane="topRight" state="frozen"/>
      <selection pane="topRight" sqref="A1:XFD1048576"/>
    </sheetView>
  </sheetViews>
  <sheetFormatPr defaultRowHeight="15" x14ac:dyDescent="0.25"/>
  <cols>
    <col min="1" max="1" width="33.7109375" style="21" customWidth="1"/>
    <col min="2" max="2" width="8.140625" style="21" customWidth="1"/>
    <col min="3" max="3" width="22.28515625" style="21" customWidth="1"/>
    <col min="4" max="4" width="9" style="21" bestFit="1" customWidth="1"/>
    <col min="5" max="5" width="97.28515625" style="21" bestFit="1" customWidth="1"/>
    <col min="6" max="16384" width="9.140625" style="21"/>
  </cols>
  <sheetData>
    <row r="1" spans="1:5" ht="22.5" x14ac:dyDescent="0.3">
      <c r="A1" s="387" t="s">
        <v>981</v>
      </c>
      <c r="C1" s="31"/>
      <c r="D1" s="623" t="s">
        <v>160</v>
      </c>
      <c r="E1" s="623"/>
    </row>
    <row r="2" spans="1:5" x14ac:dyDescent="0.25">
      <c r="D2" s="391" t="s">
        <v>161</v>
      </c>
      <c r="E2" s="392" t="s">
        <v>162</v>
      </c>
    </row>
    <row r="3" spans="1:5" x14ac:dyDescent="0.25">
      <c r="D3" s="393" t="s">
        <v>163</v>
      </c>
      <c r="E3" s="394" t="s">
        <v>164</v>
      </c>
    </row>
    <row r="4" spans="1:5" x14ac:dyDescent="0.25">
      <c r="D4" s="420" t="s">
        <v>165</v>
      </c>
      <c r="E4" s="394" t="s">
        <v>166</v>
      </c>
    </row>
    <row r="5" spans="1:5" x14ac:dyDescent="0.25">
      <c r="D5" s="420" t="s">
        <v>167</v>
      </c>
      <c r="E5" s="394" t="s">
        <v>7</v>
      </c>
    </row>
    <row r="6" spans="1:5" x14ac:dyDescent="0.25">
      <c r="D6" s="421" t="s">
        <v>168</v>
      </c>
      <c r="E6" s="418" t="s">
        <v>169</v>
      </c>
    </row>
    <row r="7" spans="1:5" x14ac:dyDescent="0.25">
      <c r="D7" s="421" t="s">
        <v>170</v>
      </c>
      <c r="E7" s="394" t="s">
        <v>171</v>
      </c>
    </row>
    <row r="8" spans="1:5" x14ac:dyDescent="0.25">
      <c r="D8" s="421" t="s">
        <v>172</v>
      </c>
      <c r="E8" s="426" t="s">
        <v>173</v>
      </c>
    </row>
    <row r="9" spans="1:5" x14ac:dyDescent="0.25">
      <c r="D9" s="421" t="s">
        <v>174</v>
      </c>
      <c r="E9" s="424" t="s">
        <v>175</v>
      </c>
    </row>
    <row r="10" spans="1:5" x14ac:dyDescent="0.25">
      <c r="D10" s="421" t="s">
        <v>176</v>
      </c>
      <c r="E10" s="425" t="s">
        <v>177</v>
      </c>
    </row>
    <row r="11" spans="1:5" x14ac:dyDescent="0.25">
      <c r="D11" s="421" t="s">
        <v>178</v>
      </c>
      <c r="E11" s="422" t="s">
        <v>179</v>
      </c>
    </row>
    <row r="12" spans="1:5" x14ac:dyDescent="0.25">
      <c r="D12" s="421" t="s">
        <v>180</v>
      </c>
      <c r="E12" s="423" t="s">
        <v>181</v>
      </c>
    </row>
    <row r="13" spans="1:5" x14ac:dyDescent="0.25">
      <c r="D13" s="421" t="s">
        <v>182</v>
      </c>
      <c r="E13" s="422" t="s">
        <v>183</v>
      </c>
    </row>
    <row r="14" spans="1:5" x14ac:dyDescent="0.25">
      <c r="D14" s="421" t="s">
        <v>184</v>
      </c>
      <c r="E14" s="422" t="s">
        <v>185</v>
      </c>
    </row>
    <row r="15" spans="1:5" x14ac:dyDescent="0.25">
      <c r="D15" s="421" t="s">
        <v>186</v>
      </c>
      <c r="E15" s="423" t="s">
        <v>187</v>
      </c>
    </row>
    <row r="16" spans="1:5" x14ac:dyDescent="0.25">
      <c r="D16" s="421" t="s">
        <v>188</v>
      </c>
      <c r="E16" s="419" t="s">
        <v>189</v>
      </c>
    </row>
    <row r="17" spans="4:5" x14ac:dyDescent="0.25">
      <c r="D17" s="421" t="s">
        <v>190</v>
      </c>
      <c r="E17" s="418" t="s">
        <v>191</v>
      </c>
    </row>
    <row r="18" spans="4:5" x14ac:dyDescent="0.25">
      <c r="D18" s="421" t="s">
        <v>192</v>
      </c>
      <c r="E18" s="418" t="s">
        <v>193</v>
      </c>
    </row>
    <row r="19" spans="4:5" x14ac:dyDescent="0.25">
      <c r="D19" s="395" t="s">
        <v>194</v>
      </c>
      <c r="E19" s="396" t="s">
        <v>195</v>
      </c>
    </row>
    <row r="20" spans="4:5" x14ac:dyDescent="0.25">
      <c r="D20" s="395" t="s">
        <v>196</v>
      </c>
      <c r="E20" s="394" t="s">
        <v>197</v>
      </c>
    </row>
    <row r="21" spans="4:5" x14ac:dyDescent="0.25">
      <c r="D21" s="395" t="s">
        <v>198</v>
      </c>
      <c r="E21" s="396" t="s">
        <v>199</v>
      </c>
    </row>
    <row r="22" spans="4:5" x14ac:dyDescent="0.25">
      <c r="D22" s="395" t="s">
        <v>200</v>
      </c>
      <c r="E22" s="394" t="s">
        <v>201</v>
      </c>
    </row>
    <row r="23" spans="4:5" x14ac:dyDescent="0.25">
      <c r="D23" s="395" t="s">
        <v>203</v>
      </c>
      <c r="E23" s="394" t="s">
        <v>204</v>
      </c>
    </row>
    <row r="24" spans="4:5" x14ac:dyDescent="0.25">
      <c r="D24" s="395" t="s">
        <v>205</v>
      </c>
      <c r="E24" s="396" t="s">
        <v>206</v>
      </c>
    </row>
    <row r="25" spans="4:5" x14ac:dyDescent="0.25">
      <c r="D25" s="395" t="s">
        <v>207</v>
      </c>
      <c r="E25" s="396" t="s">
        <v>793</v>
      </c>
    </row>
    <row r="26" spans="4:5" x14ac:dyDescent="0.25">
      <c r="D26" s="395"/>
      <c r="E26" s="396"/>
    </row>
    <row r="27" spans="4:5" x14ac:dyDescent="0.25">
      <c r="D27" s="393" t="s">
        <v>209</v>
      </c>
      <c r="E27" s="394" t="s">
        <v>210</v>
      </c>
    </row>
    <row r="28" spans="4:5" x14ac:dyDescent="0.25">
      <c r="D28" s="395" t="s">
        <v>211</v>
      </c>
      <c r="E28" s="398" t="s">
        <v>212</v>
      </c>
    </row>
    <row r="29" spans="4:5" x14ac:dyDescent="0.25">
      <c r="D29" s="395" t="s">
        <v>213</v>
      </c>
      <c r="E29" s="396" t="s">
        <v>214</v>
      </c>
    </row>
    <row r="30" spans="4:5" x14ac:dyDescent="0.25">
      <c r="D30" s="395" t="s">
        <v>215</v>
      </c>
      <c r="E30" s="396" t="s">
        <v>216</v>
      </c>
    </row>
    <row r="31" spans="4:5" x14ac:dyDescent="0.25">
      <c r="D31" s="395" t="s">
        <v>217</v>
      </c>
      <c r="E31" s="396" t="s">
        <v>218</v>
      </c>
    </row>
    <row r="32" spans="4:5" x14ac:dyDescent="0.25">
      <c r="D32" s="393" t="s">
        <v>219</v>
      </c>
      <c r="E32" s="394" t="s">
        <v>220</v>
      </c>
    </row>
    <row r="33" spans="4:5" hidden="1" x14ac:dyDescent="0.25">
      <c r="D33" s="399" t="s">
        <v>221</v>
      </c>
      <c r="E33" s="396" t="s">
        <v>222</v>
      </c>
    </row>
    <row r="34" spans="4:5" hidden="1" x14ac:dyDescent="0.25">
      <c r="D34" s="399" t="s">
        <v>223</v>
      </c>
      <c r="E34" s="396" t="s">
        <v>224</v>
      </c>
    </row>
    <row r="35" spans="4:5" hidden="1" x14ac:dyDescent="0.25">
      <c r="D35" s="399" t="s">
        <v>225</v>
      </c>
      <c r="E35" s="396" t="s">
        <v>226</v>
      </c>
    </row>
    <row r="36" spans="4:5" hidden="1" x14ac:dyDescent="0.25">
      <c r="D36" s="399" t="s">
        <v>227</v>
      </c>
      <c r="E36" s="396" t="s">
        <v>228</v>
      </c>
    </row>
    <row r="37" spans="4:5" hidden="1" x14ac:dyDescent="0.25">
      <c r="D37" s="399" t="s">
        <v>229</v>
      </c>
      <c r="E37" s="396" t="s">
        <v>230</v>
      </c>
    </row>
    <row r="38" spans="4:5" hidden="1" x14ac:dyDescent="0.25">
      <c r="D38" s="399" t="s">
        <v>231</v>
      </c>
      <c r="E38" s="396" t="s">
        <v>232</v>
      </c>
    </row>
    <row r="39" spans="4:5" hidden="1" x14ac:dyDescent="0.25">
      <c r="D39" s="399" t="s">
        <v>233</v>
      </c>
      <c r="E39" s="396" t="s">
        <v>234</v>
      </c>
    </row>
    <row r="40" spans="4:5" hidden="1" x14ac:dyDescent="0.25">
      <c r="D40" s="399" t="s">
        <v>235</v>
      </c>
      <c r="E40" s="396" t="s">
        <v>236</v>
      </c>
    </row>
    <row r="41" spans="4:5" x14ac:dyDescent="0.25">
      <c r="D41" s="393" t="s">
        <v>237</v>
      </c>
      <c r="E41" s="394" t="s">
        <v>238</v>
      </c>
    </row>
    <row r="42" spans="4:5" hidden="1" x14ac:dyDescent="0.25">
      <c r="D42" s="395" t="s">
        <v>239</v>
      </c>
      <c r="E42" s="396" t="s">
        <v>240</v>
      </c>
    </row>
    <row r="43" spans="4:5" hidden="1" x14ac:dyDescent="0.25">
      <c r="D43" s="395" t="s">
        <v>241</v>
      </c>
      <c r="E43" s="396" t="s">
        <v>242</v>
      </c>
    </row>
    <row r="44" spans="4:5" hidden="1" x14ac:dyDescent="0.25">
      <c r="D44" s="395" t="s">
        <v>243</v>
      </c>
      <c r="E44" s="396" t="s">
        <v>244</v>
      </c>
    </row>
    <row r="45" spans="4:5" ht="16.5" hidden="1" customHeight="1" x14ac:dyDescent="0.25">
      <c r="D45" s="395" t="s">
        <v>245</v>
      </c>
      <c r="E45" s="396" t="s">
        <v>246</v>
      </c>
    </row>
    <row r="46" spans="4:5" hidden="1" x14ac:dyDescent="0.25">
      <c r="D46" s="395" t="s">
        <v>247</v>
      </c>
      <c r="E46" s="396" t="s">
        <v>248</v>
      </c>
    </row>
    <row r="47" spans="4:5" x14ac:dyDescent="0.25">
      <c r="D47" s="393" t="s">
        <v>249</v>
      </c>
      <c r="E47" s="394" t="s">
        <v>13</v>
      </c>
    </row>
    <row r="48" spans="4:5" x14ac:dyDescent="0.25">
      <c r="D48" s="395" t="s">
        <v>250</v>
      </c>
      <c r="E48" s="396" t="s">
        <v>251</v>
      </c>
    </row>
    <row r="49" spans="4:5" x14ac:dyDescent="0.25">
      <c r="D49" s="395" t="s">
        <v>252</v>
      </c>
      <c r="E49" s="396" t="s">
        <v>253</v>
      </c>
    </row>
    <row r="50" spans="4:5" x14ac:dyDescent="0.25">
      <c r="D50" s="395" t="s">
        <v>254</v>
      </c>
      <c r="E50" s="396" t="s">
        <v>255</v>
      </c>
    </row>
    <row r="51" spans="4:5" x14ac:dyDescent="0.25">
      <c r="D51" s="395" t="s">
        <v>256</v>
      </c>
      <c r="E51" s="396" t="s">
        <v>257</v>
      </c>
    </row>
    <row r="52" spans="4:5" x14ac:dyDescent="0.25">
      <c r="D52" s="395" t="s">
        <v>258</v>
      </c>
      <c r="E52" s="396" t="s">
        <v>259</v>
      </c>
    </row>
    <row r="53" spans="4:5" x14ac:dyDescent="0.25">
      <c r="D53" s="393" t="s">
        <v>260</v>
      </c>
      <c r="E53" s="394" t="s">
        <v>261</v>
      </c>
    </row>
    <row r="54" spans="4:5" hidden="1" x14ac:dyDescent="0.25">
      <c r="D54" s="395" t="s">
        <v>262</v>
      </c>
      <c r="E54" s="396" t="s">
        <v>263</v>
      </c>
    </row>
    <row r="55" spans="4:5" hidden="1" x14ac:dyDescent="0.25">
      <c r="D55" s="395" t="s">
        <v>264</v>
      </c>
      <c r="E55" s="396" t="s">
        <v>265</v>
      </c>
    </row>
    <row r="56" spans="4:5" hidden="1" x14ac:dyDescent="0.25">
      <c r="D56" s="395" t="s">
        <v>266</v>
      </c>
      <c r="E56" s="396" t="s">
        <v>267</v>
      </c>
    </row>
    <row r="57" spans="4:5" hidden="1" x14ac:dyDescent="0.25">
      <c r="D57" s="395" t="s">
        <v>268</v>
      </c>
      <c r="E57" s="396" t="s">
        <v>269</v>
      </c>
    </row>
    <row r="58" spans="4:5" hidden="1" x14ac:dyDescent="0.25">
      <c r="D58" s="395" t="s">
        <v>270</v>
      </c>
      <c r="E58" s="396" t="s">
        <v>271</v>
      </c>
    </row>
    <row r="59" spans="4:5" hidden="1" x14ac:dyDescent="0.25">
      <c r="D59" s="395" t="s">
        <v>272</v>
      </c>
      <c r="E59" s="396" t="s">
        <v>273</v>
      </c>
    </row>
    <row r="60" spans="4:5" hidden="1" x14ac:dyDescent="0.25">
      <c r="D60" s="395" t="s">
        <v>274</v>
      </c>
      <c r="E60" s="396" t="s">
        <v>275</v>
      </c>
    </row>
    <row r="61" spans="4:5" hidden="1" x14ac:dyDescent="0.25">
      <c r="D61" s="395" t="s">
        <v>276</v>
      </c>
      <c r="E61" s="396" t="s">
        <v>277</v>
      </c>
    </row>
    <row r="62" spans="4:5" x14ac:dyDescent="0.25">
      <c r="D62" s="395"/>
      <c r="E62" s="400"/>
    </row>
    <row r="63" spans="4:5" x14ac:dyDescent="0.25">
      <c r="D63" s="393">
        <v>2</v>
      </c>
      <c r="E63" s="394" t="s">
        <v>278</v>
      </c>
    </row>
    <row r="64" spans="4:5" x14ac:dyDescent="0.25">
      <c r="D64" s="393" t="s">
        <v>279</v>
      </c>
      <c r="E64" s="394" t="s">
        <v>280</v>
      </c>
    </row>
    <row r="65" spans="4:5" x14ac:dyDescent="0.25">
      <c r="D65" s="401" t="s">
        <v>281</v>
      </c>
      <c r="E65" s="402" t="s">
        <v>8</v>
      </c>
    </row>
    <row r="66" spans="4:5" x14ac:dyDescent="0.25">
      <c r="D66" s="403" t="s">
        <v>282</v>
      </c>
      <c r="E66" s="396" t="s">
        <v>283</v>
      </c>
    </row>
    <row r="67" spans="4:5" x14ac:dyDescent="0.25">
      <c r="D67" s="403" t="s">
        <v>284</v>
      </c>
      <c r="E67" s="396" t="s">
        <v>285</v>
      </c>
    </row>
    <row r="68" spans="4:5" x14ac:dyDescent="0.25">
      <c r="D68" s="403" t="s">
        <v>286</v>
      </c>
      <c r="E68" s="396" t="s">
        <v>287</v>
      </c>
    </row>
    <row r="69" spans="4:5" x14ac:dyDescent="0.25">
      <c r="D69" s="403" t="s">
        <v>288</v>
      </c>
      <c r="E69" s="396" t="s">
        <v>289</v>
      </c>
    </row>
    <row r="70" spans="4:5" x14ac:dyDescent="0.25">
      <c r="D70" s="401" t="s">
        <v>290</v>
      </c>
      <c r="E70" s="402" t="s">
        <v>291</v>
      </c>
    </row>
    <row r="71" spans="4:5" x14ac:dyDescent="0.25">
      <c r="D71" s="403" t="s">
        <v>292</v>
      </c>
      <c r="E71" s="396" t="s">
        <v>293</v>
      </c>
    </row>
    <row r="72" spans="4:5" x14ac:dyDescent="0.25">
      <c r="D72" s="403" t="s">
        <v>294</v>
      </c>
      <c r="E72" s="396" t="s">
        <v>295</v>
      </c>
    </row>
    <row r="73" spans="4:5" x14ac:dyDescent="0.25">
      <c r="D73" s="393" t="s">
        <v>296</v>
      </c>
      <c r="E73" s="394" t="s">
        <v>297</v>
      </c>
    </row>
    <row r="74" spans="4:5" x14ac:dyDescent="0.25">
      <c r="D74" s="403" t="s">
        <v>292</v>
      </c>
      <c r="E74" s="396" t="s">
        <v>298</v>
      </c>
    </row>
    <row r="75" spans="4:5" x14ac:dyDescent="0.25">
      <c r="D75" s="403" t="s">
        <v>294</v>
      </c>
      <c r="E75" s="396" t="s">
        <v>299</v>
      </c>
    </row>
    <row r="76" spans="4:5" x14ac:dyDescent="0.25">
      <c r="D76" s="393" t="s">
        <v>296</v>
      </c>
      <c r="E76" s="394" t="s">
        <v>300</v>
      </c>
    </row>
    <row r="77" spans="4:5" hidden="1" x14ac:dyDescent="0.25">
      <c r="D77" s="403" t="s">
        <v>301</v>
      </c>
      <c r="E77" s="396" t="s">
        <v>298</v>
      </c>
    </row>
    <row r="78" spans="4:5" hidden="1" x14ac:dyDescent="0.25">
      <c r="D78" s="403" t="s">
        <v>302</v>
      </c>
      <c r="E78" s="396" t="s">
        <v>299</v>
      </c>
    </row>
    <row r="79" spans="4:5" ht="14.25" hidden="1" customHeight="1" x14ac:dyDescent="0.25">
      <c r="D79" s="403" t="s">
        <v>303</v>
      </c>
      <c r="E79" s="396" t="s">
        <v>304</v>
      </c>
    </row>
    <row r="80" spans="4:5" x14ac:dyDescent="0.25">
      <c r="D80" s="393" t="s">
        <v>305</v>
      </c>
      <c r="E80" s="394" t="s">
        <v>306</v>
      </c>
    </row>
    <row r="81" spans="4:5" hidden="1" x14ac:dyDescent="0.25">
      <c r="D81" s="403" t="s">
        <v>307</v>
      </c>
      <c r="E81" s="396" t="s">
        <v>306</v>
      </c>
    </row>
    <row r="82" spans="4:5" hidden="1" x14ac:dyDescent="0.25">
      <c r="D82" s="403" t="s">
        <v>308</v>
      </c>
      <c r="E82" s="396" t="s">
        <v>299</v>
      </c>
    </row>
    <row r="83" spans="4:5" x14ac:dyDescent="0.25">
      <c r="D83" s="393" t="s">
        <v>309</v>
      </c>
      <c r="E83" s="394" t="s">
        <v>310</v>
      </c>
    </row>
    <row r="84" spans="4:5" x14ac:dyDescent="0.25">
      <c r="D84" s="403" t="s">
        <v>311</v>
      </c>
      <c r="E84" s="396" t="s">
        <v>312</v>
      </c>
    </row>
    <row r="85" spans="4:5" x14ac:dyDescent="0.25">
      <c r="D85" s="403" t="s">
        <v>313</v>
      </c>
      <c r="E85" s="396" t="s">
        <v>314</v>
      </c>
    </row>
    <row r="86" spans="4:5" x14ac:dyDescent="0.25">
      <c r="D86" s="403" t="s">
        <v>315</v>
      </c>
      <c r="E86" s="396" t="s">
        <v>316</v>
      </c>
    </row>
    <row r="87" spans="4:5" x14ac:dyDescent="0.25">
      <c r="D87" s="403" t="s">
        <v>317</v>
      </c>
      <c r="E87" s="396" t="s">
        <v>318</v>
      </c>
    </row>
    <row r="88" spans="4:5" x14ac:dyDescent="0.25">
      <c r="D88" s="403" t="s">
        <v>712</v>
      </c>
      <c r="E88" s="400" t="s">
        <v>713</v>
      </c>
    </row>
    <row r="89" spans="4:5" x14ac:dyDescent="0.25">
      <c r="D89" s="403" t="s">
        <v>712</v>
      </c>
      <c r="E89" s="400" t="s">
        <v>714</v>
      </c>
    </row>
    <row r="90" spans="4:5" x14ac:dyDescent="0.25">
      <c r="D90" s="393" t="s">
        <v>319</v>
      </c>
      <c r="E90" s="394" t="s">
        <v>320</v>
      </c>
    </row>
    <row r="91" spans="4:5" x14ac:dyDescent="0.25">
      <c r="D91" s="403" t="s">
        <v>321</v>
      </c>
      <c r="E91" s="396" t="s">
        <v>322</v>
      </c>
    </row>
    <row r="92" spans="4:5" x14ac:dyDescent="0.25">
      <c r="D92" s="403" t="s">
        <v>323</v>
      </c>
      <c r="E92" s="396" t="s">
        <v>324</v>
      </c>
    </row>
    <row r="93" spans="4:5" x14ac:dyDescent="0.25">
      <c r="D93" s="393" t="s">
        <v>325</v>
      </c>
      <c r="E93" s="394" t="s">
        <v>326</v>
      </c>
    </row>
    <row r="94" spans="4:5" x14ac:dyDescent="0.25">
      <c r="D94" s="403" t="s">
        <v>327</v>
      </c>
      <c r="E94" s="396" t="s">
        <v>328</v>
      </c>
    </row>
    <row r="95" spans="4:5" x14ac:dyDescent="0.25">
      <c r="D95" s="403" t="s">
        <v>329</v>
      </c>
      <c r="E95" s="396" t="s">
        <v>330</v>
      </c>
    </row>
    <row r="96" spans="4:5" x14ac:dyDescent="0.25">
      <c r="D96" s="403" t="s">
        <v>331</v>
      </c>
      <c r="E96" s="396" t="s">
        <v>322</v>
      </c>
    </row>
    <row r="97" spans="4:5" x14ac:dyDescent="0.25">
      <c r="D97" s="393" t="s">
        <v>332</v>
      </c>
      <c r="E97" s="394" t="s">
        <v>333</v>
      </c>
    </row>
    <row r="98" spans="4:5" x14ac:dyDescent="0.25">
      <c r="D98" s="403" t="s">
        <v>334</v>
      </c>
      <c r="E98" s="396" t="s">
        <v>335</v>
      </c>
    </row>
    <row r="99" spans="4:5" x14ac:dyDescent="0.25">
      <c r="D99" s="403" t="s">
        <v>336</v>
      </c>
      <c r="E99" s="396" t="s">
        <v>337</v>
      </c>
    </row>
    <row r="100" spans="4:5" x14ac:dyDescent="0.25">
      <c r="D100" s="403" t="s">
        <v>338</v>
      </c>
      <c r="E100" s="396" t="s">
        <v>339</v>
      </c>
    </row>
    <row r="101" spans="4:5" x14ac:dyDescent="0.25">
      <c r="D101" s="403" t="s">
        <v>340</v>
      </c>
      <c r="E101" s="396" t="s">
        <v>341</v>
      </c>
    </row>
    <row r="102" spans="4:5" x14ac:dyDescent="0.25">
      <c r="D102" s="403" t="s">
        <v>342</v>
      </c>
      <c r="E102" s="396" t="s">
        <v>343</v>
      </c>
    </row>
    <row r="103" spans="4:5" x14ac:dyDescent="0.25">
      <c r="D103" s="403" t="s">
        <v>344</v>
      </c>
      <c r="E103" s="396" t="s">
        <v>345</v>
      </c>
    </row>
    <row r="104" spans="4:5" x14ac:dyDescent="0.25">
      <c r="D104" s="403" t="s">
        <v>346</v>
      </c>
      <c r="E104" s="396" t="s">
        <v>347</v>
      </c>
    </row>
    <row r="105" spans="4:5" x14ac:dyDescent="0.25">
      <c r="D105" s="403" t="s">
        <v>348</v>
      </c>
      <c r="E105" s="396" t="s">
        <v>349</v>
      </c>
    </row>
    <row r="106" spans="4:5" x14ac:dyDescent="0.25">
      <c r="D106" s="403" t="s">
        <v>350</v>
      </c>
      <c r="E106" s="396" t="s">
        <v>352</v>
      </c>
    </row>
    <row r="107" spans="4:5" x14ac:dyDescent="0.25">
      <c r="D107" s="403" t="s">
        <v>351</v>
      </c>
      <c r="E107" s="396" t="s">
        <v>353</v>
      </c>
    </row>
    <row r="108" spans="4:5" x14ac:dyDescent="0.25">
      <c r="D108" s="399"/>
      <c r="E108" s="404"/>
    </row>
    <row r="109" spans="4:5" x14ac:dyDescent="0.25">
      <c r="D109" s="393" t="s">
        <v>354</v>
      </c>
      <c r="E109" s="394" t="s">
        <v>355</v>
      </c>
    </row>
    <row r="110" spans="4:5" hidden="1" x14ac:dyDescent="0.25">
      <c r="D110" s="405" t="s">
        <v>356</v>
      </c>
      <c r="E110" s="396" t="s">
        <v>357</v>
      </c>
    </row>
    <row r="111" spans="4:5" hidden="1" x14ac:dyDescent="0.25">
      <c r="D111" s="405" t="s">
        <v>358</v>
      </c>
      <c r="E111" s="396" t="s">
        <v>359</v>
      </c>
    </row>
    <row r="112" spans="4:5" x14ac:dyDescent="0.25">
      <c r="D112" s="393" t="s">
        <v>360</v>
      </c>
      <c r="E112" s="394" t="s">
        <v>202</v>
      </c>
    </row>
    <row r="113" spans="4:5" hidden="1" x14ac:dyDescent="0.25">
      <c r="D113" s="399" t="s">
        <v>361</v>
      </c>
      <c r="E113" s="396" t="s">
        <v>362</v>
      </c>
    </row>
    <row r="114" spans="4:5" hidden="1" x14ac:dyDescent="0.25">
      <c r="D114" s="399" t="s">
        <v>363</v>
      </c>
      <c r="E114" s="396" t="s">
        <v>364</v>
      </c>
    </row>
    <row r="115" spans="4:5" x14ac:dyDescent="0.25">
      <c r="D115" s="393" t="s">
        <v>365</v>
      </c>
      <c r="E115" s="394" t="s">
        <v>366</v>
      </c>
    </row>
    <row r="116" spans="4:5" x14ac:dyDescent="0.25">
      <c r="D116" s="393" t="s">
        <v>367</v>
      </c>
      <c r="E116" s="394" t="s">
        <v>368</v>
      </c>
    </row>
    <row r="117" spans="4:5" hidden="1" x14ac:dyDescent="0.25">
      <c r="D117" s="399" t="s">
        <v>369</v>
      </c>
      <c r="E117" s="396" t="s">
        <v>364</v>
      </c>
    </row>
    <row r="118" spans="4:5" hidden="1" x14ac:dyDescent="0.25">
      <c r="D118" s="399" t="s">
        <v>370</v>
      </c>
      <c r="E118" s="396" t="s">
        <v>371</v>
      </c>
    </row>
    <row r="119" spans="4:5" hidden="1" x14ac:dyDescent="0.25">
      <c r="D119" s="399" t="s">
        <v>372</v>
      </c>
      <c r="E119" s="396" t="s">
        <v>373</v>
      </c>
    </row>
    <row r="120" spans="4:5" hidden="1" x14ac:dyDescent="0.25">
      <c r="D120" s="399" t="s">
        <v>374</v>
      </c>
      <c r="E120" s="396" t="s">
        <v>375</v>
      </c>
    </row>
    <row r="121" spans="4:5" hidden="1" x14ac:dyDescent="0.25">
      <c r="D121" s="393" t="s">
        <v>367</v>
      </c>
      <c r="E121" s="394" t="s">
        <v>376</v>
      </c>
    </row>
    <row r="122" spans="4:5" x14ac:dyDescent="0.25">
      <c r="D122" s="405"/>
      <c r="E122" s="406"/>
    </row>
    <row r="123" spans="4:5" x14ac:dyDescent="0.25">
      <c r="D123" s="405"/>
      <c r="E123" s="406"/>
    </row>
    <row r="124" spans="4:5" x14ac:dyDescent="0.25">
      <c r="D124" s="393" t="s">
        <v>377</v>
      </c>
      <c r="E124" s="394" t="s">
        <v>378</v>
      </c>
    </row>
    <row r="125" spans="4:5" x14ac:dyDescent="0.25">
      <c r="D125" s="393" t="s">
        <v>379</v>
      </c>
      <c r="E125" s="394" t="s">
        <v>380</v>
      </c>
    </row>
    <row r="126" spans="4:5" hidden="1" x14ac:dyDescent="0.25">
      <c r="D126" s="403" t="s">
        <v>381</v>
      </c>
      <c r="E126" s="396" t="s">
        <v>382</v>
      </c>
    </row>
    <row r="127" spans="4:5" hidden="1" x14ac:dyDescent="0.25">
      <c r="D127" s="403" t="s">
        <v>383</v>
      </c>
      <c r="E127" s="396" t="s">
        <v>299</v>
      </c>
    </row>
    <row r="128" spans="4:5" hidden="1" x14ac:dyDescent="0.25">
      <c r="D128" s="403" t="s">
        <v>384</v>
      </c>
      <c r="E128" s="396" t="s">
        <v>304</v>
      </c>
    </row>
    <row r="129" spans="4:5" x14ac:dyDescent="0.25">
      <c r="D129" s="393" t="s">
        <v>385</v>
      </c>
      <c r="E129" s="394" t="s">
        <v>386</v>
      </c>
    </row>
    <row r="130" spans="4:5" hidden="1" x14ac:dyDescent="0.25">
      <c r="D130" s="403" t="s">
        <v>387</v>
      </c>
      <c r="E130" s="396" t="s">
        <v>382</v>
      </c>
    </row>
    <row r="131" spans="4:5" hidden="1" x14ac:dyDescent="0.25">
      <c r="D131" s="403" t="s">
        <v>388</v>
      </c>
      <c r="E131" s="396" t="s">
        <v>299</v>
      </c>
    </row>
    <row r="132" spans="4:5" hidden="1" x14ac:dyDescent="0.25">
      <c r="D132" s="403" t="s">
        <v>389</v>
      </c>
      <c r="E132" s="396" t="s">
        <v>304</v>
      </c>
    </row>
    <row r="133" spans="4:5" x14ac:dyDescent="0.25">
      <c r="D133" s="393" t="s">
        <v>390</v>
      </c>
      <c r="E133" s="394" t="s">
        <v>391</v>
      </c>
    </row>
    <row r="134" spans="4:5" hidden="1" x14ac:dyDescent="0.25">
      <c r="D134" s="399" t="s">
        <v>392</v>
      </c>
      <c r="E134" s="396" t="s">
        <v>306</v>
      </c>
    </row>
    <row r="135" spans="4:5" hidden="1" x14ac:dyDescent="0.25">
      <c r="D135" s="399" t="s">
        <v>393</v>
      </c>
      <c r="E135" s="396" t="s">
        <v>299</v>
      </c>
    </row>
    <row r="136" spans="4:5" x14ac:dyDescent="0.25">
      <c r="D136" s="393" t="s">
        <v>394</v>
      </c>
      <c r="E136" s="394" t="s">
        <v>395</v>
      </c>
    </row>
    <row r="137" spans="4:5" hidden="1" x14ac:dyDescent="0.25">
      <c r="D137" s="399" t="s">
        <v>396</v>
      </c>
      <c r="E137" s="396" t="s">
        <v>364</v>
      </c>
    </row>
    <row r="138" spans="4:5" hidden="1" x14ac:dyDescent="0.25">
      <c r="D138" s="399" t="s">
        <v>397</v>
      </c>
      <c r="E138" s="396" t="s">
        <v>371</v>
      </c>
    </row>
    <row r="139" spans="4:5" hidden="1" x14ac:dyDescent="0.25">
      <c r="D139" s="399" t="s">
        <v>398</v>
      </c>
      <c r="E139" s="396" t="s">
        <v>373</v>
      </c>
    </row>
    <row r="140" spans="4:5" hidden="1" x14ac:dyDescent="0.25">
      <c r="D140" s="399" t="s">
        <v>399</v>
      </c>
      <c r="E140" s="396" t="s">
        <v>375</v>
      </c>
    </row>
    <row r="141" spans="4:5" hidden="1" x14ac:dyDescent="0.25">
      <c r="D141" s="399" t="s">
        <v>400</v>
      </c>
      <c r="E141" s="407" t="s">
        <v>368</v>
      </c>
    </row>
    <row r="142" spans="4:5" hidden="1" x14ac:dyDescent="0.25">
      <c r="D142" s="399" t="s">
        <v>401</v>
      </c>
      <c r="E142" s="396" t="s">
        <v>364</v>
      </c>
    </row>
    <row r="143" spans="4:5" hidden="1" x14ac:dyDescent="0.25">
      <c r="D143" s="399" t="s">
        <v>402</v>
      </c>
      <c r="E143" s="396" t="s">
        <v>371</v>
      </c>
    </row>
    <row r="144" spans="4:5" hidden="1" x14ac:dyDescent="0.25">
      <c r="D144" s="399" t="s">
        <v>403</v>
      </c>
      <c r="E144" s="396" t="s">
        <v>373</v>
      </c>
    </row>
    <row r="145" spans="4:5" hidden="1" x14ac:dyDescent="0.25">
      <c r="D145" s="399" t="s">
        <v>404</v>
      </c>
      <c r="E145" s="396" t="s">
        <v>375</v>
      </c>
    </row>
    <row r="146" spans="4:5" x14ac:dyDescent="0.25">
      <c r="D146" s="408"/>
      <c r="E146" s="404"/>
    </row>
    <row r="147" spans="4:5" x14ac:dyDescent="0.25">
      <c r="D147" s="393" t="s">
        <v>405</v>
      </c>
      <c r="E147" s="394" t="s">
        <v>406</v>
      </c>
    </row>
    <row r="148" spans="4:5" hidden="1" x14ac:dyDescent="0.25">
      <c r="D148" s="399" t="s">
        <v>407</v>
      </c>
      <c r="E148" s="396" t="s">
        <v>408</v>
      </c>
    </row>
    <row r="149" spans="4:5" x14ac:dyDescent="0.25">
      <c r="D149" s="399" t="s">
        <v>409</v>
      </c>
      <c r="E149" s="396" t="s">
        <v>410</v>
      </c>
    </row>
    <row r="150" spans="4:5" hidden="1" x14ac:dyDescent="0.25">
      <c r="D150" s="399" t="s">
        <v>411</v>
      </c>
      <c r="E150" s="396" t="s">
        <v>412</v>
      </c>
    </row>
    <row r="151" spans="4:5" x14ac:dyDescent="0.25">
      <c r="D151" s="399" t="s">
        <v>413</v>
      </c>
      <c r="E151" s="394" t="s">
        <v>414</v>
      </c>
    </row>
    <row r="152" spans="4:5" x14ac:dyDescent="0.25">
      <c r="D152" s="399"/>
      <c r="E152" s="404"/>
    </row>
    <row r="153" spans="4:5" x14ac:dyDescent="0.25">
      <c r="D153" s="409" t="s">
        <v>415</v>
      </c>
      <c r="E153" s="394" t="s">
        <v>416</v>
      </c>
    </row>
    <row r="154" spans="4:5" x14ac:dyDescent="0.25">
      <c r="D154" s="399" t="s">
        <v>417</v>
      </c>
      <c r="E154" s="410" t="s">
        <v>222</v>
      </c>
    </row>
    <row r="155" spans="4:5" x14ac:dyDescent="0.25">
      <c r="D155" s="399" t="s">
        <v>418</v>
      </c>
      <c r="E155" s="410" t="s">
        <v>419</v>
      </c>
    </row>
    <row r="156" spans="4:5" x14ac:dyDescent="0.25">
      <c r="D156" s="408"/>
      <c r="E156" s="404"/>
    </row>
    <row r="157" spans="4:5" x14ac:dyDescent="0.25">
      <c r="D157" s="393" t="s">
        <v>420</v>
      </c>
      <c r="E157" s="394" t="s">
        <v>421</v>
      </c>
    </row>
    <row r="158" spans="4:5" x14ac:dyDescent="0.25">
      <c r="D158" s="411" t="s">
        <v>422</v>
      </c>
      <c r="E158" s="407" t="s">
        <v>14</v>
      </c>
    </row>
    <row r="159" spans="4:5" x14ac:dyDescent="0.25">
      <c r="D159" s="403" t="s">
        <v>423</v>
      </c>
      <c r="E159" s="396" t="s">
        <v>424</v>
      </c>
    </row>
    <row r="160" spans="4:5" x14ac:dyDescent="0.25">
      <c r="D160" s="403" t="s">
        <v>425</v>
      </c>
      <c r="E160" s="396" t="s">
        <v>426</v>
      </c>
    </row>
    <row r="161" spans="4:5" x14ac:dyDescent="0.25">
      <c r="D161" s="408"/>
      <c r="E161" s="404"/>
    </row>
    <row r="162" spans="4:5" x14ac:dyDescent="0.25">
      <c r="D162" s="409" t="s">
        <v>427</v>
      </c>
      <c r="E162" s="394" t="s">
        <v>428</v>
      </c>
    </row>
    <row r="163" spans="4:5" x14ac:dyDescent="0.25">
      <c r="D163" s="408" t="s">
        <v>429</v>
      </c>
      <c r="E163" s="396" t="s">
        <v>430</v>
      </c>
    </row>
    <row r="164" spans="4:5" x14ac:dyDescent="0.25">
      <c r="D164" s="408" t="s">
        <v>431</v>
      </c>
      <c r="E164" s="396" t="s">
        <v>432</v>
      </c>
    </row>
    <row r="165" spans="4:5" x14ac:dyDescent="0.25">
      <c r="D165" s="408" t="s">
        <v>433</v>
      </c>
      <c r="E165" s="396" t="s">
        <v>434</v>
      </c>
    </row>
    <row r="166" spans="4:5" x14ac:dyDescent="0.25">
      <c r="D166" s="408" t="s">
        <v>435</v>
      </c>
      <c r="E166" s="396" t="s">
        <v>436</v>
      </c>
    </row>
    <row r="167" spans="4:5" x14ac:dyDescent="0.25">
      <c r="D167" s="412" t="s">
        <v>437</v>
      </c>
      <c r="E167" s="394" t="s">
        <v>438</v>
      </c>
    </row>
    <row r="168" spans="4:5" hidden="1" x14ac:dyDescent="0.25">
      <c r="D168" s="408" t="s">
        <v>439</v>
      </c>
      <c r="E168" s="396" t="s">
        <v>440</v>
      </c>
    </row>
    <row r="169" spans="4:5" hidden="1" x14ac:dyDescent="0.25">
      <c r="D169" s="408" t="s">
        <v>441</v>
      </c>
      <c r="E169" s="396" t="s">
        <v>442</v>
      </c>
    </row>
    <row r="170" spans="4:5" hidden="1" x14ac:dyDescent="0.25">
      <c r="D170" s="408" t="s">
        <v>443</v>
      </c>
      <c r="E170" s="396" t="s">
        <v>444</v>
      </c>
    </row>
    <row r="171" spans="4:5" x14ac:dyDescent="0.25">
      <c r="D171" s="408"/>
      <c r="E171" s="404"/>
    </row>
    <row r="172" spans="4:5" x14ac:dyDescent="0.25">
      <c r="D172" s="393" t="s">
        <v>445</v>
      </c>
      <c r="E172" s="394" t="s">
        <v>446</v>
      </c>
    </row>
    <row r="173" spans="4:5" x14ac:dyDescent="0.25">
      <c r="D173" s="408" t="s">
        <v>447</v>
      </c>
      <c r="E173" s="396" t="s">
        <v>448</v>
      </c>
    </row>
    <row r="174" spans="4:5" x14ac:dyDescent="0.25">
      <c r="D174" s="408" t="s">
        <v>449</v>
      </c>
      <c r="E174" s="396" t="s">
        <v>450</v>
      </c>
    </row>
    <row r="175" spans="4:5" x14ac:dyDescent="0.25">
      <c r="D175" s="408" t="s">
        <v>451</v>
      </c>
      <c r="E175" s="396" t="s">
        <v>452</v>
      </c>
    </row>
    <row r="176" spans="4:5" x14ac:dyDescent="0.25">
      <c r="D176" s="408" t="s">
        <v>453</v>
      </c>
      <c r="E176" s="396" t="s">
        <v>454</v>
      </c>
    </row>
    <row r="177" spans="4:11" x14ac:dyDescent="0.25">
      <c r="D177" s="408"/>
      <c r="E177" s="413" t="e">
        <f t="shared" ref="E177" si="0">#REF!</f>
        <v>#REF!</v>
      </c>
    </row>
    <row r="178" spans="4:11" ht="15" customHeight="1" x14ac:dyDescent="0.25">
      <c r="D178" s="408" t="s">
        <v>455</v>
      </c>
      <c r="E178" s="394" t="s">
        <v>977</v>
      </c>
      <c r="F178" s="3"/>
      <c r="G178" s="3"/>
      <c r="H178" s="3"/>
      <c r="I178" s="3"/>
      <c r="J178" s="3"/>
      <c r="K178" s="3"/>
    </row>
    <row r="179" spans="4:11" x14ac:dyDescent="0.25">
      <c r="D179" s="408"/>
      <c r="E179" s="404"/>
      <c r="F179" s="3"/>
      <c r="G179" s="3"/>
      <c r="H179" s="3"/>
      <c r="I179" s="3"/>
      <c r="J179" s="3"/>
      <c r="K179" s="3"/>
    </row>
    <row r="180" spans="4:11" x14ac:dyDescent="0.25">
      <c r="D180" s="408"/>
      <c r="E180" s="404"/>
      <c r="F180" s="3"/>
      <c r="G180" s="3"/>
      <c r="H180" s="3"/>
      <c r="I180" s="3"/>
      <c r="J180" s="3"/>
      <c r="K180" s="3"/>
    </row>
    <row r="181" spans="4:11" x14ac:dyDescent="0.25">
      <c r="D181" s="408"/>
      <c r="E181" s="404"/>
    </row>
    <row r="182" spans="4:11" x14ac:dyDescent="0.25">
      <c r="D182" s="393">
        <v>3</v>
      </c>
      <c r="E182" s="394" t="s">
        <v>456</v>
      </c>
    </row>
    <row r="183" spans="4:11" x14ac:dyDescent="0.25">
      <c r="D183" s="414"/>
      <c r="E183" s="398"/>
    </row>
    <row r="184" spans="4:11" x14ac:dyDescent="0.25">
      <c r="D184" s="393" t="s">
        <v>457</v>
      </c>
      <c r="E184" s="394" t="s">
        <v>458</v>
      </c>
    </row>
    <row r="185" spans="4:11" x14ac:dyDescent="0.25">
      <c r="D185" s="408"/>
      <c r="E185" s="404"/>
    </row>
    <row r="186" spans="4:11" x14ac:dyDescent="0.25">
      <c r="D186" s="393" t="s">
        <v>459</v>
      </c>
      <c r="E186" s="394" t="s">
        <v>460</v>
      </c>
    </row>
    <row r="187" spans="4:11" x14ac:dyDescent="0.25">
      <c r="D187" s="405" t="s">
        <v>461</v>
      </c>
      <c r="E187" s="396" t="s">
        <v>462</v>
      </c>
    </row>
    <row r="188" spans="4:11" x14ac:dyDescent="0.25">
      <c r="D188" s="405" t="s">
        <v>463</v>
      </c>
      <c r="E188" s="396" t="s">
        <v>464</v>
      </c>
    </row>
    <row r="189" spans="4:11" x14ac:dyDescent="0.25">
      <c r="D189" s="405" t="s">
        <v>465</v>
      </c>
      <c r="E189" s="396" t="s">
        <v>466</v>
      </c>
    </row>
    <row r="190" spans="4:11" x14ac:dyDescent="0.25">
      <c r="D190" s="405" t="s">
        <v>467</v>
      </c>
      <c r="E190" s="396" t="s">
        <v>468</v>
      </c>
    </row>
    <row r="191" spans="4:11" x14ac:dyDescent="0.25">
      <c r="D191" s="405" t="s">
        <v>469</v>
      </c>
      <c r="E191" s="396" t="s">
        <v>470</v>
      </c>
    </row>
    <row r="192" spans="4:11" x14ac:dyDescent="0.25">
      <c r="D192" s="405" t="s">
        <v>471</v>
      </c>
      <c r="E192" s="396" t="s">
        <v>472</v>
      </c>
    </row>
    <row r="193" spans="4:5" x14ac:dyDescent="0.25">
      <c r="D193" s="399"/>
      <c r="E193" s="404"/>
    </row>
    <row r="194" spans="4:5" x14ac:dyDescent="0.25">
      <c r="D194" s="393" t="s">
        <v>473</v>
      </c>
      <c r="E194" s="394" t="s">
        <v>474</v>
      </c>
    </row>
    <row r="195" spans="4:5" x14ac:dyDescent="0.25">
      <c r="D195" s="405" t="s">
        <v>463</v>
      </c>
      <c r="E195" s="396" t="s">
        <v>462</v>
      </c>
    </row>
    <row r="196" spans="4:5" x14ac:dyDescent="0.25">
      <c r="D196" s="405" t="s">
        <v>465</v>
      </c>
      <c r="E196" s="396" t="s">
        <v>464</v>
      </c>
    </row>
    <row r="197" spans="4:5" x14ac:dyDescent="0.25">
      <c r="D197" s="405" t="s">
        <v>467</v>
      </c>
      <c r="E197" s="396" t="s">
        <v>470</v>
      </c>
    </row>
    <row r="198" spans="4:5" x14ac:dyDescent="0.25">
      <c r="D198" s="405" t="s">
        <v>469</v>
      </c>
      <c r="E198" s="396" t="s">
        <v>472</v>
      </c>
    </row>
    <row r="199" spans="4:5" x14ac:dyDescent="0.25">
      <c r="D199" s="405" t="s">
        <v>471</v>
      </c>
      <c r="E199" s="396" t="s">
        <v>475</v>
      </c>
    </row>
    <row r="200" spans="4:5" x14ac:dyDescent="0.25">
      <c r="D200" s="399"/>
      <c r="E200" s="404"/>
    </row>
    <row r="201" spans="4:5" x14ac:dyDescent="0.25">
      <c r="D201" s="393" t="s">
        <v>463</v>
      </c>
      <c r="E201" s="394" t="s">
        <v>476</v>
      </c>
    </row>
    <row r="202" spans="4:5" x14ac:dyDescent="0.25">
      <c r="D202" s="405" t="s">
        <v>477</v>
      </c>
      <c r="E202" s="396" t="s">
        <v>478</v>
      </c>
    </row>
    <row r="203" spans="4:5" x14ac:dyDescent="0.25">
      <c r="D203" s="405" t="s">
        <v>479</v>
      </c>
      <c r="E203" s="396" t="s">
        <v>480</v>
      </c>
    </row>
    <row r="204" spans="4:5" x14ac:dyDescent="0.25">
      <c r="D204" s="405" t="s">
        <v>481</v>
      </c>
      <c r="E204" s="396" t="s">
        <v>482</v>
      </c>
    </row>
    <row r="205" spans="4:5" x14ac:dyDescent="0.25">
      <c r="D205" s="405" t="s">
        <v>483</v>
      </c>
      <c r="E205" s="396" t="s">
        <v>484</v>
      </c>
    </row>
    <row r="206" spans="4:5" x14ac:dyDescent="0.25">
      <c r="D206" s="405" t="s">
        <v>485</v>
      </c>
      <c r="E206" s="396" t="s">
        <v>486</v>
      </c>
    </row>
    <row r="207" spans="4:5" x14ac:dyDescent="0.25">
      <c r="D207" s="408"/>
      <c r="E207" s="404"/>
    </row>
    <row r="208" spans="4:5" x14ac:dyDescent="0.25">
      <c r="D208" s="393" t="s">
        <v>465</v>
      </c>
      <c r="E208" s="394" t="s">
        <v>487</v>
      </c>
    </row>
    <row r="209" spans="4:5" x14ac:dyDescent="0.25">
      <c r="D209" s="408" t="s">
        <v>488</v>
      </c>
      <c r="E209" s="396" t="s">
        <v>489</v>
      </c>
    </row>
    <row r="210" spans="4:5" x14ac:dyDescent="0.25">
      <c r="D210" s="408" t="s">
        <v>490</v>
      </c>
      <c r="E210" s="396" t="s">
        <v>491</v>
      </c>
    </row>
    <row r="211" spans="4:5" x14ac:dyDescent="0.25">
      <c r="D211" s="408" t="s">
        <v>492</v>
      </c>
      <c r="E211" s="396" t="s">
        <v>493</v>
      </c>
    </row>
    <row r="212" spans="4:5" x14ac:dyDescent="0.25">
      <c r="D212" s="408"/>
      <c r="E212" s="404"/>
    </row>
    <row r="213" spans="4:5" x14ac:dyDescent="0.25">
      <c r="D213" s="393" t="s">
        <v>467</v>
      </c>
      <c r="E213" s="394" t="s">
        <v>494</v>
      </c>
    </row>
    <row r="214" spans="4:5" x14ac:dyDescent="0.25">
      <c r="D214" s="399" t="s">
        <v>495</v>
      </c>
      <c r="E214" s="396" t="s">
        <v>496</v>
      </c>
    </row>
    <row r="215" spans="4:5" x14ac:dyDescent="0.25">
      <c r="D215" s="399" t="s">
        <v>497</v>
      </c>
      <c r="E215" s="396" t="s">
        <v>498</v>
      </c>
    </row>
    <row r="216" spans="4:5" x14ac:dyDescent="0.25">
      <c r="D216" s="399" t="s">
        <v>499</v>
      </c>
      <c r="E216" s="396" t="s">
        <v>500</v>
      </c>
    </row>
    <row r="217" spans="4:5" x14ac:dyDescent="0.25">
      <c r="D217" s="399" t="s">
        <v>501</v>
      </c>
      <c r="E217" s="396" t="s">
        <v>502</v>
      </c>
    </row>
    <row r="218" spans="4:5" x14ac:dyDescent="0.25">
      <c r="D218" s="399" t="s">
        <v>503</v>
      </c>
      <c r="E218" s="396" t="s">
        <v>504</v>
      </c>
    </row>
    <row r="219" spans="4:5" x14ac:dyDescent="0.25">
      <c r="D219" s="399"/>
      <c r="E219" s="404"/>
    </row>
    <row r="220" spans="4:5" x14ac:dyDescent="0.25">
      <c r="D220" s="393">
        <v>4</v>
      </c>
      <c r="E220" s="394" t="s">
        <v>522</v>
      </c>
    </row>
    <row r="221" spans="4:5" x14ac:dyDescent="0.25">
      <c r="D221" s="393" t="s">
        <v>505</v>
      </c>
      <c r="E221" s="394" t="s">
        <v>524</v>
      </c>
    </row>
    <row r="222" spans="4:5" x14ac:dyDescent="0.25">
      <c r="D222" s="393" t="s">
        <v>794</v>
      </c>
      <c r="E222" s="394" t="s">
        <v>526</v>
      </c>
    </row>
    <row r="223" spans="4:5" x14ac:dyDescent="0.25">
      <c r="D223" s="415"/>
      <c r="E223" s="396"/>
    </row>
    <row r="224" spans="4:5" x14ac:dyDescent="0.25">
      <c r="D224" s="399"/>
      <c r="E224" s="416" t="s">
        <v>527</v>
      </c>
    </row>
    <row r="225" spans="4:5" x14ac:dyDescent="0.25">
      <c r="D225" s="399" t="s">
        <v>795</v>
      </c>
      <c r="E225" s="396" t="s">
        <v>506</v>
      </c>
    </row>
    <row r="226" spans="4:5" x14ac:dyDescent="0.25">
      <c r="D226" s="399" t="s">
        <v>796</v>
      </c>
      <c r="E226" s="396" t="s">
        <v>507</v>
      </c>
    </row>
    <row r="227" spans="4:5" x14ac:dyDescent="0.25">
      <c r="D227" s="399" t="s">
        <v>797</v>
      </c>
      <c r="E227" s="396" t="s">
        <v>508</v>
      </c>
    </row>
    <row r="228" spans="4:5" x14ac:dyDescent="0.25">
      <c r="D228" s="399" t="s">
        <v>798</v>
      </c>
      <c r="E228" s="396" t="s">
        <v>509</v>
      </c>
    </row>
    <row r="229" spans="4:5" x14ac:dyDescent="0.25">
      <c r="D229" s="399" t="s">
        <v>839</v>
      </c>
      <c r="E229" s="396" t="s">
        <v>510</v>
      </c>
    </row>
    <row r="230" spans="4:5" x14ac:dyDescent="0.25">
      <c r="D230" s="399" t="s">
        <v>799</v>
      </c>
      <c r="E230" s="396" t="s">
        <v>708</v>
      </c>
    </row>
    <row r="231" spans="4:5" x14ac:dyDescent="0.25">
      <c r="D231" s="399" t="s">
        <v>800</v>
      </c>
      <c r="E231" s="396" t="s">
        <v>709</v>
      </c>
    </row>
    <row r="232" spans="4:5" x14ac:dyDescent="0.25">
      <c r="D232" s="399"/>
      <c r="E232" s="416" t="s">
        <v>528</v>
      </c>
    </row>
    <row r="233" spans="4:5" x14ac:dyDescent="0.25">
      <c r="D233" s="399" t="s">
        <v>801</v>
      </c>
      <c r="E233" s="396" t="s">
        <v>511</v>
      </c>
    </row>
    <row r="234" spans="4:5" x14ac:dyDescent="0.25">
      <c r="D234" s="399" t="s">
        <v>802</v>
      </c>
      <c r="E234" s="396" t="s">
        <v>512</v>
      </c>
    </row>
    <row r="235" spans="4:5" x14ac:dyDescent="0.25">
      <c r="D235" s="399" t="s">
        <v>795</v>
      </c>
      <c r="E235" s="396" t="s">
        <v>513</v>
      </c>
    </row>
    <row r="236" spans="4:5" x14ac:dyDescent="0.25">
      <c r="D236" s="399" t="s">
        <v>803</v>
      </c>
      <c r="E236" s="396" t="s">
        <v>514</v>
      </c>
    </row>
    <row r="237" spans="4:5" x14ac:dyDescent="0.25">
      <c r="D237" s="399" t="s">
        <v>804</v>
      </c>
      <c r="E237" s="396" t="s">
        <v>515</v>
      </c>
    </row>
    <row r="238" spans="4:5" x14ac:dyDescent="0.25">
      <c r="D238" s="399" t="s">
        <v>805</v>
      </c>
      <c r="E238" s="396" t="s">
        <v>516</v>
      </c>
    </row>
    <row r="239" spans="4:5" x14ac:dyDescent="0.25">
      <c r="D239" s="399" t="s">
        <v>806</v>
      </c>
      <c r="E239" s="396" t="s">
        <v>517</v>
      </c>
    </row>
    <row r="240" spans="4:5" x14ac:dyDescent="0.25">
      <c r="D240" s="399" t="s">
        <v>840</v>
      </c>
      <c r="E240" s="396" t="s">
        <v>518</v>
      </c>
    </row>
    <row r="241" spans="4:5" x14ac:dyDescent="0.25">
      <c r="D241" s="399" t="s">
        <v>807</v>
      </c>
      <c r="E241" s="396" t="s">
        <v>519</v>
      </c>
    </row>
    <row r="242" spans="4:5" x14ac:dyDescent="0.25">
      <c r="D242" s="399" t="s">
        <v>808</v>
      </c>
      <c r="E242" s="396" t="s">
        <v>520</v>
      </c>
    </row>
    <row r="243" spans="4:5" x14ac:dyDescent="0.25">
      <c r="D243" s="399" t="s">
        <v>809</v>
      </c>
      <c r="E243" s="396" t="s">
        <v>521</v>
      </c>
    </row>
    <row r="244" spans="4:5" x14ac:dyDescent="0.25">
      <c r="D244" s="399"/>
      <c r="E244" s="396"/>
    </row>
    <row r="245" spans="4:5" x14ac:dyDescent="0.25">
      <c r="D245" s="399"/>
      <c r="E245" s="416" t="s">
        <v>529</v>
      </c>
    </row>
    <row r="246" spans="4:5" x14ac:dyDescent="0.25">
      <c r="D246" s="399" t="s">
        <v>810</v>
      </c>
      <c r="E246" s="396" t="s">
        <v>530</v>
      </c>
    </row>
    <row r="247" spans="4:5" x14ac:dyDescent="0.25">
      <c r="D247" s="399" t="s">
        <v>811</v>
      </c>
      <c r="E247" s="396" t="s">
        <v>531</v>
      </c>
    </row>
    <row r="248" spans="4:5" x14ac:dyDescent="0.25">
      <c r="D248" s="417"/>
      <c r="E248" s="398"/>
    </row>
    <row r="249" spans="4:5" x14ac:dyDescent="0.25">
      <c r="D249" s="393" t="s">
        <v>812</v>
      </c>
      <c r="E249" s="394" t="s">
        <v>532</v>
      </c>
    </row>
    <row r="250" spans="4:5" x14ac:dyDescent="0.25">
      <c r="D250" s="399" t="s">
        <v>813</v>
      </c>
      <c r="E250" s="396" t="s">
        <v>533</v>
      </c>
    </row>
    <row r="251" spans="4:5" x14ac:dyDescent="0.25">
      <c r="D251" s="399" t="s">
        <v>814</v>
      </c>
      <c r="E251" s="396" t="s">
        <v>534</v>
      </c>
    </row>
    <row r="252" spans="4:5" x14ac:dyDescent="0.25">
      <c r="D252" s="417"/>
      <c r="E252" s="398"/>
    </row>
    <row r="253" spans="4:5" x14ac:dyDescent="0.25">
      <c r="D253" s="393" t="s">
        <v>815</v>
      </c>
      <c r="E253" s="394" t="s">
        <v>10</v>
      </c>
    </row>
    <row r="254" spans="4:5" x14ac:dyDescent="0.25">
      <c r="D254" s="399" t="s">
        <v>816</v>
      </c>
      <c r="E254" s="396" t="s">
        <v>535</v>
      </c>
    </row>
    <row r="255" spans="4:5" x14ac:dyDescent="0.25">
      <c r="D255" s="399" t="s">
        <v>817</v>
      </c>
      <c r="E255" s="396" t="s">
        <v>536</v>
      </c>
    </row>
    <row r="256" spans="4:5" x14ac:dyDescent="0.25">
      <c r="D256" s="399" t="s">
        <v>818</v>
      </c>
      <c r="E256" s="396" t="s">
        <v>537</v>
      </c>
    </row>
    <row r="257" spans="4:5" x14ac:dyDescent="0.25">
      <c r="D257" s="399"/>
      <c r="E257" s="404"/>
    </row>
    <row r="258" spans="4:5" x14ac:dyDescent="0.25">
      <c r="D258" s="393" t="s">
        <v>819</v>
      </c>
      <c r="E258" s="394" t="s">
        <v>538</v>
      </c>
    </row>
    <row r="259" spans="4:5" x14ac:dyDescent="0.25">
      <c r="D259" s="399" t="s">
        <v>820</v>
      </c>
      <c r="E259" s="396" t="s">
        <v>539</v>
      </c>
    </row>
    <row r="260" spans="4:5" x14ac:dyDescent="0.25">
      <c r="D260" s="399" t="s">
        <v>821</v>
      </c>
      <c r="E260" s="396" t="s">
        <v>540</v>
      </c>
    </row>
    <row r="261" spans="4:5" x14ac:dyDescent="0.25">
      <c r="D261" s="399" t="s">
        <v>822</v>
      </c>
      <c r="E261" s="396" t="s">
        <v>541</v>
      </c>
    </row>
    <row r="262" spans="4:5" x14ac:dyDescent="0.25">
      <c r="D262" s="417"/>
      <c r="E262" s="398"/>
    </row>
    <row r="263" spans="4:5" x14ac:dyDescent="0.25">
      <c r="D263" s="393" t="s">
        <v>841</v>
      </c>
      <c r="E263" s="394" t="s">
        <v>542</v>
      </c>
    </row>
    <row r="264" spans="4:5" x14ac:dyDescent="0.25">
      <c r="D264" s="399" t="s">
        <v>842</v>
      </c>
      <c r="E264" s="396" t="s">
        <v>543</v>
      </c>
    </row>
    <row r="265" spans="4:5" x14ac:dyDescent="0.25">
      <c r="D265" s="399" t="s">
        <v>843</v>
      </c>
      <c r="E265" s="396" t="s">
        <v>544</v>
      </c>
    </row>
    <row r="266" spans="4:5" x14ac:dyDescent="0.25">
      <c r="D266" s="399" t="s">
        <v>844</v>
      </c>
      <c r="E266" s="396" t="s">
        <v>484</v>
      </c>
    </row>
    <row r="267" spans="4:5" x14ac:dyDescent="0.25">
      <c r="D267" s="399" t="s">
        <v>845</v>
      </c>
      <c r="E267" s="396" t="s">
        <v>486</v>
      </c>
    </row>
    <row r="268" spans="4:5" x14ac:dyDescent="0.25">
      <c r="D268" s="399" t="s">
        <v>846</v>
      </c>
      <c r="E268" s="396" t="s">
        <v>545</v>
      </c>
    </row>
    <row r="269" spans="4:5" x14ac:dyDescent="0.25">
      <c r="D269" s="417"/>
      <c r="E269" s="398"/>
    </row>
    <row r="270" spans="4:5" x14ac:dyDescent="0.25">
      <c r="D270" s="393" t="s">
        <v>823</v>
      </c>
      <c r="E270" s="394" t="s">
        <v>546</v>
      </c>
    </row>
    <row r="271" spans="4:5" x14ac:dyDescent="0.25">
      <c r="D271" s="399" t="s">
        <v>824</v>
      </c>
      <c r="E271" s="396" t="s">
        <v>547</v>
      </c>
    </row>
    <row r="272" spans="4:5" x14ac:dyDescent="0.25">
      <c r="D272" s="399" t="s">
        <v>825</v>
      </c>
      <c r="E272" s="396" t="s">
        <v>548</v>
      </c>
    </row>
    <row r="273" spans="4:5" x14ac:dyDescent="0.25">
      <c r="D273" s="399" t="s">
        <v>826</v>
      </c>
      <c r="E273" s="396" t="s">
        <v>549</v>
      </c>
    </row>
    <row r="274" spans="4:5" x14ac:dyDescent="0.25">
      <c r="D274" s="399" t="s">
        <v>827</v>
      </c>
      <c r="E274" s="396" t="s">
        <v>550</v>
      </c>
    </row>
    <row r="275" spans="4:5" x14ac:dyDescent="0.25">
      <c r="D275" s="399" t="s">
        <v>847</v>
      </c>
      <c r="E275" s="396" t="s">
        <v>551</v>
      </c>
    </row>
    <row r="276" spans="4:5" x14ac:dyDescent="0.25">
      <c r="D276" s="399" t="s">
        <v>828</v>
      </c>
      <c r="E276" s="396" t="s">
        <v>552</v>
      </c>
    </row>
    <row r="277" spans="4:5" x14ac:dyDescent="0.25">
      <c r="D277" s="399" t="s">
        <v>829</v>
      </c>
      <c r="E277" s="396" t="s">
        <v>553</v>
      </c>
    </row>
    <row r="278" spans="4:5" x14ac:dyDescent="0.25">
      <c r="D278" s="399" t="s">
        <v>830</v>
      </c>
      <c r="E278" s="396" t="s">
        <v>554</v>
      </c>
    </row>
    <row r="279" spans="4:5" x14ac:dyDescent="0.25">
      <c r="D279" s="399" t="s">
        <v>831</v>
      </c>
      <c r="E279" s="396" t="s">
        <v>555</v>
      </c>
    </row>
    <row r="280" spans="4:5" x14ac:dyDescent="0.25">
      <c r="D280" s="399"/>
      <c r="E280" s="404"/>
    </row>
    <row r="281" spans="4:5" x14ac:dyDescent="0.25">
      <c r="D281" s="399"/>
      <c r="E281" s="404"/>
    </row>
    <row r="282" spans="4:5" x14ac:dyDescent="0.25">
      <c r="D282" s="393" t="s">
        <v>832</v>
      </c>
      <c r="E282" s="397" t="s">
        <v>556</v>
      </c>
    </row>
    <row r="283" spans="4:5" x14ac:dyDescent="0.25">
      <c r="D283" s="399" t="s">
        <v>833</v>
      </c>
      <c r="E283" s="396" t="s">
        <v>502</v>
      </c>
    </row>
    <row r="284" spans="4:5" x14ac:dyDescent="0.25">
      <c r="D284" s="399" t="s">
        <v>834</v>
      </c>
      <c r="E284" s="396" t="s">
        <v>504</v>
      </c>
    </row>
    <row r="285" spans="4:5" x14ac:dyDescent="0.25">
      <c r="D285" s="417"/>
      <c r="E285" s="398"/>
    </row>
    <row r="286" spans="4:5" x14ac:dyDescent="0.25">
      <c r="D286" s="393" t="s">
        <v>835</v>
      </c>
      <c r="E286" s="394" t="s">
        <v>376</v>
      </c>
    </row>
    <row r="287" spans="4:5" x14ac:dyDescent="0.25">
      <c r="D287" s="399" t="s">
        <v>836</v>
      </c>
      <c r="E287" s="396" t="s">
        <v>557</v>
      </c>
    </row>
    <row r="288" spans="4:5" x14ac:dyDescent="0.25">
      <c r="D288" s="399" t="s">
        <v>837</v>
      </c>
      <c r="E288" s="396" t="s">
        <v>558</v>
      </c>
    </row>
    <row r="289" spans="4:5" x14ac:dyDescent="0.25">
      <c r="D289" s="399" t="s">
        <v>838</v>
      </c>
      <c r="E289" s="396" t="s">
        <v>559</v>
      </c>
    </row>
    <row r="290" spans="4:5" x14ac:dyDescent="0.25">
      <c r="D290" s="399"/>
      <c r="E290" s="404"/>
    </row>
    <row r="291" spans="4:5" x14ac:dyDescent="0.25">
      <c r="D291" s="393">
        <v>5</v>
      </c>
      <c r="E291" s="394" t="s">
        <v>560</v>
      </c>
    </row>
    <row r="292" spans="4:5" x14ac:dyDescent="0.25">
      <c r="D292" s="393" t="s">
        <v>523</v>
      </c>
      <c r="E292" s="390" t="s">
        <v>561</v>
      </c>
    </row>
    <row r="293" spans="4:5" x14ac:dyDescent="0.25">
      <c r="D293" s="427" t="s">
        <v>525</v>
      </c>
      <c r="E293" s="427" t="s">
        <v>562</v>
      </c>
    </row>
    <row r="294" spans="4:5" x14ac:dyDescent="0.25">
      <c r="D294" s="427" t="s">
        <v>866</v>
      </c>
      <c r="E294" s="427" t="s">
        <v>563</v>
      </c>
    </row>
    <row r="295" spans="4:5" x14ac:dyDescent="0.25">
      <c r="D295" s="284"/>
      <c r="E295" s="389"/>
    </row>
    <row r="296" spans="4:5" x14ac:dyDescent="0.25">
      <c r="D296" s="283"/>
      <c r="E296" s="283"/>
    </row>
    <row r="489" spans="5:5" x14ac:dyDescent="0.25">
      <c r="E489" s="388"/>
    </row>
    <row r="490" spans="5:5" x14ac:dyDescent="0.25">
      <c r="E490" s="388"/>
    </row>
    <row r="491" spans="5:5" x14ac:dyDescent="0.25">
      <c r="E491" s="388"/>
    </row>
    <row r="492" spans="5:5" x14ac:dyDescent="0.25">
      <c r="E492" s="388"/>
    </row>
    <row r="493" spans="5:5" x14ac:dyDescent="0.25">
      <c r="E493" s="388"/>
    </row>
    <row r="494" spans="5:5" x14ac:dyDescent="0.25">
      <c r="E494" s="388"/>
    </row>
    <row r="495" spans="5:5" x14ac:dyDescent="0.25">
      <c r="E495" s="388"/>
    </row>
    <row r="496" spans="5:5" x14ac:dyDescent="0.25">
      <c r="E496" s="388"/>
    </row>
    <row r="497" spans="5:5" x14ac:dyDescent="0.25">
      <c r="E497" s="388"/>
    </row>
    <row r="498" spans="5:5" x14ac:dyDescent="0.25">
      <c r="E498" s="388"/>
    </row>
    <row r="499" spans="5:5" x14ac:dyDescent="0.25">
      <c r="E499" s="388"/>
    </row>
    <row r="500" spans="5:5" x14ac:dyDescent="0.25">
      <c r="E500" s="388"/>
    </row>
    <row r="501" spans="5:5" x14ac:dyDescent="0.25">
      <c r="E501" s="388"/>
    </row>
    <row r="502" spans="5:5" x14ac:dyDescent="0.25">
      <c r="E502" s="388"/>
    </row>
    <row r="503" spans="5:5" x14ac:dyDescent="0.25">
      <c r="E503" s="388"/>
    </row>
    <row r="504" spans="5:5" x14ac:dyDescent="0.25">
      <c r="E504" s="388"/>
    </row>
    <row r="505" spans="5:5" x14ac:dyDescent="0.25">
      <c r="E505" s="388"/>
    </row>
    <row r="506" spans="5:5" x14ac:dyDescent="0.25">
      <c r="E506" s="388"/>
    </row>
    <row r="507" spans="5:5" x14ac:dyDescent="0.25">
      <c r="E507" s="388"/>
    </row>
    <row r="508" spans="5:5" x14ac:dyDescent="0.25">
      <c r="E508" s="388"/>
    </row>
    <row r="509" spans="5:5" x14ac:dyDescent="0.25">
      <c r="E509" s="388"/>
    </row>
    <row r="510" spans="5:5" x14ac:dyDescent="0.25">
      <c r="E510" s="388"/>
    </row>
    <row r="511" spans="5:5" x14ac:dyDescent="0.25">
      <c r="E511" s="388"/>
    </row>
    <row r="512" spans="5:5" x14ac:dyDescent="0.25">
      <c r="E512" s="388"/>
    </row>
    <row r="513" spans="5:5" x14ac:dyDescent="0.25">
      <c r="E513" s="388"/>
    </row>
    <row r="514" spans="5:5" x14ac:dyDescent="0.25">
      <c r="E514" s="388"/>
    </row>
    <row r="515" spans="5:5" x14ac:dyDescent="0.25">
      <c r="E515" s="388"/>
    </row>
    <row r="516" spans="5:5" x14ac:dyDescent="0.25">
      <c r="E516" s="388"/>
    </row>
    <row r="517" spans="5:5" x14ac:dyDescent="0.25">
      <c r="E517" s="388"/>
    </row>
    <row r="518" spans="5:5" x14ac:dyDescent="0.25">
      <c r="E518" s="388"/>
    </row>
    <row r="519" spans="5:5" x14ac:dyDescent="0.25">
      <c r="E519" s="388"/>
    </row>
    <row r="520" spans="5:5" x14ac:dyDescent="0.25">
      <c r="E520" s="388"/>
    </row>
    <row r="521" spans="5:5" x14ac:dyDescent="0.25">
      <c r="E521" s="388"/>
    </row>
    <row r="522" spans="5:5" x14ac:dyDescent="0.25">
      <c r="E522" s="388"/>
    </row>
    <row r="523" spans="5:5" x14ac:dyDescent="0.25">
      <c r="E523" s="388"/>
    </row>
    <row r="524" spans="5:5" x14ac:dyDescent="0.25">
      <c r="E524" s="388"/>
    </row>
    <row r="525" spans="5:5" x14ac:dyDescent="0.25">
      <c r="E525" s="388"/>
    </row>
    <row r="526" spans="5:5" x14ac:dyDescent="0.25">
      <c r="E526" s="388"/>
    </row>
    <row r="527" spans="5:5" x14ac:dyDescent="0.25">
      <c r="E527" s="388"/>
    </row>
    <row r="528" spans="5:5" x14ac:dyDescent="0.25">
      <c r="E528" s="388"/>
    </row>
    <row r="529" spans="5:5" x14ac:dyDescent="0.25">
      <c r="E529" s="388"/>
    </row>
    <row r="530" spans="5:5" x14ac:dyDescent="0.25">
      <c r="E530" s="388"/>
    </row>
    <row r="531" spans="5:5" x14ac:dyDescent="0.25">
      <c r="E531" s="388"/>
    </row>
    <row r="532" spans="5:5" x14ac:dyDescent="0.25">
      <c r="E532" s="388"/>
    </row>
    <row r="533" spans="5:5" x14ac:dyDescent="0.25">
      <c r="E533" s="388"/>
    </row>
    <row r="534" spans="5:5" x14ac:dyDescent="0.25">
      <c r="E534" s="388"/>
    </row>
    <row r="535" spans="5:5" x14ac:dyDescent="0.25">
      <c r="E535" s="388"/>
    </row>
    <row r="536" spans="5:5" x14ac:dyDescent="0.25">
      <c r="E536" s="388"/>
    </row>
    <row r="537" spans="5:5" x14ac:dyDescent="0.25">
      <c r="E537" s="388"/>
    </row>
    <row r="538" spans="5:5" x14ac:dyDescent="0.25">
      <c r="E538" s="388"/>
    </row>
    <row r="539" spans="5:5" x14ac:dyDescent="0.25">
      <c r="E539" s="388"/>
    </row>
    <row r="540" spans="5:5" x14ac:dyDescent="0.25">
      <c r="E540" s="388"/>
    </row>
    <row r="541" spans="5:5" x14ac:dyDescent="0.25">
      <c r="E541" s="388"/>
    </row>
    <row r="542" spans="5:5" x14ac:dyDescent="0.25">
      <c r="E542" s="388"/>
    </row>
    <row r="543" spans="5:5" x14ac:dyDescent="0.25">
      <c r="E543" s="388"/>
    </row>
    <row r="544" spans="5:5" x14ac:dyDescent="0.25">
      <c r="E544" s="388"/>
    </row>
    <row r="545" spans="5:5" x14ac:dyDescent="0.25">
      <c r="E545" s="388"/>
    </row>
    <row r="546" spans="5:5" x14ac:dyDescent="0.25">
      <c r="E546" s="388"/>
    </row>
    <row r="547" spans="5:5" x14ac:dyDescent="0.25">
      <c r="E547" s="388"/>
    </row>
    <row r="548" spans="5:5" x14ac:dyDescent="0.25">
      <c r="E548" s="388"/>
    </row>
    <row r="549" spans="5:5" x14ac:dyDescent="0.25">
      <c r="E549" s="388"/>
    </row>
    <row r="550" spans="5:5" x14ac:dyDescent="0.25">
      <c r="E550" s="388"/>
    </row>
    <row r="551" spans="5:5" x14ac:dyDescent="0.25">
      <c r="E551" s="388"/>
    </row>
    <row r="552" spans="5:5" x14ac:dyDescent="0.25">
      <c r="E552" s="388"/>
    </row>
    <row r="553" spans="5:5" x14ac:dyDescent="0.25">
      <c r="E553" s="388"/>
    </row>
    <row r="554" spans="5:5" x14ac:dyDescent="0.25">
      <c r="E554" s="388"/>
    </row>
    <row r="555" spans="5:5" x14ac:dyDescent="0.25">
      <c r="E555" s="388"/>
    </row>
    <row r="556" spans="5:5" x14ac:dyDescent="0.25">
      <c r="E556" s="388"/>
    </row>
    <row r="557" spans="5:5" x14ac:dyDescent="0.25">
      <c r="E557" s="388"/>
    </row>
  </sheetData>
  <sheetProtection algorithmName="SHA-512" hashValue="Yd26ETWlvdsjYZYIJpmPzkMeVwr12Yeas1OvVLxbgoK623wBN5yY2UI8ph2mGu8R3b/viwmqs0poZM5Y4k0Vug==" saltValue="QOdACtP2wemyfHU5tGiZxA==" spinCount="100000" sheet="1" objects="1" scenarios="1" selectLockedCells="1" selectUnlockedCells="1"/>
  <mergeCells count="1">
    <mergeCell ref="D1:E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>
    <tabColor theme="1"/>
  </sheetPr>
  <dimension ref="A1:AD111"/>
  <sheetViews>
    <sheetView topLeftCell="B1" zoomScale="70" zoomScaleNormal="70" workbookViewId="0">
      <selection activeCell="G28" sqref="G28"/>
    </sheetView>
  </sheetViews>
  <sheetFormatPr defaultColWidth="10.140625" defaultRowHeight="15.75" x14ac:dyDescent="0.25"/>
  <cols>
    <col min="1" max="1" width="37.28515625" style="30" customWidth="1"/>
    <col min="2" max="2" width="44.7109375" style="95" customWidth="1"/>
    <col min="3" max="3" width="6.85546875" style="95" customWidth="1"/>
    <col min="4" max="4" width="18.85546875" style="95" bestFit="1" customWidth="1"/>
    <col min="5" max="5" width="45.5703125" style="95" customWidth="1"/>
    <col min="6" max="6" width="18.85546875" style="102" bestFit="1" customWidth="1"/>
    <col min="7" max="7" width="19.28515625" style="102" bestFit="1" customWidth="1"/>
    <col min="8" max="8" width="45.5703125" style="95" bestFit="1" customWidth="1"/>
    <col min="9" max="9" width="13.28515625" style="95" customWidth="1"/>
    <col min="10" max="10" width="10.140625" style="95"/>
    <col min="11" max="11" width="17.7109375" style="95" customWidth="1"/>
    <col min="12" max="12" width="16.42578125" style="95" customWidth="1"/>
    <col min="13" max="13" width="3.42578125" style="95" customWidth="1"/>
    <col min="14" max="14" width="14.28515625" style="95" customWidth="1"/>
    <col min="15" max="15" width="12.7109375" style="95" bestFit="1" customWidth="1"/>
    <col min="16" max="16" width="3.42578125" style="95" customWidth="1"/>
    <col min="17" max="17" width="14" style="95" bestFit="1" customWidth="1"/>
    <col min="18" max="18" width="10.7109375" style="95" customWidth="1"/>
    <col min="19" max="19" width="3.42578125" style="95" customWidth="1"/>
    <col min="20" max="20" width="18.28515625" style="95" customWidth="1"/>
    <col min="21" max="21" width="16.42578125" style="95" bestFit="1" customWidth="1"/>
    <col min="22" max="22" width="3.42578125" style="95" customWidth="1"/>
    <col min="23" max="23" width="12.85546875" style="95" bestFit="1" customWidth="1"/>
    <col min="24" max="24" width="12.28515625" style="95" customWidth="1"/>
    <col min="25" max="25" width="3.42578125" style="95" customWidth="1"/>
    <col min="26" max="26" width="15.42578125" style="95" bestFit="1" customWidth="1"/>
    <col min="27" max="27" width="16.85546875" style="95" bestFit="1" customWidth="1"/>
    <col min="28" max="28" width="3.42578125" style="95" customWidth="1"/>
    <col min="29" max="30" width="14.140625" style="95" customWidth="1"/>
    <col min="31" max="16384" width="10.140625" style="95"/>
  </cols>
  <sheetData>
    <row r="1" spans="1:30" ht="20.25" x14ac:dyDescent="0.3">
      <c r="A1" s="98" t="s">
        <v>675</v>
      </c>
      <c r="D1" s="624" t="s">
        <v>613</v>
      </c>
      <c r="E1" s="624"/>
      <c r="F1" s="624"/>
      <c r="G1" s="624"/>
      <c r="H1" s="624"/>
      <c r="I1" s="99"/>
      <c r="J1" s="99"/>
      <c r="K1" s="625" t="s">
        <v>983</v>
      </c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</row>
    <row r="2" spans="1:30" x14ac:dyDescent="0.25">
      <c r="C2" s="489"/>
      <c r="D2" s="106" t="s">
        <v>614</v>
      </c>
      <c r="E2" s="106" t="s">
        <v>615</v>
      </c>
      <c r="F2" s="107" t="s">
        <v>616</v>
      </c>
      <c r="G2" s="107" t="s">
        <v>617</v>
      </c>
      <c r="H2" s="108" t="s">
        <v>618</v>
      </c>
      <c r="K2" s="162" t="s">
        <v>164</v>
      </c>
      <c r="M2" s="21"/>
      <c r="N2" s="21"/>
      <c r="O2" s="21"/>
      <c r="P2" s="99"/>
      <c r="Q2" s="99"/>
    </row>
    <row r="3" spans="1:30" x14ac:dyDescent="0.25">
      <c r="C3" s="94"/>
      <c r="D3" s="285" t="s">
        <v>623</v>
      </c>
      <c r="E3" s="119" t="s">
        <v>14</v>
      </c>
      <c r="F3" s="120"/>
      <c r="G3" s="113">
        <f>Decisões!E2</f>
        <v>550000</v>
      </c>
      <c r="H3" s="114" t="s">
        <v>625</v>
      </c>
      <c r="I3" s="32"/>
      <c r="K3" s="99"/>
      <c r="L3" s="21"/>
      <c r="M3" s="21"/>
      <c r="N3" s="21"/>
      <c r="O3" s="21"/>
      <c r="P3" s="283"/>
      <c r="Q3" s="283"/>
      <c r="R3" s="283"/>
      <c r="S3" s="283"/>
      <c r="T3" s="283"/>
      <c r="U3" s="283"/>
      <c r="V3" s="284"/>
      <c r="W3" s="283"/>
      <c r="X3" s="283"/>
    </row>
    <row r="4" spans="1:30" x14ac:dyDescent="0.25">
      <c r="C4" s="94"/>
      <c r="D4" s="283" t="s">
        <v>621</v>
      </c>
      <c r="E4" s="96" t="s">
        <v>169</v>
      </c>
      <c r="F4" s="109" t="e">
        <f>G3-F5</f>
        <v>#N/A</v>
      </c>
      <c r="G4" s="109"/>
      <c r="H4" s="100" t="str">
        <f>H3</f>
        <v>Integralização do Capital</v>
      </c>
      <c r="I4" s="32"/>
      <c r="K4" s="639" t="str">
        <f>E4</f>
        <v>Caixa e Equivalentes de Caixa</v>
      </c>
      <c r="L4" s="640"/>
      <c r="M4" s="21"/>
      <c r="N4" s="632" t="str">
        <f>E5</f>
        <v>Instalações (Edifícios)</v>
      </c>
      <c r="O4" s="631"/>
      <c r="P4" s="283"/>
      <c r="Q4" s="630" t="str">
        <f>E6</f>
        <v>Veículos</v>
      </c>
      <c r="R4" s="631"/>
      <c r="S4" s="283"/>
      <c r="T4" s="638" t="str">
        <f>E10</f>
        <v>Estoque de Matérias-primas</v>
      </c>
      <c r="U4" s="637"/>
      <c r="V4" s="21"/>
      <c r="W4" s="630" t="str">
        <f>E13</f>
        <v>IPI a Compensar</v>
      </c>
      <c r="X4" s="631"/>
      <c r="Y4" s="283"/>
      <c r="Z4" s="630" t="str">
        <f>E14</f>
        <v>Pis/Pasep a Compensar</v>
      </c>
      <c r="AA4" s="631"/>
    </row>
    <row r="5" spans="1:30" x14ac:dyDescent="0.25">
      <c r="C5" s="94"/>
      <c r="D5" s="286" t="s">
        <v>621</v>
      </c>
      <c r="E5" s="121" t="s">
        <v>251</v>
      </c>
      <c r="F5" s="116" t="e">
        <f>Decisões!$E$25</f>
        <v>#N/A</v>
      </c>
      <c r="G5" s="116"/>
      <c r="H5" s="117" t="str">
        <f>H4</f>
        <v>Integralização do Capital</v>
      </c>
      <c r="I5" s="32"/>
      <c r="K5" s="326" t="e">
        <f>F4</f>
        <v>#N/A</v>
      </c>
      <c r="L5" s="291"/>
      <c r="M5" s="21"/>
      <c r="N5" s="326" t="e">
        <f>F5</f>
        <v>#N/A</v>
      </c>
      <c r="O5" s="291"/>
      <c r="P5" s="283"/>
      <c r="Q5" s="326">
        <f>F6</f>
        <v>120000</v>
      </c>
      <c r="R5" s="291"/>
      <c r="S5" s="283"/>
      <c r="T5" s="326">
        <f>F10</f>
        <v>0</v>
      </c>
      <c r="U5" s="328" t="e">
        <f>G17</f>
        <v>#DIV/0!</v>
      </c>
      <c r="V5" s="21"/>
      <c r="W5" s="326">
        <f>F13</f>
        <v>0</v>
      </c>
      <c r="X5" s="291"/>
      <c r="Y5" s="283"/>
      <c r="Z5" s="341">
        <f>F14</f>
        <v>0</v>
      </c>
      <c r="AA5" s="21"/>
    </row>
    <row r="6" spans="1:30" x14ac:dyDescent="0.25">
      <c r="C6" s="94"/>
      <c r="D6" s="283" t="s">
        <v>621</v>
      </c>
      <c r="E6" s="32" t="s">
        <v>257</v>
      </c>
      <c r="F6" s="111">
        <f>Decisões!E59</f>
        <v>120000</v>
      </c>
      <c r="G6" s="111"/>
      <c r="H6" s="95" t="s">
        <v>632</v>
      </c>
      <c r="I6" s="32"/>
      <c r="K6" s="329">
        <f>F8</f>
        <v>0</v>
      </c>
      <c r="L6" s="328">
        <f>G7</f>
        <v>120000</v>
      </c>
      <c r="M6" s="21"/>
      <c r="N6" s="290"/>
      <c r="O6" s="291"/>
      <c r="P6" s="283"/>
      <c r="Q6" s="290"/>
      <c r="R6" s="291"/>
      <c r="S6" s="283"/>
      <c r="T6" s="290"/>
      <c r="U6" s="291"/>
      <c r="V6" s="21"/>
      <c r="W6" s="290"/>
      <c r="X6" s="291"/>
      <c r="Y6" s="283"/>
      <c r="Z6" s="359" t="e">
        <f>F19</f>
        <v>#N/A</v>
      </c>
      <c r="AA6" s="21"/>
    </row>
    <row r="7" spans="1:30" x14ac:dyDescent="0.25">
      <c r="C7" s="101"/>
      <c r="D7" s="286" t="s">
        <v>621</v>
      </c>
      <c r="E7" s="115" t="s">
        <v>169</v>
      </c>
      <c r="F7" s="118"/>
      <c r="G7" s="118">
        <f>F6</f>
        <v>120000</v>
      </c>
      <c r="H7" s="123" t="str">
        <f>H6</f>
        <v>Aquisição de Caminhonete</v>
      </c>
      <c r="I7" s="32"/>
      <c r="K7" s="290"/>
      <c r="L7" s="328">
        <f>G11</f>
        <v>0</v>
      </c>
      <c r="M7" s="21"/>
      <c r="N7" s="290"/>
      <c r="O7" s="291"/>
      <c r="P7" s="283"/>
      <c r="Q7" s="290"/>
      <c r="R7" s="291"/>
      <c r="S7" s="283"/>
      <c r="T7" s="290"/>
      <c r="U7" s="291"/>
      <c r="V7" s="21"/>
      <c r="W7" s="290"/>
      <c r="X7" s="291"/>
      <c r="Y7" s="283"/>
      <c r="Z7" s="359" t="e">
        <f>F26</f>
        <v>#N/A</v>
      </c>
      <c r="AA7" s="21"/>
    </row>
    <row r="8" spans="1:30" x14ac:dyDescent="0.25">
      <c r="C8" s="101"/>
      <c r="D8" s="283" t="s">
        <v>621</v>
      </c>
      <c r="E8" s="32" t="s">
        <v>169</v>
      </c>
      <c r="F8" s="111">
        <f>Decisões!E65</f>
        <v>0</v>
      </c>
      <c r="G8" s="111"/>
      <c r="H8" s="95" t="s">
        <v>943</v>
      </c>
      <c r="I8" s="32"/>
      <c r="K8" s="290"/>
      <c r="L8" s="328" t="e">
        <f>G28</f>
        <v>#N/A</v>
      </c>
      <c r="M8" s="21"/>
      <c r="N8" s="290"/>
      <c r="O8" s="291"/>
      <c r="P8" s="283"/>
      <c r="Q8" s="290"/>
      <c r="R8" s="291"/>
      <c r="S8" s="283"/>
      <c r="T8" s="290"/>
      <c r="U8" s="291"/>
      <c r="V8" s="21"/>
      <c r="W8" s="290"/>
      <c r="X8" s="291"/>
      <c r="Y8" s="283"/>
      <c r="Z8" s="161"/>
      <c r="AA8" s="21"/>
    </row>
    <row r="9" spans="1:30" x14ac:dyDescent="0.25">
      <c r="C9" s="101"/>
      <c r="D9" s="283" t="s">
        <v>622</v>
      </c>
      <c r="E9" s="115" t="s">
        <v>298</v>
      </c>
      <c r="F9" s="111"/>
      <c r="G9" s="111">
        <f>F8</f>
        <v>0</v>
      </c>
      <c r="H9" s="95" t="s">
        <v>943</v>
      </c>
      <c r="I9" s="32"/>
      <c r="K9" s="290"/>
      <c r="L9" s="328" t="e">
        <f>G30</f>
        <v>#N/A</v>
      </c>
      <c r="M9" s="21"/>
      <c r="N9" s="290"/>
      <c r="O9" s="291"/>
      <c r="P9" s="283"/>
      <c r="Q9" s="290"/>
      <c r="R9" s="291"/>
      <c r="S9" s="283"/>
      <c r="T9" s="290"/>
      <c r="U9" s="291"/>
      <c r="V9" s="21"/>
      <c r="W9" s="290"/>
      <c r="X9" s="291"/>
      <c r="Y9" s="283"/>
      <c r="Z9" s="161"/>
      <c r="AA9" s="21"/>
    </row>
    <row r="10" spans="1:30" x14ac:dyDescent="0.25">
      <c r="C10" s="101"/>
      <c r="D10" s="285" t="s">
        <v>621</v>
      </c>
      <c r="E10" s="119" t="s">
        <v>208</v>
      </c>
      <c r="F10" s="113">
        <f>SUM('Estoque de MP'!N7,'Estoque de MP'!L7)</f>
        <v>0</v>
      </c>
      <c r="G10" s="113"/>
      <c r="H10" s="114" t="s">
        <v>627</v>
      </c>
      <c r="I10" s="32"/>
      <c r="K10" s="290"/>
      <c r="L10" s="328" t="e">
        <f>G32</f>
        <v>#N/A</v>
      </c>
      <c r="M10" s="21"/>
      <c r="N10" s="290"/>
      <c r="O10" s="291"/>
      <c r="P10" s="283"/>
      <c r="Q10" s="290"/>
      <c r="R10" s="291"/>
      <c r="S10" s="283"/>
      <c r="T10" s="290"/>
      <c r="U10" s="291"/>
      <c r="V10" s="21"/>
      <c r="W10" s="290"/>
      <c r="X10" s="291"/>
      <c r="Y10" s="283"/>
      <c r="Z10" s="161"/>
      <c r="AA10" s="21"/>
    </row>
    <row r="11" spans="1:30" x14ac:dyDescent="0.25">
      <c r="C11" s="94"/>
      <c r="D11" s="283" t="s">
        <v>621</v>
      </c>
      <c r="E11" s="32" t="s">
        <v>169</v>
      </c>
      <c r="F11" s="255"/>
      <c r="G11" s="109">
        <f>'Estoque de MP'!H7</f>
        <v>0</v>
      </c>
      <c r="H11" s="100" t="str">
        <f>H10</f>
        <v>Aquisição de Matéria-Prima</v>
      </c>
      <c r="I11" s="32"/>
      <c r="K11" s="329" t="e">
        <f>F55</f>
        <v>#DIV/0!</v>
      </c>
      <c r="L11" s="363">
        <f>G68</f>
        <v>500</v>
      </c>
      <c r="M11" s="21"/>
      <c r="N11" s="290"/>
      <c r="O11" s="291"/>
      <c r="P11" s="283"/>
      <c r="Q11" s="290"/>
      <c r="R11" s="291"/>
      <c r="S11" s="283"/>
      <c r="T11" s="290"/>
      <c r="U11" s="291"/>
      <c r="V11" s="21"/>
      <c r="W11" s="290"/>
      <c r="X11" s="291"/>
      <c r="Y11" s="283"/>
      <c r="Z11" s="161"/>
      <c r="AA11" s="21"/>
    </row>
    <row r="12" spans="1:30" x14ac:dyDescent="0.25">
      <c r="C12" s="94"/>
      <c r="D12" s="283" t="s">
        <v>621</v>
      </c>
      <c r="E12" s="32" t="s">
        <v>179</v>
      </c>
      <c r="F12" s="571">
        <f>'Estoque de MP'!M7</f>
        <v>0</v>
      </c>
      <c r="G12" s="109"/>
      <c r="H12" s="100" t="str">
        <f>H11</f>
        <v>Aquisição de Matéria-Prima</v>
      </c>
      <c r="I12" s="32"/>
      <c r="K12" s="290"/>
      <c r="L12" s="364">
        <f>G72</f>
        <v>0</v>
      </c>
      <c r="M12" s="21"/>
      <c r="N12" s="282" t="e">
        <f>SUM(N5:N11)</f>
        <v>#N/A</v>
      </c>
      <c r="O12" s="294">
        <f>SUM(O5:O11)</f>
        <v>0</v>
      </c>
      <c r="P12" s="289"/>
      <c r="Q12" s="282">
        <f>SUM(Q5:Q11)</f>
        <v>120000</v>
      </c>
      <c r="R12" s="294">
        <f>SUM(R5:R11)</f>
        <v>0</v>
      </c>
      <c r="S12" s="289"/>
      <c r="T12" s="282" t="e">
        <f>SUM(T5:T11)-SUM(U5:U11)</f>
        <v>#DIV/0!</v>
      </c>
      <c r="U12" s="294"/>
      <c r="V12" s="291"/>
      <c r="W12" s="282">
        <f>SUM(W5:W11)</f>
        <v>0</v>
      </c>
      <c r="X12" s="294">
        <f>SUM(X5:X11)</f>
        <v>0</v>
      </c>
      <c r="Y12" s="289"/>
      <c r="Z12" s="282" t="e">
        <f>SUM(Z5:Z11)</f>
        <v>#N/A</v>
      </c>
      <c r="AA12" s="294">
        <f>SUM(AA5:AA11)</f>
        <v>0</v>
      </c>
    </row>
    <row r="13" spans="1:30" x14ac:dyDescent="0.25">
      <c r="C13" s="94"/>
      <c r="D13" s="283" t="s">
        <v>621</v>
      </c>
      <c r="E13" s="32" t="s">
        <v>181</v>
      </c>
      <c r="F13" s="102">
        <f>'Estoque de MP'!I7</f>
        <v>0</v>
      </c>
      <c r="G13" s="109"/>
      <c r="H13" s="100" t="str">
        <f>H12</f>
        <v>Aquisição de Matéria-Prima</v>
      </c>
      <c r="I13" s="32"/>
      <c r="K13" s="290"/>
      <c r="L13" s="279"/>
      <c r="M13" s="21"/>
      <c r="N13" s="252"/>
      <c r="O13" s="252"/>
      <c r="P13" s="283"/>
      <c r="Q13" s="252"/>
      <c r="R13" s="252"/>
      <c r="S13" s="283"/>
      <c r="T13" s="252"/>
      <c r="U13" s="252"/>
      <c r="V13" s="21"/>
      <c r="W13" s="252"/>
      <c r="X13" s="252"/>
      <c r="Y13" s="283"/>
      <c r="Z13" s="252"/>
      <c r="AA13" s="252"/>
    </row>
    <row r="14" spans="1:30" x14ac:dyDescent="0.25">
      <c r="C14" s="94"/>
      <c r="D14" s="283" t="s">
        <v>621</v>
      </c>
      <c r="E14" s="32" t="s">
        <v>183</v>
      </c>
      <c r="F14" s="571">
        <f>'Estoque de MP'!J7</f>
        <v>0</v>
      </c>
      <c r="G14" s="109"/>
      <c r="H14" s="100" t="str">
        <f>H13</f>
        <v>Aquisição de Matéria-Prima</v>
      </c>
      <c r="I14" s="32"/>
      <c r="K14" s="292"/>
      <c r="L14" s="293"/>
      <c r="M14" s="21"/>
      <c r="N14" s="252"/>
      <c r="O14" s="252"/>
      <c r="P14" s="283"/>
      <c r="Q14" s="252"/>
      <c r="R14" s="252"/>
      <c r="S14" s="283"/>
      <c r="T14" s="252"/>
      <c r="U14" s="252"/>
      <c r="V14" s="21"/>
      <c r="W14" s="252"/>
      <c r="X14" s="252"/>
      <c r="Y14" s="283"/>
      <c r="Z14" s="252"/>
      <c r="AA14" s="252"/>
    </row>
    <row r="15" spans="1:30" x14ac:dyDescent="0.25">
      <c r="C15" s="94"/>
      <c r="D15" s="286" t="s">
        <v>621</v>
      </c>
      <c r="E15" s="115" t="s">
        <v>185</v>
      </c>
      <c r="F15" s="572">
        <f>'Estoque de MP'!K7</f>
        <v>0</v>
      </c>
      <c r="G15" s="116"/>
      <c r="H15" s="117" t="str">
        <f>H14</f>
        <v>Aquisição de Matéria-Prima</v>
      </c>
      <c r="I15" s="32"/>
      <c r="K15" s="290" t="e">
        <f>SUM(K5:K14)-SUM(L5:L14)</f>
        <v>#N/A</v>
      </c>
      <c r="L15" s="279"/>
      <c r="M15" s="21"/>
      <c r="N15" s="21"/>
      <c r="O15" s="21"/>
      <c r="P15" s="283"/>
      <c r="Q15" s="283"/>
      <c r="R15" s="283"/>
      <c r="S15" s="283"/>
      <c r="T15" s="283"/>
      <c r="U15" s="283"/>
      <c r="V15" s="283"/>
      <c r="W15" s="283"/>
      <c r="X15" s="283"/>
    </row>
    <row r="16" spans="1:30" ht="15.75" customHeight="1" x14ac:dyDescent="0.25">
      <c r="C16" s="94"/>
      <c r="D16" s="283" t="s">
        <v>621</v>
      </c>
      <c r="E16" s="32" t="s">
        <v>206</v>
      </c>
      <c r="F16" s="102" t="e">
        <f>G17</f>
        <v>#DIV/0!</v>
      </c>
      <c r="G16" s="109"/>
      <c r="H16" s="100" t="s">
        <v>930</v>
      </c>
      <c r="I16" s="32"/>
      <c r="L16" s="21"/>
      <c r="M16" s="21"/>
      <c r="N16" s="21"/>
      <c r="O16" s="21"/>
      <c r="P16" s="283"/>
      <c r="Q16" s="283"/>
      <c r="R16" s="283"/>
      <c r="S16" s="283"/>
      <c r="T16" s="283"/>
      <c r="U16" s="283"/>
      <c r="V16" s="283"/>
      <c r="W16" s="283"/>
      <c r="X16" s="283"/>
    </row>
    <row r="17" spans="3:27" x14ac:dyDescent="0.25">
      <c r="C17" s="94"/>
      <c r="D17" s="286" t="s">
        <v>621</v>
      </c>
      <c r="E17" s="115" t="s">
        <v>793</v>
      </c>
      <c r="F17" s="118"/>
      <c r="G17" s="116" t="e">
        <f>'Estoque de MP'!E53</f>
        <v>#DIV/0!</v>
      </c>
      <c r="H17" s="117" t="str">
        <f>H16</f>
        <v>Processo produtivo</v>
      </c>
      <c r="I17" s="32"/>
      <c r="L17" s="21"/>
      <c r="M17" s="21"/>
      <c r="N17" s="626" t="str">
        <f>E15</f>
        <v>Contribuição para Financiamento da Seguridade Social - Cofins a Compensar</v>
      </c>
      <c r="O17" s="626"/>
      <c r="P17" s="283"/>
      <c r="Q17" s="283"/>
      <c r="R17" s="283"/>
      <c r="S17" s="283"/>
      <c r="T17" s="283"/>
      <c r="U17" s="283"/>
      <c r="V17" s="283"/>
      <c r="W17" s="283"/>
      <c r="X17" s="283"/>
    </row>
    <row r="18" spans="3:27" x14ac:dyDescent="0.25">
      <c r="C18" s="94"/>
      <c r="D18" s="283" t="s">
        <v>621</v>
      </c>
      <c r="E18" s="32" t="s">
        <v>206</v>
      </c>
      <c r="F18" s="109" t="e">
        <f>G21-F19-F20</f>
        <v>#N/A</v>
      </c>
      <c r="G18" s="110"/>
      <c r="H18" s="100" t="s">
        <v>931</v>
      </c>
      <c r="I18" s="32"/>
      <c r="K18" s="630" t="str">
        <f>E12</f>
        <v>ICMS a Compensar</v>
      </c>
      <c r="L18" s="631"/>
      <c r="M18" s="21"/>
      <c r="N18" s="626"/>
      <c r="O18" s="626"/>
      <c r="P18" s="283"/>
      <c r="Q18" s="636" t="str">
        <f>E18</f>
        <v>Estoque de Produtos Acabados</v>
      </c>
      <c r="R18" s="637"/>
      <c r="S18" s="283"/>
      <c r="T18" s="630" t="str">
        <f>E21</f>
        <v>( - ) Depreciação Acumulada</v>
      </c>
      <c r="U18" s="631"/>
      <c r="V18" s="21"/>
      <c r="W18" s="631"/>
      <c r="X18" s="631"/>
      <c r="Y18" s="283"/>
      <c r="Z18" s="631"/>
      <c r="AA18" s="631"/>
    </row>
    <row r="19" spans="3:27" x14ac:dyDescent="0.25">
      <c r="C19" s="94"/>
      <c r="D19" s="283" t="s">
        <v>621</v>
      </c>
      <c r="E19" s="32" t="s">
        <v>183</v>
      </c>
      <c r="F19" s="102" t="e">
        <f>Tributos!J38</f>
        <v>#N/A</v>
      </c>
      <c r="G19" s="110"/>
      <c r="H19" s="100" t="s">
        <v>946</v>
      </c>
      <c r="I19" s="32"/>
      <c r="K19" s="341">
        <f>F12</f>
        <v>0</v>
      </c>
      <c r="L19" s="21"/>
      <c r="M19" s="21"/>
      <c r="N19" s="341">
        <f>F15</f>
        <v>0</v>
      </c>
      <c r="O19" s="21"/>
      <c r="P19" s="283"/>
      <c r="Q19" s="358" t="e">
        <f>F16</f>
        <v>#DIV/0!</v>
      </c>
      <c r="R19" s="327" t="e">
        <f>G66</f>
        <v>#DIV/0!</v>
      </c>
      <c r="S19" s="283"/>
      <c r="T19" s="160"/>
      <c r="U19" s="327" t="e">
        <f>G21</f>
        <v>#N/A</v>
      </c>
      <c r="V19" s="21"/>
      <c r="W19" s="160"/>
      <c r="X19" s="21"/>
      <c r="Y19" s="283"/>
      <c r="Z19" s="160"/>
      <c r="AA19" s="21"/>
    </row>
    <row r="20" spans="3:27" x14ac:dyDescent="0.25">
      <c r="C20" s="94"/>
      <c r="D20" s="283" t="s">
        <v>621</v>
      </c>
      <c r="E20" s="32" t="s">
        <v>185</v>
      </c>
      <c r="F20" s="109" t="e">
        <f>Tributos!K38</f>
        <v>#N/A</v>
      </c>
      <c r="G20" s="110"/>
      <c r="H20" s="100" t="str">
        <f>H19</f>
        <v>Reconhecimento de crédito tributário</v>
      </c>
      <c r="I20" s="32"/>
      <c r="K20" s="257"/>
      <c r="L20" s="21"/>
      <c r="M20" s="21"/>
      <c r="N20" s="359" t="e">
        <f>F20</f>
        <v>#N/A</v>
      </c>
      <c r="O20" s="21"/>
      <c r="P20" s="283"/>
      <c r="Q20" s="359" t="e">
        <f>F18</f>
        <v>#N/A</v>
      </c>
      <c r="R20" s="21"/>
      <c r="S20" s="283"/>
      <c r="T20" s="161"/>
      <c r="U20" s="327" t="e">
        <f>G24</f>
        <v>#N/A</v>
      </c>
      <c r="V20" s="21"/>
      <c r="W20" s="161"/>
      <c r="X20" s="21"/>
      <c r="Y20" s="283"/>
      <c r="Z20" s="161"/>
      <c r="AA20" s="21"/>
    </row>
    <row r="21" spans="3:27" x14ac:dyDescent="0.25">
      <c r="C21" s="94"/>
      <c r="D21" s="286" t="s">
        <v>621</v>
      </c>
      <c r="E21" s="115" t="s">
        <v>259</v>
      </c>
      <c r="F21" s="116"/>
      <c r="G21" s="116" t="e">
        <f>Decisões!E40</f>
        <v>#N/A</v>
      </c>
      <c r="H21" s="117" t="str">
        <f>H18</f>
        <v>Depreciação da produção</v>
      </c>
      <c r="I21" s="32"/>
      <c r="K21" s="161"/>
      <c r="L21" s="21"/>
      <c r="M21" s="21"/>
      <c r="N21" s="359" t="e">
        <f>F27</f>
        <v>#N/A</v>
      </c>
      <c r="O21" s="21"/>
      <c r="P21" s="283"/>
      <c r="Q21" s="359" t="e">
        <f>F25</f>
        <v>#N/A</v>
      </c>
      <c r="R21" s="21"/>
      <c r="S21" s="283"/>
      <c r="T21" s="161"/>
      <c r="U21" s="21"/>
      <c r="V21" s="21"/>
      <c r="W21" s="161"/>
      <c r="X21" s="21"/>
      <c r="Y21" s="283"/>
      <c r="Z21" s="161"/>
      <c r="AA21" s="21"/>
    </row>
    <row r="22" spans="3:27" x14ac:dyDescent="0.25">
      <c r="C22" s="94"/>
      <c r="D22" s="283" t="s">
        <v>624</v>
      </c>
      <c r="E22" s="32" t="s">
        <v>533</v>
      </c>
      <c r="F22" s="109">
        <f>Decisões!E62</f>
        <v>2500</v>
      </c>
      <c r="G22" s="109"/>
      <c r="H22" s="100" t="s">
        <v>957</v>
      </c>
      <c r="I22" s="32"/>
      <c r="K22" s="161"/>
      <c r="L22" s="21"/>
      <c r="M22" s="21"/>
      <c r="N22" s="161"/>
      <c r="O22" s="21"/>
      <c r="P22" s="283"/>
      <c r="Q22" s="359">
        <f>F33</f>
        <v>10000</v>
      </c>
      <c r="R22" s="21"/>
      <c r="S22" s="283"/>
      <c r="T22" s="161"/>
      <c r="U22" s="21"/>
      <c r="V22" s="21"/>
      <c r="W22" s="161"/>
      <c r="X22" s="21"/>
      <c r="Y22" s="283"/>
      <c r="Z22" s="161"/>
      <c r="AA22" s="21"/>
    </row>
    <row r="23" spans="3:27" x14ac:dyDescent="0.25">
      <c r="C23" s="94"/>
      <c r="D23" s="283" t="s">
        <v>624</v>
      </c>
      <c r="E23" s="32" t="s">
        <v>533</v>
      </c>
      <c r="F23" s="109" t="e">
        <f>Decisões!E41</f>
        <v>#N/A</v>
      </c>
      <c r="G23" s="109"/>
      <c r="H23" s="100" t="s">
        <v>955</v>
      </c>
      <c r="I23" s="32"/>
      <c r="K23" s="161"/>
      <c r="L23" s="21"/>
      <c r="M23" s="21"/>
      <c r="N23" s="161"/>
      <c r="O23" s="21"/>
      <c r="P23" s="283"/>
      <c r="Q23" s="359">
        <f>F39</f>
        <v>800</v>
      </c>
      <c r="R23" s="21"/>
      <c r="S23" s="283"/>
      <c r="T23" s="161"/>
      <c r="U23" s="21"/>
      <c r="V23" s="21"/>
      <c r="W23" s="161"/>
      <c r="X23" s="21"/>
      <c r="Y23" s="283"/>
      <c r="Z23" s="161"/>
      <c r="AA23" s="21"/>
    </row>
    <row r="24" spans="3:27" x14ac:dyDescent="0.25">
      <c r="C24" s="94"/>
      <c r="D24" s="283" t="s">
        <v>621</v>
      </c>
      <c r="E24" s="32" t="s">
        <v>259</v>
      </c>
      <c r="F24" s="109"/>
      <c r="G24" s="109" t="e">
        <f>F22+F23</f>
        <v>#N/A</v>
      </c>
      <c r="H24" s="100" t="s">
        <v>956</v>
      </c>
      <c r="I24" s="32"/>
      <c r="K24" s="161"/>
      <c r="L24" s="21"/>
      <c r="M24" s="21"/>
      <c r="N24" s="161"/>
      <c r="O24" s="21"/>
      <c r="P24" s="283"/>
      <c r="Q24" s="359">
        <f>F43</f>
        <v>2720</v>
      </c>
      <c r="R24" s="21"/>
      <c r="S24" s="283"/>
      <c r="T24" s="161"/>
      <c r="U24" s="21"/>
      <c r="V24" s="21"/>
      <c r="W24" s="161"/>
      <c r="X24" s="21"/>
      <c r="Y24" s="283"/>
      <c r="Z24" s="161"/>
      <c r="AA24" s="21"/>
    </row>
    <row r="25" spans="3:27" x14ac:dyDescent="0.25">
      <c r="D25" s="285" t="s">
        <v>621</v>
      </c>
      <c r="E25" s="112" t="s">
        <v>206</v>
      </c>
      <c r="F25" s="113" t="e">
        <f>G28-F26-F27</f>
        <v>#N/A</v>
      </c>
      <c r="G25" s="113"/>
      <c r="H25" s="114" t="s">
        <v>634</v>
      </c>
      <c r="I25" s="32"/>
      <c r="K25" s="161"/>
      <c r="L25" s="21"/>
      <c r="M25" s="21"/>
      <c r="N25" s="161"/>
      <c r="O25" s="21"/>
      <c r="P25" s="283"/>
      <c r="Q25" s="359">
        <f>F47</f>
        <v>1502.2222222222222</v>
      </c>
      <c r="R25" s="21"/>
      <c r="S25" s="283"/>
      <c r="T25" s="161"/>
      <c r="U25" s="21"/>
      <c r="V25" s="21"/>
      <c r="W25" s="161"/>
      <c r="X25" s="21"/>
      <c r="Y25" s="283"/>
      <c r="Z25" s="161"/>
      <c r="AA25" s="21"/>
    </row>
    <row r="26" spans="3:27" x14ac:dyDescent="0.25">
      <c r="C26" s="96"/>
      <c r="D26" s="283" t="s">
        <v>621</v>
      </c>
      <c r="E26" s="32" t="s">
        <v>183</v>
      </c>
      <c r="F26" s="109" t="e">
        <f>Tributos!J37</f>
        <v>#N/A</v>
      </c>
      <c r="G26" s="109"/>
      <c r="H26" s="100" t="s">
        <v>946</v>
      </c>
      <c r="I26" s="32"/>
      <c r="K26" s="161"/>
      <c r="L26" s="21"/>
      <c r="M26" s="21"/>
      <c r="N26" s="161"/>
      <c r="O26" s="21"/>
      <c r="P26" s="283"/>
      <c r="Q26" s="359">
        <f>F51</f>
        <v>1126.6666666666667</v>
      </c>
      <c r="R26" s="21"/>
      <c r="S26" s="283"/>
      <c r="T26" s="161"/>
      <c r="U26" s="21"/>
      <c r="V26" s="21"/>
      <c r="W26" s="161"/>
      <c r="X26" s="21"/>
      <c r="Y26" s="283"/>
      <c r="Z26" s="161"/>
      <c r="AA26" s="21"/>
    </row>
    <row r="27" spans="3:27" x14ac:dyDescent="0.25">
      <c r="C27" s="96"/>
      <c r="D27" s="283" t="s">
        <v>621</v>
      </c>
      <c r="E27" s="32" t="s">
        <v>185</v>
      </c>
      <c r="F27" s="109" t="e">
        <f>Tributos!K37</f>
        <v>#N/A</v>
      </c>
      <c r="G27" s="109"/>
      <c r="H27" s="100" t="str">
        <f>H26</f>
        <v>Reconhecimento de crédito tributário</v>
      </c>
      <c r="I27" s="32"/>
      <c r="K27" s="250">
        <f>SUM(K19:K26)</f>
        <v>0</v>
      </c>
      <c r="L27" s="253">
        <f>SUM(L19:L26)</f>
        <v>0</v>
      </c>
      <c r="M27" s="21"/>
      <c r="N27" s="250" t="e">
        <f>SUM(N19:N26)</f>
        <v>#N/A</v>
      </c>
      <c r="O27" s="253">
        <f>SUM(O19:O26)</f>
        <v>0</v>
      </c>
      <c r="P27" s="283"/>
      <c r="Q27" s="161"/>
      <c r="S27" s="283"/>
      <c r="T27" s="250">
        <f>SUM(T19:T26)</f>
        <v>0</v>
      </c>
      <c r="U27" s="253" t="e">
        <f>SUM(U19:U26)</f>
        <v>#N/A</v>
      </c>
      <c r="V27" s="21"/>
      <c r="W27" s="250">
        <f>SUM(W19:W26)</f>
        <v>0</v>
      </c>
      <c r="X27" s="253">
        <f>SUM(X19:X26)</f>
        <v>0</v>
      </c>
      <c r="Y27" s="283"/>
      <c r="Z27" s="250">
        <f>SUM(Z19:Z26)</f>
        <v>0</v>
      </c>
      <c r="AA27" s="253">
        <f>SUM(AA19:AA26)</f>
        <v>0</v>
      </c>
    </row>
    <row r="28" spans="3:27" x14ac:dyDescent="0.25">
      <c r="C28" s="96"/>
      <c r="D28" s="286" t="s">
        <v>621</v>
      </c>
      <c r="E28" s="115" t="s">
        <v>169</v>
      </c>
      <c r="F28" s="116"/>
      <c r="G28" s="116" t="e">
        <f>Decisões!E35</f>
        <v>#N/A</v>
      </c>
      <c r="H28" s="117" t="str">
        <f>H25</f>
        <v>Energia Elétrica Produção</v>
      </c>
      <c r="I28" s="32"/>
      <c r="K28" s="252"/>
      <c r="L28" s="252"/>
      <c r="M28" s="21"/>
      <c r="N28" s="252"/>
      <c r="O28" s="252"/>
      <c r="P28" s="283"/>
      <c r="Q28" s="261"/>
      <c r="R28" s="252"/>
      <c r="S28" s="283"/>
      <c r="T28" s="252"/>
      <c r="U28" s="252"/>
      <c r="V28" s="21"/>
      <c r="W28" s="252"/>
      <c r="X28" s="252"/>
      <c r="Y28" s="283"/>
      <c r="Z28" s="252"/>
      <c r="AA28" s="252"/>
    </row>
    <row r="29" spans="3:27" x14ac:dyDescent="0.25">
      <c r="C29" s="96"/>
      <c r="D29" s="283" t="s">
        <v>624</v>
      </c>
      <c r="E29" s="32" t="s">
        <v>511</v>
      </c>
      <c r="F29" s="109" t="e">
        <f>Decisões!E36</f>
        <v>#N/A</v>
      </c>
      <c r="G29" s="109"/>
      <c r="H29" s="100" t="s">
        <v>933</v>
      </c>
      <c r="I29" s="32"/>
      <c r="K29" s="252"/>
      <c r="L29" s="252"/>
      <c r="M29" s="21"/>
      <c r="N29" s="252"/>
      <c r="O29" s="252"/>
      <c r="P29" s="283"/>
      <c r="Q29" s="261"/>
      <c r="R29" s="252"/>
      <c r="S29" s="283"/>
      <c r="T29" s="252"/>
      <c r="U29" s="252"/>
      <c r="V29" s="21"/>
      <c r="W29" s="252"/>
      <c r="X29" s="252"/>
      <c r="Y29" s="283"/>
      <c r="Z29" s="252"/>
      <c r="AA29" s="252"/>
    </row>
    <row r="30" spans="3:27" x14ac:dyDescent="0.25">
      <c r="C30" s="96"/>
      <c r="D30" s="286" t="s">
        <v>621</v>
      </c>
      <c r="E30" s="115" t="s">
        <v>169</v>
      </c>
      <c r="F30" s="116"/>
      <c r="G30" s="116" t="e">
        <f>F29</f>
        <v>#N/A</v>
      </c>
      <c r="H30" s="117" t="str">
        <f>H29</f>
        <v>Energia Elétrica  Administrativo</v>
      </c>
      <c r="I30" s="32"/>
      <c r="K30" s="252"/>
      <c r="L30" s="252"/>
      <c r="M30" s="21"/>
      <c r="N30" s="252"/>
      <c r="O30" s="252"/>
      <c r="P30" s="283"/>
      <c r="Q30" s="261"/>
      <c r="R30" s="252"/>
      <c r="S30" s="283"/>
      <c r="T30" s="252"/>
      <c r="U30" s="252"/>
      <c r="V30" s="21"/>
      <c r="W30" s="252"/>
      <c r="X30" s="252"/>
      <c r="Y30" s="283"/>
      <c r="Z30" s="252"/>
      <c r="AA30" s="252"/>
    </row>
    <row r="31" spans="3:27" x14ac:dyDescent="0.25">
      <c r="C31" s="283"/>
      <c r="D31" s="283" t="s">
        <v>624</v>
      </c>
      <c r="E31" s="32" t="s">
        <v>521</v>
      </c>
      <c r="F31" s="102" t="e">
        <f>Decisões!E37</f>
        <v>#N/A</v>
      </c>
      <c r="H31" s="95" t="s">
        <v>937</v>
      </c>
      <c r="I31" s="32"/>
      <c r="K31" s="252"/>
      <c r="L31" s="252"/>
      <c r="M31" s="21"/>
      <c r="N31" s="252"/>
      <c r="O31" s="252"/>
      <c r="P31" s="283"/>
      <c r="Q31" s="263"/>
      <c r="R31" s="252"/>
      <c r="S31" s="283"/>
      <c r="T31" s="252"/>
      <c r="U31" s="252"/>
      <c r="V31" s="21"/>
      <c r="W31" s="252"/>
      <c r="X31" s="252"/>
      <c r="Y31" s="283"/>
      <c r="Z31" s="252"/>
      <c r="AA31" s="252"/>
    </row>
    <row r="32" spans="3:27" x14ac:dyDescent="0.25">
      <c r="C32" s="96"/>
      <c r="D32" s="283" t="s">
        <v>621</v>
      </c>
      <c r="E32" s="115" t="s">
        <v>169</v>
      </c>
      <c r="G32" s="102" t="e">
        <f>F31</f>
        <v>#N/A</v>
      </c>
      <c r="H32" s="95" t="str">
        <f>H31</f>
        <v>Outros Gastos</v>
      </c>
      <c r="I32" s="32"/>
      <c r="K32" s="252"/>
      <c r="L32" s="252"/>
      <c r="M32" s="21"/>
      <c r="N32" s="252"/>
      <c r="O32" s="252"/>
      <c r="P32" s="283"/>
      <c r="Q32" s="250" t="e">
        <f>SUM(Q19:Q31)-SUM(R19:R31)</f>
        <v>#DIV/0!</v>
      </c>
      <c r="R32" s="253"/>
      <c r="S32" s="283"/>
      <c r="T32" s="252"/>
      <c r="U32" s="252"/>
      <c r="V32" s="21"/>
      <c r="W32" s="252"/>
      <c r="X32" s="252"/>
      <c r="Y32" s="283"/>
      <c r="Z32" s="252"/>
      <c r="AA32" s="252"/>
    </row>
    <row r="33" spans="3:30" x14ac:dyDescent="0.25">
      <c r="C33" s="96"/>
      <c r="D33" s="285" t="s">
        <v>621</v>
      </c>
      <c r="E33" s="112" t="s">
        <v>206</v>
      </c>
      <c r="F33" s="113">
        <f>Salários!S4</f>
        <v>10000</v>
      </c>
      <c r="G33" s="113"/>
      <c r="H33" s="114" t="s">
        <v>710</v>
      </c>
      <c r="I33" s="32"/>
      <c r="L33" s="21"/>
      <c r="M33" s="21"/>
      <c r="N33" s="21"/>
      <c r="O33" s="21"/>
      <c r="P33" s="283"/>
      <c r="Q33" s="283"/>
      <c r="R33" s="283"/>
      <c r="S33" s="283"/>
      <c r="T33" s="283"/>
      <c r="U33" s="283"/>
      <c r="V33" s="283"/>
      <c r="W33" s="283"/>
      <c r="X33" s="283"/>
      <c r="Z33" s="2"/>
    </row>
    <row r="34" spans="3:30" x14ac:dyDescent="0.25">
      <c r="C34" s="96"/>
      <c r="D34" s="283" t="s">
        <v>622</v>
      </c>
      <c r="E34" s="32" t="s">
        <v>312</v>
      </c>
      <c r="F34" s="109"/>
      <c r="G34" s="109">
        <f>Salários!S9</f>
        <v>8860.5769999999993</v>
      </c>
      <c r="H34" s="100" t="s">
        <v>710</v>
      </c>
      <c r="I34" s="32"/>
      <c r="K34" s="162" t="s">
        <v>124</v>
      </c>
      <c r="L34" s="21"/>
      <c r="M34" s="21"/>
      <c r="N34" s="21"/>
      <c r="O34" s="21"/>
      <c r="P34" s="283"/>
      <c r="Q34" s="288"/>
      <c r="R34" s="283"/>
      <c r="S34" s="283"/>
      <c r="T34" s="283"/>
      <c r="U34" s="283"/>
      <c r="V34" s="283"/>
      <c r="W34" s="283"/>
      <c r="X34" s="283"/>
    </row>
    <row r="35" spans="3:30" x14ac:dyDescent="0.25">
      <c r="D35" s="283" t="s">
        <v>624</v>
      </c>
      <c r="E35" s="32" t="s">
        <v>506</v>
      </c>
      <c r="F35" s="109">
        <f>Salários!S5</f>
        <v>6000</v>
      </c>
      <c r="G35" s="109"/>
      <c r="H35" s="100" t="s">
        <v>668</v>
      </c>
      <c r="I35" s="32"/>
      <c r="L35" s="21"/>
      <c r="M35" s="21"/>
      <c r="N35" s="21"/>
      <c r="O35" s="21"/>
      <c r="P35" s="283"/>
      <c r="Q35" s="283"/>
      <c r="R35" s="283"/>
      <c r="S35" s="283"/>
      <c r="T35" s="283"/>
      <c r="U35" s="283"/>
      <c r="V35" s="283"/>
      <c r="W35" s="283"/>
      <c r="X35" s="283"/>
    </row>
    <row r="36" spans="3:30" ht="15.75" customHeight="1" x14ac:dyDescent="0.25">
      <c r="C36" s="103"/>
      <c r="D36" s="283" t="s">
        <v>622</v>
      </c>
      <c r="E36" s="32" t="s">
        <v>312</v>
      </c>
      <c r="F36" s="109"/>
      <c r="G36" s="109">
        <f>Salários!U10</f>
        <v>4821.2446999999993</v>
      </c>
      <c r="H36" s="100" t="str">
        <f>H35</f>
        <v>Salários Administrativo</v>
      </c>
      <c r="I36" s="32"/>
      <c r="K36" s="99"/>
      <c r="L36" s="21"/>
      <c r="M36" s="21"/>
      <c r="N36" s="634" t="str">
        <f>E37</f>
        <v>Instituto Nacional de Seguridade Social - INSS</v>
      </c>
      <c r="O36" s="634"/>
      <c r="P36" s="283"/>
      <c r="Q36" s="283"/>
      <c r="R36" s="283"/>
      <c r="S36" s="283"/>
      <c r="T36" s="283"/>
      <c r="U36" s="283"/>
      <c r="V36" s="284"/>
      <c r="W36" s="283"/>
      <c r="X36" s="283"/>
    </row>
    <row r="37" spans="3:30" x14ac:dyDescent="0.25">
      <c r="C37" s="103"/>
      <c r="D37" s="283" t="s">
        <v>622</v>
      </c>
      <c r="E37" s="32" t="s">
        <v>322</v>
      </c>
      <c r="F37" s="109"/>
      <c r="G37" s="109">
        <f>Salários!S6</f>
        <v>1721.038</v>
      </c>
      <c r="H37" s="100" t="s">
        <v>724</v>
      </c>
      <c r="I37" s="32"/>
      <c r="K37" s="630" t="str">
        <f>E34</f>
        <v>Salários a Pagar</v>
      </c>
      <c r="L37" s="631"/>
      <c r="M37" s="21"/>
      <c r="N37" s="635"/>
      <c r="O37" s="635"/>
      <c r="P37" s="283"/>
      <c r="Q37" s="630" t="str">
        <f>E38</f>
        <v>Imposto de Renda Retido na Fonte - IRRF</v>
      </c>
      <c r="R37" s="631"/>
      <c r="S37" s="283"/>
      <c r="T37" s="262" t="str">
        <f>E40</f>
        <v>Fundo de Garantia por Tempo de Serviço - FGTS</v>
      </c>
      <c r="U37" s="286"/>
      <c r="V37" s="21"/>
      <c r="W37" s="630" t="str">
        <f>E52</f>
        <v>Provisão 13º Salário</v>
      </c>
      <c r="X37" s="631"/>
      <c r="Y37" s="631"/>
      <c r="Z37" s="630" t="str">
        <f>E48</f>
        <v>Provisão de Férias</v>
      </c>
      <c r="AA37" s="631"/>
    </row>
    <row r="38" spans="3:30" x14ac:dyDescent="0.25">
      <c r="C38" s="103"/>
      <c r="D38" s="286" t="s">
        <v>622</v>
      </c>
      <c r="E38" s="115" t="s">
        <v>349</v>
      </c>
      <c r="F38" s="118"/>
      <c r="G38" s="118">
        <f>Salários!S7</f>
        <v>597.14029999999991</v>
      </c>
      <c r="H38" s="117" t="s">
        <v>724</v>
      </c>
      <c r="I38" s="32"/>
      <c r="K38" s="160"/>
      <c r="L38" s="327">
        <f>G34</f>
        <v>8860.5769999999993</v>
      </c>
      <c r="M38" s="21"/>
      <c r="N38" s="160"/>
      <c r="O38" s="327">
        <f>G37</f>
        <v>1721.038</v>
      </c>
      <c r="P38" s="283"/>
      <c r="Q38" s="160"/>
      <c r="R38" s="327">
        <f>G38</f>
        <v>597.14029999999991</v>
      </c>
      <c r="S38" s="283"/>
      <c r="T38" s="160"/>
      <c r="U38" s="327">
        <f>G40</f>
        <v>800</v>
      </c>
      <c r="V38" s="21"/>
      <c r="W38" s="161"/>
      <c r="X38" s="327">
        <f>G52</f>
        <v>1126.6666666666667</v>
      </c>
      <c r="Y38" s="283"/>
      <c r="Z38" s="160"/>
      <c r="AA38" s="327">
        <f>G48</f>
        <v>1502.2222222222222</v>
      </c>
    </row>
    <row r="39" spans="3:30" x14ac:dyDescent="0.25">
      <c r="C39" s="103"/>
      <c r="D39" s="283" t="s">
        <v>621</v>
      </c>
      <c r="E39" s="32" t="s">
        <v>206</v>
      </c>
      <c r="F39" s="109">
        <f>Salários!$S$13</f>
        <v>800</v>
      </c>
      <c r="G39" s="109"/>
      <c r="H39" s="100" t="s">
        <v>710</v>
      </c>
      <c r="I39" s="32"/>
      <c r="K39" s="161"/>
      <c r="L39" s="327">
        <f>G36</f>
        <v>4821.2446999999993</v>
      </c>
      <c r="M39" s="21"/>
      <c r="N39" s="161"/>
      <c r="O39" s="327">
        <f>G44</f>
        <v>2720</v>
      </c>
      <c r="P39" s="283"/>
      <c r="Q39" s="161"/>
      <c r="R39" s="21"/>
      <c r="S39" s="283"/>
      <c r="T39" s="161"/>
      <c r="U39" s="327">
        <f>G42</f>
        <v>480</v>
      </c>
      <c r="V39" s="21"/>
      <c r="W39" s="161"/>
      <c r="X39" s="327">
        <f>G54</f>
        <v>676</v>
      </c>
      <c r="Y39" s="283"/>
      <c r="Z39" s="161"/>
      <c r="AA39" s="327">
        <f>G50</f>
        <v>901.33333333333337</v>
      </c>
    </row>
    <row r="40" spans="3:30" x14ac:dyDescent="0.25">
      <c r="C40" s="103"/>
      <c r="D40" s="283" t="s">
        <v>622</v>
      </c>
      <c r="E40" s="32" t="s">
        <v>324</v>
      </c>
      <c r="F40" s="109"/>
      <c r="G40" s="109">
        <f>Salários!$S$13</f>
        <v>800</v>
      </c>
      <c r="H40" s="100" t="s">
        <v>710</v>
      </c>
      <c r="I40" s="32"/>
      <c r="K40" s="161"/>
      <c r="L40" s="21"/>
      <c r="M40" s="21"/>
      <c r="N40" s="161"/>
      <c r="O40" s="327">
        <f>G46</f>
        <v>1632.0000000000002</v>
      </c>
      <c r="P40" s="283"/>
      <c r="Q40" s="161"/>
      <c r="R40" s="21"/>
      <c r="S40" s="283"/>
      <c r="T40" s="161"/>
      <c r="U40" s="21"/>
      <c r="V40" s="21"/>
      <c r="W40" s="161"/>
      <c r="X40" s="21"/>
      <c r="Y40" s="283"/>
      <c r="Z40" s="161"/>
      <c r="AA40" s="21"/>
    </row>
    <row r="41" spans="3:30" x14ac:dyDescent="0.25">
      <c r="C41" s="103"/>
      <c r="D41" s="285" t="s">
        <v>624</v>
      </c>
      <c r="E41" s="112" t="s">
        <v>708</v>
      </c>
      <c r="F41" s="113">
        <f>Salários!$S$14</f>
        <v>480</v>
      </c>
      <c r="G41" s="113"/>
      <c r="H41" s="114" t="s">
        <v>711</v>
      </c>
      <c r="I41" s="32"/>
      <c r="K41" s="161"/>
      <c r="L41" s="21"/>
      <c r="M41" s="21"/>
      <c r="N41" s="161"/>
      <c r="O41" s="21"/>
      <c r="P41" s="283"/>
      <c r="Q41" s="161"/>
      <c r="R41" s="21"/>
      <c r="S41" s="283"/>
      <c r="T41" s="161"/>
      <c r="U41" s="21"/>
      <c r="V41" s="21"/>
      <c r="W41" s="161"/>
      <c r="X41" s="21"/>
      <c r="Y41" s="283"/>
      <c r="Z41" s="161"/>
      <c r="AA41" s="21"/>
    </row>
    <row r="42" spans="3:30" x14ac:dyDescent="0.25">
      <c r="C42" s="103"/>
      <c r="D42" s="286" t="s">
        <v>622</v>
      </c>
      <c r="E42" s="115" t="s">
        <v>324</v>
      </c>
      <c r="F42" s="116"/>
      <c r="G42" s="116">
        <f>Salários!$S$14</f>
        <v>480</v>
      </c>
      <c r="H42" s="117" t="s">
        <v>711</v>
      </c>
      <c r="I42" s="32"/>
      <c r="K42" s="161"/>
      <c r="L42" s="21"/>
      <c r="M42" s="21"/>
      <c r="N42" s="161"/>
      <c r="O42" s="21"/>
      <c r="P42" s="283"/>
      <c r="Q42" s="161"/>
      <c r="R42" s="21"/>
      <c r="S42" s="283"/>
      <c r="T42" s="161"/>
      <c r="U42" s="21"/>
      <c r="V42" s="21"/>
      <c r="W42" s="161"/>
      <c r="X42" s="21"/>
      <c r="Y42" s="283"/>
      <c r="Z42" s="161"/>
      <c r="AA42" s="21"/>
    </row>
    <row r="43" spans="3:30" x14ac:dyDescent="0.25">
      <c r="C43" s="103"/>
      <c r="D43" s="283" t="s">
        <v>621</v>
      </c>
      <c r="E43" s="32" t="s">
        <v>206</v>
      </c>
      <c r="F43" s="109">
        <f>Salários!S18</f>
        <v>2720</v>
      </c>
      <c r="G43" s="110"/>
      <c r="H43" s="100" t="s">
        <v>710</v>
      </c>
      <c r="I43" s="32"/>
      <c r="K43" s="161"/>
      <c r="L43" s="21"/>
      <c r="M43" s="21"/>
      <c r="N43" s="161"/>
      <c r="O43" s="21"/>
      <c r="P43" s="283"/>
      <c r="Q43" s="161"/>
      <c r="R43" s="21"/>
      <c r="S43" s="283"/>
      <c r="T43" s="161"/>
      <c r="U43" s="21"/>
      <c r="V43" s="21"/>
      <c r="W43" s="161"/>
      <c r="X43" s="21"/>
      <c r="Y43" s="283"/>
      <c r="Z43" s="161"/>
      <c r="AA43" s="21"/>
    </row>
    <row r="44" spans="3:30" x14ac:dyDescent="0.25">
      <c r="C44" s="103"/>
      <c r="D44" s="283" t="s">
        <v>622</v>
      </c>
      <c r="E44" s="32" t="s">
        <v>322</v>
      </c>
      <c r="F44" s="111"/>
      <c r="G44" s="111">
        <f>Salários!S18</f>
        <v>2720</v>
      </c>
      <c r="H44" s="100" t="s">
        <v>710</v>
      </c>
      <c r="I44" s="32"/>
      <c r="K44" s="161"/>
      <c r="L44" s="21"/>
      <c r="M44" s="21"/>
      <c r="N44" s="161"/>
      <c r="O44" s="21"/>
      <c r="P44" s="283"/>
      <c r="Q44" s="161"/>
      <c r="R44" s="21"/>
      <c r="S44" s="283"/>
      <c r="T44" s="161"/>
      <c r="U44" s="21"/>
      <c r="V44" s="21"/>
      <c r="W44" s="161"/>
      <c r="X44" s="21"/>
      <c r="Y44" s="283"/>
      <c r="Z44" s="161"/>
      <c r="AA44" s="21"/>
    </row>
    <row r="45" spans="3:30" ht="33.75" customHeight="1" x14ac:dyDescent="0.25">
      <c r="C45" s="103"/>
      <c r="D45" s="285" t="s">
        <v>624</v>
      </c>
      <c r="E45" s="112" t="s">
        <v>709</v>
      </c>
      <c r="F45" s="113">
        <f>Salários!S19</f>
        <v>1632.0000000000002</v>
      </c>
      <c r="G45" s="113"/>
      <c r="H45" s="114" t="s">
        <v>711</v>
      </c>
      <c r="I45" s="32"/>
      <c r="K45" s="250">
        <f>SUM(K38:K44)</f>
        <v>0</v>
      </c>
      <c r="L45" s="253">
        <f>SUM(L38:L44)</f>
        <v>13681.821699999999</v>
      </c>
      <c r="M45" s="21"/>
      <c r="N45" s="250">
        <f>SUM(N38:N44)</f>
        <v>0</v>
      </c>
      <c r="O45" s="253">
        <f>SUM(O38:O44)</f>
        <v>6073.0380000000005</v>
      </c>
      <c r="P45" s="283"/>
      <c r="Q45" s="250">
        <f>SUM(Q38:Q44)</f>
        <v>0</v>
      </c>
      <c r="R45" s="253">
        <f>SUM(R38:R44)</f>
        <v>597.14029999999991</v>
      </c>
      <c r="S45" s="283"/>
      <c r="T45" s="250">
        <f>SUM(T38:T44)</f>
        <v>0</v>
      </c>
      <c r="U45" s="253">
        <f>SUM(U38:U44)</f>
        <v>1280</v>
      </c>
      <c r="V45" s="21"/>
      <c r="W45" s="250">
        <f>SUM(W38:W44)</f>
        <v>0</v>
      </c>
      <c r="X45" s="253">
        <f>SUM(X38:X44)</f>
        <v>1802.6666666666667</v>
      </c>
      <c r="Y45" s="283"/>
      <c r="Z45" s="250">
        <f>SUM(Z38:Z44)</f>
        <v>0</v>
      </c>
      <c r="AA45" s="253">
        <f>SUM(AA38:AA44)</f>
        <v>2403.5555555555557</v>
      </c>
    </row>
    <row r="46" spans="3:30" x14ac:dyDescent="0.25">
      <c r="C46" s="103"/>
      <c r="D46" s="286" t="s">
        <v>622</v>
      </c>
      <c r="E46" s="115" t="s">
        <v>322</v>
      </c>
      <c r="F46" s="116"/>
      <c r="G46" s="116">
        <f>Salários!S19</f>
        <v>1632.0000000000002</v>
      </c>
      <c r="H46" s="117" t="s">
        <v>711</v>
      </c>
      <c r="I46" s="32"/>
      <c r="L46" s="21"/>
      <c r="M46" s="21"/>
      <c r="N46" s="21"/>
      <c r="O46" s="21"/>
      <c r="P46" s="283"/>
      <c r="Q46" s="283"/>
      <c r="R46" s="283"/>
      <c r="S46" s="283"/>
      <c r="T46" s="283"/>
      <c r="U46" s="283"/>
      <c r="V46" s="283"/>
      <c r="W46" s="283"/>
      <c r="X46" s="283"/>
    </row>
    <row r="47" spans="3:30" ht="15.75" customHeight="1" x14ac:dyDescent="0.25">
      <c r="C47" s="103"/>
      <c r="D47" s="283" t="s">
        <v>621</v>
      </c>
      <c r="E47" s="32" t="s">
        <v>206</v>
      </c>
      <c r="F47" s="109">
        <f>Salários!$S$34</f>
        <v>1502.2222222222222</v>
      </c>
      <c r="G47" s="109"/>
      <c r="H47" s="100" t="s">
        <v>710</v>
      </c>
      <c r="I47" s="32"/>
      <c r="K47" s="626" t="str">
        <f>E58</f>
        <v>Imposto sobre Produtos Industrializados - IPI</v>
      </c>
      <c r="L47" s="626"/>
      <c r="M47" s="21"/>
      <c r="N47" s="626" t="str">
        <f>E60</f>
        <v>Imposto sobre Circulação de Mercadorias e Serviços - ICMS</v>
      </c>
      <c r="O47" s="626"/>
      <c r="P47" s="283"/>
      <c r="Q47" s="628" t="str">
        <f>E62</f>
        <v>Programa de Integração Social e do Programa de Formação do Patrimônio do Servidor Público - Pis/Pasep</v>
      </c>
      <c r="R47" s="628"/>
      <c r="S47" s="283"/>
      <c r="T47" s="628" t="str">
        <f>E64</f>
        <v>Contribuição para o Financiamento da Seguridade Social - Cofins</v>
      </c>
      <c r="U47" s="628"/>
      <c r="V47" s="283"/>
      <c r="W47" s="283"/>
      <c r="X47" s="283"/>
    </row>
    <row r="48" spans="3:30" x14ac:dyDescent="0.25">
      <c r="C48" s="103"/>
      <c r="D48" s="283" t="s">
        <v>622</v>
      </c>
      <c r="E48" s="32" t="s">
        <v>713</v>
      </c>
      <c r="F48" s="111"/>
      <c r="G48" s="109">
        <f>Salários!$S$34</f>
        <v>1502.2222222222222</v>
      </c>
      <c r="H48" s="100" t="s">
        <v>710</v>
      </c>
      <c r="I48" s="32"/>
      <c r="K48" s="627"/>
      <c r="L48" s="627"/>
      <c r="M48" s="21"/>
      <c r="N48" s="627"/>
      <c r="O48" s="627"/>
      <c r="P48" s="283"/>
      <c r="Q48" s="629"/>
      <c r="R48" s="629"/>
      <c r="S48" s="283"/>
      <c r="T48" s="629"/>
      <c r="U48" s="629"/>
      <c r="V48" s="21"/>
      <c r="W48" s="630" t="str">
        <f>E70</f>
        <v>Empréstimos a Pagar</v>
      </c>
      <c r="X48" s="631"/>
      <c r="Y48" s="283"/>
      <c r="Z48" s="630" t="str">
        <f>E74</f>
        <v>Imposto de Renda – IR</v>
      </c>
      <c r="AA48" s="631"/>
      <c r="AC48" s="630" t="str">
        <f>E76</f>
        <v>Contribuição Social sobre Lucro Líquido – CSLL</v>
      </c>
      <c r="AD48" s="631"/>
    </row>
    <row r="49" spans="3:30" x14ac:dyDescent="0.25">
      <c r="C49" s="96"/>
      <c r="D49" s="285" t="s">
        <v>624</v>
      </c>
      <c r="E49" s="112" t="s">
        <v>509</v>
      </c>
      <c r="F49" s="113">
        <f>Salários!$S$38</f>
        <v>901.33333333333337</v>
      </c>
      <c r="G49" s="113"/>
      <c r="H49" s="114" t="s">
        <v>711</v>
      </c>
      <c r="I49" s="32"/>
      <c r="K49" s="160"/>
      <c r="L49" s="327" t="e">
        <f>G58</f>
        <v>#DIV/0!</v>
      </c>
      <c r="M49" s="21"/>
      <c r="N49" s="160"/>
      <c r="O49" s="327" t="e">
        <f>G60</f>
        <v>#DIV/0!</v>
      </c>
      <c r="P49" s="283"/>
      <c r="Q49" s="160"/>
      <c r="R49" s="327" t="e">
        <f>G62</f>
        <v>#DIV/0!</v>
      </c>
      <c r="S49" s="283"/>
      <c r="T49" s="160"/>
      <c r="U49" s="327" t="e">
        <f>G64</f>
        <v>#DIV/0!</v>
      </c>
      <c r="V49" s="21"/>
      <c r="W49" s="358">
        <f>F71</f>
        <v>0</v>
      </c>
      <c r="X49" s="327">
        <f>G9</f>
        <v>0</v>
      </c>
      <c r="Y49" s="283"/>
      <c r="Z49" s="160"/>
      <c r="AA49" s="287" t="e">
        <f>G74</f>
        <v>#DIV/0!</v>
      </c>
      <c r="AC49" s="160"/>
      <c r="AD49" s="287" t="e">
        <f>G76</f>
        <v>#DIV/0!</v>
      </c>
    </row>
    <row r="50" spans="3:30" x14ac:dyDescent="0.25">
      <c r="C50" s="96"/>
      <c r="D50" s="286" t="s">
        <v>622</v>
      </c>
      <c r="E50" s="115" t="s">
        <v>713</v>
      </c>
      <c r="F50" s="116"/>
      <c r="G50" s="116">
        <f>Salários!$S$38</f>
        <v>901.33333333333337</v>
      </c>
      <c r="H50" s="117" t="s">
        <v>711</v>
      </c>
      <c r="I50" s="32"/>
      <c r="K50" s="161"/>
      <c r="L50" s="21"/>
      <c r="M50" s="21"/>
      <c r="N50" s="161"/>
      <c r="O50" s="21"/>
      <c r="P50" s="283"/>
      <c r="Q50" s="161"/>
      <c r="R50" s="21"/>
      <c r="S50" s="283"/>
      <c r="T50" s="161"/>
      <c r="U50" s="21"/>
      <c r="V50" s="21"/>
      <c r="W50" s="161"/>
      <c r="X50" s="327">
        <f>G70</f>
        <v>0</v>
      </c>
      <c r="Y50" s="283"/>
      <c r="Z50" s="161"/>
      <c r="AA50" s="21"/>
      <c r="AC50" s="161"/>
      <c r="AD50" s="21"/>
    </row>
    <row r="51" spans="3:30" x14ac:dyDescent="0.25">
      <c r="C51" s="96"/>
      <c r="D51" s="283" t="s">
        <v>621</v>
      </c>
      <c r="E51" s="32" t="s">
        <v>206</v>
      </c>
      <c r="F51" s="109">
        <f>Salários!$S$23</f>
        <v>1126.6666666666667</v>
      </c>
      <c r="G51" s="109"/>
      <c r="H51" s="100" t="s">
        <v>710</v>
      </c>
      <c r="I51" s="32"/>
      <c r="K51" s="161"/>
      <c r="L51" s="21"/>
      <c r="M51" s="21"/>
      <c r="N51" s="161"/>
      <c r="O51" s="21"/>
      <c r="P51" s="283"/>
      <c r="Q51" s="161"/>
      <c r="R51" s="21"/>
      <c r="S51" s="283"/>
      <c r="T51" s="161"/>
      <c r="U51" s="21"/>
      <c r="V51" s="21"/>
      <c r="W51" s="161"/>
      <c r="X51" s="21"/>
      <c r="Y51" s="283"/>
      <c r="Z51" s="161"/>
      <c r="AA51" s="21"/>
      <c r="AC51" s="161"/>
      <c r="AD51" s="21"/>
    </row>
    <row r="52" spans="3:30" x14ac:dyDescent="0.25">
      <c r="C52" s="96"/>
      <c r="D52" s="283" t="s">
        <v>622</v>
      </c>
      <c r="E52" s="32" t="s">
        <v>714</v>
      </c>
      <c r="F52" s="109"/>
      <c r="G52" s="109">
        <f>Salários!$S$23</f>
        <v>1126.6666666666667</v>
      </c>
      <c r="H52" s="100" t="s">
        <v>710</v>
      </c>
      <c r="I52" s="32"/>
      <c r="K52" s="161"/>
      <c r="L52" s="21"/>
      <c r="M52" s="21"/>
      <c r="N52" s="161"/>
      <c r="O52" s="21"/>
      <c r="P52" s="283"/>
      <c r="Q52" s="161"/>
      <c r="R52" s="21"/>
      <c r="S52" s="283"/>
      <c r="T52" s="161"/>
      <c r="U52" s="21"/>
      <c r="V52" s="21"/>
      <c r="W52" s="161"/>
      <c r="X52" s="21"/>
      <c r="Y52" s="283"/>
      <c r="Z52" s="161"/>
      <c r="AA52" s="21"/>
      <c r="AC52" s="161"/>
      <c r="AD52" s="21"/>
    </row>
    <row r="53" spans="3:30" x14ac:dyDescent="0.25">
      <c r="C53" s="96"/>
      <c r="D53" s="285" t="s">
        <v>624</v>
      </c>
      <c r="E53" s="112" t="s">
        <v>508</v>
      </c>
      <c r="F53" s="113">
        <f>Salários!$S$27</f>
        <v>676</v>
      </c>
      <c r="G53" s="113"/>
      <c r="H53" s="114" t="s">
        <v>711</v>
      </c>
      <c r="I53" s="32"/>
      <c r="K53" s="161"/>
      <c r="L53" s="21"/>
      <c r="M53" s="21"/>
      <c r="N53" s="161"/>
      <c r="O53" s="21"/>
      <c r="P53" s="283"/>
      <c r="Q53" s="161"/>
      <c r="R53" s="21"/>
      <c r="S53" s="283"/>
      <c r="T53" s="161"/>
      <c r="U53" s="21"/>
      <c r="V53" s="21"/>
      <c r="W53" s="161"/>
      <c r="X53" s="21"/>
      <c r="Y53" s="283"/>
      <c r="Z53" s="161"/>
      <c r="AA53" s="21"/>
      <c r="AC53" s="161"/>
      <c r="AD53" s="21"/>
    </row>
    <row r="54" spans="3:30" x14ac:dyDescent="0.25">
      <c r="C54" s="96"/>
      <c r="D54" s="286" t="s">
        <v>622</v>
      </c>
      <c r="E54" s="115" t="s">
        <v>714</v>
      </c>
      <c r="F54" s="116"/>
      <c r="G54" s="116">
        <f>Salários!$S$27</f>
        <v>676</v>
      </c>
      <c r="H54" s="117" t="s">
        <v>711</v>
      </c>
      <c r="I54" s="32"/>
      <c r="K54" s="161"/>
      <c r="L54" s="21"/>
      <c r="M54" s="21"/>
      <c r="N54" s="161"/>
      <c r="O54" s="21"/>
      <c r="P54" s="283"/>
      <c r="Q54" s="161"/>
      <c r="R54" s="21"/>
      <c r="S54" s="283"/>
      <c r="T54" s="161"/>
      <c r="U54" s="21"/>
      <c r="V54" s="21"/>
      <c r="W54" s="161"/>
      <c r="X54" s="21"/>
      <c r="Y54" s="283"/>
      <c r="Z54" s="161"/>
      <c r="AA54" s="21"/>
      <c r="AC54" s="161"/>
      <c r="AD54" s="21"/>
    </row>
    <row r="55" spans="3:30" x14ac:dyDescent="0.25">
      <c r="C55" s="96"/>
      <c r="D55" s="285" t="s">
        <v>621</v>
      </c>
      <c r="E55" s="32" t="s">
        <v>169</v>
      </c>
      <c r="F55" s="102" t="e">
        <f>Tributos!F98</f>
        <v>#DIV/0!</v>
      </c>
      <c r="H55" s="95" t="s">
        <v>938</v>
      </c>
      <c r="I55" s="32"/>
      <c r="K55" s="161"/>
      <c r="L55" s="21"/>
      <c r="M55" s="21"/>
      <c r="N55" s="161"/>
      <c r="O55" s="21"/>
      <c r="P55" s="283"/>
      <c r="Q55" s="161"/>
      <c r="R55" s="21"/>
      <c r="S55" s="283"/>
      <c r="T55" s="161"/>
      <c r="U55" s="21"/>
      <c r="V55" s="21"/>
      <c r="W55" s="161"/>
      <c r="X55" s="21"/>
      <c r="Y55" s="283"/>
      <c r="Z55" s="161"/>
      <c r="AA55" s="21"/>
      <c r="AC55" s="161"/>
      <c r="AD55" s="21"/>
    </row>
    <row r="56" spans="3:30" x14ac:dyDescent="0.25">
      <c r="C56" s="105"/>
      <c r="D56" s="286" t="s">
        <v>624</v>
      </c>
      <c r="E56" s="115" t="s">
        <v>460</v>
      </c>
      <c r="F56" s="115"/>
      <c r="G56" s="116" t="e">
        <f>F55</f>
        <v>#DIV/0!</v>
      </c>
      <c r="H56" s="117" t="str">
        <f>H55</f>
        <v>Receita de vendas operacionais</v>
      </c>
      <c r="I56" s="97"/>
      <c r="K56" s="250">
        <f>SUM(K49:K55)</f>
        <v>0</v>
      </c>
      <c r="L56" s="253" t="e">
        <f>SUM(L49:L55)</f>
        <v>#DIV/0!</v>
      </c>
      <c r="M56" s="21"/>
      <c r="N56" s="250">
        <f>SUM(N49:N55)</f>
        <v>0</v>
      </c>
      <c r="O56" s="253" t="e">
        <f>SUM(O49:O55)</f>
        <v>#DIV/0!</v>
      </c>
      <c r="P56" s="283"/>
      <c r="Q56" s="250">
        <f>SUM(Q49:Q55)</f>
        <v>0</v>
      </c>
      <c r="R56" s="253" t="e">
        <f>SUM(R49:R55)</f>
        <v>#DIV/0!</v>
      </c>
      <c r="S56" s="283"/>
      <c r="T56" s="250">
        <f>SUM(T49:T55)</f>
        <v>0</v>
      </c>
      <c r="U56" s="253" t="e">
        <f>SUM(U49:U55)</f>
        <v>#DIV/0!</v>
      </c>
      <c r="V56" s="21"/>
      <c r="W56" s="250">
        <f>IF(SUM(X49:X55)&gt;SUM(W49:W55),0,SUM(W49:W55)-SUM(X49:X55))</f>
        <v>0</v>
      </c>
      <c r="X56" s="253">
        <f>SUM(X49:X55)-SUM(W49:W55)</f>
        <v>0</v>
      </c>
      <c r="Y56" s="283"/>
      <c r="Z56" s="250">
        <f>SUM(Z49:Z55)</f>
        <v>0</v>
      </c>
      <c r="AA56" s="253" t="e">
        <f>SUM(AA49:AA55)</f>
        <v>#DIV/0!</v>
      </c>
      <c r="AC56" s="250">
        <f>SUM(AC49:AC55)</f>
        <v>0</v>
      </c>
      <c r="AD56" s="253" t="e">
        <f>SUM(AD49:AD55)</f>
        <v>#DIV/0!</v>
      </c>
    </row>
    <row r="57" spans="3:30" x14ac:dyDescent="0.25">
      <c r="C57" s="105"/>
      <c r="D57" s="283" t="s">
        <v>624</v>
      </c>
      <c r="E57" s="32" t="s">
        <v>466</v>
      </c>
      <c r="F57" s="109" t="e">
        <f>Tributos!H98</f>
        <v>#DIV/0!</v>
      </c>
      <c r="G57" s="109"/>
      <c r="H57" s="100" t="s">
        <v>939</v>
      </c>
      <c r="I57" s="97"/>
      <c r="L57" s="21"/>
      <c r="M57" s="21"/>
      <c r="N57" s="21"/>
      <c r="O57" s="21"/>
    </row>
    <row r="58" spans="3:30" x14ac:dyDescent="0.25">
      <c r="C58" s="105"/>
      <c r="D58" s="286" t="s">
        <v>622</v>
      </c>
      <c r="E58" s="115" t="s">
        <v>335</v>
      </c>
      <c r="F58" s="116"/>
      <c r="G58" s="116" t="e">
        <f>F57</f>
        <v>#DIV/0!</v>
      </c>
      <c r="H58" s="117" t="str">
        <f>H57</f>
        <v>Tributos sobre as vendas</v>
      </c>
      <c r="I58" s="97"/>
      <c r="L58" s="21"/>
      <c r="M58" s="21"/>
      <c r="N58" s="21"/>
      <c r="O58" s="21"/>
    </row>
    <row r="59" spans="3:30" x14ac:dyDescent="0.25">
      <c r="C59" s="105"/>
      <c r="D59" s="283" t="s">
        <v>624</v>
      </c>
      <c r="E59" s="32" t="s">
        <v>468</v>
      </c>
      <c r="F59" s="109" t="e">
        <f>Tributos!M98</f>
        <v>#DIV/0!</v>
      </c>
      <c r="G59" s="109"/>
      <c r="H59" s="100" t="s">
        <v>939</v>
      </c>
      <c r="I59" s="97"/>
      <c r="K59" s="162" t="s">
        <v>125</v>
      </c>
      <c r="L59" s="21"/>
      <c r="M59" s="21"/>
      <c r="N59" s="21"/>
      <c r="O59" s="21"/>
    </row>
    <row r="60" spans="3:30" x14ac:dyDescent="0.25">
      <c r="C60" s="105"/>
      <c r="D60" s="286" t="s">
        <v>622</v>
      </c>
      <c r="E60" s="115" t="s">
        <v>337</v>
      </c>
      <c r="F60" s="116"/>
      <c r="G60" s="116" t="e">
        <f>F59</f>
        <v>#DIV/0!</v>
      </c>
      <c r="H60" s="117" t="str">
        <f>H59</f>
        <v>Tributos sobre as vendas</v>
      </c>
      <c r="I60" s="97"/>
      <c r="K60" s="99"/>
      <c r="L60" s="21"/>
      <c r="M60" s="21"/>
      <c r="N60" s="21"/>
      <c r="O60" s="21"/>
      <c r="P60" s="283"/>
      <c r="Q60" s="283"/>
      <c r="R60" s="283"/>
      <c r="S60" s="283"/>
      <c r="T60" s="283"/>
      <c r="U60" s="283"/>
      <c r="V60" s="284"/>
      <c r="W60" s="283"/>
      <c r="X60" s="283"/>
    </row>
    <row r="61" spans="3:30" x14ac:dyDescent="0.25">
      <c r="C61" s="105"/>
      <c r="D61" s="283" t="s">
        <v>624</v>
      </c>
      <c r="E61" s="32" t="s">
        <v>470</v>
      </c>
      <c r="F61" s="102" t="e">
        <f>Tributos!J98</f>
        <v>#DIV/0!</v>
      </c>
      <c r="H61" s="100" t="s">
        <v>939</v>
      </c>
      <c r="I61" s="97"/>
      <c r="K61" s="632" t="str">
        <f>E3</f>
        <v>Capital Social</v>
      </c>
      <c r="L61" s="631"/>
      <c r="M61" s="21"/>
      <c r="N61" s="631" t="s">
        <v>976</v>
      </c>
      <c r="O61" s="631"/>
      <c r="P61" s="283"/>
      <c r="Q61" s="631" t="s">
        <v>949</v>
      </c>
      <c r="R61" s="631"/>
      <c r="S61" s="283"/>
    </row>
    <row r="62" spans="3:30" x14ac:dyDescent="0.25">
      <c r="C62" s="105"/>
      <c r="D62" s="286" t="s">
        <v>622</v>
      </c>
      <c r="E62" s="115" t="s">
        <v>343</v>
      </c>
      <c r="F62" s="115"/>
      <c r="G62" s="115" t="e">
        <f>F61</f>
        <v>#DIV/0!</v>
      </c>
      <c r="H62" s="117" t="str">
        <f>H61</f>
        <v>Tributos sobre as vendas</v>
      </c>
      <c r="I62" s="97"/>
      <c r="K62" s="160"/>
      <c r="L62" s="327">
        <f>G3</f>
        <v>550000</v>
      </c>
      <c r="M62" s="21"/>
      <c r="N62" s="256" t="e">
        <f>Z90</f>
        <v>#N/A</v>
      </c>
      <c r="O62" s="371" t="e">
        <f>G78</f>
        <v>#DIV/0!</v>
      </c>
      <c r="P62" s="283"/>
      <c r="Q62" s="160"/>
      <c r="R62" s="287"/>
      <c r="S62" s="283"/>
    </row>
    <row r="63" spans="3:30" x14ac:dyDescent="0.25">
      <c r="C63" s="105"/>
      <c r="D63" s="283" t="s">
        <v>624</v>
      </c>
      <c r="E63" s="32" t="s">
        <v>472</v>
      </c>
      <c r="F63" s="573" t="e">
        <f>Tributos!K98</f>
        <v>#DIV/0!</v>
      </c>
      <c r="G63" s="32"/>
      <c r="H63" s="100" t="s">
        <v>939</v>
      </c>
      <c r="I63" s="97"/>
      <c r="K63" s="161"/>
      <c r="L63" s="21"/>
      <c r="M63" s="21"/>
      <c r="N63" s="161"/>
      <c r="O63" s="21"/>
      <c r="P63" s="283"/>
      <c r="Q63" s="161"/>
      <c r="R63" s="21"/>
      <c r="S63" s="283"/>
    </row>
    <row r="64" spans="3:30" x14ac:dyDescent="0.25">
      <c r="C64" s="105"/>
      <c r="D64" s="286" t="s">
        <v>622</v>
      </c>
      <c r="E64" s="115" t="s">
        <v>345</v>
      </c>
      <c r="F64" s="270"/>
      <c r="G64" s="115" t="e">
        <f>F63</f>
        <v>#DIV/0!</v>
      </c>
      <c r="H64" s="117" t="str">
        <f>H63</f>
        <v>Tributos sobre as vendas</v>
      </c>
      <c r="I64" s="97"/>
      <c r="K64" s="161"/>
      <c r="L64" s="21"/>
      <c r="M64" s="21"/>
      <c r="N64" s="161"/>
      <c r="O64" s="21"/>
      <c r="P64" s="283"/>
      <c r="Q64" s="161"/>
      <c r="R64" s="21"/>
      <c r="S64" s="283"/>
    </row>
    <row r="65" spans="3:27" x14ac:dyDescent="0.25">
      <c r="C65" s="105"/>
      <c r="D65" s="283" t="s">
        <v>624</v>
      </c>
      <c r="E65" s="32" t="s">
        <v>562</v>
      </c>
      <c r="F65" s="32" t="e">
        <f>'Estoque de PA'!E41</f>
        <v>#DIV/0!</v>
      </c>
      <c r="G65" s="32"/>
      <c r="H65" s="100" t="s">
        <v>940</v>
      </c>
      <c r="I65" s="97"/>
      <c r="K65" s="161"/>
      <c r="L65" s="21"/>
      <c r="M65" s="21"/>
      <c r="N65" s="161"/>
      <c r="O65" s="21"/>
      <c r="P65" s="283"/>
      <c r="Q65" s="161"/>
      <c r="R65" s="21"/>
      <c r="S65" s="283"/>
    </row>
    <row r="66" spans="3:27" x14ac:dyDescent="0.25">
      <c r="C66" s="105"/>
      <c r="D66" s="286" t="s">
        <v>621</v>
      </c>
      <c r="E66" s="115" t="s">
        <v>206</v>
      </c>
      <c r="F66" s="115"/>
      <c r="G66" s="115" t="e">
        <f>F65</f>
        <v>#DIV/0!</v>
      </c>
      <c r="H66" s="117" t="str">
        <f>H65</f>
        <v>Custo dos produtos vendidos</v>
      </c>
      <c r="I66" s="97"/>
      <c r="K66" s="161"/>
      <c r="L66" s="21"/>
      <c r="M66" s="21"/>
      <c r="N66" s="161"/>
      <c r="O66" s="21"/>
      <c r="P66" s="283"/>
      <c r="Q66" s="161"/>
      <c r="R66" s="21"/>
      <c r="S66" s="283"/>
    </row>
    <row r="67" spans="3:27" x14ac:dyDescent="0.25">
      <c r="C67" s="105"/>
      <c r="D67" s="283" t="s">
        <v>624</v>
      </c>
      <c r="E67" s="32" t="s">
        <v>514</v>
      </c>
      <c r="F67" s="32">
        <f>Tributos!D112</f>
        <v>500</v>
      </c>
      <c r="G67" s="32"/>
      <c r="H67" s="100" t="s">
        <v>942</v>
      </c>
      <c r="I67" s="97"/>
      <c r="K67" s="161"/>
      <c r="L67" s="21"/>
      <c r="M67" s="21"/>
      <c r="N67" s="161"/>
      <c r="O67" s="21"/>
      <c r="P67" s="283"/>
      <c r="Q67" s="161"/>
      <c r="R67" s="21"/>
      <c r="S67" s="283"/>
    </row>
    <row r="68" spans="3:27" x14ac:dyDescent="0.25">
      <c r="C68" s="105"/>
      <c r="D68" s="286" t="s">
        <v>621</v>
      </c>
      <c r="E68" s="115" t="s">
        <v>169</v>
      </c>
      <c r="F68" s="115"/>
      <c r="G68" s="115">
        <f>F67</f>
        <v>500</v>
      </c>
      <c r="H68" s="117" t="str">
        <f>H67</f>
        <v>Despesas com fretes</v>
      </c>
      <c r="I68" s="97"/>
      <c r="K68" s="161"/>
      <c r="L68" s="21"/>
      <c r="M68" s="21"/>
      <c r="N68" s="161"/>
      <c r="O68" s="21"/>
      <c r="P68" s="283"/>
      <c r="Q68" s="161"/>
      <c r="R68" s="21"/>
      <c r="S68" s="283"/>
    </row>
    <row r="69" spans="3:27" x14ac:dyDescent="0.25">
      <c r="C69" s="105"/>
      <c r="D69" s="283" t="s">
        <v>624</v>
      </c>
      <c r="E69" s="32" t="s">
        <v>536</v>
      </c>
      <c r="F69" s="32">
        <f>Financiamento!E8</f>
        <v>0</v>
      </c>
      <c r="G69" s="32"/>
      <c r="H69" s="100" t="s">
        <v>944</v>
      </c>
      <c r="I69" s="97"/>
      <c r="K69" s="250">
        <f>SUM(K62:K68)</f>
        <v>0</v>
      </c>
      <c r="L69" s="253">
        <f>SUM(L62:L68)</f>
        <v>550000</v>
      </c>
      <c r="M69" s="21"/>
      <c r="N69" s="250" t="e">
        <f>IF(O69&gt;0,O69,SUM(N62:N68))</f>
        <v>#DIV/0!</v>
      </c>
      <c r="O69" s="253" t="e">
        <f>SUM(O62:O68)</f>
        <v>#DIV/0!</v>
      </c>
      <c r="P69" s="283"/>
      <c r="Q69" s="250">
        <f>SUM(Q62:Q68)</f>
        <v>0</v>
      </c>
      <c r="R69" s="253">
        <f>SUM(R62:R68)</f>
        <v>0</v>
      </c>
      <c r="S69" s="283"/>
    </row>
    <row r="70" spans="3:27" x14ac:dyDescent="0.25">
      <c r="C70" s="105"/>
      <c r="D70" s="283" t="s">
        <v>622</v>
      </c>
      <c r="E70" s="32" t="s">
        <v>298</v>
      </c>
      <c r="F70" s="32"/>
      <c r="G70" s="32">
        <f>F69</f>
        <v>0</v>
      </c>
      <c r="H70" s="100" t="s">
        <v>944</v>
      </c>
      <c r="I70" s="97"/>
      <c r="L70" s="21"/>
      <c r="M70" s="21"/>
      <c r="N70" s="21"/>
      <c r="O70" s="21"/>
      <c r="P70" s="283"/>
      <c r="Q70" s="283"/>
      <c r="R70" s="283"/>
      <c r="S70" s="283"/>
      <c r="T70" s="283"/>
      <c r="U70" s="283"/>
      <c r="V70" s="283"/>
      <c r="W70" s="283"/>
      <c r="X70" s="283"/>
    </row>
    <row r="71" spans="3:27" x14ac:dyDescent="0.25">
      <c r="C71" s="105"/>
      <c r="D71" s="285" t="s">
        <v>622</v>
      </c>
      <c r="E71" s="112" t="s">
        <v>298</v>
      </c>
      <c r="F71" s="277">
        <f>Financiamento!H8</f>
        <v>0</v>
      </c>
      <c r="G71" s="277"/>
      <c r="H71" s="122" t="s">
        <v>945</v>
      </c>
      <c r="I71" s="97"/>
      <c r="K71" s="162" t="s">
        <v>774</v>
      </c>
      <c r="L71" s="21"/>
      <c r="M71" s="21"/>
      <c r="N71" s="21"/>
      <c r="O71" s="21"/>
      <c r="P71" s="283"/>
      <c r="Q71" s="283"/>
      <c r="R71" s="283"/>
      <c r="S71" s="283"/>
      <c r="T71" s="283"/>
      <c r="U71" s="283"/>
      <c r="V71" s="283"/>
      <c r="W71" s="283"/>
      <c r="X71" s="283"/>
    </row>
    <row r="72" spans="3:27" x14ac:dyDescent="0.25">
      <c r="C72" s="105"/>
      <c r="D72" s="286" t="s">
        <v>621</v>
      </c>
      <c r="E72" s="115" t="s">
        <v>169</v>
      </c>
      <c r="F72" s="276"/>
      <c r="G72" s="276">
        <f>F71</f>
        <v>0</v>
      </c>
      <c r="H72" s="123" t="str">
        <f>H71</f>
        <v>Pagamento de empréstimo + juros</v>
      </c>
      <c r="I72" s="97"/>
      <c r="L72" s="21"/>
      <c r="M72" s="21"/>
      <c r="N72" s="21"/>
      <c r="O72" s="21"/>
      <c r="P72" s="283"/>
      <c r="Q72" s="283"/>
      <c r="R72" s="283"/>
      <c r="S72" s="283"/>
      <c r="T72" s="283"/>
      <c r="U72" s="283"/>
      <c r="V72" s="283"/>
      <c r="W72" s="626" t="str">
        <f>E45</f>
        <v xml:space="preserve"> Instituto Nacional de Seguridade Social - INSS  (DRE)</v>
      </c>
      <c r="X72" s="626"/>
    </row>
    <row r="73" spans="3:27" x14ac:dyDescent="0.25">
      <c r="C73" s="105"/>
      <c r="D73" s="285" t="s">
        <v>624</v>
      </c>
      <c r="E73" s="112" t="s">
        <v>547</v>
      </c>
      <c r="F73" s="278" t="e">
        <f>-DRE!D30</f>
        <v>#DIV/0!</v>
      </c>
      <c r="G73" s="278"/>
      <c r="H73" s="122" t="s">
        <v>975</v>
      </c>
      <c r="I73" s="97"/>
      <c r="K73" s="630" t="str">
        <f xml:space="preserve"> E23</f>
        <v>Desp. Depreciação</v>
      </c>
      <c r="L73" s="631"/>
      <c r="M73" s="21"/>
      <c r="N73" s="262" t="str">
        <f>E29</f>
        <v xml:space="preserve"> Energia Elétrica</v>
      </c>
      <c r="O73" s="286"/>
      <c r="P73" s="283"/>
      <c r="Q73" s="630" t="str">
        <f>E35</f>
        <v xml:space="preserve"> Salários</v>
      </c>
      <c r="R73" s="631"/>
      <c r="S73" s="283"/>
      <c r="T73" s="630" t="str">
        <f>E41</f>
        <v xml:space="preserve"> Fundo de Garantia do Tempo de Serviço FGTS (DRE)</v>
      </c>
      <c r="U73" s="631"/>
      <c r="V73" s="21"/>
      <c r="W73" s="627"/>
      <c r="X73" s="627"/>
      <c r="Y73" s="283"/>
      <c r="Z73" s="633" t="s">
        <v>907</v>
      </c>
      <c r="AA73" s="633"/>
    </row>
    <row r="74" spans="3:27" x14ac:dyDescent="0.25">
      <c r="C74" s="105"/>
      <c r="D74" s="286" t="s">
        <v>622</v>
      </c>
      <c r="E74" s="115" t="s">
        <v>339</v>
      </c>
      <c r="F74" s="276"/>
      <c r="G74" s="276" t="e">
        <f>F73</f>
        <v>#DIV/0!</v>
      </c>
      <c r="H74" s="122" t="s">
        <v>975</v>
      </c>
      <c r="I74" s="97"/>
      <c r="K74" s="358" t="e">
        <f>F23</f>
        <v>#N/A</v>
      </c>
      <c r="L74" s="21"/>
      <c r="M74" s="21"/>
      <c r="N74" s="358" t="e">
        <f>F29</f>
        <v>#N/A</v>
      </c>
      <c r="O74" s="21"/>
      <c r="P74" s="283"/>
      <c r="Q74" s="360">
        <f>F35</f>
        <v>6000</v>
      </c>
      <c r="S74" s="283"/>
      <c r="T74" s="358">
        <f>F41</f>
        <v>480</v>
      </c>
      <c r="U74" s="21"/>
      <c r="V74" s="21"/>
      <c r="W74" s="358">
        <f>F45</f>
        <v>1632.0000000000002</v>
      </c>
      <c r="X74" s="21"/>
      <c r="Y74" s="283"/>
      <c r="Z74" s="358" t="e">
        <f>K81</f>
        <v>#N/A</v>
      </c>
      <c r="AA74" s="287" t="e">
        <f>O91</f>
        <v>#DIV/0!</v>
      </c>
    </row>
    <row r="75" spans="3:27" x14ac:dyDescent="0.25">
      <c r="C75" s="105"/>
      <c r="D75" s="285" t="s">
        <v>624</v>
      </c>
      <c r="E75" s="112" t="s">
        <v>555</v>
      </c>
      <c r="F75" s="102" t="e">
        <f>-DRE!D31</f>
        <v>#DIV/0!</v>
      </c>
      <c r="H75" s="95" t="s">
        <v>974</v>
      </c>
      <c r="I75" s="97"/>
      <c r="K75" s="359">
        <f>F22</f>
        <v>2500</v>
      </c>
      <c r="L75" s="21"/>
      <c r="M75" s="21"/>
      <c r="N75" s="161"/>
      <c r="O75" s="21"/>
      <c r="P75" s="283"/>
      <c r="Q75" s="161"/>
      <c r="R75" s="21"/>
      <c r="S75" s="283"/>
      <c r="T75" s="161"/>
      <c r="U75" s="21"/>
      <c r="V75" s="21"/>
      <c r="W75" s="161"/>
      <c r="X75" s="21"/>
      <c r="Y75" s="283"/>
      <c r="Z75" s="359" t="e">
        <f>N81</f>
        <v>#N/A</v>
      </c>
      <c r="AA75" s="21"/>
    </row>
    <row r="76" spans="3:27" x14ac:dyDescent="0.25">
      <c r="C76" s="105"/>
      <c r="D76" s="286" t="s">
        <v>622</v>
      </c>
      <c r="E76" s="115" t="s">
        <v>341</v>
      </c>
      <c r="F76" s="276"/>
      <c r="G76" s="276" t="e">
        <f>F75</f>
        <v>#DIV/0!</v>
      </c>
      <c r="H76" s="123" t="s">
        <v>974</v>
      </c>
      <c r="I76" s="97"/>
      <c r="K76" s="161"/>
      <c r="L76" s="21"/>
      <c r="M76" s="21"/>
      <c r="N76" s="161"/>
      <c r="O76" s="21"/>
      <c r="P76" s="283"/>
      <c r="Q76" s="161"/>
      <c r="R76" s="21"/>
      <c r="S76" s="283"/>
      <c r="T76" s="161"/>
      <c r="U76" s="21"/>
      <c r="V76" s="21"/>
      <c r="W76" s="161"/>
      <c r="X76" s="21"/>
      <c r="Y76" s="283"/>
      <c r="Z76" s="359">
        <f>Q81</f>
        <v>6000</v>
      </c>
      <c r="AA76" s="21"/>
    </row>
    <row r="77" spans="3:27" x14ac:dyDescent="0.25">
      <c r="C77" s="105"/>
      <c r="D77" s="283" t="s">
        <v>624</v>
      </c>
      <c r="E77" s="32" t="s">
        <v>563</v>
      </c>
      <c r="F77" s="97" t="e">
        <f>AA94</f>
        <v>#DIV/0!</v>
      </c>
      <c r="G77" s="97"/>
      <c r="H77" s="95" t="s">
        <v>978</v>
      </c>
      <c r="I77" s="97"/>
      <c r="K77" s="161"/>
      <c r="L77" s="21"/>
      <c r="M77" s="21"/>
      <c r="N77" s="161"/>
      <c r="O77" s="21"/>
      <c r="P77" s="283"/>
      <c r="Q77" s="161"/>
      <c r="R77" s="21"/>
      <c r="S77" s="283"/>
      <c r="T77" s="161"/>
      <c r="U77" s="21"/>
      <c r="V77" s="21"/>
      <c r="W77" s="161"/>
      <c r="X77" s="21"/>
      <c r="Y77" s="283"/>
      <c r="Z77" s="359">
        <f>T81</f>
        <v>480</v>
      </c>
      <c r="AA77" s="21"/>
    </row>
    <row r="78" spans="3:27" x14ac:dyDescent="0.25">
      <c r="C78" s="105"/>
      <c r="D78" s="286" t="s">
        <v>623</v>
      </c>
      <c r="E78" s="115" t="s">
        <v>977</v>
      </c>
      <c r="F78" s="276"/>
      <c r="G78" s="276" t="e">
        <f>F77</f>
        <v>#DIV/0!</v>
      </c>
      <c r="H78" s="123" t="s">
        <v>978</v>
      </c>
      <c r="I78" s="97"/>
      <c r="K78" s="161"/>
      <c r="L78" s="21"/>
      <c r="M78" s="21"/>
      <c r="N78" s="161"/>
      <c r="O78" s="21"/>
      <c r="P78" s="283"/>
      <c r="Q78" s="161"/>
      <c r="R78" s="21"/>
      <c r="S78" s="283"/>
      <c r="T78" s="161"/>
      <c r="U78" s="21"/>
      <c r="V78" s="21"/>
      <c r="W78" s="161"/>
      <c r="X78" s="21"/>
      <c r="Y78" s="283"/>
      <c r="Z78" s="359">
        <f>W81</f>
        <v>1632.0000000000002</v>
      </c>
      <c r="AA78" s="21"/>
    </row>
    <row r="79" spans="3:27" x14ac:dyDescent="0.25">
      <c r="C79" s="105"/>
      <c r="D79" s="283"/>
      <c r="I79" s="97"/>
      <c r="K79" s="161"/>
      <c r="L79" s="21"/>
      <c r="M79" s="21"/>
      <c r="N79" s="161"/>
      <c r="O79" s="21"/>
      <c r="P79" s="283"/>
      <c r="Q79" s="161"/>
      <c r="R79" s="21"/>
      <c r="S79" s="283"/>
      <c r="T79" s="161"/>
      <c r="U79" s="21"/>
      <c r="V79" s="21"/>
      <c r="W79" s="161"/>
      <c r="X79" s="21"/>
      <c r="Y79" s="283"/>
      <c r="Z79" s="359" t="e">
        <f>K84</f>
        <v>#N/A</v>
      </c>
      <c r="AA79" s="21"/>
    </row>
    <row r="80" spans="3:27" x14ac:dyDescent="0.25">
      <c r="C80" s="105"/>
      <c r="I80" s="97"/>
      <c r="K80" s="161"/>
      <c r="L80" s="21"/>
      <c r="M80" s="21"/>
      <c r="N80" s="161"/>
      <c r="O80" s="21"/>
      <c r="P80" s="283"/>
      <c r="Q80" s="161"/>
      <c r="R80" s="21"/>
      <c r="S80" s="283"/>
      <c r="T80" s="161"/>
      <c r="U80" s="21"/>
      <c r="V80" s="21"/>
      <c r="W80" s="161"/>
      <c r="X80" s="21"/>
      <c r="Y80" s="283"/>
      <c r="Z80" s="359" t="e">
        <f>Q84</f>
        <v>#DIV/0!</v>
      </c>
      <c r="AA80" s="21"/>
    </row>
    <row r="81" spans="3:27" x14ac:dyDescent="0.25">
      <c r="C81" s="105"/>
      <c r="I81" s="97"/>
      <c r="K81" s="250" t="e">
        <f>SUM(K74:K80)</f>
        <v>#N/A</v>
      </c>
      <c r="L81" s="253" t="e">
        <f>K81</f>
        <v>#N/A</v>
      </c>
      <c r="M81" s="21"/>
      <c r="N81" s="250" t="e">
        <f>SUM(N74:N80)</f>
        <v>#N/A</v>
      </c>
      <c r="O81" s="253" t="e">
        <f>N81</f>
        <v>#N/A</v>
      </c>
      <c r="P81" s="283"/>
      <c r="Q81" s="250">
        <f>SUM(Q74:Q80)</f>
        <v>6000</v>
      </c>
      <c r="R81" s="253">
        <f>Q81</f>
        <v>6000</v>
      </c>
      <c r="S81" s="283"/>
      <c r="T81" s="250">
        <f>SUM(T74:T80)</f>
        <v>480</v>
      </c>
      <c r="U81" s="253">
        <f>T81</f>
        <v>480</v>
      </c>
      <c r="V81" s="21"/>
      <c r="W81" s="250">
        <f>SUM(W74:W80)</f>
        <v>1632.0000000000002</v>
      </c>
      <c r="X81" s="253">
        <f>W81</f>
        <v>1632.0000000000002</v>
      </c>
      <c r="Y81" s="283"/>
      <c r="Z81" s="359" t="e">
        <f>T84</f>
        <v>#DIV/0!</v>
      </c>
      <c r="AA81" s="21"/>
    </row>
    <row r="82" spans="3:27" x14ac:dyDescent="0.25">
      <c r="C82" s="105"/>
      <c r="D82" s="123"/>
      <c r="E82" s="123"/>
      <c r="F82" s="484"/>
      <c r="G82" s="484"/>
      <c r="H82" s="123"/>
      <c r="I82" s="97"/>
      <c r="N82" s="626" t="str">
        <f>E56</f>
        <v xml:space="preserve"> Receitas de Vendas (Mercadorias/Produtos Produzidos)</v>
      </c>
      <c r="O82" s="626"/>
      <c r="Z82" s="359" t="e">
        <f>W84</f>
        <v>#DIV/0!</v>
      </c>
      <c r="AA82" s="21"/>
    </row>
    <row r="83" spans="3:27" x14ac:dyDescent="0.25">
      <c r="C83" s="105"/>
      <c r="D83" s="486"/>
      <c r="E83" s="488" t="s">
        <v>982</v>
      </c>
      <c r="F83" s="485" t="e">
        <f>SUM(F3:F78)</f>
        <v>#N/A</v>
      </c>
      <c r="G83" s="485" t="e">
        <f>SUM(G3:G78)</f>
        <v>#DIV/0!</v>
      </c>
      <c r="H83" s="487"/>
      <c r="I83" s="97"/>
      <c r="K83" s="630" t="str">
        <f>E31</f>
        <v xml:space="preserve"> Materiais Diversos</v>
      </c>
      <c r="L83" s="631"/>
      <c r="M83" s="21"/>
      <c r="N83" s="627"/>
      <c r="O83" s="627"/>
      <c r="P83" s="283"/>
      <c r="Q83" s="630" t="str">
        <f>E57</f>
        <v>(-) IPI - Imposto sobre Produtos Industrializados</v>
      </c>
      <c r="R83" s="631"/>
      <c r="S83" s="283"/>
      <c r="T83" s="630" t="str">
        <f>E59</f>
        <v>(-) ICMS - Imposto sobre Circulação de Mercadorias e Serviços</v>
      </c>
      <c r="U83" s="631"/>
      <c r="V83" s="21"/>
      <c r="W83" s="630" t="str">
        <f>E61</f>
        <v>(-) PIS/PASEP</v>
      </c>
      <c r="X83" s="631"/>
      <c r="Y83" s="283"/>
      <c r="Z83" s="366" t="e">
        <f>K94</f>
        <v>#DIV/0!</v>
      </c>
      <c r="AA83" s="21"/>
    </row>
    <row r="84" spans="3:27" x14ac:dyDescent="0.25">
      <c r="C84" s="105"/>
      <c r="D84" s="104"/>
      <c r="E84" s="112"/>
      <c r="F84" s="97"/>
      <c r="G84" s="97"/>
      <c r="I84" s="97"/>
      <c r="K84" s="358" t="e">
        <f>F31</f>
        <v>#N/A</v>
      </c>
      <c r="L84" s="21"/>
      <c r="M84" s="21"/>
      <c r="N84" s="160"/>
      <c r="O84" s="327" t="e">
        <f>G56</f>
        <v>#DIV/0!</v>
      </c>
      <c r="P84" s="283"/>
      <c r="Q84" s="360" t="e">
        <f>F57</f>
        <v>#DIV/0!</v>
      </c>
      <c r="S84" s="283"/>
      <c r="T84" s="358" t="e">
        <f>F59</f>
        <v>#DIV/0!</v>
      </c>
      <c r="U84" s="21"/>
      <c r="V84" s="21"/>
      <c r="W84" s="358" t="e">
        <f>F61</f>
        <v>#DIV/0!</v>
      </c>
      <c r="X84" s="21"/>
      <c r="Y84" s="283"/>
      <c r="Z84" s="359">
        <f>Q101</f>
        <v>500</v>
      </c>
      <c r="AA84" s="21"/>
    </row>
    <row r="85" spans="3:27" x14ac:dyDescent="0.25">
      <c r="C85" s="105"/>
      <c r="D85" s="104"/>
      <c r="E85" s="32"/>
      <c r="F85" s="97"/>
      <c r="G85" s="97"/>
      <c r="I85" s="97"/>
      <c r="K85" s="161"/>
      <c r="L85" s="21"/>
      <c r="M85" s="21"/>
      <c r="N85" s="161"/>
      <c r="O85" s="21"/>
      <c r="P85" s="283"/>
      <c r="Q85" s="161"/>
      <c r="R85" s="21"/>
      <c r="S85" s="283"/>
      <c r="T85" s="161"/>
      <c r="U85" s="21"/>
      <c r="V85" s="21"/>
      <c r="W85" s="161"/>
      <c r="X85" s="21"/>
      <c r="Y85" s="283"/>
      <c r="Z85" s="359">
        <f>T94</f>
        <v>0</v>
      </c>
    </row>
    <row r="86" spans="3:27" x14ac:dyDescent="0.25">
      <c r="C86" s="105"/>
      <c r="D86" s="104"/>
      <c r="E86" s="32"/>
      <c r="F86" s="97"/>
      <c r="G86" s="97"/>
      <c r="K86" s="161"/>
      <c r="L86" s="21"/>
      <c r="M86" s="21"/>
      <c r="N86" s="161"/>
      <c r="O86" s="21"/>
      <c r="P86" s="283"/>
      <c r="Q86" s="161"/>
      <c r="R86" s="21"/>
      <c r="S86" s="283"/>
      <c r="T86" s="161"/>
      <c r="U86" s="21"/>
      <c r="V86" s="21"/>
      <c r="W86" s="161"/>
      <c r="X86" s="21"/>
      <c r="Y86" s="283"/>
      <c r="Z86" s="359">
        <f>W101</f>
        <v>676</v>
      </c>
    </row>
    <row r="87" spans="3:27" x14ac:dyDescent="0.25">
      <c r="D87" s="104"/>
      <c r="E87" s="32"/>
      <c r="F87" s="97"/>
      <c r="G87" s="97"/>
      <c r="K87" s="161"/>
      <c r="L87" s="21"/>
      <c r="M87" s="21"/>
      <c r="N87" s="161"/>
      <c r="O87" s="21"/>
      <c r="P87" s="283"/>
      <c r="Q87" s="161"/>
      <c r="R87" s="21"/>
      <c r="S87" s="283"/>
      <c r="T87" s="161"/>
      <c r="U87" s="21"/>
      <c r="V87" s="21"/>
      <c r="W87" s="161"/>
      <c r="X87" s="21"/>
      <c r="Y87" s="283"/>
      <c r="Z87" s="359">
        <f>K111</f>
        <v>901.33333333333337</v>
      </c>
    </row>
    <row r="88" spans="3:27" x14ac:dyDescent="0.25">
      <c r="D88" s="104"/>
      <c r="E88" s="32"/>
      <c r="F88" s="97"/>
      <c r="G88" s="97"/>
      <c r="K88" s="161"/>
      <c r="L88" s="21"/>
      <c r="M88" s="21"/>
      <c r="N88" s="161"/>
      <c r="O88" s="21"/>
      <c r="P88" s="283"/>
      <c r="Q88" s="161"/>
      <c r="R88" s="21"/>
      <c r="S88" s="283"/>
      <c r="T88" s="161"/>
      <c r="U88" s="21"/>
      <c r="V88" s="21"/>
      <c r="W88" s="161"/>
      <c r="X88" s="21"/>
      <c r="Y88" s="283"/>
      <c r="Z88" s="359" t="e">
        <f>N101</f>
        <v>#DIV/0!</v>
      </c>
    </row>
    <row r="89" spans="3:27" x14ac:dyDescent="0.25">
      <c r="D89" s="104"/>
      <c r="E89" s="32"/>
      <c r="F89" s="97"/>
      <c r="G89" s="97"/>
      <c r="K89" s="161"/>
      <c r="L89" s="21"/>
      <c r="M89" s="21"/>
      <c r="N89" s="161"/>
      <c r="O89" s="21"/>
      <c r="P89" s="283"/>
      <c r="Q89" s="161"/>
      <c r="R89" s="21"/>
      <c r="S89" s="283"/>
      <c r="T89" s="161"/>
      <c r="U89" s="21"/>
      <c r="V89" s="21"/>
      <c r="W89" s="161"/>
      <c r="X89" s="21"/>
      <c r="Y89" s="283"/>
      <c r="Z89" s="271" t="e">
        <f>SUM(Z74:Z88)</f>
        <v>#N/A</v>
      </c>
      <c r="AA89" s="272" t="e">
        <f>SUM(AA74:AA88)</f>
        <v>#DIV/0!</v>
      </c>
    </row>
    <row r="90" spans="3:27" x14ac:dyDescent="0.25">
      <c r="D90" s="104"/>
      <c r="E90" s="32"/>
      <c r="F90" s="97"/>
      <c r="G90" s="97"/>
      <c r="K90" s="161"/>
      <c r="L90" s="21"/>
      <c r="M90" s="21"/>
      <c r="N90" s="161"/>
      <c r="O90" s="21"/>
      <c r="P90" s="283"/>
      <c r="Q90" s="161"/>
      <c r="R90" s="21"/>
      <c r="S90" s="283"/>
      <c r="T90" s="161"/>
      <c r="U90" s="21"/>
      <c r="V90" s="21"/>
      <c r="W90" s="161"/>
      <c r="X90" s="21"/>
      <c r="Y90" s="283"/>
      <c r="Z90" s="281" t="e">
        <f>IF(Z89&gt;AA89,Z89-AA89,0)</f>
        <v>#N/A</v>
      </c>
      <c r="AA90" s="365" t="e">
        <f>IF(AA89&gt;Z89,AA89-Z89,0)</f>
        <v>#DIV/0!</v>
      </c>
    </row>
    <row r="91" spans="3:27" x14ac:dyDescent="0.25">
      <c r="D91" s="104"/>
      <c r="E91" s="32"/>
      <c r="F91" s="97"/>
      <c r="G91" s="97"/>
      <c r="K91" s="250" t="e">
        <f>SUM(K84:K90)</f>
        <v>#N/A</v>
      </c>
      <c r="L91" s="253" t="e">
        <f>K91</f>
        <v>#N/A</v>
      </c>
      <c r="M91" s="21"/>
      <c r="N91" s="250" t="e">
        <f>O91</f>
        <v>#DIV/0!</v>
      </c>
      <c r="O91" s="253" t="e">
        <f>SUM(O84:O90)</f>
        <v>#DIV/0!</v>
      </c>
      <c r="P91" s="283"/>
      <c r="Q91" s="250" t="e">
        <f>SUM(Q84:Q90)</f>
        <v>#DIV/0!</v>
      </c>
      <c r="R91" s="253" t="e">
        <f>Q91</f>
        <v>#DIV/0!</v>
      </c>
      <c r="S91" s="283"/>
      <c r="T91" s="250" t="e">
        <f>SUM(T84:T90)</f>
        <v>#DIV/0!</v>
      </c>
      <c r="U91" s="253" t="e">
        <f>T91</f>
        <v>#DIV/0!</v>
      </c>
      <c r="V91" s="21"/>
      <c r="W91" s="250" t="e">
        <f>SUM(W84:W90)</f>
        <v>#DIV/0!</v>
      </c>
      <c r="X91" s="253" t="e">
        <f>W91</f>
        <v>#DIV/0!</v>
      </c>
      <c r="Y91" s="283"/>
      <c r="Z91" s="256" t="e">
        <f>N104</f>
        <v>#DIV/0!</v>
      </c>
      <c r="AA91" s="368"/>
    </row>
    <row r="92" spans="3:27" x14ac:dyDescent="0.25">
      <c r="D92" s="104"/>
      <c r="E92" s="32"/>
      <c r="F92" s="97"/>
      <c r="G92" s="97"/>
      <c r="K92" s="626" t="str">
        <f>E63</f>
        <v>(-) Contribuição para Financiamento da Seguridade Social - COFINS</v>
      </c>
      <c r="L92" s="626"/>
      <c r="N92" s="626" t="str">
        <f>E65</f>
        <v xml:space="preserve"> Custo dos Produtos Vendidos (CPV)</v>
      </c>
      <c r="O92" s="626"/>
      <c r="Z92" s="292" t="e">
        <f>Q104</f>
        <v>#DIV/0!</v>
      </c>
      <c r="AA92" s="367"/>
    </row>
    <row r="93" spans="3:27" x14ac:dyDescent="0.25">
      <c r="D93" s="104"/>
      <c r="E93" s="32"/>
      <c r="F93" s="97"/>
      <c r="G93" s="97"/>
      <c r="K93" s="627"/>
      <c r="L93" s="627"/>
      <c r="M93" s="283"/>
      <c r="N93" s="627"/>
      <c r="O93" s="627"/>
      <c r="P93" s="283"/>
      <c r="Q93" s="630" t="str">
        <f>E67</f>
        <v xml:space="preserve"> Serviços de Terceiros</v>
      </c>
      <c r="R93" s="631"/>
      <c r="S93" s="21"/>
      <c r="T93" s="630" t="str">
        <f>E69</f>
        <v>Juros de Financiamentos</v>
      </c>
      <c r="U93" s="631"/>
      <c r="V93" s="283"/>
      <c r="W93" s="630" t="str">
        <f>E53</f>
        <v xml:space="preserve"> Décimo Terceiro Salário</v>
      </c>
      <c r="X93" s="631"/>
      <c r="Z93" s="280" t="e">
        <f>SUM(Z91:Z92)</f>
        <v>#DIV/0!</v>
      </c>
      <c r="AA93" s="369" t="e">
        <f>AA90</f>
        <v>#DIV/0!</v>
      </c>
    </row>
    <row r="94" spans="3:27" x14ac:dyDescent="0.25">
      <c r="D94" s="104"/>
      <c r="E94" s="32"/>
      <c r="F94" s="97"/>
      <c r="G94" s="97"/>
      <c r="K94" s="341" t="e">
        <f>F63</f>
        <v>#DIV/0!</v>
      </c>
      <c r="L94" s="21"/>
      <c r="M94" s="283"/>
      <c r="N94" s="358" t="e">
        <f>F65</f>
        <v>#DIV/0!</v>
      </c>
      <c r="O94" s="21"/>
      <c r="P94" s="283"/>
      <c r="Q94" s="358">
        <f>F67</f>
        <v>500</v>
      </c>
      <c r="R94" s="21"/>
      <c r="S94" s="21"/>
      <c r="T94" s="358">
        <f>F69</f>
        <v>0</v>
      </c>
      <c r="U94" s="21"/>
      <c r="V94" s="283"/>
      <c r="W94" s="358">
        <f>F53</f>
        <v>676</v>
      </c>
      <c r="X94" s="21"/>
      <c r="Z94" s="161"/>
      <c r="AA94" s="370" t="e">
        <f>AA93-Z93</f>
        <v>#DIV/0!</v>
      </c>
    </row>
    <row r="95" spans="3:27" x14ac:dyDescent="0.25">
      <c r="D95" s="104"/>
      <c r="E95" s="32"/>
      <c r="F95" s="97"/>
      <c r="G95" s="97"/>
      <c r="K95" s="161"/>
      <c r="L95" s="21"/>
      <c r="M95" s="283"/>
      <c r="N95" s="161"/>
      <c r="O95" s="21"/>
      <c r="P95" s="283"/>
      <c r="Q95" s="161"/>
      <c r="R95" s="21"/>
      <c r="S95" s="21"/>
      <c r="T95" s="161"/>
      <c r="U95" s="21"/>
      <c r="V95" s="283"/>
      <c r="W95" s="161"/>
      <c r="X95" s="21"/>
      <c r="Z95" s="161"/>
      <c r="AA95" s="283"/>
    </row>
    <row r="96" spans="3:27" x14ac:dyDescent="0.25">
      <c r="D96" s="104"/>
      <c r="E96" s="32"/>
      <c r="F96" s="97"/>
      <c r="G96" s="97"/>
      <c r="K96" s="161"/>
      <c r="L96" s="21"/>
      <c r="M96" s="283"/>
      <c r="N96" s="161"/>
      <c r="O96" s="21"/>
      <c r="P96" s="283"/>
      <c r="Q96" s="161"/>
      <c r="R96" s="21"/>
      <c r="S96" s="21"/>
      <c r="T96" s="161"/>
      <c r="U96" s="21"/>
      <c r="V96" s="283"/>
      <c r="W96" s="161"/>
      <c r="X96" s="21"/>
      <c r="AA96" s="283"/>
    </row>
    <row r="97" spans="4:27" x14ac:dyDescent="0.25">
      <c r="D97" s="104"/>
      <c r="E97" s="32"/>
      <c r="F97" s="97"/>
      <c r="G97" s="97"/>
      <c r="K97" s="161"/>
      <c r="L97" s="21"/>
      <c r="M97" s="283"/>
      <c r="N97" s="161"/>
      <c r="O97" s="21"/>
      <c r="P97" s="283"/>
      <c r="Q97" s="161"/>
      <c r="R97" s="21"/>
      <c r="S97" s="21"/>
      <c r="T97" s="161"/>
      <c r="U97" s="21"/>
      <c r="V97" s="283"/>
      <c r="W97" s="161"/>
      <c r="X97" s="21"/>
      <c r="AA97" s="283"/>
    </row>
    <row r="98" spans="4:27" x14ac:dyDescent="0.25">
      <c r="D98" s="104"/>
      <c r="E98" s="32"/>
      <c r="F98" s="97"/>
      <c r="G98" s="97"/>
      <c r="K98" s="161"/>
      <c r="L98" s="21"/>
      <c r="M98" s="283"/>
      <c r="N98" s="161"/>
      <c r="O98" s="21"/>
      <c r="P98" s="283"/>
      <c r="Q98" s="161"/>
      <c r="R98" s="21"/>
      <c r="S98" s="21"/>
      <c r="T98" s="161"/>
      <c r="U98" s="21"/>
      <c r="V98" s="283"/>
      <c r="W98" s="161"/>
      <c r="X98" s="21"/>
    </row>
    <row r="99" spans="4:27" x14ac:dyDescent="0.25">
      <c r="D99" s="104"/>
      <c r="E99" s="32"/>
      <c r="F99" s="97"/>
      <c r="G99" s="97"/>
      <c r="K99" s="161"/>
      <c r="L99" s="21"/>
      <c r="M99" s="283"/>
      <c r="N99" s="161"/>
      <c r="O99" s="21"/>
      <c r="P99" s="283"/>
      <c r="Q99" s="161"/>
      <c r="R99" s="21"/>
      <c r="S99" s="21"/>
      <c r="T99" s="161"/>
      <c r="U99" s="21"/>
      <c r="V99" s="283"/>
      <c r="W99" s="161"/>
      <c r="X99" s="21"/>
    </row>
    <row r="100" spans="4:27" x14ac:dyDescent="0.25">
      <c r="D100" s="104"/>
      <c r="E100" s="32"/>
      <c r="F100" s="97"/>
      <c r="G100" s="97"/>
      <c r="K100" s="161"/>
      <c r="L100" s="21"/>
      <c r="M100" s="283"/>
      <c r="N100" s="161"/>
      <c r="O100" s="21"/>
      <c r="P100" s="283"/>
      <c r="Q100" s="161"/>
      <c r="R100" s="21"/>
      <c r="S100" s="21"/>
      <c r="T100" s="161"/>
      <c r="U100" s="21"/>
      <c r="V100" s="283"/>
      <c r="W100" s="161"/>
      <c r="X100" s="21"/>
    </row>
    <row r="101" spans="4:27" x14ac:dyDescent="0.25">
      <c r="D101" s="104"/>
      <c r="E101" s="32"/>
      <c r="F101" s="97"/>
      <c r="G101" s="97"/>
      <c r="K101" s="250" t="e">
        <f>SUM(K94:K100)</f>
        <v>#DIV/0!</v>
      </c>
      <c r="L101" s="253" t="e">
        <f>K101</f>
        <v>#DIV/0!</v>
      </c>
      <c r="M101" s="283"/>
      <c r="N101" s="250" t="e">
        <f>SUM(N94:N100)</f>
        <v>#DIV/0!</v>
      </c>
      <c r="O101" s="253" t="e">
        <f>N101</f>
        <v>#DIV/0!</v>
      </c>
      <c r="P101" s="283"/>
      <c r="Q101" s="250">
        <f>SUM(Q94:Q100)</f>
        <v>500</v>
      </c>
      <c r="R101" s="253">
        <f>Q101</f>
        <v>500</v>
      </c>
      <c r="S101" s="21"/>
      <c r="T101" s="250">
        <f>SUM(T94:T100)</f>
        <v>0</v>
      </c>
      <c r="U101" s="253">
        <f>T101</f>
        <v>0</v>
      </c>
      <c r="V101" s="283"/>
      <c r="W101" s="250">
        <f>SUM(W94:W100)</f>
        <v>676</v>
      </c>
      <c r="X101" s="253">
        <f>W101</f>
        <v>676</v>
      </c>
    </row>
    <row r="102" spans="4:27" x14ac:dyDescent="0.25">
      <c r="D102" s="104"/>
      <c r="E102" s="32"/>
      <c r="F102" s="97"/>
      <c r="G102" s="97"/>
    </row>
    <row r="103" spans="4:27" x14ac:dyDescent="0.25">
      <c r="D103" s="104"/>
      <c r="E103" s="32"/>
      <c r="F103" s="97"/>
      <c r="G103" s="97"/>
      <c r="K103" s="630" t="str">
        <f>E49</f>
        <v xml:space="preserve"> Férias</v>
      </c>
      <c r="L103" s="631"/>
      <c r="M103" s="21"/>
      <c r="N103" s="631" t="s">
        <v>950</v>
      </c>
      <c r="O103" s="631"/>
      <c r="P103" s="283"/>
      <c r="Q103" s="631" t="s">
        <v>951</v>
      </c>
      <c r="R103" s="631"/>
    </row>
    <row r="104" spans="4:27" x14ac:dyDescent="0.25">
      <c r="F104" s="95"/>
      <c r="G104" s="95"/>
      <c r="K104" s="358">
        <f>F49</f>
        <v>901.33333333333337</v>
      </c>
      <c r="L104" s="21"/>
      <c r="M104" s="21"/>
      <c r="N104" s="341" t="e">
        <f>-DRE!D30</f>
        <v>#DIV/0!</v>
      </c>
      <c r="O104" s="21"/>
      <c r="P104" s="283"/>
      <c r="Q104" s="341" t="e">
        <f>-DRE!D31</f>
        <v>#DIV/0!</v>
      </c>
      <c r="R104" s="21"/>
    </row>
    <row r="105" spans="4:27" x14ac:dyDescent="0.25">
      <c r="K105" s="161"/>
      <c r="L105" s="21"/>
      <c r="M105" s="21"/>
      <c r="N105" s="161"/>
      <c r="O105" s="21"/>
      <c r="P105" s="283"/>
      <c r="Q105" s="161"/>
      <c r="R105" s="21"/>
    </row>
    <row r="106" spans="4:27" x14ac:dyDescent="0.25">
      <c r="K106" s="161"/>
      <c r="L106" s="21"/>
      <c r="M106" s="21"/>
      <c r="N106" s="161"/>
      <c r="O106" s="21"/>
      <c r="P106" s="283"/>
      <c r="Q106" s="161"/>
      <c r="R106" s="21"/>
    </row>
    <row r="107" spans="4:27" x14ac:dyDescent="0.25">
      <c r="K107" s="161"/>
      <c r="L107" s="21"/>
      <c r="M107" s="21"/>
      <c r="N107" s="161"/>
      <c r="O107" s="21"/>
      <c r="P107" s="283"/>
      <c r="Q107" s="161"/>
      <c r="R107" s="21"/>
    </row>
    <row r="108" spans="4:27" x14ac:dyDescent="0.25">
      <c r="K108" s="161"/>
      <c r="L108" s="21"/>
      <c r="M108" s="21"/>
      <c r="N108" s="161"/>
      <c r="O108" s="21"/>
      <c r="P108" s="283"/>
      <c r="Q108" s="161"/>
      <c r="R108" s="21"/>
    </row>
    <row r="109" spans="4:27" x14ac:dyDescent="0.25">
      <c r="K109" s="161"/>
      <c r="L109" s="21"/>
      <c r="M109" s="21"/>
      <c r="N109" s="161"/>
      <c r="O109" s="21"/>
      <c r="P109" s="283"/>
      <c r="Q109" s="161"/>
      <c r="R109" s="21"/>
    </row>
    <row r="110" spans="4:27" x14ac:dyDescent="0.25">
      <c r="K110" s="161"/>
      <c r="L110" s="21"/>
      <c r="M110" s="21"/>
      <c r="N110" s="161"/>
      <c r="O110" s="21"/>
      <c r="P110" s="283"/>
      <c r="Q110" s="161"/>
      <c r="R110" s="21"/>
    </row>
    <row r="111" spans="4:27" x14ac:dyDescent="0.25">
      <c r="K111" s="250">
        <f>SUM(K104:K110)</f>
        <v>901.33333333333337</v>
      </c>
      <c r="L111" s="253">
        <f>K111</f>
        <v>901.33333333333337</v>
      </c>
      <c r="M111" s="21"/>
      <c r="N111" s="250" t="e">
        <f>SUM(N104:N110)</f>
        <v>#DIV/0!</v>
      </c>
      <c r="O111" s="253" t="e">
        <f>N111</f>
        <v>#DIV/0!</v>
      </c>
      <c r="P111" s="283"/>
      <c r="Q111" s="250" t="e">
        <f>SUM(Q104:Q110)</f>
        <v>#DIV/0!</v>
      </c>
      <c r="R111" s="253" t="e">
        <f>Q111</f>
        <v>#DIV/0!</v>
      </c>
    </row>
  </sheetData>
  <mergeCells count="47">
    <mergeCell ref="K4:L4"/>
    <mergeCell ref="K18:L18"/>
    <mergeCell ref="N4:O4"/>
    <mergeCell ref="Q4:R4"/>
    <mergeCell ref="N17:O18"/>
    <mergeCell ref="Q61:R61"/>
    <mergeCell ref="N36:O37"/>
    <mergeCell ref="W72:X73"/>
    <mergeCell ref="Z4:AA4"/>
    <mergeCell ref="Z18:AA18"/>
    <mergeCell ref="W18:X18"/>
    <mergeCell ref="T18:U18"/>
    <mergeCell ref="Q18:R18"/>
    <mergeCell ref="T4:U4"/>
    <mergeCell ref="W4:X4"/>
    <mergeCell ref="K103:L103"/>
    <mergeCell ref="Q103:R103"/>
    <mergeCell ref="N103:O103"/>
    <mergeCell ref="Z48:AA48"/>
    <mergeCell ref="AC48:AD48"/>
    <mergeCell ref="W83:X83"/>
    <mergeCell ref="Q93:R93"/>
    <mergeCell ref="K83:L83"/>
    <mergeCell ref="T93:U93"/>
    <mergeCell ref="W93:X93"/>
    <mergeCell ref="Q83:R83"/>
    <mergeCell ref="T83:U83"/>
    <mergeCell ref="Z73:AA73"/>
    <mergeCell ref="K73:L73"/>
    <mergeCell ref="K92:L93"/>
    <mergeCell ref="N92:O93"/>
    <mergeCell ref="D1:H1"/>
    <mergeCell ref="K1:AD1"/>
    <mergeCell ref="N82:O83"/>
    <mergeCell ref="Q47:R48"/>
    <mergeCell ref="T47:U48"/>
    <mergeCell ref="K47:L48"/>
    <mergeCell ref="N47:O48"/>
    <mergeCell ref="K37:L37"/>
    <mergeCell ref="Q73:R73"/>
    <mergeCell ref="Q37:R37"/>
    <mergeCell ref="T73:U73"/>
    <mergeCell ref="Z37:AA37"/>
    <mergeCell ref="W37:Y37"/>
    <mergeCell ref="W48:X48"/>
    <mergeCell ref="K61:L61"/>
    <mergeCell ref="N61:O61"/>
  </mergeCells>
  <conditionalFormatting sqref="D83:D103">
    <cfRule type="cellIs" dxfId="9" priority="10" operator="equal">
      <formula>"Passivos"</formula>
    </cfRule>
    <cfRule type="cellIs" dxfId="8" priority="11" operator="equal">
      <formula>"Ativos"</formula>
    </cfRule>
  </conditionalFormatting>
  <conditionalFormatting sqref="D83:D103">
    <cfRule type="cellIs" dxfId="7" priority="2" operator="equal">
      <formula>"Custos"</formula>
    </cfRule>
    <cfRule type="cellIs" dxfId="6" priority="3" operator="equal">
      <formula>"Despesas"</formula>
    </cfRule>
    <cfRule type="cellIs" dxfId="5" priority="8" operator="equal">
      <formula>"Patrimônio Líquido"</formula>
    </cfRule>
    <cfRule type="cellIs" dxfId="4" priority="9" operator="equal">
      <formula>""</formula>
    </cfRule>
  </conditionalFormatting>
  <conditionalFormatting sqref="D83:D103">
    <cfRule type="cellIs" dxfId="3" priority="1" operator="equal">
      <formula>"N/D"</formula>
    </cfRule>
  </conditionalFormatting>
  <conditionalFormatting sqref="D83:D103">
    <cfRule type="dataBar" priority="12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{258F9FF1-19A1-4F51-AA32-0B87B27BC1F4}</x14:id>
        </ext>
      </extLst>
    </cfRule>
  </conditionalFormatting>
  <conditionalFormatting sqref="D83:D103">
    <cfRule type="cellIs" dxfId="2" priority="13" operator="equal">
      <formula>"Despesas"</formula>
    </cfRule>
    <cfRule type="dataBar" priority="14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{68DC4C3F-7154-451B-A1AE-67A9F87F5FE4}</x14:id>
        </ext>
      </extLst>
    </cfRule>
  </conditionalFormatting>
  <conditionalFormatting sqref="D83:D103">
    <cfRule type="cellIs" dxfId="1" priority="15" operator="equal">
      <formula>"Patrimônio Líquido"</formula>
    </cfRule>
    <cfRule type="dataBar" priority="16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{52B909D7-53E1-46D5-B100-553215767D8C}</x14:id>
        </ext>
      </extLst>
    </cfRule>
  </conditionalFormatting>
  <dataValidations xWindow="187" yWindow="271" count="2">
    <dataValidation type="list" allowBlank="1" showInputMessage="1" showErrorMessage="1" sqref="E73:E78">
      <formula1>$E$3:$E$294</formula1>
    </dataValidation>
    <dataValidation type="list" showInputMessage="1" showErrorMessage="1" sqref="D3:D7 D73:D79">
      <formula1>$B$101:$B$105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2:G78 F65:F78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8F9FF1-19A1-4F51-AA32-0B87B27BC1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D83:D103</xm:sqref>
        </x14:conditionalFormatting>
        <x14:conditionalFormatting xmlns:xm="http://schemas.microsoft.com/office/excel/2006/main">
          <x14:cfRule type="dataBar" id="{68DC4C3F-7154-451B-A1AE-67A9F87F5F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D83:D103</xm:sqref>
        </x14:conditionalFormatting>
        <x14:conditionalFormatting xmlns:xm="http://schemas.microsoft.com/office/excel/2006/main">
          <x14:cfRule type="dataBar" id="{52B909D7-53E1-46D5-B100-553215767D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D83:D103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87" yWindow="271" count="5">
        <x14:dataValidation type="list" allowBlank="1" showInputMessage="1" showErrorMessage="1">
          <x14:formula1>
            <xm:f>'e:\Isabelle\Desktop\Isabelle\USP\Estágio\Contabilidade Tributária I\TAX GAME\[Planilha Base - Estudo de Caso Dinamico.xlsx]Elementos'!#REF!</xm:f>
          </x14:formula1>
          <xm:sqref>D83:D103</xm:sqref>
        </x14:dataValidation>
        <x14:dataValidation type="list" showInputMessage="1" showErrorMessage="1">
          <x14:formula1>
            <xm:f>Parâmetros!$B$90:$B$94</xm:f>
          </x14:formula1>
          <xm:sqref>D10:D68</xm:sqref>
        </x14:dataValidation>
        <x14:dataValidation type="list" allowBlank="1" showInputMessage="1" showErrorMessage="1">
          <x14:formula1>
            <xm:f>'Plano de Contas'!$E$3:$E$294</xm:f>
          </x14:formula1>
          <xm:sqref>E3:E68</xm:sqref>
        </x14:dataValidation>
        <x14:dataValidation type="list" allowBlank="1" showInputMessage="1" showErrorMessage="1">
          <x14:formula1>
            <xm:f>'e:\Isabelle\Desktop\Isabelle\USP\Estágio\Contabilidade Tributária I\TAX GAME\[Planilha Estudo de Caso Prático_v7(2).xlsx]Plano de Contas'!#REF!</xm:f>
          </x14:formula1>
          <xm:sqref>E69:E72</xm:sqref>
        </x14:dataValidation>
        <x14:dataValidation type="list" showInputMessage="1" showErrorMessage="1">
          <x14:formula1>
            <xm:f>'e:\Isabelle\Desktop\Isabelle\USP\Estágio\Contabilidade Tributária I\TAX GAME\[Planilha Estudo de Caso Prático_v7(2).xlsx]Parâmetros'!#REF!</xm:f>
          </x14:formula1>
          <xm:sqref>D8:D9 D69:D72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>
    <tabColor rgb="FFC00000"/>
  </sheetPr>
  <dimension ref="A1:O57"/>
  <sheetViews>
    <sheetView topLeftCell="B1" zoomScale="85" zoomScaleNormal="85" workbookViewId="0">
      <selection activeCell="E12" sqref="E12"/>
    </sheetView>
  </sheetViews>
  <sheetFormatPr defaultRowHeight="15" x14ac:dyDescent="0.25"/>
  <cols>
    <col min="1" max="1" width="32.5703125" style="140" customWidth="1"/>
    <col min="2" max="2" width="9.85546875" style="140" customWidth="1"/>
    <col min="3" max="3" width="18.28515625" style="140" bestFit="1" customWidth="1"/>
    <col min="4" max="4" width="35" style="151" customWidth="1"/>
    <col min="5" max="5" width="17" style="140" bestFit="1" customWidth="1"/>
    <col min="6" max="6" width="19.140625" style="140" bestFit="1" customWidth="1"/>
    <col min="7" max="7" width="14.28515625" style="140" bestFit="1" customWidth="1"/>
    <col min="8" max="8" width="14.140625" style="140" bestFit="1" customWidth="1"/>
    <col min="9" max="9" width="12.85546875" style="140" bestFit="1" customWidth="1"/>
    <col min="10" max="10" width="12" style="140" bestFit="1" customWidth="1"/>
    <col min="11" max="11" width="12.85546875" style="140" bestFit="1" customWidth="1"/>
    <col min="12" max="12" width="19.42578125" style="140" bestFit="1" customWidth="1"/>
    <col min="13" max="14" width="14.140625" style="140" bestFit="1" customWidth="1"/>
    <col min="15" max="15" width="21.28515625" style="140" bestFit="1" customWidth="1"/>
    <col min="16" max="16384" width="9.140625" style="140"/>
  </cols>
  <sheetData>
    <row r="1" spans="1:15" x14ac:dyDescent="0.25">
      <c r="A1" s="135" t="s">
        <v>675</v>
      </c>
      <c r="B1" s="135"/>
      <c r="M1" s="141"/>
    </row>
    <row r="2" spans="1:15" ht="20.25" x14ac:dyDescent="0.25">
      <c r="D2" s="650" t="s">
        <v>725</v>
      </c>
      <c r="E2" s="651"/>
      <c r="F2" s="651"/>
      <c r="G2" s="651"/>
      <c r="H2" s="652"/>
      <c r="I2" s="142" t="s">
        <v>154</v>
      </c>
      <c r="J2" s="142" t="s">
        <v>963</v>
      </c>
      <c r="K2" s="159" t="s">
        <v>964</v>
      </c>
      <c r="L2" s="159" t="s">
        <v>663</v>
      </c>
      <c r="M2" s="166" t="s">
        <v>152</v>
      </c>
      <c r="N2" s="648" t="s">
        <v>730</v>
      </c>
      <c r="O2" s="141"/>
    </row>
    <row r="3" spans="1:15" x14ac:dyDescent="0.25">
      <c r="D3" s="149" t="s">
        <v>726</v>
      </c>
      <c r="E3" s="142" t="s">
        <v>717</v>
      </c>
      <c r="F3" s="142" t="s">
        <v>727</v>
      </c>
      <c r="G3" s="142" t="s">
        <v>728</v>
      </c>
      <c r="H3" s="142" t="s">
        <v>564</v>
      </c>
      <c r="I3" s="333"/>
      <c r="J3" s="594"/>
      <c r="K3" s="594"/>
      <c r="L3" s="334"/>
      <c r="M3" s="333"/>
      <c r="N3" s="649"/>
      <c r="O3" s="141"/>
    </row>
    <row r="4" spans="1:15" x14ac:dyDescent="0.25">
      <c r="D4" s="150" t="str">
        <f>Decisões!D52</f>
        <v>D-Fenilalanina*</v>
      </c>
      <c r="E4" s="332"/>
      <c r="F4" s="136" t="str">
        <f>Decisões!H52</f>
        <v>KG</v>
      </c>
      <c r="G4" s="143">
        <f>Decisões!G52</f>
        <v>80</v>
      </c>
      <c r="H4" s="143">
        <f>G4*E4</f>
        <v>0</v>
      </c>
      <c r="I4" s="143">
        <f>H4-(H4/(1+I$3))</f>
        <v>0</v>
      </c>
      <c r="J4" s="143">
        <f>(H4-I4)*J$3</f>
        <v>0</v>
      </c>
      <c r="K4" s="143">
        <f>(H4-J4)*K$3</f>
        <v>0</v>
      </c>
      <c r="L4" s="143">
        <v>0</v>
      </c>
      <c r="M4" s="143">
        <f>(H4-I4)*M$3</f>
        <v>0</v>
      </c>
      <c r="N4" s="143">
        <f>H4-I4-J4-K4-L4-M4</f>
        <v>0</v>
      </c>
      <c r="O4" s="141"/>
    </row>
    <row r="5" spans="1:15" x14ac:dyDescent="0.25">
      <c r="D5" s="150" t="str">
        <f>Decisões!D53</f>
        <v>L Fenilalanina**</v>
      </c>
      <c r="E5" s="332"/>
      <c r="F5" s="136" t="str">
        <f>Decisões!H53</f>
        <v>KG</v>
      </c>
      <c r="G5" s="143" t="e">
        <f>H5/E5</f>
        <v>#DIV/0!</v>
      </c>
      <c r="H5" s="143">
        <f>Tributos!E84</f>
        <v>0</v>
      </c>
      <c r="I5" s="143">
        <f>Tributos!E54</f>
        <v>0</v>
      </c>
      <c r="J5" s="143">
        <f>Tributos!E59</f>
        <v>0</v>
      </c>
      <c r="K5" s="143">
        <f>Tributos!E64</f>
        <v>0</v>
      </c>
      <c r="L5" s="143">
        <v>0</v>
      </c>
      <c r="M5" s="143">
        <f>Tributos!E71</f>
        <v>0</v>
      </c>
      <c r="N5" s="143">
        <f>H5-I5-J5-K5-L5-M5</f>
        <v>0</v>
      </c>
      <c r="O5" s="141"/>
    </row>
    <row r="6" spans="1:15" x14ac:dyDescent="0.25">
      <c r="D6" s="150" t="str">
        <f>Decisões!D54</f>
        <v>Embalagem (500g)</v>
      </c>
      <c r="E6" s="332"/>
      <c r="F6" s="136" t="str">
        <f>Decisões!H54</f>
        <v>unidade</v>
      </c>
      <c r="G6" s="143">
        <f>Decisões!G54</f>
        <v>2</v>
      </c>
      <c r="H6" s="143">
        <f t="shared" ref="H6" si="0">G6*E6</f>
        <v>0</v>
      </c>
      <c r="I6" s="143">
        <f t="shared" ref="I6" si="1">H6-(H6/(1+I$3))</f>
        <v>0</v>
      </c>
      <c r="J6" s="143">
        <f>(H6-I6)*J$3</f>
        <v>0</v>
      </c>
      <c r="K6" s="143">
        <f>(H6-J6)*K$3</f>
        <v>0</v>
      </c>
      <c r="L6" s="143">
        <v>0</v>
      </c>
      <c r="M6" s="143">
        <f>(H6-I6)*M$3</f>
        <v>0</v>
      </c>
      <c r="N6" s="143">
        <f>H6-I6-J6-K6-L6-M6</f>
        <v>0</v>
      </c>
      <c r="O6" s="141"/>
    </row>
    <row r="7" spans="1:15" x14ac:dyDescent="0.25">
      <c r="D7" s="139"/>
      <c r="E7" s="141"/>
      <c r="H7" s="338">
        <f t="shared" ref="H7:L7" si="2">SUM(H4:H6)</f>
        <v>0</v>
      </c>
      <c r="I7" s="339">
        <f t="shared" si="2"/>
        <v>0</v>
      </c>
      <c r="J7" s="339">
        <f t="shared" si="2"/>
        <v>0</v>
      </c>
      <c r="K7" s="339">
        <f t="shared" si="2"/>
        <v>0</v>
      </c>
      <c r="L7" s="339">
        <f t="shared" si="2"/>
        <v>0</v>
      </c>
      <c r="M7" s="339">
        <f>SUM(M4:M6)</f>
        <v>0</v>
      </c>
      <c r="N7" s="340">
        <f>SUM(N4:N6)</f>
        <v>0</v>
      </c>
    </row>
    <row r="8" spans="1:15" x14ac:dyDescent="0.25">
      <c r="D8" s="139"/>
      <c r="E8" s="141"/>
      <c r="H8" s="337" t="s">
        <v>970</v>
      </c>
      <c r="I8" s="660" t="s">
        <v>928</v>
      </c>
      <c r="J8" s="660"/>
      <c r="K8" s="660"/>
      <c r="L8" s="660"/>
      <c r="M8" s="660"/>
      <c r="N8" s="337" t="s">
        <v>969</v>
      </c>
    </row>
    <row r="9" spans="1:15" ht="15.75" thickBot="1" x14ac:dyDescent="0.3">
      <c r="D9" s="139"/>
      <c r="E9" s="141"/>
      <c r="F9" s="141"/>
      <c r="G9" s="141"/>
      <c r="H9" s="653" t="s">
        <v>779</v>
      </c>
      <c r="I9" s="653"/>
      <c r="J9" s="653"/>
      <c r="K9" s="653"/>
      <c r="L9" s="653"/>
      <c r="M9" s="653"/>
      <c r="N9" s="653"/>
      <c r="O9" s="165" t="s">
        <v>780</v>
      </c>
    </row>
    <row r="10" spans="1:15" ht="21" thickTop="1" x14ac:dyDescent="0.25">
      <c r="D10" s="645" t="s">
        <v>1091</v>
      </c>
      <c r="E10" s="645"/>
      <c r="F10" s="645"/>
      <c r="G10" s="141"/>
      <c r="H10" s="141"/>
      <c r="I10" s="141"/>
      <c r="J10" s="141"/>
      <c r="K10" s="174"/>
      <c r="L10" s="654" t="s">
        <v>789</v>
      </c>
      <c r="M10" s="655"/>
    </row>
    <row r="11" spans="1:15" x14ac:dyDescent="0.25">
      <c r="D11" s="138" t="str">
        <f>Decisões!D27</f>
        <v>Capacidade Produtiva Máxima</v>
      </c>
      <c r="E11" s="144">
        <f>Decisões!E27</f>
        <v>2000</v>
      </c>
      <c r="F11" s="144" t="s">
        <v>747</v>
      </c>
      <c r="G11" s="141"/>
      <c r="H11" s="141"/>
      <c r="I11" s="141"/>
      <c r="J11" s="141"/>
      <c r="K11" s="174"/>
      <c r="L11" s="656"/>
      <c r="M11" s="657"/>
    </row>
    <row r="12" spans="1:15" x14ac:dyDescent="0.25">
      <c r="D12" s="138" t="s">
        <v>1070</v>
      </c>
      <c r="E12" s="332"/>
      <c r="F12" s="144" t="s">
        <v>747</v>
      </c>
      <c r="G12" s="141"/>
      <c r="H12" s="141"/>
      <c r="I12" s="141"/>
      <c r="J12" s="141"/>
      <c r="K12" s="174"/>
      <c r="L12" s="656"/>
      <c r="M12" s="657"/>
    </row>
    <row r="13" spans="1:15" x14ac:dyDescent="0.25">
      <c r="D13" s="138" t="s">
        <v>1071</v>
      </c>
      <c r="E13" s="564">
        <f>E11-E12</f>
        <v>2000</v>
      </c>
      <c r="F13" s="558"/>
      <c r="G13" s="141"/>
      <c r="H13" s="141"/>
      <c r="I13" s="141"/>
      <c r="J13" s="141"/>
      <c r="K13" s="174"/>
      <c r="L13" s="656"/>
      <c r="M13" s="657"/>
    </row>
    <row r="14" spans="1:15" x14ac:dyDescent="0.25">
      <c r="D14" s="152" t="s">
        <v>746</v>
      </c>
      <c r="E14" s="646"/>
      <c r="F14" s="646"/>
      <c r="G14" s="141"/>
      <c r="H14" s="141"/>
      <c r="I14" s="141"/>
      <c r="J14" s="141"/>
      <c r="K14" s="174"/>
      <c r="L14" s="656"/>
      <c r="M14" s="657"/>
    </row>
    <row r="15" spans="1:15" ht="15.75" thickBot="1" x14ac:dyDescent="0.3">
      <c r="D15" s="138" t="str">
        <f>D4</f>
        <v>D-Fenilalanina*</v>
      </c>
      <c r="E15" s="574">
        <f>E12*(Decisões!$E$53/1000)</f>
        <v>0</v>
      </c>
      <c r="F15" s="144" t="s">
        <v>716</v>
      </c>
      <c r="G15" s="141"/>
      <c r="H15" s="141"/>
      <c r="I15" s="141"/>
      <c r="J15" s="141"/>
      <c r="K15" s="174"/>
      <c r="L15" s="658"/>
      <c r="M15" s="659"/>
    </row>
    <row r="16" spans="1:15" ht="15.75" thickTop="1" x14ac:dyDescent="0.25">
      <c r="D16" s="138" t="str">
        <f>D5</f>
        <v>L Fenilalanina**</v>
      </c>
      <c r="E16" s="574">
        <f>E12*(Decisões!$E$53/1000)</f>
        <v>0</v>
      </c>
      <c r="F16" s="144" t="s">
        <v>716</v>
      </c>
      <c r="G16" s="141"/>
      <c r="H16" s="141"/>
      <c r="I16" s="141"/>
      <c r="J16" s="141"/>
      <c r="K16" s="141"/>
    </row>
    <row r="17" spans="4:14" x14ac:dyDescent="0.25">
      <c r="D17" s="138" t="str">
        <f>D6</f>
        <v>Embalagem (500g)</v>
      </c>
      <c r="E17" s="574">
        <f>E12</f>
        <v>0</v>
      </c>
      <c r="F17" s="144" t="s">
        <v>747</v>
      </c>
      <c r="G17" s="141"/>
      <c r="H17" s="141"/>
      <c r="I17" s="141"/>
      <c r="J17" s="141"/>
      <c r="K17" s="141"/>
    </row>
    <row r="18" spans="4:14" x14ac:dyDescent="0.25">
      <c r="D18" s="139"/>
      <c r="E18" s="141"/>
      <c r="F18" s="141"/>
      <c r="G18" s="141"/>
      <c r="H18" s="141"/>
      <c r="I18" s="141"/>
      <c r="J18" s="141"/>
      <c r="K18" s="141"/>
      <c r="N18" s="254"/>
    </row>
    <row r="19" spans="4:14" x14ac:dyDescent="0.25">
      <c r="D19" s="647" t="s">
        <v>740</v>
      </c>
      <c r="E19" s="647"/>
      <c r="F19" s="647"/>
      <c r="G19" s="647"/>
      <c r="H19" s="647"/>
      <c r="I19" s="647"/>
      <c r="J19" s="647"/>
      <c r="K19" s="647"/>
      <c r="L19" s="647"/>
      <c r="M19" s="647"/>
    </row>
    <row r="20" spans="4:14" ht="15.75" thickBot="1" x14ac:dyDescent="0.3"/>
    <row r="21" spans="4:14" x14ac:dyDescent="0.25">
      <c r="D21" s="342" t="s">
        <v>718</v>
      </c>
      <c r="E21" s="343" t="str">
        <f>D4</f>
        <v>D-Fenilalanina*</v>
      </c>
      <c r="F21" s="344"/>
      <c r="G21" s="344"/>
      <c r="H21" s="344"/>
      <c r="I21" s="344"/>
      <c r="J21" s="344"/>
      <c r="K21" s="344"/>
      <c r="L21" s="344"/>
      <c r="M21" s="345"/>
    </row>
    <row r="22" spans="4:14" x14ac:dyDescent="0.25">
      <c r="D22" s="642" t="s">
        <v>733</v>
      </c>
      <c r="E22" s="643" t="s">
        <v>734</v>
      </c>
      <c r="F22" s="643"/>
      <c r="G22" s="643"/>
      <c r="H22" s="643" t="s">
        <v>735</v>
      </c>
      <c r="I22" s="643"/>
      <c r="J22" s="643"/>
      <c r="K22" s="643" t="s">
        <v>736</v>
      </c>
      <c r="L22" s="643"/>
      <c r="M22" s="644"/>
    </row>
    <row r="23" spans="4:14" x14ac:dyDescent="0.25">
      <c r="D23" s="642"/>
      <c r="E23" s="136" t="s">
        <v>737</v>
      </c>
      <c r="F23" s="137" t="s">
        <v>738</v>
      </c>
      <c r="G23" s="137" t="s">
        <v>739</v>
      </c>
      <c r="H23" s="136" t="s">
        <v>737</v>
      </c>
      <c r="I23" s="137" t="s">
        <v>738</v>
      </c>
      <c r="J23" s="137" t="s">
        <v>739</v>
      </c>
      <c r="K23" s="136" t="s">
        <v>737</v>
      </c>
      <c r="L23" s="137" t="s">
        <v>738</v>
      </c>
      <c r="M23" s="346" t="s">
        <v>739</v>
      </c>
    </row>
    <row r="24" spans="4:14" x14ac:dyDescent="0.25">
      <c r="D24" s="347">
        <v>43314</v>
      </c>
      <c r="E24" s="146">
        <f>E4</f>
        <v>0</v>
      </c>
      <c r="F24" s="147" t="e">
        <f>G24/E24</f>
        <v>#DIV/0!</v>
      </c>
      <c r="G24" s="147">
        <f>N4</f>
        <v>0</v>
      </c>
      <c r="H24" s="147"/>
      <c r="I24" s="147"/>
      <c r="J24" s="147"/>
      <c r="K24" s="146">
        <f>E24</f>
        <v>0</v>
      </c>
      <c r="L24" s="148" t="e">
        <f>F24</f>
        <v>#DIV/0!</v>
      </c>
      <c r="M24" s="348">
        <f>G24</f>
        <v>0</v>
      </c>
    </row>
    <row r="25" spans="4:14" x14ac:dyDescent="0.25">
      <c r="D25" s="347">
        <v>43315</v>
      </c>
      <c r="E25" s="147"/>
      <c r="F25" s="147"/>
      <c r="G25" s="147"/>
      <c r="H25" s="146">
        <f>E15</f>
        <v>0</v>
      </c>
      <c r="I25" s="147" t="e">
        <f>L24</f>
        <v>#DIV/0!</v>
      </c>
      <c r="J25" s="147" t="e">
        <f>H25*I25</f>
        <v>#DIV/0!</v>
      </c>
      <c r="K25" s="146">
        <f>K24-H25</f>
        <v>0</v>
      </c>
      <c r="L25" s="148">
        <f>IF(K25=0,0,M25/K25)</f>
        <v>0</v>
      </c>
      <c r="M25" s="348" t="e">
        <f>M24-J25</f>
        <v>#DIV/0!</v>
      </c>
    </row>
    <row r="26" spans="4:14" x14ac:dyDescent="0.25">
      <c r="D26" s="347"/>
      <c r="E26" s="145"/>
      <c r="F26" s="145"/>
      <c r="G26" s="145"/>
      <c r="H26" s="145"/>
      <c r="I26" s="145"/>
      <c r="J26" s="145"/>
      <c r="K26" s="145"/>
      <c r="L26" s="145"/>
      <c r="M26" s="349"/>
    </row>
    <row r="27" spans="4:14" x14ac:dyDescent="0.25">
      <c r="D27" s="347"/>
      <c r="E27" s="145"/>
      <c r="F27" s="145"/>
      <c r="G27" s="145"/>
      <c r="H27" s="145"/>
      <c r="I27" s="145"/>
      <c r="J27" s="145"/>
      <c r="K27" s="145"/>
      <c r="L27" s="145"/>
      <c r="M27" s="349"/>
    </row>
    <row r="28" spans="4:14" ht="15.75" thickBot="1" x14ac:dyDescent="0.3">
      <c r="D28" s="350"/>
      <c r="E28" s="351"/>
      <c r="F28" s="351"/>
      <c r="G28" s="351"/>
      <c r="H28" s="351"/>
      <c r="I28" s="351"/>
      <c r="J28" s="351"/>
      <c r="K28" s="351"/>
      <c r="L28" s="351"/>
      <c r="M28" s="352"/>
    </row>
    <row r="29" spans="4:14" ht="15.75" thickBot="1" x14ac:dyDescent="0.3"/>
    <row r="30" spans="4:14" x14ac:dyDescent="0.25">
      <c r="D30" s="342" t="s">
        <v>718</v>
      </c>
      <c r="E30" s="343" t="str">
        <f>D5</f>
        <v>L Fenilalanina**</v>
      </c>
      <c r="F30" s="344"/>
      <c r="G30" s="344"/>
      <c r="H30" s="344"/>
      <c r="I30" s="344"/>
      <c r="J30" s="344"/>
      <c r="K30" s="344"/>
      <c r="L30" s="344"/>
      <c r="M30" s="345"/>
    </row>
    <row r="31" spans="4:14" x14ac:dyDescent="0.25">
      <c r="D31" s="642" t="s">
        <v>733</v>
      </c>
      <c r="E31" s="643" t="s">
        <v>734</v>
      </c>
      <c r="F31" s="643"/>
      <c r="G31" s="643"/>
      <c r="H31" s="643" t="s">
        <v>735</v>
      </c>
      <c r="I31" s="643"/>
      <c r="J31" s="643"/>
      <c r="K31" s="643" t="s">
        <v>736</v>
      </c>
      <c r="L31" s="643"/>
      <c r="M31" s="644"/>
    </row>
    <row r="32" spans="4:14" x14ac:dyDescent="0.25">
      <c r="D32" s="642"/>
      <c r="E32" s="136" t="s">
        <v>737</v>
      </c>
      <c r="F32" s="137" t="s">
        <v>738</v>
      </c>
      <c r="G32" s="137" t="s">
        <v>739</v>
      </c>
      <c r="H32" s="136" t="s">
        <v>737</v>
      </c>
      <c r="I32" s="137" t="s">
        <v>738</v>
      </c>
      <c r="J32" s="137" t="s">
        <v>739</v>
      </c>
      <c r="K32" s="136" t="s">
        <v>737</v>
      </c>
      <c r="L32" s="137" t="s">
        <v>738</v>
      </c>
      <c r="M32" s="346" t="s">
        <v>739</v>
      </c>
    </row>
    <row r="33" spans="3:14" x14ac:dyDescent="0.25">
      <c r="D33" s="347">
        <v>43314</v>
      </c>
      <c r="E33" s="146">
        <f>E5</f>
        <v>0</v>
      </c>
      <c r="F33" s="147" t="e">
        <f>G33/E33</f>
        <v>#DIV/0!</v>
      </c>
      <c r="G33" s="147">
        <f>N5+L5</f>
        <v>0</v>
      </c>
      <c r="H33" s="147"/>
      <c r="I33" s="147"/>
      <c r="J33" s="147"/>
      <c r="K33" s="146">
        <f>E33</f>
        <v>0</v>
      </c>
      <c r="L33" s="147" t="e">
        <f>F33</f>
        <v>#DIV/0!</v>
      </c>
      <c r="M33" s="348">
        <f>G33</f>
        <v>0</v>
      </c>
    </row>
    <row r="34" spans="3:14" x14ac:dyDescent="0.25">
      <c r="D34" s="347">
        <v>43315</v>
      </c>
      <c r="E34" s="147"/>
      <c r="F34" s="147"/>
      <c r="G34" s="147"/>
      <c r="H34" s="146">
        <f>E16</f>
        <v>0</v>
      </c>
      <c r="I34" s="147" t="e">
        <f>L33</f>
        <v>#DIV/0!</v>
      </c>
      <c r="J34" s="147" t="e">
        <f>H34*I34</f>
        <v>#DIV/0!</v>
      </c>
      <c r="K34" s="146">
        <f>K33-H34</f>
        <v>0</v>
      </c>
      <c r="L34" s="148">
        <f>IF(K34=0,0,M34/K34)</f>
        <v>0</v>
      </c>
      <c r="M34" s="348" t="e">
        <f>M33-J34</f>
        <v>#DIV/0!</v>
      </c>
    </row>
    <row r="35" spans="3:14" x14ac:dyDescent="0.25">
      <c r="D35" s="347"/>
      <c r="E35" s="145"/>
      <c r="F35" s="145"/>
      <c r="G35" s="145"/>
      <c r="H35" s="145"/>
      <c r="I35" s="145"/>
      <c r="J35" s="145"/>
      <c r="K35" s="146"/>
      <c r="L35" s="148"/>
      <c r="M35" s="348"/>
    </row>
    <row r="36" spans="3:14" x14ac:dyDescent="0.25">
      <c r="D36" s="347"/>
      <c r="E36" s="145"/>
      <c r="F36" s="145"/>
      <c r="G36" s="145"/>
      <c r="H36" s="145"/>
      <c r="I36" s="145"/>
      <c r="J36" s="145"/>
      <c r="K36" s="146"/>
      <c r="L36" s="148"/>
      <c r="M36" s="348"/>
    </row>
    <row r="37" spans="3:14" ht="15.75" thickBot="1" x14ac:dyDescent="0.3">
      <c r="D37" s="350"/>
      <c r="E37" s="351"/>
      <c r="F37" s="351"/>
      <c r="G37" s="351"/>
      <c r="H37" s="351"/>
      <c r="I37" s="351"/>
      <c r="J37" s="351"/>
      <c r="K37" s="353"/>
      <c r="L37" s="354"/>
      <c r="M37" s="355"/>
    </row>
    <row r="38" spans="3:14" ht="15.75" thickBot="1" x14ac:dyDescent="0.3"/>
    <row r="39" spans="3:14" x14ac:dyDescent="0.25">
      <c r="D39" s="342" t="s">
        <v>718</v>
      </c>
      <c r="E39" s="343" t="str">
        <f>D6</f>
        <v>Embalagem (500g)</v>
      </c>
      <c r="F39" s="344"/>
      <c r="G39" s="344"/>
      <c r="H39" s="344"/>
      <c r="I39" s="344"/>
      <c r="J39" s="344"/>
      <c r="K39" s="344"/>
      <c r="L39" s="344"/>
      <c r="M39" s="345"/>
    </row>
    <row r="40" spans="3:14" x14ac:dyDescent="0.25">
      <c r="D40" s="642" t="s">
        <v>733</v>
      </c>
      <c r="E40" s="643" t="s">
        <v>734</v>
      </c>
      <c r="F40" s="643"/>
      <c r="G40" s="643"/>
      <c r="H40" s="643" t="s">
        <v>735</v>
      </c>
      <c r="I40" s="643"/>
      <c r="J40" s="643"/>
      <c r="K40" s="643" t="s">
        <v>736</v>
      </c>
      <c r="L40" s="643"/>
      <c r="M40" s="644"/>
    </row>
    <row r="41" spans="3:14" x14ac:dyDescent="0.25">
      <c r="D41" s="642"/>
      <c r="E41" s="136" t="s">
        <v>737</v>
      </c>
      <c r="F41" s="137" t="s">
        <v>738</v>
      </c>
      <c r="G41" s="137" t="s">
        <v>739</v>
      </c>
      <c r="H41" s="136" t="s">
        <v>737</v>
      </c>
      <c r="I41" s="137" t="s">
        <v>738</v>
      </c>
      <c r="J41" s="137" t="s">
        <v>739</v>
      </c>
      <c r="K41" s="136" t="s">
        <v>737</v>
      </c>
      <c r="L41" s="137" t="s">
        <v>738</v>
      </c>
      <c r="M41" s="346" t="s">
        <v>739</v>
      </c>
    </row>
    <row r="42" spans="3:14" x14ac:dyDescent="0.25">
      <c r="D42" s="347">
        <v>43314</v>
      </c>
      <c r="E42" s="147">
        <f>E6</f>
        <v>0</v>
      </c>
      <c r="F42" s="147" t="e">
        <f>G42/E42</f>
        <v>#DIV/0!</v>
      </c>
      <c r="G42" s="147">
        <f>N6</f>
        <v>0</v>
      </c>
      <c r="H42" s="147"/>
      <c r="I42" s="147"/>
      <c r="J42" s="147"/>
      <c r="K42" s="146">
        <f>E42</f>
        <v>0</v>
      </c>
      <c r="L42" s="147" t="e">
        <f>F42</f>
        <v>#DIV/0!</v>
      </c>
      <c r="M42" s="356">
        <f>G42</f>
        <v>0</v>
      </c>
    </row>
    <row r="43" spans="3:14" x14ac:dyDescent="0.25">
      <c r="D43" s="347">
        <v>43315</v>
      </c>
      <c r="E43" s="147"/>
      <c r="F43" s="147"/>
      <c r="G43" s="147"/>
      <c r="H43" s="146">
        <f>E17</f>
        <v>0</v>
      </c>
      <c r="I43" s="147" t="e">
        <f>L42</f>
        <v>#DIV/0!</v>
      </c>
      <c r="J43" s="147" t="e">
        <f>H43*I43</f>
        <v>#DIV/0!</v>
      </c>
      <c r="K43" s="146">
        <f>K42-H43</f>
        <v>0</v>
      </c>
      <c r="L43" s="148">
        <f>IF(K43=0,0,M43/K43)</f>
        <v>0</v>
      </c>
      <c r="M43" s="356" t="e">
        <f>M42-J43</f>
        <v>#DIV/0!</v>
      </c>
    </row>
    <row r="44" spans="3:14" x14ac:dyDescent="0.25">
      <c r="D44" s="347"/>
      <c r="E44" s="145"/>
      <c r="F44" s="145"/>
      <c r="G44" s="145"/>
      <c r="H44" s="145"/>
      <c r="I44" s="145"/>
      <c r="J44" s="145"/>
      <c r="K44" s="146"/>
      <c r="L44" s="148"/>
      <c r="M44" s="356"/>
    </row>
    <row r="45" spans="3:14" x14ac:dyDescent="0.25">
      <c r="D45" s="347"/>
      <c r="E45" s="145"/>
      <c r="F45" s="145"/>
      <c r="G45" s="145"/>
      <c r="H45" s="145"/>
      <c r="I45" s="145"/>
      <c r="J45" s="145"/>
      <c r="K45" s="146"/>
      <c r="L45" s="148"/>
      <c r="M45" s="356"/>
    </row>
    <row r="46" spans="3:14" ht="15.75" thickBot="1" x14ac:dyDescent="0.3">
      <c r="D46" s="350"/>
      <c r="E46" s="351"/>
      <c r="F46" s="351"/>
      <c r="G46" s="351"/>
      <c r="H46" s="351"/>
      <c r="I46" s="351"/>
      <c r="J46" s="351"/>
      <c r="K46" s="353"/>
      <c r="L46" s="354"/>
      <c r="M46" s="357"/>
    </row>
    <row r="48" spans="3:14" x14ac:dyDescent="0.25">
      <c r="C48" s="141"/>
      <c r="D48" s="139"/>
      <c r="E48" s="141"/>
      <c r="F48" s="141"/>
      <c r="G48" s="141"/>
      <c r="H48" s="141"/>
      <c r="I48" s="141"/>
      <c r="J48" s="141"/>
      <c r="K48" s="141"/>
      <c r="L48" s="141"/>
      <c r="M48" s="141"/>
      <c r="N48" s="141"/>
    </row>
    <row r="49" spans="3:14" x14ac:dyDescent="0.25">
      <c r="C49" s="141"/>
      <c r="D49" s="641" t="s">
        <v>929</v>
      </c>
      <c r="E49" s="641"/>
      <c r="F49" s="141"/>
      <c r="G49" s="141"/>
      <c r="H49" s="141"/>
      <c r="I49" s="141"/>
      <c r="J49" s="141"/>
      <c r="K49" s="141"/>
      <c r="L49" s="141"/>
      <c r="M49" s="141"/>
      <c r="N49" s="141"/>
    </row>
    <row r="50" spans="3:14" x14ac:dyDescent="0.25">
      <c r="C50" s="141"/>
      <c r="D50" s="139" t="str">
        <f>E21</f>
        <v>D-Fenilalanina*</v>
      </c>
      <c r="E50" s="258" t="e">
        <f>J25</f>
        <v>#DIV/0!</v>
      </c>
      <c r="F50" s="141"/>
      <c r="G50" s="141"/>
      <c r="H50" s="141"/>
      <c r="I50" s="141"/>
      <c r="J50" s="141"/>
      <c r="K50" s="141"/>
      <c r="L50" s="141"/>
      <c r="M50" s="141"/>
      <c r="N50" s="141"/>
    </row>
    <row r="51" spans="3:14" x14ac:dyDescent="0.25">
      <c r="C51" s="141"/>
      <c r="D51" s="139" t="str">
        <f>E30</f>
        <v>L Fenilalanina**</v>
      </c>
      <c r="E51" s="258" t="e">
        <f>J34</f>
        <v>#DIV/0!</v>
      </c>
      <c r="F51" s="141"/>
      <c r="G51" s="141"/>
      <c r="H51" s="141"/>
      <c r="I51" s="141"/>
      <c r="J51" s="141"/>
      <c r="K51" s="141"/>
      <c r="L51" s="141"/>
      <c r="M51" s="141"/>
      <c r="N51" s="141"/>
    </row>
    <row r="52" spans="3:14" x14ac:dyDescent="0.25">
      <c r="C52" s="141"/>
      <c r="D52" s="139" t="str">
        <f>E39</f>
        <v>Embalagem (500g)</v>
      </c>
      <c r="E52" s="258" t="e">
        <f>J43</f>
        <v>#DIV/0!</v>
      </c>
      <c r="F52" s="141"/>
      <c r="G52" s="141"/>
      <c r="H52" s="141"/>
      <c r="I52" s="141"/>
      <c r="J52" s="141"/>
      <c r="K52" s="141"/>
      <c r="L52" s="141"/>
      <c r="M52" s="141"/>
      <c r="N52" s="141"/>
    </row>
    <row r="53" spans="3:14" x14ac:dyDescent="0.25">
      <c r="C53" s="141"/>
      <c r="D53" s="259" t="s">
        <v>564</v>
      </c>
      <c r="E53" s="260" t="e">
        <f>SUM(E50:E52)</f>
        <v>#DIV/0!</v>
      </c>
      <c r="F53" s="141"/>
      <c r="G53" s="141"/>
      <c r="H53" s="141"/>
      <c r="I53" s="141"/>
      <c r="J53" s="141"/>
      <c r="K53" s="141"/>
      <c r="L53" s="141"/>
      <c r="M53" s="141"/>
      <c r="N53" s="141"/>
    </row>
    <row r="54" spans="3:14" x14ac:dyDescent="0.25">
      <c r="C54" s="141"/>
      <c r="D54" s="139"/>
      <c r="E54" s="141"/>
      <c r="F54" s="141"/>
      <c r="G54" s="141"/>
      <c r="H54" s="141"/>
      <c r="I54" s="141"/>
      <c r="J54" s="141"/>
      <c r="K54" s="141"/>
      <c r="L54" s="141"/>
      <c r="M54" s="141"/>
      <c r="N54" s="141"/>
    </row>
    <row r="55" spans="3:14" x14ac:dyDescent="0.25">
      <c r="C55" s="141"/>
      <c r="D55" s="139"/>
      <c r="E55" s="141"/>
      <c r="F55" s="141"/>
      <c r="G55" s="141"/>
      <c r="H55" s="141"/>
      <c r="I55" s="141"/>
      <c r="J55" s="141"/>
      <c r="K55" s="141"/>
      <c r="L55" s="141"/>
      <c r="M55" s="141"/>
      <c r="N55" s="141"/>
    </row>
    <row r="56" spans="3:14" x14ac:dyDescent="0.25">
      <c r="C56" s="141"/>
      <c r="D56" s="139"/>
      <c r="E56" s="141"/>
      <c r="F56" s="141"/>
      <c r="G56" s="141"/>
      <c r="H56" s="141"/>
      <c r="I56" s="141"/>
      <c r="J56" s="141"/>
      <c r="K56" s="141"/>
      <c r="L56" s="141"/>
      <c r="M56" s="141"/>
      <c r="N56" s="141"/>
    </row>
    <row r="57" spans="3:14" x14ac:dyDescent="0.25">
      <c r="C57" s="141"/>
      <c r="D57" s="139"/>
      <c r="E57" s="141"/>
      <c r="F57" s="141"/>
      <c r="G57" s="141"/>
      <c r="H57" s="141"/>
      <c r="I57" s="141"/>
      <c r="J57" s="141"/>
      <c r="K57" s="141"/>
      <c r="L57" s="141"/>
      <c r="M57" s="141"/>
      <c r="N57" s="141"/>
    </row>
  </sheetData>
  <mergeCells count="21">
    <mergeCell ref="N2:N3"/>
    <mergeCell ref="D2:H2"/>
    <mergeCell ref="D22:D23"/>
    <mergeCell ref="E22:G22"/>
    <mergeCell ref="H22:J22"/>
    <mergeCell ref="K22:M22"/>
    <mergeCell ref="H9:N9"/>
    <mergeCell ref="L10:M15"/>
    <mergeCell ref="I8:M8"/>
    <mergeCell ref="D31:D32"/>
    <mergeCell ref="E31:G31"/>
    <mergeCell ref="H31:J31"/>
    <mergeCell ref="K31:M31"/>
    <mergeCell ref="D10:F10"/>
    <mergeCell ref="E14:F14"/>
    <mergeCell ref="D19:M19"/>
    <mergeCell ref="D49:E49"/>
    <mergeCell ref="D40:D41"/>
    <mergeCell ref="E40:G40"/>
    <mergeCell ref="H40:J40"/>
    <mergeCell ref="K40:M40"/>
  </mergeCells>
  <hyperlinks>
    <hyperlink ref="O9" location="Tributos!A1" display="Ver Planilha Tributos "/>
    <hyperlink ref="M2" location="Tributos!AA3" display="ICMS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5:K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41"/>
  <sheetViews>
    <sheetView topLeftCell="B1" workbookViewId="0">
      <selection activeCell="G30" sqref="G30"/>
    </sheetView>
  </sheetViews>
  <sheetFormatPr defaultRowHeight="15.75" x14ac:dyDescent="0.25"/>
  <cols>
    <col min="1" max="1" width="30.42578125" style="4" customWidth="1"/>
    <col min="2" max="2" width="18.28515625" style="4" bestFit="1" customWidth="1"/>
    <col min="3" max="3" width="27.85546875" style="4" bestFit="1" customWidth="1"/>
    <col min="4" max="4" width="15.7109375" style="4" bestFit="1" customWidth="1"/>
    <col min="5" max="5" width="12.85546875" style="4" bestFit="1" customWidth="1"/>
    <col min="6" max="6" width="13.140625" style="4" bestFit="1" customWidth="1"/>
    <col min="7" max="7" width="8.5703125" style="4" customWidth="1"/>
    <col min="8" max="8" width="12.85546875" style="4" bestFit="1" customWidth="1"/>
    <col min="9" max="9" width="13.140625" style="4" bestFit="1" customWidth="1"/>
    <col min="10" max="10" width="7.85546875" style="4" bestFit="1" customWidth="1"/>
    <col min="11" max="11" width="12.85546875" style="4" bestFit="1" customWidth="1"/>
    <col min="12" max="12" width="13.140625" style="4" bestFit="1" customWidth="1"/>
    <col min="13" max="13" width="19.28515625" style="4" bestFit="1" customWidth="1"/>
    <col min="14" max="14" width="20" style="4" bestFit="1" customWidth="1"/>
    <col min="15" max="16384" width="9.140625" style="4"/>
  </cols>
  <sheetData>
    <row r="1" spans="1:4" x14ac:dyDescent="0.25">
      <c r="A1" s="22" t="s">
        <v>675</v>
      </c>
    </row>
    <row r="2" spans="1:4" x14ac:dyDescent="0.25">
      <c r="A2" s="22"/>
      <c r="B2" s="661" t="s">
        <v>1035</v>
      </c>
      <c r="C2" s="661"/>
      <c r="D2" s="18">
        <f>'Estoque de MP'!E12</f>
        <v>0</v>
      </c>
    </row>
    <row r="3" spans="1:4" x14ac:dyDescent="0.25">
      <c r="A3" s="22"/>
    </row>
    <row r="4" spans="1:4" x14ac:dyDescent="0.25">
      <c r="C4" s="607" t="s">
        <v>741</v>
      </c>
      <c r="D4" s="607"/>
    </row>
    <row r="5" spans="1:4" x14ac:dyDescent="0.25">
      <c r="C5" s="13"/>
      <c r="D5" s="593" t="s">
        <v>564</v>
      </c>
    </row>
    <row r="6" spans="1:4" x14ac:dyDescent="0.25">
      <c r="C6" s="15" t="s">
        <v>742</v>
      </c>
      <c r="D6" s="157" t="e">
        <f>SUM(D7:D9)</f>
        <v>#DIV/0!</v>
      </c>
    </row>
    <row r="7" spans="1:4" x14ac:dyDescent="0.25">
      <c r="C7" s="13" t="str">
        <f>'Estoque de MP'!D4</f>
        <v>D-Fenilalanina*</v>
      </c>
      <c r="D7" s="155" t="e">
        <f>'Estoque de MP'!J25</f>
        <v>#DIV/0!</v>
      </c>
    </row>
    <row r="8" spans="1:4" x14ac:dyDescent="0.25">
      <c r="C8" s="13" t="str">
        <f>'Estoque de MP'!D5</f>
        <v>L Fenilalanina**</v>
      </c>
      <c r="D8" s="155" t="e">
        <f>'Estoque de MP'!J34</f>
        <v>#DIV/0!</v>
      </c>
    </row>
    <row r="9" spans="1:4" x14ac:dyDescent="0.25">
      <c r="C9" s="13" t="str">
        <f>'Estoque de MP'!D6</f>
        <v>Embalagem (500g)</v>
      </c>
      <c r="D9" s="155" t="e">
        <f>'Estoque de MP'!J43</f>
        <v>#DIV/0!</v>
      </c>
    </row>
    <row r="10" spans="1:4" x14ac:dyDescent="0.25">
      <c r="C10" s="30"/>
      <c r="D10" s="30"/>
    </row>
    <row r="11" spans="1:4" x14ac:dyDescent="0.25">
      <c r="C11" s="15" t="s">
        <v>743</v>
      </c>
      <c r="D11" s="157" t="e">
        <f>SUM(D12:D14)</f>
        <v>#N/A</v>
      </c>
    </row>
    <row r="12" spans="1:4" x14ac:dyDescent="0.25">
      <c r="C12" s="13" t="str">
        <f>Decisões!D34</f>
        <v>Energia Elétrica</v>
      </c>
      <c r="D12" s="156" t="e">
        <f>Tributos!L37</f>
        <v>#N/A</v>
      </c>
    </row>
    <row r="13" spans="1:4" x14ac:dyDescent="0.25">
      <c r="C13" s="13" t="str">
        <f>Decisões!D39</f>
        <v>Depreciação</v>
      </c>
      <c r="D13" s="156" t="e">
        <f>Tributos!L38</f>
        <v>#N/A</v>
      </c>
    </row>
    <row r="14" spans="1:4" x14ac:dyDescent="0.25">
      <c r="C14" s="13" t="str">
        <f>Salários!R44</f>
        <v>Total Custos de Mão de Obra</v>
      </c>
      <c r="D14" s="156">
        <f>Salários!S44</f>
        <v>16148.888888888889</v>
      </c>
    </row>
    <row r="15" spans="1:4" x14ac:dyDescent="0.25">
      <c r="C15" s="30"/>
      <c r="D15" s="30"/>
    </row>
    <row r="16" spans="1:4" x14ac:dyDescent="0.25">
      <c r="C16" s="13" t="s">
        <v>732</v>
      </c>
      <c r="D16" s="93" t="e">
        <f>SUM(D6,D11)</f>
        <v>#DIV/0!</v>
      </c>
    </row>
    <row r="17" spans="3:13" x14ac:dyDescent="0.25">
      <c r="C17" s="13" t="s">
        <v>731</v>
      </c>
      <c r="D17" s="93" t="e">
        <f>D16/D2</f>
        <v>#DIV/0!</v>
      </c>
    </row>
    <row r="20" spans="3:13" x14ac:dyDescent="0.25">
      <c r="C20" s="662" t="s">
        <v>758</v>
      </c>
      <c r="D20" s="662"/>
      <c r="E20" s="662"/>
      <c r="F20" s="662"/>
      <c r="G20" s="662"/>
      <c r="H20" s="662"/>
      <c r="I20" s="662"/>
      <c r="J20" s="662"/>
      <c r="K20" s="662"/>
      <c r="L20" s="662"/>
      <c r="M20" s="3"/>
    </row>
    <row r="21" spans="3:13" x14ac:dyDescent="0.25">
      <c r="M21" s="3"/>
    </row>
    <row r="22" spans="3:13" x14ac:dyDescent="0.25">
      <c r="C22" s="664" t="s">
        <v>733</v>
      </c>
      <c r="D22" s="607" t="s">
        <v>734</v>
      </c>
      <c r="E22" s="607"/>
      <c r="F22" s="607"/>
      <c r="G22" s="607" t="s">
        <v>735</v>
      </c>
      <c r="H22" s="607"/>
      <c r="I22" s="607"/>
      <c r="J22" s="608" t="s">
        <v>736</v>
      </c>
      <c r="K22" s="663"/>
      <c r="L22" s="609"/>
    </row>
    <row r="23" spans="3:13" x14ac:dyDescent="0.25">
      <c r="C23" s="664"/>
      <c r="D23" s="153" t="s">
        <v>737</v>
      </c>
      <c r="E23" s="154" t="s">
        <v>738</v>
      </c>
      <c r="F23" s="154" t="s">
        <v>739</v>
      </c>
      <c r="G23" s="153" t="s">
        <v>737</v>
      </c>
      <c r="H23" s="154" t="s">
        <v>738</v>
      </c>
      <c r="I23" s="154" t="s">
        <v>739</v>
      </c>
      <c r="J23" s="153" t="s">
        <v>737</v>
      </c>
      <c r="K23" s="154" t="s">
        <v>738</v>
      </c>
      <c r="L23" s="154" t="s">
        <v>739</v>
      </c>
    </row>
    <row r="24" spans="3:13" x14ac:dyDescent="0.25">
      <c r="C24" s="125">
        <v>43343</v>
      </c>
      <c r="D24" s="268">
        <f>D2</f>
        <v>0</v>
      </c>
      <c r="E24" s="269" t="e">
        <f>F24/D24</f>
        <v>#DIV/0!</v>
      </c>
      <c r="F24" s="269" t="e">
        <f>D16</f>
        <v>#DIV/0!</v>
      </c>
      <c r="G24" s="127"/>
      <c r="H24" s="127"/>
      <c r="I24" s="127"/>
      <c r="J24" s="126">
        <f>D24</f>
        <v>0</v>
      </c>
      <c r="K24" s="127" t="e">
        <f>E24</f>
        <v>#DIV/0!</v>
      </c>
      <c r="L24" s="127" t="e">
        <f>F24</f>
        <v>#DIV/0!</v>
      </c>
    </row>
    <row r="25" spans="3:13" x14ac:dyDescent="0.25">
      <c r="C25" s="125">
        <v>43343</v>
      </c>
      <c r="D25" s="127"/>
      <c r="E25" s="127"/>
      <c r="F25" s="127"/>
      <c r="G25" s="587">
        <f>'Preço de Venda'!G21</f>
        <v>0</v>
      </c>
      <c r="H25" s="575" t="e">
        <f t="shared" ref="H25:H30" si="0">K24</f>
        <v>#DIV/0!</v>
      </c>
      <c r="I25" s="575" t="e">
        <f>H25*G25</f>
        <v>#DIV/0!</v>
      </c>
      <c r="J25" s="126">
        <f>J24-G25</f>
        <v>0</v>
      </c>
      <c r="K25" s="127" t="e">
        <f>L25/J25</f>
        <v>#DIV/0!</v>
      </c>
      <c r="L25" s="127" t="e">
        <f>L24-I25</f>
        <v>#DIV/0!</v>
      </c>
    </row>
    <row r="26" spans="3:13" x14ac:dyDescent="0.25">
      <c r="C26" s="125">
        <v>43343</v>
      </c>
      <c r="D26" s="264"/>
      <c r="E26" s="264"/>
      <c r="F26" s="264"/>
      <c r="G26" s="587">
        <f>'Preço de Venda'!G26</f>
        <v>0</v>
      </c>
      <c r="H26" s="575" t="e">
        <f t="shared" si="0"/>
        <v>#DIV/0!</v>
      </c>
      <c r="I26" s="575" t="e">
        <f t="shared" ref="I26:I30" si="1">H26*G26</f>
        <v>#DIV/0!</v>
      </c>
      <c r="J26" s="126">
        <f t="shared" ref="J26:J28" si="2">J25-G26</f>
        <v>0</v>
      </c>
      <c r="K26" s="127" t="e">
        <f t="shared" ref="K26:K28" si="3">L26/J26</f>
        <v>#DIV/0!</v>
      </c>
      <c r="L26" s="127" t="e">
        <f t="shared" ref="L26:L28" si="4">L25-I26</f>
        <v>#DIV/0!</v>
      </c>
    </row>
    <row r="27" spans="3:13" x14ac:dyDescent="0.25">
      <c r="C27" s="125">
        <v>43343</v>
      </c>
      <c r="D27" s="264"/>
      <c r="E27" s="264"/>
      <c r="F27" s="264"/>
      <c r="G27" s="587">
        <f>'Preço de Venda'!G31</f>
        <v>0</v>
      </c>
      <c r="H27" s="575" t="e">
        <f t="shared" si="0"/>
        <v>#DIV/0!</v>
      </c>
      <c r="I27" s="575" t="e">
        <f t="shared" si="1"/>
        <v>#DIV/0!</v>
      </c>
      <c r="J27" s="126">
        <f t="shared" si="2"/>
        <v>0</v>
      </c>
      <c r="K27" s="127" t="e">
        <f t="shared" si="3"/>
        <v>#DIV/0!</v>
      </c>
      <c r="L27" s="127" t="e">
        <f t="shared" si="4"/>
        <v>#DIV/0!</v>
      </c>
    </row>
    <row r="28" spans="3:13" x14ac:dyDescent="0.25">
      <c r="C28" s="125">
        <v>43343</v>
      </c>
      <c r="D28" s="264"/>
      <c r="E28" s="264"/>
      <c r="F28" s="264"/>
      <c r="G28" s="587">
        <f>'Preço de Venda'!G36</f>
        <v>0</v>
      </c>
      <c r="H28" s="575" t="e">
        <f t="shared" si="0"/>
        <v>#DIV/0!</v>
      </c>
      <c r="I28" s="575" t="e">
        <f t="shared" si="1"/>
        <v>#DIV/0!</v>
      </c>
      <c r="J28" s="126">
        <f t="shared" si="2"/>
        <v>0</v>
      </c>
      <c r="K28" s="127" t="e">
        <f t="shared" si="3"/>
        <v>#DIV/0!</v>
      </c>
      <c r="L28" s="127" t="e">
        <f t="shared" si="4"/>
        <v>#DIV/0!</v>
      </c>
    </row>
    <row r="29" spans="3:13" x14ac:dyDescent="0.25">
      <c r="C29" s="125">
        <v>43343</v>
      </c>
      <c r="D29" s="264"/>
      <c r="E29" s="264"/>
      <c r="F29" s="264"/>
      <c r="G29" s="587">
        <f>'Preço de Venda'!G41</f>
        <v>0</v>
      </c>
      <c r="H29" s="575" t="e">
        <f t="shared" si="0"/>
        <v>#DIV/0!</v>
      </c>
      <c r="I29" s="575" t="e">
        <f t="shared" si="1"/>
        <v>#DIV/0!</v>
      </c>
      <c r="J29" s="126">
        <f t="shared" ref="J29:J31" si="5">J28-G29</f>
        <v>0</v>
      </c>
      <c r="K29" s="127" t="e">
        <f t="shared" ref="K29:K31" si="6">L29/J29</f>
        <v>#DIV/0!</v>
      </c>
      <c r="L29" s="127" t="e">
        <f t="shared" ref="L29:L31" si="7">L28-I29</f>
        <v>#DIV/0!</v>
      </c>
    </row>
    <row r="30" spans="3:13" x14ac:dyDescent="0.25">
      <c r="C30" s="125">
        <v>43343</v>
      </c>
      <c r="D30" s="264"/>
      <c r="E30" s="264"/>
      <c r="F30" s="264"/>
      <c r="G30" s="587">
        <f>'Preço de Venda'!G46</f>
        <v>0</v>
      </c>
      <c r="H30" s="575" t="e">
        <f t="shared" si="0"/>
        <v>#DIV/0!</v>
      </c>
      <c r="I30" s="575" t="e">
        <f t="shared" si="1"/>
        <v>#DIV/0!</v>
      </c>
      <c r="J30" s="126">
        <f t="shared" si="5"/>
        <v>0</v>
      </c>
      <c r="K30" s="127" t="e">
        <f t="shared" si="6"/>
        <v>#DIV/0!</v>
      </c>
      <c r="L30" s="127" t="e">
        <f t="shared" si="7"/>
        <v>#DIV/0!</v>
      </c>
    </row>
    <row r="31" spans="3:13" x14ac:dyDescent="0.25">
      <c r="C31" s="125"/>
      <c r="D31" s="264"/>
      <c r="E31" s="264"/>
      <c r="F31" s="264"/>
      <c r="G31" s="264"/>
      <c r="H31" s="264"/>
      <c r="I31" s="264"/>
      <c r="J31" s="126">
        <f t="shared" si="5"/>
        <v>0</v>
      </c>
      <c r="K31" s="127" t="e">
        <f t="shared" si="6"/>
        <v>#DIV/0!</v>
      </c>
      <c r="L31" s="127" t="e">
        <f t="shared" si="7"/>
        <v>#DIV/0!</v>
      </c>
    </row>
    <row r="33" spans="3:12" x14ac:dyDescent="0.25">
      <c r="C33" s="266"/>
      <c r="D33" s="265" t="s">
        <v>929</v>
      </c>
      <c r="E33" s="266"/>
      <c r="F33" s="266"/>
      <c r="G33" s="266"/>
      <c r="H33" s="266"/>
      <c r="I33" s="266"/>
      <c r="J33" s="266"/>
      <c r="K33" s="266"/>
      <c r="L33" s="266"/>
    </row>
    <row r="34" spans="3:12" x14ac:dyDescent="0.25">
      <c r="D34" s="4" t="s">
        <v>935</v>
      </c>
    </row>
    <row r="35" spans="3:12" x14ac:dyDescent="0.25">
      <c r="C35" s="133" t="s">
        <v>870</v>
      </c>
      <c r="D35" s="4">
        <f>Decisões!E6</f>
        <v>0</v>
      </c>
      <c r="E35" s="25" t="e">
        <f>I25</f>
        <v>#DIV/0!</v>
      </c>
    </row>
    <row r="36" spans="3:12" x14ac:dyDescent="0.25">
      <c r="C36" s="133" t="s">
        <v>163</v>
      </c>
      <c r="D36" s="4" t="str">
        <f>Tributos!G93</f>
        <v>Rio de Janeiro</v>
      </c>
      <c r="E36" s="25" t="e">
        <f>I26</f>
        <v>#DIV/0!</v>
      </c>
    </row>
    <row r="37" spans="3:12" x14ac:dyDescent="0.25">
      <c r="C37" s="133" t="s">
        <v>909</v>
      </c>
      <c r="D37" s="4" t="str">
        <f>Tributos!G94</f>
        <v>Acre</v>
      </c>
      <c r="E37" s="25" t="e">
        <f t="shared" ref="E37:E40" si="8">I27</f>
        <v>#DIV/0!</v>
      </c>
    </row>
    <row r="38" spans="3:12" x14ac:dyDescent="0.25">
      <c r="C38" s="133" t="s">
        <v>910</v>
      </c>
      <c r="D38" s="4" t="str">
        <f>Tributos!G95</f>
        <v>Bahia</v>
      </c>
      <c r="E38" s="25" t="e">
        <f t="shared" si="8"/>
        <v>#DIV/0!</v>
      </c>
    </row>
    <row r="39" spans="3:12" x14ac:dyDescent="0.25">
      <c r="C39" s="133" t="s">
        <v>911</v>
      </c>
      <c r="D39" s="4" t="str">
        <f>Tributos!G96</f>
        <v>Alagoas</v>
      </c>
      <c r="E39" s="25" t="e">
        <f t="shared" si="8"/>
        <v>#DIV/0!</v>
      </c>
    </row>
    <row r="40" spans="3:12" x14ac:dyDescent="0.25">
      <c r="C40" s="133" t="s">
        <v>936</v>
      </c>
      <c r="D40" s="4" t="str">
        <f>Tributos!G97</f>
        <v>Sergipe</v>
      </c>
      <c r="E40" s="25" t="e">
        <f t="shared" si="8"/>
        <v>#DIV/0!</v>
      </c>
    </row>
    <row r="41" spans="3:12" x14ac:dyDescent="0.25">
      <c r="D41" s="221" t="s">
        <v>564</v>
      </c>
      <c r="E41" s="267" t="e">
        <f>SUM(E35:E40)</f>
        <v>#DIV/0!</v>
      </c>
      <c r="F41" s="4" t="s">
        <v>958</v>
      </c>
    </row>
  </sheetData>
  <mergeCells count="7">
    <mergeCell ref="B2:C2"/>
    <mergeCell ref="C4:D4"/>
    <mergeCell ref="C20:L20"/>
    <mergeCell ref="J22:L22"/>
    <mergeCell ref="C22:C23"/>
    <mergeCell ref="D22:F22"/>
    <mergeCell ref="G22:I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>
    <tabColor rgb="FFC00000"/>
  </sheetPr>
  <dimension ref="A1:U67"/>
  <sheetViews>
    <sheetView topLeftCell="H1" zoomScale="85" zoomScaleNormal="85" workbookViewId="0">
      <selection activeCell="C1" sqref="C1"/>
    </sheetView>
  </sheetViews>
  <sheetFormatPr defaultRowHeight="15.75" x14ac:dyDescent="0.25"/>
  <cols>
    <col min="1" max="1" width="35" style="4" customWidth="1"/>
    <col min="2" max="2" width="3.140625" style="4" customWidth="1"/>
    <col min="3" max="3" width="20.140625" style="4" customWidth="1"/>
    <col min="4" max="4" width="4.28515625" style="4" customWidth="1"/>
    <col min="5" max="5" width="86.7109375" style="4" bestFit="1" customWidth="1"/>
    <col min="6" max="6" width="21.5703125" style="4" customWidth="1"/>
    <col min="7" max="7" width="21.7109375" style="4" customWidth="1"/>
    <col min="8" max="8" width="12.85546875" style="4" bestFit="1" customWidth="1"/>
    <col min="9" max="9" width="3.140625" style="4" customWidth="1"/>
    <col min="10" max="10" width="23.7109375" style="4" bestFit="1" customWidth="1"/>
    <col min="11" max="11" width="7.42578125" style="4" bestFit="1" customWidth="1"/>
    <col min="12" max="12" width="17.7109375" style="4" bestFit="1" customWidth="1"/>
    <col min="13" max="13" width="27.28515625" style="4" bestFit="1" customWidth="1"/>
    <col min="14" max="14" width="2.42578125" style="3" customWidth="1"/>
    <col min="15" max="15" width="49.85546875" style="28" customWidth="1"/>
    <col min="16" max="16" width="2.85546875" style="4" customWidth="1"/>
    <col min="17" max="17" width="6.42578125" style="4" customWidth="1"/>
    <col min="18" max="18" width="38.28515625" style="4" bestFit="1" customWidth="1"/>
    <col min="19" max="19" width="12.85546875" style="4" bestFit="1" customWidth="1"/>
    <col min="20" max="20" width="2.5703125" style="4" bestFit="1" customWidth="1"/>
    <col min="21" max="21" width="12.85546875" style="4" bestFit="1" customWidth="1"/>
    <col min="22" max="16384" width="9.140625" style="4"/>
  </cols>
  <sheetData>
    <row r="1" spans="1:21" ht="128.25" customHeight="1" x14ac:dyDescent="0.25">
      <c r="A1" s="372"/>
      <c r="B1" s="372"/>
      <c r="E1" s="666" t="s">
        <v>1081</v>
      </c>
      <c r="F1" s="666"/>
      <c r="G1" s="666"/>
      <c r="H1" s="666"/>
      <c r="I1" s="666"/>
      <c r="J1" s="666"/>
      <c r="P1" s="23"/>
    </row>
    <row r="2" spans="1:21" ht="31.5" x14ac:dyDescent="0.25">
      <c r="A2" s="372" t="s">
        <v>675</v>
      </c>
      <c r="E2" s="665" t="s">
        <v>678</v>
      </c>
      <c r="F2" s="665"/>
      <c r="G2" s="665"/>
      <c r="H2" s="665"/>
      <c r="J2" s="84" t="s">
        <v>674</v>
      </c>
      <c r="K2" s="35"/>
      <c r="L2" s="55" t="s">
        <v>636</v>
      </c>
      <c r="M2" s="55" t="s">
        <v>637</v>
      </c>
      <c r="N2" s="19"/>
      <c r="O2" s="55" t="s">
        <v>639</v>
      </c>
      <c r="P2" s="24"/>
      <c r="R2" s="84" t="s">
        <v>673</v>
      </c>
      <c r="S2" s="33">
        <v>1</v>
      </c>
      <c r="T2" s="33">
        <v>2</v>
      </c>
      <c r="U2" s="33" t="s">
        <v>564</v>
      </c>
    </row>
    <row r="3" spans="1:21" x14ac:dyDescent="0.25">
      <c r="E3" s="37" t="s">
        <v>679</v>
      </c>
      <c r="F3" s="38" t="s">
        <v>565</v>
      </c>
      <c r="G3" s="38" t="s">
        <v>566</v>
      </c>
      <c r="H3" s="39" t="s">
        <v>567</v>
      </c>
      <c r="J3" s="56" t="s">
        <v>568</v>
      </c>
      <c r="K3" s="56"/>
      <c r="L3" s="57">
        <f>G4</f>
        <v>2500</v>
      </c>
      <c r="M3" s="57">
        <f>G5</f>
        <v>6000</v>
      </c>
      <c r="N3" s="19"/>
      <c r="O3" s="58">
        <f>SUM(F4*L3,M3)</f>
        <v>16000</v>
      </c>
      <c r="P3" s="26"/>
      <c r="R3" s="34" t="s">
        <v>670</v>
      </c>
      <c r="S3" s="80">
        <f>O3</f>
        <v>16000</v>
      </c>
      <c r="T3" s="80"/>
      <c r="U3" s="80">
        <f>SUM(S3:T3)</f>
        <v>16000</v>
      </c>
    </row>
    <row r="4" spans="1:21" ht="16.5" thickBot="1" x14ac:dyDescent="0.3">
      <c r="E4" s="40" t="s">
        <v>635</v>
      </c>
      <c r="F4" s="41">
        <f>Decisões!E28-Salários!F5</f>
        <v>4</v>
      </c>
      <c r="G4" s="42">
        <v>2500</v>
      </c>
      <c r="H4" s="43">
        <f>G4*F4</f>
        <v>10000</v>
      </c>
      <c r="J4" s="59" t="s">
        <v>569</v>
      </c>
      <c r="K4" s="36"/>
      <c r="L4" s="60">
        <f>L3</f>
        <v>2500</v>
      </c>
      <c r="M4" s="60">
        <f t="shared" ref="M4" si="0">M3</f>
        <v>6000</v>
      </c>
      <c r="N4" s="19"/>
      <c r="O4" s="61"/>
      <c r="P4" s="27"/>
      <c r="R4" s="81" t="s">
        <v>671</v>
      </c>
      <c r="S4" s="80">
        <f>H4</f>
        <v>10000</v>
      </c>
      <c r="T4" s="80"/>
      <c r="U4" s="80"/>
    </row>
    <row r="5" spans="1:21" x14ac:dyDescent="0.25">
      <c r="E5" s="40" t="s">
        <v>628</v>
      </c>
      <c r="F5" s="41">
        <v>1</v>
      </c>
      <c r="G5" s="42">
        <v>6000</v>
      </c>
      <c r="H5" s="43">
        <f>F5*G5</f>
        <v>6000</v>
      </c>
      <c r="J5" s="62" t="s">
        <v>146</v>
      </c>
      <c r="K5" s="62"/>
      <c r="L5" s="63">
        <v>0.11</v>
      </c>
      <c r="M5" s="63">
        <v>0.11</v>
      </c>
      <c r="N5" s="19"/>
      <c r="O5" s="64"/>
      <c r="P5" s="26"/>
      <c r="R5" s="81" t="s">
        <v>669</v>
      </c>
      <c r="S5" s="80">
        <f>H5</f>
        <v>6000</v>
      </c>
      <c r="T5" s="80"/>
      <c r="U5" s="80"/>
    </row>
    <row r="6" spans="1:21" x14ac:dyDescent="0.25">
      <c r="E6" s="20" t="s">
        <v>638</v>
      </c>
      <c r="F6" s="20"/>
      <c r="G6" s="20"/>
      <c r="H6" s="20"/>
      <c r="J6" s="65" t="s">
        <v>570</v>
      </c>
      <c r="K6" s="65"/>
      <c r="L6" s="66">
        <f>L4*L5</f>
        <v>275</v>
      </c>
      <c r="M6" s="66">
        <f>M5*5645.8</f>
        <v>621.03800000000001</v>
      </c>
      <c r="N6" s="19"/>
      <c r="O6" s="67">
        <f>SUM(L6*F4,M6)</f>
        <v>1721.038</v>
      </c>
      <c r="P6" s="27"/>
      <c r="R6" s="34" t="s">
        <v>570</v>
      </c>
      <c r="S6" s="80">
        <f>O6</f>
        <v>1721.038</v>
      </c>
      <c r="T6" s="80"/>
      <c r="U6" s="80">
        <f t="shared" ref="U6:U42" si="1">SUM(S6:T6)</f>
        <v>1721.038</v>
      </c>
    </row>
    <row r="7" spans="1:21" x14ac:dyDescent="0.25">
      <c r="D7" s="28"/>
      <c r="E7" s="20"/>
      <c r="F7" s="20"/>
      <c r="G7" s="20"/>
      <c r="H7" s="20"/>
      <c r="J7" s="62" t="s">
        <v>572</v>
      </c>
      <c r="K7" s="62"/>
      <c r="L7" s="68">
        <v>1</v>
      </c>
      <c r="M7" s="68">
        <v>1</v>
      </c>
      <c r="N7" s="19"/>
      <c r="O7" s="64"/>
      <c r="P7" s="29"/>
      <c r="R7" s="34" t="s">
        <v>571</v>
      </c>
      <c r="S7" s="80">
        <f>O13</f>
        <v>597.14029999999991</v>
      </c>
      <c r="T7" s="80"/>
      <c r="U7" s="80">
        <f t="shared" si="1"/>
        <v>597.14029999999991</v>
      </c>
    </row>
    <row r="8" spans="1:21" x14ac:dyDescent="0.25">
      <c r="E8" s="44"/>
      <c r="F8" s="44"/>
      <c r="G8" s="44"/>
      <c r="H8" s="44"/>
      <c r="J8" s="62" t="s">
        <v>573</v>
      </c>
      <c r="K8" s="62"/>
      <c r="L8" s="63">
        <f>L7*$G$17</f>
        <v>189.59</v>
      </c>
      <c r="M8" s="63">
        <f>M7*$G$17</f>
        <v>189.59</v>
      </c>
      <c r="N8" s="19"/>
      <c r="O8" s="69"/>
      <c r="P8" s="29"/>
      <c r="R8" s="34" t="s">
        <v>312</v>
      </c>
      <c r="S8" s="80">
        <f>O19</f>
        <v>13681.821699999999</v>
      </c>
      <c r="T8" s="80"/>
      <c r="U8" s="80">
        <f>SUM(S8:T8)</f>
        <v>13681.821699999999</v>
      </c>
    </row>
    <row r="9" spans="1:21" ht="16.5" thickBot="1" x14ac:dyDescent="0.3">
      <c r="E9" s="45" t="s">
        <v>574</v>
      </c>
      <c r="F9" s="46"/>
      <c r="G9" s="46"/>
      <c r="H9" s="44"/>
      <c r="J9" s="65" t="s">
        <v>575</v>
      </c>
      <c r="K9" s="65"/>
      <c r="L9" s="70">
        <f>L4-L6-L8</f>
        <v>2035.41</v>
      </c>
      <c r="M9" s="70">
        <f>M4-M6-M8</f>
        <v>5189.3719999999994</v>
      </c>
      <c r="N9" s="19"/>
      <c r="O9" s="69"/>
      <c r="P9" s="29"/>
      <c r="R9" s="81" t="s">
        <v>633</v>
      </c>
      <c r="S9" s="80">
        <f>L19*F4</f>
        <v>8860.5769999999993</v>
      </c>
      <c r="T9" s="34"/>
      <c r="U9" s="80">
        <f>SUM(S9:T9)</f>
        <v>8860.5769999999993</v>
      </c>
    </row>
    <row r="10" spans="1:21" ht="16.5" thickTop="1" x14ac:dyDescent="0.25">
      <c r="E10" s="47" t="s">
        <v>577</v>
      </c>
      <c r="F10" s="48" t="s">
        <v>578</v>
      </c>
      <c r="G10" s="48" t="s">
        <v>579</v>
      </c>
      <c r="H10" s="44"/>
      <c r="J10" s="62" t="s">
        <v>580</v>
      </c>
      <c r="K10" s="62"/>
      <c r="L10" s="71">
        <f>F11</f>
        <v>7.4999999999999997E-2</v>
      </c>
      <c r="M10" s="71">
        <f>F14</f>
        <v>0.27500000000000002</v>
      </c>
      <c r="N10" s="19"/>
      <c r="O10" s="69"/>
      <c r="P10" s="29"/>
      <c r="R10" s="81" t="s">
        <v>672</v>
      </c>
      <c r="S10" s="80">
        <f>M19</f>
        <v>4821.2446999999993</v>
      </c>
      <c r="T10" s="34"/>
      <c r="U10" s="80">
        <f>SUM(S10:T10)</f>
        <v>4821.2446999999993</v>
      </c>
    </row>
    <row r="11" spans="1:21" x14ac:dyDescent="0.25">
      <c r="E11" s="40" t="s">
        <v>147</v>
      </c>
      <c r="F11" s="49">
        <f>7.5/100</f>
        <v>7.4999999999999997E-2</v>
      </c>
      <c r="G11" s="42">
        <v>142.80000000000001</v>
      </c>
      <c r="H11" s="44"/>
      <c r="J11" s="36" t="s">
        <v>581</v>
      </c>
      <c r="K11" s="36"/>
      <c r="L11" s="72">
        <f>L9*L10</f>
        <v>152.65575000000001</v>
      </c>
      <c r="M11" s="72">
        <f t="shared" ref="M11" si="2">M9*M10</f>
        <v>1427.0772999999999</v>
      </c>
      <c r="N11" s="19"/>
      <c r="O11" s="69"/>
      <c r="P11" s="29"/>
      <c r="R11" s="34"/>
      <c r="S11" s="80"/>
      <c r="T11" s="34"/>
      <c r="U11" s="80"/>
    </row>
    <row r="12" spans="1:21" x14ac:dyDescent="0.25">
      <c r="E12" s="40" t="s">
        <v>148</v>
      </c>
      <c r="F12" s="49">
        <f>15/100</f>
        <v>0.15</v>
      </c>
      <c r="G12" s="42">
        <v>354.8</v>
      </c>
      <c r="H12" s="16"/>
      <c r="J12" s="62" t="s">
        <v>583</v>
      </c>
      <c r="K12" s="62"/>
      <c r="L12" s="63">
        <f>G11</f>
        <v>142.80000000000001</v>
      </c>
      <c r="M12" s="63">
        <f>G14</f>
        <v>869.36</v>
      </c>
      <c r="N12" s="19"/>
      <c r="O12" s="69"/>
      <c r="P12" s="26"/>
      <c r="R12" s="34" t="s">
        <v>676</v>
      </c>
      <c r="S12" s="80">
        <f>O24</f>
        <v>1280</v>
      </c>
      <c r="T12" s="80"/>
      <c r="U12" s="80">
        <f t="shared" si="1"/>
        <v>1280</v>
      </c>
    </row>
    <row r="13" spans="1:21" ht="16.5" thickBot="1" x14ac:dyDescent="0.3">
      <c r="E13" s="40" t="s">
        <v>149</v>
      </c>
      <c r="F13" s="49">
        <f>22.5/100</f>
        <v>0.22500000000000001</v>
      </c>
      <c r="G13" s="42">
        <v>636.13</v>
      </c>
      <c r="H13" s="16"/>
      <c r="J13" s="59" t="s">
        <v>585</v>
      </c>
      <c r="K13" s="62"/>
      <c r="L13" s="70">
        <f>L11-L12</f>
        <v>9.8557500000000005</v>
      </c>
      <c r="M13" s="70">
        <f>M11-M12</f>
        <v>557.71729999999991</v>
      </c>
      <c r="N13" s="19"/>
      <c r="O13" s="61">
        <f>SUM(L13*F4,M13)</f>
        <v>597.14029999999991</v>
      </c>
      <c r="P13" s="29"/>
      <c r="R13" s="82" t="s">
        <v>138</v>
      </c>
      <c r="S13" s="83">
        <f>L24*F4</f>
        <v>800</v>
      </c>
      <c r="T13" s="80"/>
      <c r="U13" s="80"/>
    </row>
    <row r="14" spans="1:21" x14ac:dyDescent="0.25">
      <c r="E14" s="40" t="s">
        <v>150</v>
      </c>
      <c r="F14" s="49">
        <f>27.5/100</f>
        <v>0.27500000000000002</v>
      </c>
      <c r="G14" s="42">
        <v>869.36</v>
      </c>
      <c r="H14" s="16"/>
      <c r="J14" s="62"/>
      <c r="K14" s="62"/>
      <c r="L14" s="63"/>
      <c r="M14" s="72"/>
      <c r="N14" s="19"/>
      <c r="O14" s="69"/>
      <c r="P14" s="29"/>
      <c r="R14" s="82" t="s">
        <v>677</v>
      </c>
      <c r="S14" s="83">
        <f>M24</f>
        <v>480</v>
      </c>
      <c r="T14" s="80"/>
      <c r="U14" s="80"/>
    </row>
    <row r="15" spans="1:21" x14ac:dyDescent="0.25">
      <c r="E15" s="16"/>
      <c r="F15" s="16"/>
      <c r="G15" s="16"/>
      <c r="H15" s="16"/>
      <c r="J15" s="62"/>
      <c r="K15" s="62"/>
      <c r="L15" s="63"/>
      <c r="M15" s="72"/>
      <c r="N15" s="19"/>
      <c r="O15" s="69"/>
      <c r="P15" s="26"/>
      <c r="R15" s="34" t="s">
        <v>576</v>
      </c>
      <c r="S15" s="80">
        <f>S12</f>
        <v>1280</v>
      </c>
      <c r="T15" s="80"/>
      <c r="U15" s="80">
        <f t="shared" si="1"/>
        <v>1280</v>
      </c>
    </row>
    <row r="16" spans="1:21" x14ac:dyDescent="0.25">
      <c r="E16" s="50" t="s">
        <v>588</v>
      </c>
      <c r="F16" s="41"/>
      <c r="G16" s="50" t="s">
        <v>589</v>
      </c>
      <c r="H16" s="16"/>
      <c r="J16" s="65" t="str">
        <f>J4</f>
        <v>Base INSS</v>
      </c>
      <c r="K16" s="65"/>
      <c r="L16" s="66">
        <f>L4</f>
        <v>2500</v>
      </c>
      <c r="M16" s="66">
        <f>M4</f>
        <v>6000</v>
      </c>
      <c r="N16" s="19"/>
      <c r="O16" s="67"/>
      <c r="P16" s="26"/>
      <c r="R16" s="34"/>
      <c r="S16" s="34"/>
      <c r="T16" s="34"/>
      <c r="U16" s="80">
        <f t="shared" si="1"/>
        <v>0</v>
      </c>
    </row>
    <row r="17" spans="5:21" x14ac:dyDescent="0.25">
      <c r="E17" s="40" t="s">
        <v>590</v>
      </c>
      <c r="F17" s="41"/>
      <c r="G17" s="41">
        <v>189.59</v>
      </c>
      <c r="H17" s="16"/>
      <c r="J17" s="62" t="str">
        <f>J6</f>
        <v>INSS a recolher</v>
      </c>
      <c r="K17" s="62"/>
      <c r="L17" s="63">
        <f>L6</f>
        <v>275</v>
      </c>
      <c r="M17" s="63">
        <f>M6</f>
        <v>621.03800000000001</v>
      </c>
      <c r="N17" s="19"/>
      <c r="O17" s="73">
        <f>O6</f>
        <v>1721.038</v>
      </c>
      <c r="P17" s="26"/>
      <c r="R17" s="34" t="s">
        <v>582</v>
      </c>
      <c r="S17" s="80">
        <f>O28</f>
        <v>4352</v>
      </c>
      <c r="T17" s="80"/>
      <c r="U17" s="80">
        <f t="shared" si="1"/>
        <v>4352</v>
      </c>
    </row>
    <row r="18" spans="5:21" x14ac:dyDescent="0.25">
      <c r="E18" s="16"/>
      <c r="F18" s="16"/>
      <c r="G18" s="16"/>
      <c r="H18" s="16"/>
      <c r="J18" s="62" t="str">
        <f>J13</f>
        <v xml:space="preserve"> IRPF a pagar</v>
      </c>
      <c r="K18" s="62"/>
      <c r="L18" s="63">
        <f>L13</f>
        <v>9.8557500000000005</v>
      </c>
      <c r="M18" s="63">
        <f t="shared" ref="M18" si="3">M13</f>
        <v>557.71729999999991</v>
      </c>
      <c r="N18" s="19"/>
      <c r="O18" s="73">
        <f>O13</f>
        <v>597.14029999999991</v>
      </c>
      <c r="P18" s="26"/>
      <c r="R18" s="82" t="s">
        <v>138</v>
      </c>
      <c r="S18" s="83">
        <f>L28*F4</f>
        <v>2720</v>
      </c>
      <c r="T18" s="80"/>
      <c r="U18" s="80"/>
    </row>
    <row r="19" spans="5:21" ht="16.5" thickBot="1" x14ac:dyDescent="0.3">
      <c r="E19" s="51" t="s">
        <v>593</v>
      </c>
      <c r="F19" s="51"/>
      <c r="G19" s="16"/>
      <c r="H19" s="16"/>
      <c r="J19" s="60" t="s">
        <v>594</v>
      </c>
      <c r="K19" s="62"/>
      <c r="L19" s="70">
        <f>L16-L17-L18</f>
        <v>2215.1442499999998</v>
      </c>
      <c r="M19" s="70">
        <f>M16-M17-M18</f>
        <v>4821.2446999999993</v>
      </c>
      <c r="N19" s="19"/>
      <c r="O19" s="61">
        <f>SUM(L19*F4,M19)</f>
        <v>13681.821699999999</v>
      </c>
      <c r="R19" s="82" t="s">
        <v>677</v>
      </c>
      <c r="S19" s="83">
        <f>M28</f>
        <v>1632.0000000000002</v>
      </c>
      <c r="T19" s="80"/>
      <c r="U19" s="80"/>
    </row>
    <row r="20" spans="5:21" x14ac:dyDescent="0.25">
      <c r="E20" s="50" t="s">
        <v>595</v>
      </c>
      <c r="F20" s="41" t="s">
        <v>578</v>
      </c>
      <c r="G20" s="16"/>
      <c r="H20" s="16"/>
      <c r="J20" s="62"/>
      <c r="K20" s="62"/>
      <c r="L20" s="63"/>
      <c r="M20" s="36"/>
      <c r="N20" s="19"/>
      <c r="O20" s="35"/>
      <c r="R20" s="34" t="s">
        <v>584</v>
      </c>
      <c r="S20" s="80">
        <f>S17</f>
        <v>4352</v>
      </c>
      <c r="T20" s="80"/>
      <c r="U20" s="80">
        <f t="shared" si="1"/>
        <v>4352</v>
      </c>
    </row>
    <row r="21" spans="5:21" x14ac:dyDescent="0.25">
      <c r="E21" s="40" t="s">
        <v>596</v>
      </c>
      <c r="F21" s="52">
        <v>0.08</v>
      </c>
      <c r="G21" s="16"/>
      <c r="H21" s="16"/>
      <c r="J21" s="62"/>
      <c r="K21" s="62"/>
      <c r="L21" s="63"/>
      <c r="M21" s="36"/>
      <c r="N21" s="19"/>
      <c r="O21" s="35"/>
      <c r="P21" s="25"/>
      <c r="R21" s="34"/>
      <c r="S21" s="34"/>
      <c r="T21" s="34"/>
      <c r="U21" s="80">
        <f t="shared" si="1"/>
        <v>0</v>
      </c>
    </row>
    <row r="22" spans="5:21" x14ac:dyDescent="0.25">
      <c r="E22" s="40" t="s">
        <v>597</v>
      </c>
      <c r="F22" s="52">
        <v>0.09</v>
      </c>
      <c r="G22" s="16"/>
      <c r="H22" s="16"/>
      <c r="J22" s="65" t="s">
        <v>598</v>
      </c>
      <c r="K22" s="65"/>
      <c r="L22" s="66">
        <f>L4</f>
        <v>2500</v>
      </c>
      <c r="M22" s="66">
        <f t="shared" ref="M22" si="4">M4</f>
        <v>6000</v>
      </c>
      <c r="N22" s="19"/>
      <c r="O22" s="74"/>
      <c r="R22" s="34" t="s">
        <v>586</v>
      </c>
      <c r="S22" s="80">
        <f>O40</f>
        <v>1802.6666666666667</v>
      </c>
      <c r="T22" s="80"/>
      <c r="U22" s="80">
        <f t="shared" si="1"/>
        <v>1802.6666666666667</v>
      </c>
    </row>
    <row r="23" spans="5:21" x14ac:dyDescent="0.25">
      <c r="E23" s="40" t="s">
        <v>599</v>
      </c>
      <c r="F23" s="52">
        <v>0.11</v>
      </c>
      <c r="G23" s="16"/>
      <c r="H23" s="16"/>
      <c r="J23" s="62" t="s">
        <v>600</v>
      </c>
      <c r="K23" s="36"/>
      <c r="L23" s="75">
        <v>0.08</v>
      </c>
      <c r="M23" s="75">
        <v>0.08</v>
      </c>
      <c r="N23" s="19"/>
      <c r="O23" s="35"/>
      <c r="P23" s="26"/>
      <c r="R23" s="82" t="s">
        <v>138</v>
      </c>
      <c r="S23" s="83">
        <f>L40*F4</f>
        <v>1126.6666666666667</v>
      </c>
      <c r="T23" s="80"/>
      <c r="U23" s="80"/>
    </row>
    <row r="24" spans="5:21" ht="16.5" thickBot="1" x14ac:dyDescent="0.3">
      <c r="E24" s="16"/>
      <c r="F24" s="16"/>
      <c r="G24" s="16"/>
      <c r="H24" s="16"/>
      <c r="J24" s="60" t="s">
        <v>601</v>
      </c>
      <c r="K24" s="65"/>
      <c r="L24" s="70">
        <f>L22*L23</f>
        <v>200</v>
      </c>
      <c r="M24" s="70">
        <f>M22*M23</f>
        <v>480</v>
      </c>
      <c r="N24" s="19"/>
      <c r="O24" s="61">
        <f>SUM(L24*F4,M24)</f>
        <v>1280</v>
      </c>
      <c r="R24" s="89" t="s">
        <v>707</v>
      </c>
      <c r="S24" s="83">
        <f>L37*F4</f>
        <v>833.33333333333337</v>
      </c>
      <c r="T24" s="80"/>
      <c r="U24" s="80"/>
    </row>
    <row r="25" spans="5:21" x14ac:dyDescent="0.25">
      <c r="E25" s="51" t="s">
        <v>593</v>
      </c>
      <c r="F25" s="16"/>
      <c r="G25" s="16"/>
      <c r="H25" s="16"/>
      <c r="J25" s="36"/>
      <c r="K25" s="36"/>
      <c r="L25" s="36"/>
      <c r="M25" s="36"/>
      <c r="N25" s="19"/>
      <c r="O25" s="35"/>
      <c r="P25" s="27"/>
      <c r="R25" s="89" t="s">
        <v>706</v>
      </c>
      <c r="S25" s="83">
        <f>L38*F4</f>
        <v>66.666666666666671</v>
      </c>
      <c r="T25" s="80"/>
      <c r="U25" s="80"/>
    </row>
    <row r="26" spans="5:21" x14ac:dyDescent="0.25">
      <c r="E26" s="40" t="s">
        <v>602</v>
      </c>
      <c r="F26" s="52">
        <v>0.08</v>
      </c>
      <c r="G26" s="16"/>
      <c r="H26" s="16"/>
      <c r="J26" s="65" t="s">
        <v>603</v>
      </c>
      <c r="K26" s="62"/>
      <c r="L26" s="63">
        <f>L22</f>
        <v>2500</v>
      </c>
      <c r="M26" s="63">
        <f t="shared" ref="M26" si="5">M22</f>
        <v>6000</v>
      </c>
      <c r="N26" s="19"/>
      <c r="O26" s="64"/>
      <c r="R26" s="89" t="s">
        <v>705</v>
      </c>
      <c r="S26" s="83">
        <f>L39*F4</f>
        <v>226.66666666666669</v>
      </c>
      <c r="T26" s="80"/>
      <c r="U26" s="80"/>
    </row>
    <row r="27" spans="5:21" x14ac:dyDescent="0.25">
      <c r="E27" s="16"/>
      <c r="F27" s="16"/>
      <c r="G27" s="16"/>
      <c r="H27" s="16"/>
      <c r="J27" s="62" t="s">
        <v>604</v>
      </c>
      <c r="K27" s="62"/>
      <c r="L27" s="76">
        <f>F33</f>
        <v>0.27200000000000002</v>
      </c>
      <c r="M27" s="76">
        <f>L27</f>
        <v>0.27200000000000002</v>
      </c>
      <c r="N27" s="19"/>
      <c r="O27" s="35"/>
      <c r="P27" s="26"/>
      <c r="R27" s="82" t="s">
        <v>677</v>
      </c>
      <c r="S27" s="83">
        <f>M40</f>
        <v>676</v>
      </c>
      <c r="T27" s="80"/>
      <c r="U27" s="80"/>
    </row>
    <row r="28" spans="5:21" ht="16.5" thickBot="1" x14ac:dyDescent="0.3">
      <c r="E28" s="51" t="s">
        <v>593</v>
      </c>
      <c r="F28" s="16"/>
      <c r="G28" s="16"/>
      <c r="H28" s="16"/>
      <c r="J28" s="59" t="s">
        <v>564</v>
      </c>
      <c r="K28" s="62"/>
      <c r="L28" s="77">
        <f>L26*L27</f>
        <v>680</v>
      </c>
      <c r="M28" s="77">
        <f t="shared" ref="M28" si="6">M26*M27</f>
        <v>1632.0000000000002</v>
      </c>
      <c r="N28" s="19"/>
      <c r="O28" s="61">
        <f>SUM(L28*F4,M28)</f>
        <v>4352</v>
      </c>
      <c r="R28" s="89" t="s">
        <v>707</v>
      </c>
      <c r="S28" s="83">
        <f>M37</f>
        <v>500</v>
      </c>
      <c r="T28" s="80"/>
      <c r="U28" s="80"/>
    </row>
    <row r="29" spans="5:21" x14ac:dyDescent="0.25">
      <c r="E29" s="50" t="s">
        <v>605</v>
      </c>
      <c r="F29" s="41" t="s">
        <v>578</v>
      </c>
      <c r="G29" s="16"/>
      <c r="H29" s="16"/>
      <c r="J29" s="62"/>
      <c r="K29" s="75"/>
      <c r="L29" s="63"/>
      <c r="M29" s="36"/>
      <c r="N29" s="19"/>
      <c r="O29" s="35"/>
      <c r="R29" s="89" t="s">
        <v>706</v>
      </c>
      <c r="S29" s="83">
        <f t="shared" ref="S29:S30" si="7">M38</f>
        <v>40</v>
      </c>
      <c r="T29" s="80"/>
      <c r="U29" s="80"/>
    </row>
    <row r="30" spans="5:21" x14ac:dyDescent="0.25">
      <c r="E30" s="40" t="s">
        <v>606</v>
      </c>
      <c r="F30" s="49">
        <v>0.2</v>
      </c>
      <c r="G30" s="16"/>
      <c r="H30" s="16"/>
      <c r="J30" s="65" t="s">
        <v>607</v>
      </c>
      <c r="K30" s="65"/>
      <c r="L30" s="66">
        <f>L4</f>
        <v>2500</v>
      </c>
      <c r="M30" s="66">
        <f t="shared" ref="M30" si="8">M4</f>
        <v>6000</v>
      </c>
      <c r="N30" s="19"/>
      <c r="O30" s="35"/>
      <c r="P30" s="27"/>
      <c r="R30" s="89" t="s">
        <v>705</v>
      </c>
      <c r="S30" s="83">
        <f t="shared" si="7"/>
        <v>136</v>
      </c>
      <c r="T30" s="80"/>
      <c r="U30" s="80"/>
    </row>
    <row r="31" spans="5:21" x14ac:dyDescent="0.25">
      <c r="E31" s="40" t="s">
        <v>608</v>
      </c>
      <c r="F31" s="49">
        <v>0.03</v>
      </c>
      <c r="G31" s="16"/>
      <c r="H31" s="16"/>
      <c r="J31" s="65" t="s">
        <v>609</v>
      </c>
      <c r="K31" s="65"/>
      <c r="L31" s="66">
        <f>L30/9</f>
        <v>277.77777777777777</v>
      </c>
      <c r="M31" s="66">
        <f t="shared" ref="M31" si="9">M30/9</f>
        <v>666.66666666666663</v>
      </c>
      <c r="N31" s="19"/>
      <c r="O31" s="78"/>
      <c r="P31" s="27"/>
      <c r="R31" s="34" t="s">
        <v>587</v>
      </c>
      <c r="S31" s="80">
        <f>S22</f>
        <v>1802.6666666666667</v>
      </c>
      <c r="T31" s="80"/>
      <c r="U31" s="80">
        <f t="shared" si="1"/>
        <v>1802.6666666666667</v>
      </c>
    </row>
    <row r="32" spans="5:21" x14ac:dyDescent="0.25">
      <c r="E32" s="40" t="s">
        <v>151</v>
      </c>
      <c r="F32" s="49">
        <v>4.2000000000000003E-2</v>
      </c>
      <c r="G32" s="16"/>
      <c r="H32" s="16"/>
      <c r="J32" s="62" t="s">
        <v>610</v>
      </c>
      <c r="K32" s="75">
        <f>F26</f>
        <v>0.08</v>
      </c>
      <c r="L32" s="63">
        <f>L31*K32</f>
        <v>22.222222222222221</v>
      </c>
      <c r="M32" s="63">
        <f>M31*K32</f>
        <v>53.333333333333329</v>
      </c>
      <c r="N32" s="19"/>
      <c r="O32" s="64"/>
      <c r="P32" s="27"/>
      <c r="R32" s="34"/>
      <c r="S32" s="34"/>
      <c r="T32" s="34"/>
      <c r="U32" s="80">
        <f t="shared" si="1"/>
        <v>0</v>
      </c>
    </row>
    <row r="33" spans="5:21" x14ac:dyDescent="0.25">
      <c r="E33" s="53" t="s">
        <v>564</v>
      </c>
      <c r="F33" s="54">
        <f>SUM(F30:F32)</f>
        <v>0.27200000000000002</v>
      </c>
      <c r="G33" s="16"/>
      <c r="H33" s="16"/>
      <c r="J33" s="62" t="s">
        <v>611</v>
      </c>
      <c r="K33" s="79">
        <f>F33</f>
        <v>0.27200000000000002</v>
      </c>
      <c r="L33" s="63">
        <f>L31*K33</f>
        <v>75.555555555555557</v>
      </c>
      <c r="M33" s="63">
        <f>M31*K33</f>
        <v>181.33333333333334</v>
      </c>
      <c r="N33" s="19"/>
      <c r="O33" s="64"/>
      <c r="R33" s="34" t="s">
        <v>591</v>
      </c>
      <c r="S33" s="80">
        <f>O34</f>
        <v>2403.5555555555557</v>
      </c>
      <c r="T33" s="80"/>
      <c r="U33" s="80">
        <f t="shared" si="1"/>
        <v>2403.5555555555557</v>
      </c>
    </row>
    <row r="34" spans="5:21" ht="16.5" thickBot="1" x14ac:dyDescent="0.3">
      <c r="E34" s="16"/>
      <c r="F34" s="16"/>
      <c r="G34" s="16"/>
      <c r="H34" s="16"/>
      <c r="J34" s="60" t="s">
        <v>564</v>
      </c>
      <c r="K34" s="65"/>
      <c r="L34" s="70">
        <f>SUM(L31:L33)</f>
        <v>375.55555555555554</v>
      </c>
      <c r="M34" s="70">
        <f t="shared" ref="M34" si="10">SUM(M31:M33)</f>
        <v>901.33333333333337</v>
      </c>
      <c r="N34" s="19"/>
      <c r="O34" s="61">
        <f>SUM(L34*F4,M34)</f>
        <v>2403.5555555555557</v>
      </c>
      <c r="R34" s="82" t="s">
        <v>138</v>
      </c>
      <c r="S34" s="83">
        <f>L34*F4</f>
        <v>1502.2222222222222</v>
      </c>
      <c r="T34" s="80"/>
      <c r="U34" s="80"/>
    </row>
    <row r="35" spans="5:21" x14ac:dyDescent="0.25">
      <c r="J35" s="36"/>
      <c r="K35" s="36"/>
      <c r="L35" s="36"/>
      <c r="M35" s="36"/>
      <c r="N35" s="19"/>
      <c r="O35" s="35"/>
      <c r="P35" s="27"/>
      <c r="R35" s="89" t="s">
        <v>707</v>
      </c>
      <c r="S35" s="83">
        <f>L31*$F$4</f>
        <v>1111.1111111111111</v>
      </c>
      <c r="T35" s="80"/>
      <c r="U35" s="80"/>
    </row>
    <row r="36" spans="5:21" x14ac:dyDescent="0.25">
      <c r="J36" s="65" t="s">
        <v>612</v>
      </c>
      <c r="K36" s="65"/>
      <c r="L36" s="66">
        <f>L30</f>
        <v>2500</v>
      </c>
      <c r="M36" s="66">
        <f>M30</f>
        <v>6000</v>
      </c>
      <c r="N36" s="19"/>
      <c r="O36" s="35"/>
      <c r="P36" s="27"/>
      <c r="R36" s="89" t="s">
        <v>706</v>
      </c>
      <c r="S36" s="83">
        <f t="shared" ref="S36:S37" si="11">L32*$F$4</f>
        <v>88.888888888888886</v>
      </c>
      <c r="T36" s="80"/>
      <c r="U36" s="80"/>
    </row>
    <row r="37" spans="5:21" x14ac:dyDescent="0.25">
      <c r="J37" s="65" t="s">
        <v>586</v>
      </c>
      <c r="K37" s="65"/>
      <c r="L37" s="66">
        <f>L36/12</f>
        <v>208.33333333333334</v>
      </c>
      <c r="M37" s="66">
        <f>M36/12</f>
        <v>500</v>
      </c>
      <c r="N37" s="19"/>
      <c r="O37" s="78"/>
      <c r="P37" s="27"/>
      <c r="R37" s="89" t="s">
        <v>705</v>
      </c>
      <c r="S37" s="83">
        <f t="shared" si="11"/>
        <v>302.22222222222223</v>
      </c>
      <c r="T37" s="80"/>
      <c r="U37" s="80"/>
    </row>
    <row r="38" spans="5:21" x14ac:dyDescent="0.25">
      <c r="J38" s="62" t="s">
        <v>610</v>
      </c>
      <c r="K38" s="75">
        <f>F26</f>
        <v>0.08</v>
      </c>
      <c r="L38" s="63">
        <f>L37*K38</f>
        <v>16.666666666666668</v>
      </c>
      <c r="M38" s="63">
        <f>M37*K38</f>
        <v>40</v>
      </c>
      <c r="N38" s="19"/>
      <c r="O38" s="64"/>
      <c r="R38" s="82" t="s">
        <v>677</v>
      </c>
      <c r="S38" s="83">
        <f>M34</f>
        <v>901.33333333333337</v>
      </c>
      <c r="T38" s="80"/>
      <c r="U38" s="80"/>
    </row>
    <row r="39" spans="5:21" x14ac:dyDescent="0.25">
      <c r="J39" s="62" t="s">
        <v>611</v>
      </c>
      <c r="K39" s="79">
        <f>F33</f>
        <v>0.27200000000000002</v>
      </c>
      <c r="L39" s="63">
        <f>L37*K39</f>
        <v>56.666666666666671</v>
      </c>
      <c r="M39" s="63">
        <f>M37*K39</f>
        <v>136</v>
      </c>
      <c r="N39" s="19"/>
      <c r="O39" s="64"/>
      <c r="R39" s="89" t="s">
        <v>707</v>
      </c>
      <c r="S39" s="83">
        <f>M31</f>
        <v>666.66666666666663</v>
      </c>
      <c r="T39" s="80"/>
      <c r="U39" s="80"/>
    </row>
    <row r="40" spans="5:21" ht="16.5" thickBot="1" x14ac:dyDescent="0.3">
      <c r="J40" s="60" t="s">
        <v>564</v>
      </c>
      <c r="K40" s="65"/>
      <c r="L40" s="70">
        <f t="shared" ref="L40:M40" si="12">SUM(L37:L39)</f>
        <v>281.66666666666669</v>
      </c>
      <c r="M40" s="70">
        <f t="shared" si="12"/>
        <v>676</v>
      </c>
      <c r="N40" s="19"/>
      <c r="O40" s="61">
        <f>SUM(L40*F4,M40)</f>
        <v>1802.6666666666667</v>
      </c>
      <c r="R40" s="89" t="s">
        <v>706</v>
      </c>
      <c r="S40" s="83">
        <f t="shared" ref="S40:S41" si="13">M32</f>
        <v>53.333333333333329</v>
      </c>
      <c r="T40" s="80"/>
      <c r="U40" s="80"/>
    </row>
    <row r="41" spans="5:21" x14ac:dyDescent="0.25">
      <c r="R41" s="89" t="s">
        <v>705</v>
      </c>
      <c r="S41" s="83">
        <f t="shared" si="13"/>
        <v>181.33333333333334</v>
      </c>
      <c r="T41" s="80"/>
      <c r="U41" s="80"/>
    </row>
    <row r="42" spans="5:21" x14ac:dyDescent="0.25">
      <c r="R42" s="34" t="s">
        <v>592</v>
      </c>
      <c r="S42" s="80">
        <f>S33</f>
        <v>2403.5555555555557</v>
      </c>
      <c r="T42" s="80"/>
      <c r="U42" s="80">
        <f t="shared" si="1"/>
        <v>2403.5555555555557</v>
      </c>
    </row>
    <row r="44" spans="5:21" x14ac:dyDescent="0.25">
      <c r="R44" s="438" t="s">
        <v>745</v>
      </c>
      <c r="S44" s="439">
        <f>SUM(S4,S13,S18,S23,S34)</f>
        <v>16148.888888888889</v>
      </c>
      <c r="T44" s="438"/>
      <c r="U44" s="438"/>
    </row>
    <row r="45" spans="5:21" x14ac:dyDescent="0.25">
      <c r="R45" s="438" t="s">
        <v>744</v>
      </c>
      <c r="S45" s="439">
        <f>SUM(S5,S14,S19,S27,S38)</f>
        <v>9689.3333333333339</v>
      </c>
      <c r="T45" s="438"/>
      <c r="U45" s="438"/>
    </row>
    <row r="46" spans="5:21" x14ac:dyDescent="0.25">
      <c r="R46" s="25"/>
    </row>
    <row r="47" spans="5:21" x14ac:dyDescent="0.25">
      <c r="S47" s="25"/>
    </row>
    <row r="48" spans="5:21" x14ac:dyDescent="0.25">
      <c r="S48" s="25"/>
    </row>
    <row r="49" spans="3:16" x14ac:dyDescent="0.25">
      <c r="E49" s="85" t="s">
        <v>697</v>
      </c>
      <c r="N49" s="4"/>
      <c r="O49" s="3"/>
      <c r="P49" s="28"/>
    </row>
    <row r="50" spans="3:16" ht="20.25" x14ac:dyDescent="0.3">
      <c r="C50" s="86"/>
      <c r="D50" s="86"/>
      <c r="E50" s="86"/>
      <c r="F50" s="86"/>
      <c r="G50" s="86"/>
      <c r="H50" s="86"/>
      <c r="I50" s="86"/>
      <c r="J50" s="86"/>
      <c r="N50" s="4"/>
      <c r="O50" s="3"/>
      <c r="P50" s="28"/>
    </row>
    <row r="51" spans="3:16" ht="20.25" x14ac:dyDescent="0.3">
      <c r="C51" s="86"/>
      <c r="D51" s="86" t="s">
        <v>680</v>
      </c>
      <c r="E51" s="86"/>
      <c r="F51" s="86"/>
      <c r="G51" s="86"/>
      <c r="H51" s="86"/>
      <c r="I51" s="86"/>
      <c r="J51" s="86"/>
      <c r="M51" s="25"/>
      <c r="N51" s="4"/>
      <c r="O51" s="3"/>
      <c r="P51" s="28"/>
    </row>
    <row r="52" spans="3:16" ht="20.25" x14ac:dyDescent="0.3">
      <c r="C52" s="86"/>
      <c r="D52" s="86"/>
      <c r="E52" s="86"/>
      <c r="F52" s="86"/>
      <c r="G52" s="86"/>
      <c r="H52" s="86"/>
      <c r="I52" s="86"/>
      <c r="J52" s="86"/>
      <c r="N52" s="4"/>
      <c r="O52" s="3"/>
      <c r="P52" s="28"/>
    </row>
    <row r="53" spans="3:16" ht="20.25" x14ac:dyDescent="0.3">
      <c r="C53" s="86"/>
      <c r="D53" s="86" t="s">
        <v>687</v>
      </c>
      <c r="E53" s="86"/>
      <c r="F53" s="86"/>
      <c r="G53" s="86"/>
      <c r="H53" s="86"/>
      <c r="I53" s="86"/>
      <c r="J53" s="86"/>
      <c r="N53" s="4"/>
      <c r="O53" s="3"/>
      <c r="P53" s="28"/>
    </row>
    <row r="54" spans="3:16" ht="20.25" x14ac:dyDescent="0.3">
      <c r="C54" s="86"/>
      <c r="D54" s="86"/>
      <c r="E54" s="86" t="s">
        <v>681</v>
      </c>
      <c r="F54" s="86"/>
      <c r="G54" s="86"/>
      <c r="H54" s="86"/>
      <c r="I54" s="86"/>
      <c r="J54" s="86"/>
    </row>
    <row r="55" spans="3:16" ht="20.25" x14ac:dyDescent="0.3">
      <c r="C55" s="86"/>
      <c r="D55" s="86" t="s">
        <v>19</v>
      </c>
      <c r="E55" s="86" t="s">
        <v>682</v>
      </c>
      <c r="F55" s="87" t="s">
        <v>684</v>
      </c>
      <c r="G55" s="86"/>
      <c r="H55" s="86"/>
      <c r="I55" s="86"/>
      <c r="J55" s="86"/>
    </row>
    <row r="56" spans="3:16" ht="20.25" x14ac:dyDescent="0.3">
      <c r="C56" s="86"/>
      <c r="D56" s="86"/>
      <c r="E56" s="86"/>
      <c r="F56" s="86" t="s">
        <v>688</v>
      </c>
      <c r="G56" s="86" t="s">
        <v>689</v>
      </c>
      <c r="H56" s="86"/>
      <c r="I56" s="86"/>
      <c r="J56" s="86"/>
    </row>
    <row r="57" spans="3:16" ht="20.25" x14ac:dyDescent="0.3">
      <c r="C57" s="86"/>
      <c r="D57" s="86" t="s">
        <v>683</v>
      </c>
      <c r="E57" s="86"/>
      <c r="F57" s="86" t="s">
        <v>696</v>
      </c>
      <c r="G57" s="88">
        <v>30</v>
      </c>
      <c r="H57" s="86"/>
      <c r="I57" s="86"/>
      <c r="J57" s="86"/>
    </row>
    <row r="58" spans="3:16" ht="20.25" x14ac:dyDescent="0.3">
      <c r="C58" s="86"/>
      <c r="D58" s="86"/>
      <c r="E58" s="86" t="s">
        <v>686</v>
      </c>
      <c r="F58" s="86"/>
      <c r="G58" s="86"/>
      <c r="H58" s="86"/>
      <c r="I58" s="86"/>
      <c r="J58" s="86"/>
    </row>
    <row r="59" spans="3:16" ht="20.25" x14ac:dyDescent="0.3">
      <c r="C59" s="86"/>
      <c r="D59" s="86"/>
      <c r="E59" s="86" t="s">
        <v>685</v>
      </c>
      <c r="F59" s="667" t="s">
        <v>692</v>
      </c>
      <c r="G59" s="667"/>
      <c r="H59" s="667"/>
      <c r="I59" s="667"/>
      <c r="J59" s="667"/>
      <c r="K59" s="667"/>
      <c r="L59" s="667"/>
    </row>
    <row r="60" spans="3:16" ht="20.25" x14ac:dyDescent="0.3">
      <c r="C60" s="86"/>
      <c r="D60" s="86" t="s">
        <v>123</v>
      </c>
      <c r="E60" s="86" t="s">
        <v>701</v>
      </c>
      <c r="F60" s="667" t="s">
        <v>690</v>
      </c>
      <c r="G60" s="667"/>
      <c r="H60" s="86" t="s">
        <v>691</v>
      </c>
      <c r="I60" s="86"/>
      <c r="J60" s="86"/>
    </row>
    <row r="61" spans="3:16" ht="20.25" x14ac:dyDescent="0.3">
      <c r="C61" s="86"/>
      <c r="D61" s="86"/>
      <c r="E61" s="86" t="s">
        <v>702</v>
      </c>
      <c r="F61" s="86"/>
      <c r="G61" s="86"/>
      <c r="H61" s="86"/>
      <c r="I61" s="86"/>
      <c r="J61" s="86"/>
    </row>
    <row r="62" spans="3:16" ht="20.25" x14ac:dyDescent="0.3">
      <c r="C62" s="86"/>
      <c r="D62" s="86"/>
      <c r="E62" s="86" t="s">
        <v>703</v>
      </c>
      <c r="F62" s="86" t="s">
        <v>693</v>
      </c>
      <c r="G62" s="86"/>
      <c r="H62" s="86"/>
      <c r="I62" s="86"/>
      <c r="J62" s="86"/>
    </row>
    <row r="63" spans="3:16" ht="20.25" x14ac:dyDescent="0.3">
      <c r="C63" s="86"/>
      <c r="D63" s="86" t="s">
        <v>19</v>
      </c>
      <c r="E63" s="86" t="s">
        <v>704</v>
      </c>
      <c r="F63" s="86" t="s">
        <v>694</v>
      </c>
      <c r="G63" s="86"/>
      <c r="H63" s="86"/>
      <c r="I63" s="86"/>
      <c r="J63" s="86"/>
    </row>
    <row r="64" spans="3:16" ht="20.25" x14ac:dyDescent="0.3">
      <c r="C64" s="86"/>
      <c r="D64" s="86"/>
      <c r="E64" s="86"/>
      <c r="F64" s="86"/>
      <c r="G64" s="86"/>
      <c r="H64" s="86"/>
      <c r="I64" s="86"/>
      <c r="J64" s="86"/>
    </row>
    <row r="65" spans="3:10" ht="20.25" x14ac:dyDescent="0.3">
      <c r="C65" s="86"/>
      <c r="D65" s="86"/>
      <c r="E65" s="86"/>
      <c r="F65" s="87" t="s">
        <v>695</v>
      </c>
      <c r="G65" s="86"/>
      <c r="H65" s="86"/>
      <c r="I65" s="86"/>
      <c r="J65" s="86"/>
    </row>
    <row r="66" spans="3:10" ht="20.25" x14ac:dyDescent="0.3">
      <c r="C66" s="86"/>
      <c r="D66" s="86"/>
      <c r="E66" s="86"/>
      <c r="F66" s="86" t="s">
        <v>698</v>
      </c>
      <c r="G66" s="86" t="s">
        <v>699</v>
      </c>
      <c r="H66" s="86"/>
      <c r="I66" s="86"/>
      <c r="J66" s="86"/>
    </row>
    <row r="67" spans="3:10" ht="20.25" x14ac:dyDescent="0.3">
      <c r="C67" s="86"/>
      <c r="D67" s="86"/>
      <c r="E67" s="86"/>
      <c r="F67" s="86" t="s">
        <v>700</v>
      </c>
      <c r="G67" s="86"/>
      <c r="H67" s="86"/>
      <c r="I67" s="86"/>
      <c r="J67" s="86"/>
    </row>
  </sheetData>
  <mergeCells count="4">
    <mergeCell ref="E2:H2"/>
    <mergeCell ref="E1:J1"/>
    <mergeCell ref="F59:L59"/>
    <mergeCell ref="F60:G60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6 6 6 9 9 9 F 5 - E 3 0 0 - 4 B F 1 - B A 9 A - 4 0 6 A B 1 D 5 A D 7 7 } "   T o u r I d = " c c 5 2 9 6 0 8 - 5 1 f 9 - 4 6 5 4 - 8 e f 4 - 3 b 1 1 4 8 8 3 2 b 3 f "   X m l V e r = " 5 "   M i n X m l V e r = " 3 " > < D e s c r i p t i o n > A d i c i o n e   a q u i   u m a   d e s c r i � � o   p a r a   o   t o u r < / D e s c r i p t i o n > < I m a g e > i V B O R w 0 K G g o A A A A N S U h E U g A A A N Q A A A B 1 C A Y A A A A 2 n s 9 T A A A A A X N S R 0 I A r s 4 c 6 Q A A A A R n Q U 1 B A A C x j w v 8 Y Q U A A A A J c E h Z c w A A B C E A A A Q h A V l M W R s A A D T o S U R B V H h e 7 X 3 3 U 1 x J l u 4 p Q x X e g w D h J Y G 8 t + 2 l N j M 7 u x E z s 2 9 N 7 L 6 I i d i Z e L H 7 r 7 1 4 8 X 5 4 M T u u u 9 V q d b d M y 3 s D Q g Y j j P B l g L L v f C c z 6 9 4 q C k 8 3 t 4 A P s t L c S 1 G V m V + e k y d P 5 n X 9 6 c q t J G 2 D y o o K q L 6 q h m a o l J K J B N 2 8 9 4 w + O r W L a o t i 9 O D V N O 2 q L 6 C S w j w K h 0 L k z c u j K y / z K Z L w 6 r 9 W S C Z z s y p d L p d O z Y f 9 G t L 2 0 F l H 1 F H v p u u P e m h 8 O q T v 2 t r Y 8 o T i r k G f n T 5 I i U S c B k d n q K r U S 1 8 / i d O n + 4 h + f D x K p / d V k s e t 7 o 3 M z f E f u K l 3 3 E U v J 4 q k L F d J t B D s B L L D l J v Y x 2 N J L O E m r 9 d D f 3 c w z m m u t x s P K M k / W x l M q N t b t g b y f T 4 6 f 6 K T E v E o 3 X 5 N d H h n l E Z H R + l h b 5 Q O t x Z S S X E B u d 1 u m p 6 a p E C s m F 6 M F 9 J c T H W o z U a k T C x F r K a K G O 2 v T 9 J I 0 E u P B n 1 M q h j F E 0 T f 3 u 2 i G B J b F K 4 / X d 2 a h G q q r a J D 7 X U U i 8 X o 6 g u i k 8 0 R e s y q X U N N M Z U X W a S J R i L U N V Z I A 5 O e V N l m A z i y 0 N f K R q w U q c r C V F 8 Y p I q K c o o z i T w s y g s L C + n 2 0 9 c 0 P L U 1 V U D X n 7 c g o c 6 f O E Q + T 4 w C g W l K k I 8 8 r h i r L l 4 h S y g Y l L i w q I i m A 2 G 6 M V A p S s x m l 0 h L Y S F i f b F v j n r f 9 F J r W 6 v k o 9 E o D c + U U Y l n i u 5 0 9 + o 7 t w 6 2 F K G k A / B 8 K Z m I 0 h z m Q w J 8 f d U R Q C p I L I / H Q w / 6 E j Q U L F B 3 b H E y G W Q j V X 4 e 0 d n m g N Q d A l R k h F t 9 f o o k v T Q z e k / f u T X A 0 2 1 U 0 u Y P a O x f n j 3 M K t w M q y d x L l O I R l j 3 5 z w 6 A Y g D M o E + I B P y 2 2 S y k K 0 + Z q N E l 1 + W U D A Y o k Q i I Q H 1 6 X P H K T y T o K K a 4 1 y 3 s I Z m b 5 f N F t x Z y j Z d K M j 3 0 e e n 9 l E s O k v B 6 W m K 8 L x o d m Z G d R D + Q S d A H l I K Z e E 5 1 z a R F k F m 3 S D 7 d K y K n v T q O u V w o G 6 O X M k Y 1 3 m U P K W H K S + P S Z W l b T Z b 0 A b h z Y v i g n z 6 4 G A L z c 0 q y V T A c y O o L p B Y I B E k E k I B T 6 b z 8 v J o c M p D P / S w H r O N R W G I Y z A 1 6 6 L + U D l d f O b n A S p J k V i S K g p j F J p N 0 F w k S h U 1 + 8 n l 9 u m 7 N y 9 c f 7 l 2 Z 9 M O x T 4 e F S + c 6 K S Z U I g b E + b v K S o q L p Z r I F e c 5 0 u z s 7 N C r q S 3 i H 5 4 k S f q 3 j Z W h s y 5 l V t G a z V k 4 x o C B q 1 C v 4 f m J u / L P Z s V T K i 7 m 7 I P l R Q W 0 P u H 2 y g U C A h 5 I q x 6 5 O f n i 6 c D p B G k E 2 L g m + d 5 F I 2 n d 4 p t L I z 8 v C T P n d L r K 5 N U s P 7 F E y 7 6 8 U W M 9 j b 6 q T j f R W 8 m / D Q c 9 J I r 3 E X J h D E K b S 5 s y j k U 9 P V z B 1 p k D Q l u Q v F E n P w + n z Q 6 z O H S + B w w k n z 5 1 L 9 N p h U i k 0 y A X f 1 7 v z 0 i s c e d p P c 7 v Z Q I D 1 N B X o L 2 7 Z i l T z t m q K 6 y a l 6 b b Z a w 6 e Z Q 4 M q H P G e C K x E k E 0 j l 9 / n J z S o H J s g G 4 y E m 0 x N f W k f Y x t p g 5 l U F P q t O k a + p q a a g X t + D A W h f U w G 1 7 O z Q d 2 w u b C p C Y Z D 4 x e k D I o G w z o T G A 5 H Q v G h M D 8 + V g J G A m x 6 N l E l 6 G + u P / o n 0 b o W 6 d 7 n c M l 9 F m y D f U M y q d + n m I x X P H z f P z 8 f H 9 l F k T j U a 1 p U A L N S i A Q P T 0 0 I y 5 O / 2 p X u J b 2 P l g C a w E J 4 O e V n N T p f 8 z 5 9 1 S W y k V H 6 + n + o K p i i e 1 2 Z r w d z / 2 T Q S 6 r 1 D H e T z K K d M k A b k Q e P N R u A J T f Q u U k F + v 5 / i y W 0 y r Q e 4 a o V U 3 k V 6 E O p / Z m a G Q q G Q G I W w L I E y Q 6 r W u i J 6 r y 1 C S f 8 e / R e 5 j 0 1 h l G i u q x Y r E o i E A J W P F T w x O P z w q p i + e e 6 n F + + U r 9 5 Y G H + 0 j f U A S I X B q t A 2 Z 4 I r U m t V X E z n I N P Y 6 L g s S x w 4 s E / f o Y h m g t / H 1 6 p G K O E p z d q 2 u R Y 2 h Y T a 1 1 I j R M K o h w a e n n H R 5 Z 5 8 a T C D j t q Y x K / H t i X U e i M c Q W 9 S O L Z z h q q 9 I z Q y 8 o 7 n T H M 0 y y o 4 N I P C w n S / S M R G N a 8 o L 6 E z b e p 6 r k O t w e V w + P z k A b H e o X H + + j h P p N G 1 V 3 m c 5 4 s 2 1 B Q r / z 2 4 F V U U Z V z c x r r A 6 y E q K X B T Z W U l 1 d b W y L a O 8 v I y C o f D + g 4 F + 0 B n S D U x P k l H W + u y t n E u B Z Z Q 2 Y p z I 7 T V l l I w M C H m c Z A J Q G P Z G w x A H j a K S M z F c y i i i d C m m T o 6 C u U F 1 k B 1 8 + Z t u n n j F r 1 5 0 0 u 9 b / r o 9 e v 0 r R z 2 d k J U u 6 N a t t G U F F V x S f b 2 z o W Q s 3 M o t 8 d N v m R M v B 9 A J t N A p p E M T H 4 O X t E v l C / Z Y h a q b a w e 4 7 a B q r i 4 m E 6 d P k n H j x + j j s 4 9 1 N L S R A 8 f P d Z X F a z 2 w o C n t n 3 s r u X G s b V z r o W c H a o v H O 0 g D + s Y 3 3 W r O V E m k Q B 7 2 Y + v s Y i r 1 B J T j D r Y x v r h a K O 1 c L 5 r V x u F Z 2 Y k b d y S W l u a 6 c 6 d e 6 J R Z A J t B e N F K B C i I 8 0 V u j T 3 k J O E w v Z 1 b B L 0 + f w U m r O I Y 2 I 0 X z a C A T F b W 2 a / Y x u r R U m + p f L F e W 7 0 9 P E z n V O A 1 C o q K q T J y S l Z 5 A V S b c a k Q y g t K 5 X 2 q y 7 x S 3 m u I S c X d h s r f G L V u / I y u 6 p n J 8 q 2 F P p 5 A C E E 6 W / w h u d M B w / t 1 z k L M F h U V l Y I e S Y m J q T M T i o 3 9 8 j J y W m q L / W n 2 j u X f n J O Q p 3 e 1 0 p + f z 6 N B n k 0 8 J W k E c k A Z c X + J B 3 e G a M P d k f E 8 / m 9 9 g i 1 V M 5 X N b a x P k j G o 7 J N B p s 0 M d i 1 t 7 e l p J A d 1 d V V Y l L 3 + X x U W l p K Y 2 N j + o o C S F V V V U H Y U 9 V W n X u m d N e X N x / M 7 5 E O B a T N + / u b K M E 6 + M X u Q q n 0 T O m k k K Q i X 5 K C c + n y 6 f O 9 c 1 z m p r v 9 3 p T H N C x T k z P b V r + 1 I h 6 L U t X c X S o r K R Q i Y V e 0 m 8 l x 4 u R x f Y e F n p 6 X P M d q F / K g 7 Y a G h q m + v k 7 y M d b J 4 / E Y j Y 9 P U H 5 B P j 0 d y q 3 T k 3 K K U G c P 7 i V v I k T h i J u + f 6 E 8 H z L J N J 9 c F k r z k 3 S 2 T W 0 t C D O h r r 3 0 y V l y + B s 0 o t e 7 v V N 3 L c C G z c 8 P x B d 1 R w K w 9 g T X s I K C g h S p B t 8 O U c P O e k l D w k H S v X s 3 x v O u I u o a n S / p n A r + 6 h i p n R + 8 X j / 5 k m G a C Y f n b V G v L 4 3 T h T 0 h 2 X + z G O B F g Y V f c U l 6 o c i 0 u z Z G x 2 r e 0 s f t Q V E N o S p u Y 3 W A N 3 / P 6 N K e K D C P v 3 j x U t I g E E g F M k E q I Q 3 P d A T s u I Y f o A e L i F n 6 h B N D z n h K V F Q r M y w 2 D K I R E I D G v H 4 6 2 B C l r n f + N A t e N s B F B q S y 4 / W o h 7 q f d 4 v 1 C T j Z E q U L H W o 3 6 Y 6 S O B 3 Z G a U 8 2 2 R 7 G 4 t j Z H p 5 6 j P M 6 r A E 2 l F a W i K S i T k l x A o E Q 2 I Z r M 2 L Z O 0 T T g w 5 s 7 D b X B y W d Y r h K U u C g F S t D c U S 9 0 0 s 3 u v 9 3 i Q T w / r b q q K E z L N A Q l 9 x t U g t h G + 7 f P R N l z L Z D g c 8 d H 8 A 2 + M l u 4 1 l Y C b L b t 5 s w A m z r 1 6 + k r Q Z H N G + k x O T 4 l Q L Q m F T I m K 5 n t E f n B p y Y j b u K + u U L d T 4 z B M h V c E I u 2 t w y E q Y 3 o w v / T V A J p x x Y D A W c l M I T p 3 c Y B P + g 7 p 0 G 9 n g W 6 G E n p q x 6 n l x z L + v u q Z a S M S / P C e L S 7 q 4 u J D q b G 5 N T k Z O E K q 1 0 i 1 W o 3 c j I z Q d U 6 b U n W V R a q + O 8 2 R 2 m L p H l j 6 e C t a 9 j D 1 v a 8 J S E + / N h M g K J f R 0 W O 1 H m 5 t T B q C F 0 N 7 e K t I I M F I K B I L 0 e v T o C e 1 s b J B 1 K c y n 5 s K 5 Y e 1 z f X X r 0 T p 2 s / W H x 1 d G h + u U V I J 1 i P J K 5 M y C / t e v q K v n F R 0 6 d Z 7 u 9 v 8 8 5 7 1 5 M G r a a g v j q 6 M r b 4 M w 1 / M n a m / b S S U l x W K A a G z c q a / M x / P n X d T Z q b b C g 0 w A 2 h r u S T M z s 5 K O R i M y t x o J J y m s n 3 7 i V G C p g L + I c 0 P S 3 0 j e P K + Q C W f q F e R x R Y e C N D E d l M X D B 2 9 / v s M T 7 W Q C M C / b S u D m W J a B 5 u y H F 2 R D Y X N z k y z k v n 0 7 K M Q w E g t S S Q Z H R m 1 t b U o 6 m d g A i 7 6 q H + A / s + R K Y G 5 l 9 Q 0 n B s c r L t F o k l z e Q p m w A n j o m c / v 5 7 y H R s Y C L D W S t L M 8 Q a d a o l k 0 8 p 8 W k S 1 2 / B i 6 + 1 I G G h h 6 a s q s b o X d A H D J G W Z 1 / f a t O / T H / / c n u n b 1 R 3 r w 4 B F 9 8 8 1 l G h w c k o 2 I 2 Y A 2 F z J x Q A y 1 3 + l w f X 3 b u S p f f u U + m p p O U D I R o / N 7 Z u h K T x 5 1 1 E Y p N P a G m p o a 6 d 6 9 h 3 T 0 6 C G 5 d 3 o 6 Q A 8 f v 6 D p k p P k 8 f w 8 u 3 L R 1 h h U i / x J C m V 4 Z W x l N F f E a W + d 2 k E N l Q / o 7 x + Q z Y Y g G E 6 R B U E g k Y y k Q p k d W N y d m p q W + 6 H u I Y B Q 0 V i c R q L O P d K Z C f X Y s Y R K F u 7 n 0 S s i + j Q q H 6 G l Z J I 6 d u a L x z L W L d A w W P y D O j E S q a L e i W 1 v h 4 3 G 7 E y Q i s Z / 4 H Y J U 9 u u V t q 3 t 1 M I A 5 e j 3 b t 3 6 b u y 4 8 a P t 2 S H b y Q S l T n Y E R 4 w h U w g F Z c F A k G a 8 j j 3 C D j H q n w u j 4 + J p E g E K W D 0 6 5 e D 6 g k P b 1 6 / o e v X b 3 I D 3 B S d H B 7 M b 6 e 2 y e Q E J O I x E d + d + z q o v L R U 1 D 0 1 8 I X F + r c Q x s c m q K m 5 k T 4 5 / x E d O 3 4 0 z Q 8 Q a i O A t v a Q c 0 3 o j j V K + M p 2 p y S T 0 t 4 V q d x F d f T H 2 3 N U 2 3 a E q K C W D h w 8 w B P f a i F d p h f E U q g u i p M 3 m T t + Y r k C X 3 4 R t 5 i X x k f H x b P 8 w d 2 H 9 M M P V + U U 3 6 d P 1 B 4 p k M s O S K E 7 t + 9 S X d 0 O y c N c D n U Q b f 7 6 V a / u F / z C K H e F 0 / q K k 4 J j J R Q 8 / 0 2 F Z i K / q I w e D L A 0 K q x L u Q z 1 6 W f g L h d N F V F 6 c f O / a X I 6 T P W l C S o v d O 6 o l 2 u A k 3 G i 4 V P a u f c 9 H v D 2 0 4 6 6 W j r J 0 u Y o S x 0 Q 7 K 9 / / p J u 3 L j J q p 1 a g w I g u T 7 4 + H 3 u l G p u B Y 2 j r 6 + f 8 2 6 q r K 6 U Q 1 w E b k / W P u E U u C 7 e e e L I T x f 1 7 Z V J K E h l J q 7 2 i k Q a I w I 8 y E + 3 R u i r p 8 v b 4 Q n v i o a y O D 2 8 d 5 s i 5 c f p Z J s 7 Z f 7 G 6 9 f P / P z e k k 0 D t n n g / D m f F 0 e R e e S J 8 U L q b S y K 4 q k b d O j A L v E a t x s i E L A d / s y Z U 3 L f 3 b v 3 x d S O f V K 4 B w H b Q K 5 c u U 7 H j h 3 l 9 A y 9 e N H D 8 7 N Z a m h u o 7 n 8 c v k 7 p 8 G R E s r D k s d I J w T A x I B V R j T V f V E e m h y c H p e y h Q A v Y H i T w 7 t i J j g p i 4 l x 8 q e t J f E t 9 M m e i O y b w r 2 I 4 S B 7 v C l K p 1 q j d L A h R l G e H u C 9 t s m 0 P I z 6 D l B h U b G Q C U A M A w V O k S 0 r L 1 M W v F h M V D y Q S T x i 3 o 3 S D J M p F J q h i n I 8 Y T 4 m W z 3 2 7 u 2 k / U y 6 4 a E h y k 9 Y 0 s 1 J c O Q c i r z Y s Z l d 3 c v E q f f e F 4 / k 6 s p S X Z I d 9 S y V D J 4 8 f k r + w h K a z b L q D p 8 / + Q w M x E c a Y 1 R d r P w I g Q N M q s + Y a B / s c v 6 a i B O Q X 1 A k z s Z w + 5 q e n q Y v / / a 1 L P Q C e 3 l Q + / q r b + g i h 6 7 n P U I u b B p F v Y N U d 2 7 d o X 3 7 9 9 L Y 2 H i q T Y D m x h 3 k i T l z H u V I C c X 1 u i w y A V j g r a q q p C Z f v x g x A O x p w h 4 p f E G D X S y Z A O j t M L O H Z m N p h 4 q s F F v N S 2 I t Q F N + 3 + 2 l B w 8 e 0 / k L H 8 s 8 y g B t 9 + l n 5 + k 3 v / 0 H u n 3 r L j 1 6 + F j M 4 8 1 N j V T B 1 z C w Y k 3 K X t t Y 2 z J W P 6 e B C Y U P 5 q x g z O U A Y j u 5 M o m G X b d 3 + v L o Z f d z a q 8 h 2 Z G 7 q z o m L j I X 9 o R p N h y k j 1 m N w 1 P 3 A B w J j F H P R 3 N 0 r s 0 6 9 m q l 8 H D N Q S 1 M 9 n + l S 7 a x G G Z j b u r Y d 1 B U v b 1 7 O 2 Q d E Y D r k V E B T 5 8 5 S Y e P H K S J i S k h 4 Y 4 d t f S O y S d t b m t 2 q I 1 T U / j 7 7 P 1 n I 4 M j J Z S d T M s B 9 u A U l 9 f K + e U w H G A P U + + E R / T x 5 p L J e d I E h 4 M Y L + e 1 4 P b t u / S L z z 8 S Y m 0 l 7 / P V A C T A E 1 A A H P / 2 1 d 8 u 0 p s 3 f a w K J m S n L g D J I 4 e 3 l J V w L i k L 9 2 g n m N s z Y b c Q O g m O 2 2 D o q 9 i 7 7 P m T A d x + B m k 3 3 X i D M 8 3 x R v x W H H 1 z 8 T L t b 5 2 / q o 5 r o X B I X F v g s o T / t x r g 7 w 1 O t W z P q Z b C u 4 B H 1 g p H R 0 f p o / M f 0 M D A g B z T D B O 5 H V F Y f h h Y E s l j g h n 3 J Q s u l m h e m n j 1 K N V v n B J g s M p W v m E B g x H I t B J C A Y V F J T Q 1 4 6 Z v u 5 W f F y a 3 9 Q c + k x E v E y U l J W I 1 G h s f p x f d L + j q l e v i 7 h L k u d V 0 I K D v W h y 3 7 9 y j C z w f M C j J T 9 I n H a w C R l d P 0 M 0 O 7 K v C m R 4 3 7 j y l H a z q H T 5 8 i M r K S u c R J s l S S / U B n i P D x 0 8 m w + g P p k + o d S o X 3 5 D Z f z Y 6 O E 5 R g V 3 B k G m l p L I D K s Z E p E j n 0 o F r a N D 2 t l Y 6 f u I Y 1 T f U 0 c P 7 j + h V z y u 6 9 s N 1 f d f C w F F X 8 E / L B H a 2 e k e u 0 K H 6 G T r W p M 4 D R O g o G 6 Z Y e F T f t Q 1 f y + c 0 G X b L 2 l R l d R V N T O p F W w 1 s g 1 d I i r V P r U 2 h P 6 h S L A K j b 6 y H 2 r 7 e Y E J l 4 9 n G B Q z u C x F p L Q R b D N h X d e b c a e r k y X J 5 x d I L h r A s j o 2 P 0 f 1 7 D 9 I a V S b K I G s p H p 9 j f d a u h 7 f o X H u c L n T y X M t 2 r s V W B t R z n I 3 Y 0 t x E b 1 6 9 S U l 1 t H F N b Y 3 E a O 7 y i g p 6 2 O + i J 4 P w h O E y / u l 5 8 Y p f i R q b s H E x e z / a q O A 4 C Z V J m r W Q q K 7 E W n t a D J B Y A E 5 V a t / V J u m F A N M 8 V E X 4 l + H 8 g / 7 + t 1 I e 4 / L v v 7 t C J 0 4 e k 3 0 8 B v j 8 s G L h W U k w X F z o i N C x x j m a C Q f 1 H V s X 3 / f 4 Z E 7 V 2 N w o a 1 A A 1 M L y y m p R w f G c 3 m f B F v J X t M i D x u V A U u 4 O j U 0 N a g F 1 D X 3 j p 4 K j j B L e g g r p g C a s F S s 9 Q w K j p F 2 f x 2 e 4 e v U 6 9 f X 3 U 4 D n V u N M p K + + / I Y C 0 w E 6 f f q E n H b 6 7 G m X d I Z w K E y H j h y k 8 r J 0 I 4 j 5 L v b N c a 7 I G L X n v 9 a 5 r Q s 0 M e Z U Q 2 O z d K O 3 Q E 6 d u v T c x 0 T L p + 9 f l d C l L p 7 / S j + A X C J 6 O O C V F P z 7 z N / T L M 9 5 s / S l j Q q O M k o s p u 6 t B p O z K x P A R U V F 9 P T p c 5 3 j z 8 S j Y A W r H M H p o B w a c u / u A 7 r w 6 c f U 2 s q j p t / P 6 t 6 s P C g M E q m g I J + 6 n r 2 g i Z T + r w C C N r c 0 0 d S 0 s g h i 5 L 1 7 5 z 5 1 7 G 6 W / D a I + q M t F I p Y b e V 2 e 8 m l n W D l R z i F U 6 u S 1 D / h o V B U n R q M A W 4 m o n Z q O y X w t 8 h W v D E B F b e e h M I h l S v B l G x a L N Y 5 B Z y L A D X v 3 L k z T K Z P 0 q y G c K X B g Y 0 g H h Y m P / j w H N 2 / / 1 C u Y V s 3 / g 6 k G x u f p G I m K z A 4 N E w n T h w V Q m p N c 8 v D z e R B s C A d Q c e I Q C o V X o + 6 q X s c 2 0 P U W l S e w + z U K x v C f 2 J 4 C 2 s l X g 9 S 4 W w D e K K v B L A e D e g 5 k Q H W Q g Y H h 6 n 7 R Y 8 u s Q A S T d r W o m C K h / f 0 5 O Q k q 4 Y X 6 e u v L t G l S 5 c p m Y j T 0 O A Q v e x 5 y X O v N + J 7 C B x v 2 l 6 7 y g S 6 J a A I p G N d B k g a L 1 w O 0 3 l 4 d A A l j o G j 5 l B 2 k / l a g P e A Z / h y g H k T r H N P n z 2 n m z d u y 7 O J g k H r D D i 8 V 4 I J U Z C f T 5 P 6 e U Y G 8 E N 7 z i q i n H / A 0 u r Z s y 6 6 d f M 2 v W L S 4 M y 5 8 x c + o k 9 Z R d z Z U E d l F e V U w R 3 g v f f O p K R c V R E + 5 + r d n z Y T p N 0 5 q B 8 p 0 X 1 B l 9 s D / + D h A p i 7 y r 1 Z + t J G B d e 3 D 5 6 r z + 8 E F H Z w Z 1 b P F 7 J X o I E 9 v R i i Y 0 / o 4 6 N 1 s s 6 x F O D 5 j H n P z p 0 N c j / y O L a s u q q K A s E g X b 9 2 g / b v 3 0 t t b a 0 U m J 6 i k t J 0 o 8 P Q 0 J D M u 7 C 6 f / D g / t R j W T I x 9 P Y t 7 a i v z 3 o N k / G t D i z m A h j g k h y w Z Q O P L U K M p 3 q o O M o x 9 4 9 o h B q 9 L 6 X O M X c t 3 3 V Y / t Y J Y A 3 U O T / L 5 M u i w D a N X 5 5 r p Y c P H 4 m L C 0 i x G C A t + n r 7 y Z + P o 8 m 8 V F t b Q 6 P v x u j b S 9 + J e v b Z Z + f F C A E U F c H H L B 1 1 d X V 0 i I l 0 4 c I n 1 N C Q n T B A X U O D d J Z M T E + l G z G 2 L L j t Z c D U c V p Q h W l l 2 N K B s 8 8 5 a e t B G / / j q D k U K m e t 6 K i J y 7 r P m T O n Z d L 6 l u d E A y w d z N a O T O A c g / c / P E f 5 f i U l c G z V 4 c M H 6 Y t f f E Y n T h z T x g N F E j x 5 3 g 4 8 W g c 7 S W M 8 U m K x d y n g C X 9 2 9 A 8 H K U i V a X u 1 t j S E N 9 q P U z q D i g 2 p 5 E f n 9 + 7 r F D U 8 2 y C 1 k X C W c + w i W O 7 + I 7 / e p o E d o L D Q 7 e n Y T f f v P q C r V 3 / M S q r m 5 k a W E t M L S p Z M q E 1 w q h H D o S A T s E B W 9 p e D o p I S U V + A p w M x m o y X U 2 j O T X W l C f E D P N G s 5 l N i u N r C S B F I k 4 d f U r E J S S w y c p t J u b 0 P b X B w l I R a D M s 5 0 a i 1 a r 4 h A u t A u 3 f v p i N H D t K T J 0 / n j W g d n Z 3 0 8 M E j n V s c q o E T N D s z I / p 9 V Y 2 y S u J B Y 5 j 3 L Q W Q 1 s W f B 6 f f N l V 5 x H C y p z Z G N c U J 8 Q P E 4 3 N O N k d k y z 2 2 3 m + V h 7 9 J v Z p Y 5 l K K Q K p c l a X y H F w u F R c U F q i O 7 C A 4 a h 1 q M d g f R b M Q 4 G 2 e C X T 0 3 t 4 + 2 Q P V w n O h 1 6 / f 6 C s K E E x x P M p w G Q A h 8 v J 8 I q X c 8 I K 2 A f O v Q G B 6 Q d X S A A T H U d L F + f O / z / 6 6 K F U U J a m y K C F b 7 8 + 2 4 k H b M W q q S N 9 9 v H m g p I 1 J p 4 j D g x 4 k k J 1 E 6 p o K 2 I C K f V R w o s 0 T N y 9 U j j O C w 5 b F 1 g Z s L r Q D n f v W L Z 4 j f X B O 8 i X F x X K e x P N n X X T x 4 r d y k i m M F q 3 t y u i w H I B U Z e X Z H W h L S t R W B K x n Z X s C + n J g r 4 N k M k 6 d O + K 0 r y 4 m T 7 H f j E j R C a R J x Z L S B E L M e R 2 r k J B 9 b F g 0 T 3 A + s w 9 t Z M g Z l W 8 5 G L C d z Q e D x J / / 9 D f a t 5 8 n r w X 5 U g Y y f P D h + z L n w T l x W B e 6 d P E y + b P s m V o t R K 3 j A O P G W o C O Y 1 d P s V B 9 j k m F 7 S D w W m 8 o Z 6 n l 4 B N U V w K L N B a B D J n S y m x S C 5 2 3 t b V Z 3 e M g O M o o A b X G d M j V 4 n X f k F T y t a v X 6 Y t f f k Z l r O r Z g Q P r s c K O j W 1 Q F z r 2 7 l l z 5 8 9 E a A l T / X K A Z y L B E 8 O O E j 2 n g t f 6 A V Y P z + 4 c p Q 9 b J l L 7 r o 4 2 R n N z K 7 4 m C T a F C m G y q X t Q A 2 3 x 2 5 G A O n 7 M w 3 V k 6 0 M b H Z x V / V H r N J z V o L Y 4 Q r M h n s d w p e M g l s U k D 9 R B n G X w 4 N 4 j J t T 6 L a x C 3 a u o r N S 5 1 S N s 8 9 b I B n x + L D L b z 1 u o L U m I 9 G q u z C E z v I 0 w q T T i F L l w T a d T 9 y Y p 4 i k X b w l f 0 e L H x / 3 c c N T C L i i + F u n U X s 0 V z R 0 a c 6 O y j G 0 U d m C H 6 M W v v 6 W h o R H 6 + J P 3 y e 9 f P w k V 1 F 7 l a w G 2 g p Q v Q k p 0 L L P n C q b 4 T O z d E a P O 2 u W 5 X m 0 k + G s o g i C R N m c y p E r I H A l p G C H s 1 w O h G a r d U U P e / K J U / 3 H C j 6 M k l J v U Q 4 p X i 9 f j e X T 4 y C E 5 f g r H h W U D / P R e d P c w k T 6 k M 2 d O i q c D H p u y X q i s r t a p l U M 6 D k s e M Q c v A n s d Y X E 5 G 1 q q 4 t T i 7 0 0 d 3 L m G a v 3 J Y B E E 5 M m I N Y H 4 x R b j O k i W k A f t 4 c R g j 2 9 9 1 f W 1 w l l z q K S a e 9 j n U S s h m H m 6 H j b 5 L f R 3 Q 0 P D 4 g n h 9 6 + f I c I A e 5 1 W 8 n k z M T o y I q b 3 p V b / I Y U N i l l C T c s Z d e k A 0 T r b d 9 D 5 D n W 0 N E 6 7 d R L U X C i d P O l p l U d d p G I h E 0 i V 5 E G w S L z 2 v Q V 6 L c o h w Y F T 2 N V b b c Z C b u p + t / D T C 9 E w O G w e h 6 z 8 F M h 2 w t J K U L N j B x O k l G J 6 O / h C w P e w I 5 O A Z i 0 s b Z e w j p 0 A I Y 6 o e I Z A G e k U 2 R A r I i E W t U + I B Q s n H m Y d 5 Q H M W V 2 Y P 0 0 G x T Y 6 c E U u N M o v Z / R / N e q R c w m y A Y u 8 c 5 H Z 1 C N w 1 h M w D t j P k l g N Q A T 4 I a I z L Y Z o L J 1 w / g w r J T w 5 4 I M I y Q V S 4 f 1 m w i H a 5 X u h 7 9 g 4 K K L o Y I i j C a P K V a w k k s n r d A a x 4 N C s C G X r P x s c n L e w y 5 U l a S b P a t W n 6 6 + y S w o c p N L Q 0 E C B a V a r O L 2 U a r U S 4 E B G d O T V A n 8 L M p l 0 J k A 2 I 7 m K i 9 M N E S A P r q E j A v D i Q K i u q R G p i X o s K C y i 1 v Y m u b 6 h w G d M k Q g x S A O j g 6 X e z S O X k A g P 3 + M Y 9 3 A o 9 c e o s K B w X v / Z 6 O A s 5 1 g O 4 N D q l T 4 F H E 8 V j u A N 0 w G P 8 g f 3 H 1 J J a a n q d G 6 3 N N j c M r w a I N 2 M K r U Q 4 F K 0 W u C z G I C c + F w G M M W D b N 6 M d S k D O O n i G o g z O T H O o 6 S K w 3 o 9 D H M u S K v + x Z / 4 8 5 N D C C K q n o k N a R R J r J j L d W w I B O K p t B o I 8 7 0 x n j N z e 9 j 6 j h O C 4 + Z Q x d 5 + J a V W K Z 0 M 7 v f P 7 3 x 4 z 5 O n T t C w 7 e k P K I P K N D G + e G + D B E C n H h 9 d + M B K k G I 5 T r L Z Y P c N L O L J N j o T J B W e F A I J t B D Q u T C X M C i v q J T v g z i / s F A + D 4 h e W l Z G w c j a V N K 1 Q J H H I o p R 5 9 I k k 8 R a C k n M U g l p I Z N K G / M 5 7 q n b v V + / u 3 P g v D k U B 1 Q u 5 N R a S B W Y c 3 H l 6 4 w N 8 J K 4 e / s u v R 0 c l P / z 9 O k z i b E Y i 1 N 0 7 A u l K M f I j k 6 Z D 2 s S A 2 Z x z E s g 1 W D V U 3 u i Y O h Q R A L p V m r 0 C D N p P D Y J B a A M / 9 P n W + T B b v L 5 J n l O q A g I S R Q K B E S S G l 9 C z O s g 4 f C Z B y d W 9 r n W D 5 p M q a B I I U H I Y 8 h k y K V J Z d K i 7 l n S S u 3 k T V B h W R W / 9 / z + s 5 H B c R J K I J W t 2 A B S 2 Y m 1 E p J 1 j 8 w f k f H 3 n 3 / x q X g q f / f d F e 6 Q l o d 4 J Z M K q t P g 2 w F 6 9 v w 5 X b / 2 I 8 + 7 E v O M D X A J g h Q o Z A l Q w A G u S + Y e v L / H 4 x a p M T U 5 Q W / 7 + 2 h k a I h m Z s L y f 9 A p 7 M D 3 x H t g W 4 c d R i o l M j z h 8 T 5 4 v 7 G x M e o Z j l N P Y A f N R J X q C k m E h V 6 Q G t I S N Y V y v N e t / m J K u N Z / q W A p 4 P 9 L U 0 q s g r g Y C T m Q V 6 S x g r 6 m 8 y l i i Y R C / a k 6 j H P s N A s f 4 L r y 5 G W W c X x j M R 6 u o b h w X U k r E w z s 6 a W A N Z i F O D j L I / f o u 1 F W h 0 o V K b g j D o + M y D n n J 0 + f k D y e D n H w 0 A H 9 F x b w G V Z C b j u k Q 8 g o G 5 N O s Z B K h z U p b B e x + x q K J H R 7 6 e F A n l i U D j V E m T z 6 o g 1 z s z M s m S K i 6 n X x w I L n A m 8 E r P Z T x M B 3 T 6 l v h i A 8 a M Q T M U o i x t k R c p 6 E O U c i x t 8 5 y n F E 1 O 5 Y d I 6 a y s L k c 0 e p 4 / R 5 / V + c A 8 c Z J R D y 8 2 Z k N F o P P H q 7 s M o E I w U O s h w c e E v / 5 3 / / X / r b X 7 + W j o 6 n 7 F V y O Q 6 + x D a B b M C h K 0 a y r R S Q H p B y 2 O 2 7 m G U Q 1 j y Q T b b Z c 8 c K s j o H S Q g H W D x 8 + 0 h j d j J B J W K R J 2 S 6 1 h X d E D K l S M S B X 4 R A a c R K S R + W W F K m 5 k l C N n 3 N I p + S S u p 6 g g q 8 M S q t q Z / X b 5 w Q u D m y l G 5 w K P S F U p V v s F q 1 b 3 A 6 S 4 + z A W t S n X s 7 6 d e / + Q e O 9 1 D j z p 0 p L 2 + o T p h / w K s 5 E / V 8 H 6 4 v Z c x Y C o t Z B j E / w n c F 8 X B m B b w i s H M 5 x N M 8 P D 5 n I U B 9 x P 3 P h r 0 U i K + f W 9 V K o V Q 6 T R j E Q i C V N r E i E w K T x X 6 f K e f Y I l O c J R O k V 4 J q m n f z f 0 j v N 0 4 I i / e 2 j Q Q m o l y R X K O r V q 0 M v u 1 e 2 p w N N 5 a 3 A 4 N p F j P g 6 P E j d O X K N V a / g t K w m Z B D 6 9 c A n y Z v N n g 8 9 r m b + j + Q T k V L T I V Q X 3 P x P O o d 3 2 A 1 D z 9 C C u Q 1 O U A Y T R x F J F O u 0 k o i a R K h n M l j L 2 s s j 4 h m 4 P E u Y q z Z Q D i W U B 7 u P z I R 5 U r l l C p c J S I s Y E a C S 3 9 V n K l n r H U G e K z / e + f O y j b 6 i 1 9 f o p c v X 6 W p e t m 8 v V c C d L C F s F q V E s D j Y j Y C I I q 0 l 5 B I B 0 0 G I Y 8 O h j B G A i m V z 4 o l 8 P c 3 a h 7 q I s l z q j x X j N x 5 S w + Q G w U Z Y J 0 Y q k o C X O G K U K b P 2 S X V S q X W 0 N T S h M K 2 j m z u Q z B d H z i w T 6 y D R c V F d P n S 9 z Q 6 N i b S D O b t t Q A q J S x 3 c I y d 4 v 8 v n Y d J D X M 8 F n h X i u C c i 7 5 7 4 e N B Z G X 1 s x 4 w Z E L E r x a p Q B S O D Y F S Q R N H x a q t V c x B i K Q D y M Q x F n P h 7 d J + 9 E y q n z g t O F Z C u d 0 s m V D R q E y u 6 L V i a N r D D a o z C 6 C q q k o 6 + G L A k w 8 / P v + h r P P c u X 2 P Z m b X 5 s V d W F B A B Q W F V M 3 v i 7 M q Y L A I h 0 N i S o d Z f q W 4 + t I n n i I / N 1 L S S I I i S Y o 4 k g c p L O m T I p G J + R 4 p R w w 1 T 0 i k Y k O q E m + Y x s Y m K G 8 d 9 6 + t N 5 h Q q H x n h n y f r m g W 9 Y j X C j y L i N t q Q W B r R + a 2 8 2 y A M Q L G i z N n T 8 k j b t A R V g P 8 X e b p S Y D 9 u G e 7 2 g e v C S d i P p F U 2 i K O K V P t a Z E I B D N t r M s N g a R M x 5 y H C d 3 v m q W a + g b + j 9 n 7 i x O C Y y U U U F U 6 x 5 W s R y o d r 0 X t g 4 S 6 y K T i d p w H X J s K 4 / 8 s n x y 4 F 2 d U r P Z Z r 0 t t 0 8 D 7 Q x X E v A 5 q I M z 4 U A u X 4 3 v 4 c w G k g I I n Q U j D Q d p L k S h z n p R 2 T c i k p Z Y m j g q c T k k m t S b l J l b 3 X H m 0 5 8 T 7 8 n + d C k e u Q 6 U F X d H S E N I 4 W d i w Q n z 1 z C + + f v Z 3 w i K p q 2 w P f X l n + W e N Q z 1 r 2 F l P c z Z 3 p e U C a 0 r Z T O a Y l x m p h O + K p 3 Z g X o f D N A G o h W a 7 R j A Y W J f 6 W C 3 U / w a J V N o E i z C K R E I Q C Y o k S i L p N h X i 4 D 6 Q R 6 W F R D q P u k C c 7 4 m R z 6 U l e m Y f c V B w 3 P a N z F B T Y V U u G g C N Y c d K p Z T B c M B N X z 3 1 p + 2 d + u R Q M R V H V v a o z j K W U F e / v 0 b / / c e / 0 K V L 3 8 l T y 5 c C J B o c Y L M B 0 g e d C s S C a o k 1 q I W A h V 9 8 f x h G 8 G S Q n x P p Z F I E s s i k C K S k k S K Q V Z Z + j w y S m j S S R 1 s j 5 r z y n l D q X g N r K / W 7 9 2 X t I 4 4 K 1 5 6 / 2 b g h b p l 4 N c C a q d s r o 5 P H g 2 0 K L F h t L g K q c V c P P J j t b F t E 5 l A z 0 S S 1 N d X p K 8 s H P s P g 4 C B L k z x 5 g s d i g A q X z Z p o B 9 T B h b Z r Z M P k + B g V l F b T 5 e 6 f 3 l 9 P k Y c H N o k t Q h m i W G q d I o Z R 5 + w S K c F k M d J H u R q p W L k b q U f W m B j u R r u r Q n T 8 s 9 / o T + B c O H o O Z e D L 4 8 a S S l e + X k Y v X y 9 M z 7 r o X p + b R k b e U W 9 P t y 5 d G S A p c N I S T q b F 8 W T j o + 9 E r Y O k M Y S H 5 z q s g 0 u R S T q s T i 8 H 8 H o v r 6 x K O + j z p 4 I i k 5 Z G E m v i G E k E s q T K d B r k E h K p v J F C q k w T T c p A M L S z 0 k q k r Z l 4 r m S M 8 v K X f t a X E 5 A T h N p Z i 2 E Q l a 4 q 2 o x y p q O u B 0 a C e V T X 0 E S n z p x k S T O k S 1 c G G A 3 e e / 8 s P X / W T R V V 1 e I q Z L c a Y n v F U o Y I A O T E / G y 5 M G d Z Q I 3 9 K W G I x C 8 6 b Q i i 2 i J F p h R R D F n 0 P Y h T E k o R K J 1 M I J G K V V D G m N q i C B 3 6 4 H P 9 K Z w N 5 x s l d C j w 6 8 b g Y C a w a A x u X Q 7 r g 5 5 A j a w L D b w d p C v d q 3 t f S J 9 A M N 2 h 1 s z z s N a E u R M k l x 1 Y x M V + J a w / Y R 0 M K i H m T 8 t B i P 8 X / i f 2 B w V Y 0 v 5 U S C e T V v e 0 1 Q 7 l Q o g U m a z Y k M c Q R 0 k x T R i O h U A m z w T C N a U C G p W Q C b W j f F 5 / c G p w X e / q X b 8 e + R P j + a s o z 5 0 w l / K K n 5 s L c y p 5 B L / e + 6 N u W x N w p H H / w F t 6 M 5 F P M 9 7 6 R Y / f 6 u s f o K e P n z E B o u T m e R 0 e J Y q t H n 2 9 f X T q 9 E l 9 V 3 Z A F Q y w C g g p t p a t 8 + j M I O z A l I c e v 1 1 c l V w V h E A 6 i B F C B 5 D G E E h i l I M c u I Z 4 P p k k r 4 l i E U f F q E N c U 1 s 1 e O 4 U w c A S o c r 8 G f r F P / 6 j / j D O R 0 6 o f A Y 4 3 N C o f f b G k M b V 9 6 w V 3 B / k Y d T u 4 G s q K 0 j Q a B B U n Q 8 8 6 D o Y C N J n n 1 + g X / 3 9 L + m X v / q C P v 3 s v J o j L c O Y A F U Q u 3 + 5 + 0 k H Q 2 d b D f D 9 4 / y Z n w y u P 5 k M e Y Q w m j w q 4 P N a p E k R B h 4 O a e U Z Z J J Y S S l s E E Q Z Y m l L E + P 7 Y N 0 N 1 z l d U + F c r 4 h s y C l C 7 W 7 1 q c b k C p f G s T c E x 9 x S K q w B 9 / r z 5 F G T L S 0 N t K 9 6 k q q L s 7 8 f N i f W N 9 T x X M c i H C R F X d 0 O 7 h D L c 2 q d m 5 v l + Y 9 f 1 D v M m e x 7 o 5 a z e D s 6 M i x W x a d D 3 r V + 7 X l I J 1 M 6 q Y Q s u C 6 x y X N s v 4 7 2 k W s 2 U u m B Q 9 o N a Y l 1 G 6 J N M U B K r K R U c V 6 E j n / y d / o T 5 Q Z y Z g 5 l Q m W p m x t A j W K q k U y s G g s j P n c H D q u D c U 2 q Z 2 J A n Q P w k L Y H 9 x + J N Q 2 q W o h j n G O N j p I J 7 K 7 F 2 R T o c I s B n x V k M v M r w J x b A S x l l A A Z o e p 2 D b v o 7 T p b 9 x S Z F E l S x N H r R x Z p u L 6 F M F Z Q k k t f Q 6 z b R E k b p E 2 s 7 j E G C N O W I p m 4 P T G H T D C h D h 9 s 5 Y r g + r G 1 v 9 O D 4 x d 2 M 0 N d r Z J S S U M q a R R N K i 6 T x l + i M y + G 6 V n V k d H R a 2 q r 6 X l X t 3 h C 7 D + w l 8 I s Q U C s / t 5 + O d M h E s l u s W t v b 6 N H j 5 / I l g / s o 8 q G Y G D x 5 / r C 0 x z n B 2 Y D O i L W 4 q q q a 6 h / c h 3 X n e x E Q j 2 a k F G m y M N B k 0 O I p N N o B 3 W P l U 9 d k x h E Q r t p E p k Y Z J I 2 5 b k U h 0 L v H L U f O p G 1 D z g 6 / N j d t 8 7 K w k + P 2 d k E d b 8 O p Q w U E t z q c E e J Y a R A 4 E 4 H L N Z x M 4 E 7 P 9 9 n G S I g b f B e 2 B c F Y K 2 q p L R E 1 E L s j S q v K J f t 8 p n A y U f o R K N j o z Q 1 O U X 7 9 u 3 V V 0 h 2 + W L y X V h Y L N t B F g I 8 K g p Y a s F / b 4 L f p 7 G l V d R D 8 3 0 u d f k o G l / + d 1 M A a X Q y A y m J Z I g l h g Y 7 y U x a S S t D N k m b m E N W M m H u i z Q H k E i C D I g 2 Q 4 S c G 4 E F 3 T n 6 7 W 8 + o b L K 1 T 9 4 Y a O Q U 3 M o g / x 8 N / m 8 a F Q 0 j L I O q c b T s W 7 Q V E d Y q A d l g f 1 O H H I y O D g s h g Y D e E G A T A A k E c z d D x 8 + p p m M O Q + 2 o G M f V U N 9 P Y 2 P T e h S d d 4 4 j i y r q d 2 R I h P W p 7 J t p Q e Z 8 D 3 g v x f z V d E P L w v p T p + P v m U i r Y 5 M j L S q Q E a R B n U m B L E H 1 J 2 t X B F D E U X y Q i K d Z q I o l U / V v c R a I i k y q X u U d M I 1 1 V Z G W q E d 4 6 x O Q z r V l B f k J J m A n J R Q B v c f c 0 e F l B L p Z J n S j Z R C j N H c S K v l S q q 2 q r g 8 n R 3 r U e V l p b J g u x i g g k 1 O T d H D B 4 / p 9 O k T 8 / Y x D Q 2 P 0 J 2 b d 1 i y F d G H H 3 2 o S 9 O B u V n m 1 h E 0 D A 5 Y y X Y c 2 m q R G l w g e U y s B x 0 r 2 P J M D q s M R N F 5 I Y 2 t T P J M K u S F S C q f S g t p N I n 0 X A l S C b G 4 F 7 F 0 i n O c 4 P g / / t e / y k f M R b h + f J G 7 h J q c j N C r v m B K 9 Q O h L L W P y W Q j l Y n 5 Z U l i l R c k 6 H Q r j 5 b c E f r 6 + q m l p V l f W R q 9 f X 3 0 5 n U f q 3 i d V F 2 N g x g t f H f 5 C p 0 5 e 3 L B Y 8 P w K F H j N N s 3 4 R H r 3 V q B z p 8 O R R S w y S K K K T P W P J W X a z Y 1 z 0 g l R T I V 2 0 k l a Z F I h k Q 6 z b G d T J B Y x v A A d U + p e U r d + + K L s 9 T Y u v z 6 d h r c s F b l 6 k 9 F u Z + 8 W J v S a p + M e K K X W 6 q F a k g 0 N m J L f e F e w F 8 / s 7 M p T M 5 Y c 6 + + 3 n 5 J L x f N T U 3 0 4 Y f v 0 c T E p E g t A 3 T I Q A B P L l 9 4 7 x T I N D 0 9 T c + H X O t A J o s k 8 w l i i J M e U m W a G P Z Y i K G v G f J I w N / h m g 5 m T c 2 Q C f l 0 M s U V m b g M s c y f t J m 8 v D i P m l p b b C 2 c e z 8 5 O Y e y 4 / B B 1 r W l s Z T 6 o C a 3 m m B o S D S s p E 1 j m 4 D O o z u Z 7 n C Z A K H w N 8 E V 7 p R F R 5 E D N D O 2 a M D n 7 s n j Z z x n S t 8 / h T k U 3 I / g k j R L Z f R m Y o 2 W O / k + O h Z i 4 T v a y Z B e D 6 k y q S t z X c d 2 w u j 6 E y l k 6 p J j u D 2 Z e k Z Z i k B S / z q t y Y T 2 U W R S J I K U w t w J i / b / 4 9 9 z x y N i I e Q 8 o Y C j h 2 q 5 k d F 4 U N N U I 5 r G F J J J Y + s O I I E 7 A D o K d w R D K u l 8 0 g s V k I Q x A k a I 4 i X m U J m Y n J q W Z x f h 4 d n 4 3 / D P w 3 N / d + 9 u p 8 a m n T Q b U V Z E / D + o e X A 9 w h k S c E M a n 1 n b m p J 8 H 5 X S Z O I c y u Q 7 I 2 9 J a T u Z 1 H V b 2 t S T 1 J u 5 3 1 6 H H H S d z l P z O F i D m S E T t w P I g / b Q J I J k U o N f l P 7 t d 7 l P J i D n F n a z B Y / X R f s 7 K 7 l h T K O h o R S Z F K l U Q 1 o E 4 7 Q e M d H g 0 s E w g k u H k 6 E d U y 2 R U P U N 9 Z x f G a q r K u n o 0 c N y i t K t W 3 d k n x X M 6 0 P D w / y / 4 0 J Q / B 9 4 n m c + 9 b D I Z 5 E 6 E + b z Z Q 2 6 w 6 c 6 v k i a D O J I B z d 5 T u u Q u k f X B R Z i p Q z 3 m / t M 2 l Z m F m x V 3 S J t 6 h T t Y O p a 1 b 1 p D 7 Q P v r e 0 k T Z C / P q f f s G D S t 6 8 d s 3 F 4 L r R M 7 B w C + Y Y n j w d p k A o R i 4 Y J V J r U z q G p S 8 V K 4 s f H F p N W t a s J F Y B H f t M y y y 9 G x m h n Y 0 7 9 X 9 Y H W A t H O g b o F O n T 8 h 7 Z w K m d E O s R 2 + 9 9 H Z q v p Q C a X Q q S 6 R I h Q y n + A W v O q 8 J J 1 e Y J J K y S e R U w D V J p 8 e G l M h L W u 5 l 0 s g 1 J h 6 I h G t C N N x j i A X p r I i m Y q 3 m p c g E y R S h + v o a + v t f 5 8 b W j O U g 5 z w l F g s H 9 u 2 Q z W h m J E z F J q 1 H S 8 t w Y Q + q z I S 5 K A 6 E I X r T 2 y f X V W e x g u p 0 W Q J / D j u m W P 0 b H h y i 0 2 d O Z i U T A D L B l e j l q C c L m d T 7 W m l w Q Z W h I 4 s k w e e R 2 J I 2 J q / K 9 P d C G c f m H t X 5 z T U T r H L 5 3 v q a q g P k u f 5 0 D C m f 7 l a k y / C 3 X O d y r 9 Q / k w l E s k k m W P V 8 P i / 9 A 5 P J 3 o a 5 H j b F H M q O M 6 d a y G X 0 d T Q g x 2 o C r B s b s T Q 0 G t 7 K q 4 6 l Y n S I 2 Q h G 2 I T s j 0 I n S y e V G r k R g r N E X z 7 x S Z l 0 9 N Q 9 C Z o O B O h v f / m S K l k F R N 4 Q Q c h g u w 8 h E C 2 g 7 h E 8 l g b 3 m X L 1 P 6 V M 3 5 d G B h 2 n z W F M W j 6 v C t L p b U E 6 P K 7 b 7 k k F 1 A m u 6 7 Q q M 9 e s v 5 M B K H W / r T 5 T a W X N U 3 m s M + m 2 0 G T K 8 7 r p d / / x z 7 r V N g 9 c N 1 9 u H p X P j i v X X v J 4 r t a j 7 K 5 J R u 0 z 6 1 K y V i X q H s p 4 j E G Z X g T O Y 2 F x t i U o D 2 H D 9 n a M Q R A y S t K o N L C Q 5 M G C b r 7 f R 4 W F R X T p m 8 u i 8 u G B b 3 b g 8 P 9 v u 9 K P N m P K 6 Y S K 5 V W / g I y S k h h 5 y a k 8 B 5 V V e c m Z t A 5 W 3 k 5 w n Q Z h d V 4 R 2 Z S Z v I p B J I v g h n w W 6 V K E 4 x A D o b R k U t I q Q h 6 u 5 z / 8 1 7 / j k 2 4 6 M K H e S h t s R n z / Q z f L Y E O i b I u + I I 4 V u 7 A q p 8 l k w o W 9 U e p 5 8 Z L 2 7 N n N e U U e Q 6 D M m F N y j 8 H o 6 J j 4 3 h k S Y a 7 0 + M k z 2 t u 5 R 5 9 m l K R v m E w + T 5 J m c N o r d 2 A D 7 s p 4 U e l U O T q 7 i V W Z x B z M / a p c X U 9 d 0 9 f T y + y E U e V Q I X H N k M d c U w T C d Z B G l V u k U l J L i K V J J V J f t A Q E k E m p f J g z Y c z 6 w 3 / 9 T 1 u d b S 5 s a k L F e P i / e o 1 J 5 Q K B 0 g k l 0 s q Q K U U o R S Y l s R R x z r V H q d D H c 6 k 3 v d T W 1 i Z l 0 h c Q S 6 Q 7 h s 4 r q H t w W A u 2 p 5 e W l u h y h f G J S f U Y 0 J I m e j x o 3 I 3 Q q X U S z M C r R C a t L 3 K s i h F z C r 9 y T Z H C l K s k X p g A u A o i I I X r U E / x o w m T I h f H i k z W N S G O i Y V A 6 W Q y k s m Q S c 2 r 0 s l k l 0 y / + 8 O / 8 t x p 6 Q 2 Y u Q r X r U 1 M K C A a j d M P V 7 v 4 m x o i Y c u 8 I p R I q k x S M R O U x G J G c G i v T l B r V V y O X D 5 x 8 p g m j i K M I p N K W z G g 0 i P v x q i k u F C c X D N x + f I V K m j 5 h A J 6 u w g 6 e A r c g S V K S 3 O s C n Q R Y i R U 3 k p L R m J V h q w h j D 3 Y L H 0 g h 7 l H i M R B J B J i T T K Q h f O p t J j f D Z k g k T h v J x P K M G f i A N M 4 H p P 6 u 9 / / C / l Z B d 7 M 2 P S E M r h 0 + Q l 3 N x A H R L K T S h H J U v s U m U x + V 0 2 c m i u T 9 O r l K 9 q 1 u 1 2 u 2 Y m U S S r 9 q + G i P 3 / f T c c P N l N 9 Z b r / 3 q 2 X M Z q O F v F n A n Q T p F q C O 7 a K b G l 1 E Z 1 e y s w 1 J O Q X L y q f l p b r V l o F k M Y W C 4 l U 3 i 6 h s l o R c Q / m S E j r W M 2 b Q C a O m U w x n i 8 p M o F U s O b l 0 R / + c 3 P O m T L h u v V q a x A K u P j N Q + 5 q W j I J s Q y p 9 J w q R S h F K q R 3 l i d o T 2 2 C H j 1 6 T I c P H + J 7 7 Y S y i J Q Z y 6 u K a D K U o L 9 + 9 5 R K d u y i w m L r Q Q B 2 c B / G q 6 Q F 6 N Q 6 m U q n y t D 5 O S W / e N F 5 X a 7 S K A Y 5 V I y E u S b l a W o f A t Q 6 n Z Z Y q X l p Z N K x U v O w A A z D A w g G C Y W 5 k 5 Z I R s 1 j Y u G x q 7 / / z 3 + T z 7 M V w I Q a V L W / R X D 9 + n M K B O c 0 o d S J S U I s T S p D K K P 2 I f 3 R n q i k s a Z U U V m u y z l o U o E / S K f H g H p F d P O N j 4 K z 5 m m M u j w F 3 Q S p y J 7 X O R B B x 1 J m r i E h v y Y t K U m n 8 q m g i C J B k y Z V J n k Q R u U N g a Q M p I F B w q b m W X M n k A o x 5 k l I K z L B K F F f V 0 u / / Z e / x w f d M t h y h A L u 3 + u h o Z H p D F L B t K 4 I J e Q C Y T S 5 v C y V 3 t s d p U c P H t O R o 4 f V t V T A O 6 o 0 e M I p H a t y k + a + S N / 3 L H J c m L S C a g q V t J o F H d y K b W k O k k M s a V 1 m C 1 b e E M i W t 5 H K q H f I K 6 k E w v A 1 Q y A u M y Q y h F J z J 0 g m T S J N J p c r S R 2 d u + j C F 9 n 3 f m 1 m u G 5 v Q U I B k 5 N B u s b S i l m j S K X n U 4 p M 8 y X V e 7 v w F P Z p K t c P R Q P E z I 4 f T S 4 p 4 x j H e o G E B n j Y W / e 7 h b d j c B + 2 Q W f A h V R a p / S N 6 P R y 1 d y D 6 6 k y n d Z x e r A I p L Z x W H m j 2 t n T K S L p t N 0 0 j r m S I p O 2 5 I F c n M Z O 5 d / + 0 6 + o d k d u 7 r h d K 1 y 3 X 2 9 N Q g H o K F 9 9 d Y c 7 A 8 h h m 1 d J O p 1 U e R 4 X 7 e a 5 1 N x U P z U 2 N a r 5 l i G S / F p p n E L 0 c i w P S c n r F 4 G V s p D e A C C D S Z k 0 O n 2 q h C P k 1 U 0 S I y / 3 6 L Q O c v + y T e Q 6 z 0 G k F Y i D s p R U M m m Q h 2 N N I q X m R f l f J a i g s I B + 9 / t / l r W 3 r Q m i / w / 7 4 g C A r J F + Z A A A A A B J R U 5 E r k J g g g =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A d i c i o n e   a q u i   u m a   d e s c r i � � o   p a r a   o   t o u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4 2 2 8 2 b b - a e 1 6 - 4 7 8 f - b d f c - 1 d 3 c d 4 f e 9 2 7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 - 4 5 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D T o S U R B V H h e 7 X 3 3 U 1 x J l u 4 p Q x X e g w D h J Y G 8 t + 2 l N j M 7 u x E z s 2 9 N 7 L 6 I i d i Z e L H 7 r 7 1 4 8 X 5 4 M T u u u 9 V q d b d M y 3 s D Q g Y j j P B l g L L v f C c z 6 9 4 q C k 8 3 t 4 A P s t L c S 1 G V m V + e k y d P 5 n X 9 6 c q t J G 2 D y o o K q L 6 q h m a o l J K J B N 2 8 9 4 w + O r W L a o t i 9 O D V N O 2 q L 6 C S w j w K h 0 L k z c u j K y / z K Z L w 6 r 9 W S C Z z s y p d L p d O z Y f 9 G t L 2 0 F l H 1 F H v p u u P e m h 8 O q T v 2 t r Y 8 o T i r k G f n T 5 I i U S c B k d n q K r U S 1 8 / i d O n + 4 h + f D x K p / d V k s e t 7 o 3 M z f E f u K l 3 3 E U v J 4 q k L F d J t B D s B L L D l J v Y x 2 N J L O E m r 9 d D f 3 c w z m m u t x s P K M k / W x l M q N t b t g b y f T 4 6 f 6 K T E v E o 3 X 5 N d H h n l E Z H R + l h b 5 Q O t x Z S S X E B u d 1 u m p 6 a p E C s m F 6 M F 9 J c T H W o z U a k T C x F r K a K G O 2 v T 9 J I 0 E u P B n 1 M q h j F E 0 T f 3 u 2 i G B J b F K 4 / X d 2 a h G q q r a J D 7 X U U i 8 X o 6 g u i k 8 0 R e s y q X U N N M Z U X W a S J R i L U N V Z I A 5 O e V N l m A z i y 0 N f K R q w U q c r C V F 8 Y p I q K c o o z i T w s y g s L C + n 2 0 9 c 0 P L U 1 V U D X n 7 c g o c 6 f O E Q + T 4 w C g W l K k I 8 8 r h i r L l 4 h S y g Y l L i w q I i m A 2 G 6 M V A p S s x m l 0 h L Y S F i f b F v j n r f 9 F J r W 6 v k o 9 E o D c + U U Y l n i u 5 0 9 + o 7 t w 6 2 F K G k A / B 8 K Z m I 0 h z m Q w J 8 f d U R Q C p I L I / H Q w / 6 E j Q U L F B 3 b H E y G W Q j V X 4 e 0 d n m g N Q d A l R k h F t 9 f o o k v T Q z e k / f u T X A 0 2 1 U 0 u Y P a O x f n j 3 M K t w M q y d x L l O I R l j 3 5 z w 6 A Y g D M o E + I B P y 2 2 S y k K 0 + Z q N E l 1 + W U D A Y o k Q i I Q H 1 6 X P H K T y T o K K a 4 1 y 3 s I Z m b 5 f N F t x Z y j Z d K M j 3 0 e e n 9 l E s O k v B 6 W m K 8 L x o d m Z G d R D + Q S d A H l I K Z e E 5 1 z a R F k F m 3 S D 7 d K y K n v T q O u V w o G 6 O X M k Y 1 3 m U P K W H K S + P S Z W l b T Z b 0 A b h z Y v i g n z 6 4 G A L z c 0 q y V T A c y O o L p B Y I B E k E k I B T 6 b z 8 v J o c M p D P / S w H r O N R W G I Y z A 1 6 6 L + U D l d f O b n A S p J k V i S K g p j F J p N 0 F w k S h U 1 + 8 n l 9 u m 7 N y 9 c f 7 l 2 Z 9 M O x T 4 e F S + c 6 K S Z U I g b E + b v K S o q L p Z r I F e c 5 0 u z s 7 N C r q S 3 i H 5 4 k S f q 3 j Z W h s y 5 l V t G a z V k 4 x o C B q 1 C v 4 f m J u / L P Z s V T K i 7 m 7 I P l R Q W 0 P u H 2 y g U C A h 5 I q x 6 5 O f n i 6 c D p B G k E 2 L g m + d 5 F I 2 n d 4 p t L I z 8 v C T P n d L r K 5 N U s P 7 F E y 7 6 8 U W M 9 j b 6 q T j f R W 8 m / D Q c 9 J I r 3 E X J h D E K b S 5 s y j k U 9 P V z B 1 p k D Q l u Q v F E n P w + n z Q 6 z O H S + B w w k n z 5 1 L 9 N p h U i k 0 y A X f 1 7 v z 0 i s c e d p P c 7 v Z Q I D 1 N B X o L 2 7 Z i l T z t m q K 6 y a l 6 b b Z a w 6 e Z Q 4 M q H P G e C K x E k E 0 j l 9 / n J z S o H J s g G 4 y E m 0 x N f W k f Y x t p g 5 l U F P q t O k a + p q a a g X t + D A W h f U w G 1 7 O z Q d 2 w u b C p C Y Z D 4 x e k D I o G w z o T G A 5 H Q v G h M D 8 + V g J G A m x 6 N l E l 6 G + u P / o n 0 b o W 6 d 7 n c M l 9 F m y D f U M y q d + n m I x X P H z f P z 8 f H 9 l F k T j U a 1 p U A L N S i A Q P T 0 0 I y 5 O / 2 p X u J b 2 P l g C a w E J 4 O e V n N T p f 8 z 5 9 1 S W y k V H 6 + n + o K p i i e 1 2 Z r w d z / 2 T Q S 6 r 1 D H e T z K K d M k A b k Q e P N R u A J T f Q u U k F + v 5 / i y W 0 y r Q e 4 a o V U 3 k V 6 E O p / Z m a G Q q G Q G I W w L I E y Q 6 r W u i J 6 r y 1 C S f 8 e / R e 5 j 0 1 h l G i u q x Y r E o i E A J W P F T w x O P z w q p i + e e 6 n F + + U r 9 5 Y G H + 0 j f U A S I X B q t A 2 Z 4 I r U m t V X E z n I N P Y 6 L g s S x w 4 s E / f o Y h m g t / H 1 6 p G K O E p z d q 2 u R Y 2 h Y T a 1 1 I j R M K o h w a e n n H R 5 Z 5 8 a T C D j t q Y x K / H t i X U e i M c Q W 9 S O L Z z h q q 9 I z Q y 8 o 7 n T H M 0 y y o 4 N I P C w n S / S M R G N a 8 o L 6 E z b e p 6 r k O t w e V w + P z k A b H e o X H + + j h P p N G 1 V 3 m c 5 4 s 2 1 B Q r / z 2 4 F V U U Z V z c x r r A 6 y E q K X B T Z W U l 1 d b W y L a O 8 v I y C o f D + g 4 F + 0 B n S D U x P k l H W + u y t n E u B Z Z Q 2 Y p z I 7 T V l l I w M C H m c Z A J Q G P Z G w x A H j a K S M z F c y i i i d C m m T o 6 C u U F 1 k B 1 8 + Z t u n n j F r 1 5 0 0 u 9 b / r o 9 e v 0 r R z 2 d k J U u 6 N a t t G U F F V x S f b 2 z o W Q s 3 M o t 8 d N v m R M v B 9 A J t N A p p E M T H 4 O X t E v l C / Z Y h a q b a w e 4 7 a B q r i 4 m E 6 d P k n H j x + j j s 4 9 1 N L S R A 8 f P d Z X F a z 2 w o C n t n 3 s r u X G s b V z r o W c H a o v H O 0 g D + s Y 3 3 W r O V E m k Q B 7 2 Y + v s Y i r 1 B J T j D r Y x v r h a K O 1 c L 5 r V x u F Z 2 Y k b d y S W l u a 6 c 6 d e 6 J R Z A J t B e N F K B C i I 8 0 V u j T 3 k J O E w v Z 1 b B L 0 + f w U m r O I Y 2 I 0 X z a C A T F b W 2 a / Y x u r R U m + p f L F e W 7 0 9 P E z n V O A 1 C o q K q T J y S l Z 5 A V S b c a k Q y g t K 5 X 2 q y 7 x S 3 m u I S c X d h s r f G L V u / I y u 6 p n J 8 q 2 F P p 5 A C E E 6 W / w h u d M B w / t 1 z k L M F h U V l Y I e S Y m J q T M T i o 3 9 8 j J y W m q L / W n 2 j u X f n J O Q p 3 e 1 0 p + f z 6 N B n k 0 8 J W k E c k A Z c X + J B 3 e G a M P d k f E 8 / m 9 9 g i 1 V M 5 X N b a x P k j G o 7 J N B p s 0 M d i 1 t 7 e l p J A d 1 d V V Y l L 3 + X x U W l p K Y 2 N j + o o C S F V V V U H Y U 9 V W n X u m d N e X N x / M 7 5 E O B a T N + / u b K M E 6 + M X u Q q n 0 T O m k k K Q i X 5 K C c + n y 6 f O 9 c 1 z m p r v 9 3 p T H N C x T k z P b V r + 1 I h 6 L U t X c X S o r K R Q i Y V e 0 m 8 l x 4 u R x f Y e F n p 6 X P M d q F / K g 7 Y a G h q m + v k 7 y M d b J 4 / E Y j Y 9 P U H 5 B P j 0 d y q 3 T k 3 K K U G c P 7 i V v I k T h i J u + f 6 E 8 H z L J N J 9 c F k r z k 3 S 2 T W 0 t C D O h r r 3 0 y V l y + B s 0 o t e 7 v V N 3 L c C G z c 8 P x B d 1 R w K w 9 g T X s I K C g h S p B t 8 O U c P O e k l D w k H S v X s 3 x v O u I u o a n S / p n A r + 6 h i p n R + 8 X j / 5 k m G a C Y f n b V G v L 4 3 T h T 0 h 2 X + z G O B F g Y V f c U l 6 o c i 0 u z Z G x 2 r e 0 s f t Q V E N o S p u Y 3 W A N 3 / P 6 N K e K D C P v 3 j x U t I g E E g F M k E q I Q 3 P d A T s u I Y f o A e L i F n 6 h B N D z n h K V F Q r M y w 2 D K I R E I D G v H 4 6 2 B C l r n f + N A t e N s B F B q S y 4 / W o h 7 q f d 4 v 1 C T j Z E q U L H W o 3 6 Y 6 S O B 3 Z G a U 8 2 2 R 7 G 4 t j Z H p 5 6 j P M 6 r A E 2 l F a W i K S i T k l x A o E Q 2 I Z r M 2 L Z O 0 T T g w 5 s 7 D b X B y W d Y r h K U u C g F S t D c U S 9 0 0 s 3 u v 9 3 i Q T w / r b q q K E z L N A Q l 9 x t U g t h G + 7 f P R N l z L Z D g c 8 d H 8 A 2 + M l u 4 1 l Y C b L b t 5 s w A m z r 1 6 + k r Q Z H N G + k x O T 4 l Q L Q m F T I m K 5 n t E f n B p y Y j b u K + u U L d T 4 z B M h V c E I u 2 t w y E q Y 3 o w v / T V A J p x x Y D A W c l M I T p 3 c Y B P + g 7 p 0 G 9 n g W 6 G E n p q x 6 n l x z L + v u q Z a S M S / P C e L S 7 q 4 u J D q b G 5 N T k Z O E K q 1 0 i 1 W o 3 c j I z Q d U 6 b U n W V R a q + O 8 2 R 2 m L p H l j 6 e C t a 9 j D 1 v a 8 J S E + / N h M g K J f R 0 W O 1 H m 5 t T B q C F 0 N 7 e K t I I M F I K B I L 0 e v T o C e 1 s b J B 1 K c y n 5 s K 5 Y e 1 z f X X r 0 T p 2 s / W H x 1 d G h + u U V I J 1 i P J K 5 M y C / t e v q K v n F R 0 6 d Z 7 u 9 v 8 8 5 7 1 5 M G r a a g v j q 6 M r b 4 M w 1 / M n a m / b S S U l x W K A a G z c q a / M x / P n X d T Z q b b C g 0 w A 2 h r u S T M z s 5 K O R i M y t x o J J y m s n 3 7 i V G C p g L + I c 0 P S 3 0 j e P K + Q C W f q F e R x R Y e C N D E d l M X D B 2 9 / v s M T 7 W Q C M C / b S u D m W J a B 5 u y H F 2 R D Y X N z k y z k v n 0 7 K M Q w E g t S S Q Z H R m 1 t b U o 6 m d g A i 7 6 q H + A / s + R K Y G 5 l 9 Q 0 n B s c r L t F o k l z e Q p m w A n j o m c / v 5 7 y H R s Y C L D W S t L M 8 Q a d a o l k 0 8 p 8 W k S 1 2 / B i 6 + 1 I G G h h 6 a s q s b o X d A H D J G W Z 1 / f a t O / T H / / c n u n b 1 R 3 r w 4 B F 9 8 8 1 l G h w c k o 2 I 2 Y A 2 F z J x Q A y 1 3 + l w f X 3 b u S p f f u U + m p p O U D I R o / N 7 Z u h K T x 5 1 1 E Y p N P a G m p o a 6 d 6 9 h 3 T 0 6 C G 5 d 3 o 6 Q A 8 f v 6 D p k p P k 8 f w 8 u 3 L R 1 h h U i / x J C m V 4 Z W x l N F f E a W + d 2 k E N l Q / o 7 x + Q z Y Y g G E 6 R B U E g k Y y k Q p k d W N y d m p q W + 6 H u I Y B Q 0 V i c R q L O P d K Z C f X Y s Y R K F u 7 n 0 S s i + j Q q H 6 G l Z J I 6 d u a L x z L W L d A w W P y D O j E S q a L e i W 1 v h 4 3 G 7 E y Q i s Z / 4 H Y J U 9 u u V t q 3 t 1 M I A 5 e j 3 b t 3 6 b u y 4 8 a P t 2 S H b y Q S l T n Y E R 4 w h U w g F Z c F A k G a 8 j j 3 C D j H q n w u j 4 + J p E g E K W D 0 6 5 e D 6 g k P b 1 6 / o e v X b 3 I D 3 B S d H B 7 M b 6 e 2 y e Q E J O I x E d + d + z q o v L R U 1 D 0 1 8 I X F + r c Q x s c m q K m 5 k T 4 5 / x E d O 3 4 0 z Q 8 Q a i O A t v a Q c 0 3 o j j V K + M p 2 p y S T 0 t 4 V q d x F d f T H 2 3 N U 2 3 a E q K C W D h w 8 w B P f a i F d p h f E U q g u i p M 3 m T t + Y r k C X 3 4 R t 5 i X x k f H x b P 8 w d 2 H 9 M M P V + U U 3 6 d P 1 B 4 p k M s O S K E 7 t + 9 S X d 0 O y c N c D n U Q b f 7 6 V a / u F / z C K H e F 0 / q K k 4 J j J R Q 8 / 0 2 F Z i K / q I w e D L A 0 K q x L u Q z 1 6 W f g L h d N F V F 6 c f O / a X I 6 T P W l C S o v d O 6 o l 2 u A k 3 G i 4 V P a u f c 9 H v D 2 0 4 6 6 W j r J 0 u Y o S x 0 Q 7 K 9 / / p J u 3 L j J q p 1 a g w I g u T 7 4 + H 3 u l G p u B Y 2 j r 6 + f 8 2 6 q r K 6 U Q 1 w E b k / W P u E U u C 7 e e e L I T x f 1 7 Z V J K E h l J q 7 2 i k Q a I w I 8 y E + 3 R u i r p 8 v b 4 Q n v i o a y O D 2 8 d 5 s i 5 c f p Z J s 7 Z f 7 G 6 9 f P / P z e k k 0 D t n n g / D m f F 0 e R e e S J 8 U L q b S y K 4 q k b d O j A L v E a t x s i E L A d / s y Z U 3 L f 3 b v 3 x d S O f V K 4 B w H b Q K 5 c u U 7 H j h 3 l 9 A y 9 e N H D 8 7 N Z a m h u o 7 n 8 c v k 7 p 8 G R E s r D k s d I J w T A x I B V R j T V f V E e m h y c H p e y h Q A v Y H i T w 7 t i J j g p i 4 l x 8 q e t J f E t 9 M m e i O y b w r 2 I 4 S B 7 v C l K p 1 q j d L A h R l G e H u C 9 t s m 0 P I z 6 D l B h U b G Q C U A M A w V O k S 0 r L 1 M W v F h M V D y Q S T x i 3 o 3 S D J M p F J q h i n I 8 Y T 4 m W z 3 2 7 u 2 k / U y 6 4 a E h y k 9 Y 0 s 1 J c O Q c i r z Y s Z l d 3 c v E q f f e F 4 / k 6 s p S X Z I d 9 S y V D J 4 8 f k r + w h K a z b L q D p 8 / + Q w M x E c a Y 1 R d r P w I g Q N M q s + Y a B / s c v 6 a i B O Q X 1 A k z s Z w + 5 q e n q Y v / / a 1 L P Q C e 3 l Q + / q r b + g i h 6 7 n P U I u b B p F v Y N U d 2 7 d o X 3 7 9 9 L Y 2 H i q T Y D m x h 3 k i T l z H u V I C c X 1 u i w y A V j g r a q q p C Z f v x g x A O x p w h 4 p f E G D X S y Z A O j t M L O H Z m N p h 4 q s F F v N S 2 I t Q F N + 3 + 2 l B w 8 e 0 / k L H 8 s 8 y g B t 9 + l n 5 + k 3 v / 0 H u n 3 r L j 1 6 + F j M 4 8 1 N j V T B 1 z C w Y k 3 K X t t Y 2 z J W P 6 e B C Y U P 5 q x g z O U A Y j u 5 M o m G X b d 3 + v L o Z f d z a q 8 h 2 Z G 7 q z o m L j I X 9 o R p N h y k j 1 m N w 1 P 3 A B w J j F H P R 3 N 0 r s 0 6 9 m q l 8 H D N Q S 1 M 9 n + l S 7 a x G G Z j b u r Y d 1 B U v b 1 7 O 2 Q d E Y D r k V E B T 5 8 5 S Y e P H K S J i S k h 4 Y 4 d t f S O y S d t b m t 2 q I 1 T U / j 7 7 P 1 n I 4 M j J Z S d T M s B 9 u A U l 9 f K + e U w H G A P U + + E R / T x 5 p L J e d I E h 4 M Y L + e 1 4 P b t u / S L z z 8 S Y m 0 l 7 / P V A C T A E 1 A A H P / 2 1 d 8 u 0 p s 3 f a w K J m S n L g D J I 4 e 3 l J V w L i k L 9 2 g n m N s z Y b c Q O g m O 2 2 D o q 9 i 7 7 P m T A d x + B m k 3 3 X i D M 8 3 x R v x W H H 1 z 8 T L t b 5 2 / q o 5 r o X B I X F v g s o T / t x r g 7 w 1 O t W z P q Z b C u 4 B H 1 g p H R 0 f p o / M f 0 M D A g B z T D B O 5 H V F Y f h h Y E s l j g h n 3 J Q s u l m h e m n j 1 K N V v n B J g s M p W v m E B g x H I t B J C A Y V F J T Q 1 4 6 Z v u 5 W f F y a 3 9 Q c + k x E v E y U l J W I 1 G h s f p x f d L + j q l e v i 7 h L k u d V 0 I K D v W h y 3 7 9 y j C z w f M C j J T 9 I n H a w C R l d P 0 M 0 O 7 K v C m R 4 3 7 j y l H a z q H T 5 8 i M r K S u c R J s l S S / U B n i P D x 0 8 m w + g P p k + o d S o X 3 5 D Z f z Y 6 O E 5 R g V 3 B k G m l p L I D K s Z E p E j n 0 o F r a N D 2 t l Y 6 f u I Y 1 T f U 0 c P 7 j + h V z y u 6 9 s N 1 f d f C w F F X 8 E / L B H a 2 e k e u 0 K H 6 G T r W p M 4 D R O g o G 6 Z Y e F T f t Q 1 f y + c 0 G X b L 2 l R l d R V N T O p F W w 1 s g 1 d I i r V P r U 2 h P 6 h S L A K j b 6 y H 2 r 7 e Y E J l 4 9 n G B Q z u C x F p L Q R b D N h X d e b c a e r k y X J 5 x d I L h r A s j o 2 P 0 f 1 7 D 9 I a V S b K I G s p H p 9 j f d a u h 7 f o X H u c L n T y X M t 2 r s V W B t R z n I 3 Y 0 t x E b 1 6 9 S U l 1 t H F N b Y 3 E a O 7 y i g p 6 2 O + i J 4 P w h O E y / u l 5 8 Y p f i R q b s H E x e z / a q O A 4 C Z V J m r W Q q K 7 E W n t a D J B Y A E 5 V a t / V J u m F A N M 8 V E X 4 l + H 8 g / 7 + t 1 I e 4 / L v v 7 t C J 0 4 e k 3 0 8 B v j 8 s G L h W U k w X F z o i N C x x j m a C Q f 1 H V s X 3 / f 4 Z E 7 V 2 N w o a 1 A A 1 M L y y m p R w f G c 3 m f B F v J X t M i D x u V A U u 4 O j U 0 N a g F 1 D X 3 j p 4 K j j B L e g g r p g C a s F S s 9 Q w K j p F 2 f x 2 e 4 e v U 6 9 f X 3 U 4 D n V u N M p K + + / I Y C 0 w E 6 f f q E n H b 6 7 G m X d I Z w K E y H j h y k 8 r J 0 I 4 j 5 L v b N c a 7 I G L X n v 9 a 5 r Q s 0 M e Z U Q 2 O z d K O 3 Q E 6 d u v T c x 0 T L p + 9 f l d C l L p 7 / S j + A X C J 6 O O C V F P z 7 z N / T L M 9 5 s / S l j Q q O M k o s p u 6 t B p O z K x P A R U V F 9 P T p c 5 3 j z 8 S j Y A W r H M H p o B w a c u / u A 7 r w 6 c f U 2 s q j p t / P 6 t 6 s P C g M E q m g I J + 6 n r 2 g i Z T + r w C C N r c 0 0 d S 0 s g h i 5 L 1 7 5 z 5 1 7 G 6 W / D a I + q M t F I p Y b e V 2 e 8 m l n W D l R z i F U 6 u S 1 D / h o V B U n R q M A W 4 m o n Z q O y X w t 8 h W v D E B F b e e h M I h l S v B l G x a L N Y 5 B Z y L A D X v 3 L k z T K Z P 0 q y G c K X B g Y 0 g H h Y m P / j w H N 2 / / 1 C u Y V s 3 / g 6 k G x u f p G I m K z A 4 N E w n T h w V Q m p N c 8 v D z e R B s C A d Q c e I Q C o V X o + 6 q X s c 2 0 P U W l S e w + z U K x v C f 2 J 4 C 2 s l X g 9 S 4 W w D e K K v B L A e D e g 5 k Q H W Q g Y H h 6 n 7 R Y 8 u s Q A S T d r W o m C K h / f 0 5 O Q k q 4 Y X 6 e u v L t G l S 5 c p m Y j T 0 O A Q v e x 5 y X O v N + J 7 C B x v 2 l 6 7 y g S 6 J a A I p G N d B k g a L 1 w O 0 3 l 4 d A A l j o G j 5 l B 2 k / l a g P e A Z / h y g H k T r H N P n z 2 n m z d u y 7 O J g k H r D D i 8 V 4 I J U Z C f T 5 P 6 e U Y G 8 E N 7 z i q i n H / A 0 u r Z s y 6 6 d f M 2 v W L S 4 M y 5 8 x c + o k 9 Z R d z Z U E d l F e V U w R 3 g v f f O p K R c V R E + 5 + r d n z Y T p N 0 5 q B 8 p 0 X 1 B l 9 s D / + D h A p i 7 y r 1 Z + t J G B d e 3 D 5 6 r z + 8 E F H Z w Z 1 b P F 7 J X o I E 9 v R i i Y 0 / o 4 6 N 1 s s 6 x F O D 5 j H n P z p 0 N c j / y O L a s u q q K A s E g X b 9 2 g / b v 3 0 t t b a 0 U m J 6 i k t J 0 o 8 P Q 0 J D M u 7 C 6 f / D g / t R j W T I x 9 P Y t 7 a i v z 3 o N k / G t D i z m A h j g k h y w Z Q O P L U K M p 3 q o O M o x 9 4 9 o h B q 9 L 6 X O M X c t 3 3 V Y / t Y J Y A 3 U O T / L 5 M u i w D a N X 5 5 r p Y c P H 4 m L C 0 i x G C A t + n r 7 y Z + P o 8 m 8 V F t b Q 6 P v x u j b S 9 + J e v b Z Z + f F C A E U F c H H L B 1 1 d X V 0 i I l 0 4 c I n 1 N C Q n T B A X U O D d J Z M T E + l G z G 2 L L j t Z c D U c V p Q h W l l 2 N K B s 8 8 5 a e t B G / / j q D k U K m e t 6 K i J y 7 r P m T O n Z d L 6 l u d E A y w d z N a O T O A c g / c / P E f 5 f i U l c G z V 4 c M H 6 Y t f f E Y n T h z T x g N F E j x 5 3 g 4 8 W g c 7 S W M 8 U m K x d y n g C X 9 2 9 A 8 H K U i V a X u 1 t j S E N 9 q P U z q D i g 2 p 5 E f n 9 + 7 r F D U 8 2 y C 1 k X C W c + w i W O 7 + I 7 / e p o E d o L D Q 7 e n Y T f f v P q C r V 3 / M S q r m 5 k a W E t M L S p Z M q E 1 w q h H D o S A T s E B W 9 p e D o p I S U V + A p w M x m o y X U 2 j O T X W l C f E D P N G s 5 l N i u N r C S B F I k 4 d f U r E J S S w y c p t J u b 0 P b X B w l I R a D M s 5 0 a i 1 a r 4 h A u t A u 3 f v p i N H D t K T J 0 / n j W g d n Z 3 0 8 M E j n V s c q o E T N D s z I / p 9 V Y 2 y S u J B Y 5 j 3 L Q W Q 1 s W f B 6 f f N l V 5 x H C y p z Z G N c U J 8 Q P E 4 3 N O N k d k y z 2 2 3 m + V h 7 9 J v Z p Y 5 l K K Q K p c l a X y H F w u F R c U F q i O 7 C A 4 a h 1 q M d g f R b M Q 4 G 2 e C X T 0 3 t 4 + 2 Q P V w n O h 1 6 / f 6 C s K E E x x P M p w G Q A h 8 v J 8 I q X c 8 I K 2 A f O v Q G B 6 Q d X S A A T H U d L F + f O / z / 6 6 K F U U J a m y K C F b 7 8 + 2 4 k H b M W q q S N 9 9 v H m g p I 1 J p 4 j D g x 4 k k J 1 E 6 p o K 2 I C K f V R w o s 0 T N y 9 U j j O C w 5 b F 1 g Z s L r Q D n f v W L Z 4 j f X B O 8 i X F x X K e x P N n X X T x 4 r d y k i m M F q 3 t y u i w H I B U Z e X Z H W h L S t R W B K x n Z X s C + n J g r 4 N k M k 6 d O + K 0 r y 4 m T 7 H f j E j R C a R J x Z L S B E L M e R 2 r k J B 9 b F g 0 T 3 A + s w 9 t Z M g Z l W 8 5 G L C d z Q e D x J / / 9 D f a t 5 8 n r w X 5 U g Y y f P D h + z L n w T l x W B e 6 d P E y + b P s m V o t R K 3 j A O P G W o C O Y 1 d P s V B 9 j k m F 7 S D w W m 8 o Z 6 n l 4 B N U V w K L N B a B D J n S y m x S C 5 2 3 t b V Z 3 e M g O M o o A b X G d M j V 4 n X f k F T y t a v X 6 Y t f f k Z l r O r Z g Q P r s c K O j W 1 Q F z r 2 7 l l z 5 8 9 E a A l T / X K A Z y L B E 8 O O E j 2 n g t f 6 A V Y P z + 4 c p Q 9 b J l L 7 r o 4 2 R n N z K 7 4 m C T a F C m G y q X t Q A 2 3 x 2 5 G A O n 7 M w 3 V k 6 0 M b H Z x V / V H r N J z V o L Y 4 Q r M h n s d w p e M g l s U k D 9 R B n G X w 4 N 4 j J t T 6 L a x C 3 a u o r N S 5 1 S N s 8 9 b I B n x + L D L b z 1 u o L U m I 9 G q u z C E z v I 0 w q T T i F L l w T a d T 9 y Y p 4 i k X b w l f 0 e L H x / 3 c c N T C L i i + F u n U X s 0 V z R 0 a c 6 O y j G 0 U d m C H 6 M W v v 6 W h o R H 6 + J P 3 y e 9 f P w k V 1 F 7 l a w G 2 g p Q v Q k p 0 L L P n C q b 4 T O z d E a P O 2 u W 5 X m 0 k + G s o g i C R N m c y p E r I H A l p G C H s 1 w O h G a r d U U P e / K J U / 3 H C j 6 M k l J v U Q 4 p X i 9 f j e X T 4 y C E 5 f g r H h W U D / P R e d P c w k T 6 k M 2 d O i q c D H p u y X q i s r t a p l U M 6 D k s e M Q c v A n s d Y X E 5 G 1 q q 4 t T i 7 0 0 d 3 L m G a v 3 J Y B E E 5 M m I N Y H 4 x R b j O k i W k A f t 4 c R g j 2 9 9 1 f W 1 w l l z q K S a e 9 j n U S s h m H m 6 H j b 5 L f R 3 Q 0 P D 4 g n h 9 6 + f I c I A e 5 1 W 8 n k z M T o y I q b 3 p V b / I Y U N i l l C T c s Z d e k A 0 T r b d 9 D 5 D n W 0 N E 6 7 d R L U X C i d P O l p l U d d p G I h E 0 i V 5 E G w S L z 2 v Q V 6 L c o h w Y F T 2 N V b b c Z C b u p + t / D T C 9 E w O G w e h 6 z 8 F M h 2 w t J K U L N j B x O k l G J 6 O / h C w P e w I 5 O A Z i 0 s b Z e w j p 0 A I Y 6 o e I Z A G e k U 2 R A r I i E W t U + I B Q s n H m Y d 5 Q H M W V 2 Y P 0 0 G x T Y 6 c E U u N M o v Z / R / N e q R c w m y A Y u 8 c 5 H Z 1 C N w 1 h M w D t j P k l g N Q A T 4 I a I z L Y Z o L J 1 w / g w r J T w 5 4 I M I y Q V S 4 f 1 m w i H a 5 X u h 7 9 g 4 K K L o Y I i j C a P K V a w k k s n r d A a x 4 N C s C G X r P x s c n L e w y 5 U l a S b P a t W n 6 6 + y S w o c p N L Q 0 E C B a V a r O L 2 U a r U S 4 E B G d O T V A n 8 L M p l 0 J k A 2 I 7 m K i 9 M N E S A P r q E j A v D i Q K i u q R G p i X o s K C y i 1 v Y m u b 6 h w G d M k Q g x S A O j g 6 X e z S O X k A g P 3 + M Y 9 3 A o 9 c e o s K B w X v / Z 6 O A s 5 1 g O 4 N D q l T 4 F H E 8 V j u A N 0 w G P 8 g f 3 H 1 J J a a n q d G 6 3 N N j c M r w a I N 2 M K r U Q 4 F K 0 W u C z G I C c + F w G M M W D b N 6 M d S k D O O n i G o g z O T H O o 6 S K w 3 o 9 D H M u S K v + x Z / 4 8 5 N D C C K q n o k N a R R J r J j L d W w I B O K p t B o I 8 7 0 x n j N z e 9 j 6 j h O C 4 + Z Q x d 5 + J a V W K Z 0 M 7 v f P 7 3 x 4 z 5 O n T t C w 7 e k P K I P K N D G + e G + D B E C n H h 9 d + M B K k G I 5 T r L Z Y P c N L O L J N j o T J B W e F A I J t B D Q u T C X M C i v q J T v g z i / s F A + D 4 h e W l Z G w c j a V N K 1 Q J H H I o p R 5 9 I k k 8 R a C k n M U g l p I Z N K G / M 5 7 q n b v V + / u 3 P g v D k U B 1 Q u 5 N R a S B W Y c 3 H l 6 4 w N 8 J K 4 e / s u v R 0 c l P / z 9 O k z i b E Y i 1 N 0 7 A u l K M f I j k 6 Z D 2 s S A 2 Z x z E s g 1 W D V U 3 u i Y O h Q R A L p V m r 0 C D N p P D Y J B a A M / 9 P n W + T B b v L 5 J n l O q A g I S R Q K B E S S G l 9 C z O s g 4 f C Z B y d W 9 r n W D 5 p M q a B I I U H I Y 8 h k y K V J Z d K i 7 l n S S u 3 k T V B h W R W / 9 / z + s 5 H B c R J K I J W t 2 A B S 2 Y m 1 E p J 1 j 8 w f k f H 3 n 3 / x q X g q f / f d F e 6 Q l o d 4 J Z M K q t P g 2 w F 6 9 v w 5 X b / 2 I 8 + 7 E v O M D X A J g h Q o Z A l Q w A G u S + Y e v L / H 4 x a p M T U 5 Q W / 7 + 2 h k a I h m Z s L y f 9 A p 7 M D 3 x H t g W 4 c d R i o l M j z h 8 T 5 4 v 7 G x M e o Z j l N P Y A f N R J X q C k m E h V 6 Q G t I S N Y V y v N e t / m J K u N Z / q W A p 4 P 9 L U 0 q s g r g Y C T m Q V 6 S x g r 6 m 8 y l i i Y R C / a k 6 j H P s N A s f 4 L r y 5 G W W c X x j M R 6 u o b h w X U k r E w z s 6 a W A N Z i F O D j L I / f o u 1 F W h 0 o V K b g j D o + M y D n n J 0 + f k D y e D n H w 0 A H 9 F x b w G V Z C b j u k Q 8 g o G 5 N O s Z B K h z U p b B e x + x q K J H R 7 6 e F A n l i U D j V E m T z 6 o g 1 z s z M s m S K i 6 n X x w I L n A m 8 E r P Z T x M B 3 T 6 l v h i A 8 a M Q T M U o i x t k R c p 6 E O U c i x t 8 5 y n F E 1 O 5 Y d I 6 a y s L k c 0 e p 4 / R 5 / V + c A 8 c Z J R D y 8 2 Z k N F o P P H q 7 s M o E I w U O s h w c e E v / 5 3 / / X / r b X 7 + W j o 6 n 7 F V y O Q 6 + x D a B b M C h K 0 a y r R S Q H p B y 2 O 2 7 m G U Q 1 j y Q T b b Z c 8 c K s j o H S Q g H W D x 8 + 0 h j d j J B J W K R J 2 S 6 1 h X d E D K l S M S B X 4 R A a c R K S R + W W F K m 5 k l C N n 3 N I p + S S u p 6 g g q 8 M S q t q Z / X b 5 w Q u D m y l G 5 w K P S F U p V v s F q 1 b 3 A 6 S 4 + z A W t S n X s 7 6 d e / + Q e O 9 1 D j z p 0 p L 2 + o T p h / w K s 5 E / V 8 H 6 4 v Z c x Y C o t Z B j E / w n c F 8 X B m B b w i s H M 5 x N M 8 P D 5 n I U B 9 x P 3 P h r 0 U i K + f W 9 V K o V Q 6 T R j E Q i C V N r E i E w K T x X 6 f K e f Y I l O c J R O k V 4 J q m n f z f 0 j v N 0 4 I i / e 2 j Q Q m o l y R X K O r V q 0 M v u 1 e 2 p w N N 5 a 3 A 4 N p F j P g 6 P E j d O X K N V a / g t K w m Z B D 6 9 c A n y Z v N n g 8 9 r m b + j + Q T k V L T I V Q X 3 P x P O o d 3 2 A 1 D z 9 C C u Q 1 O U A Y T R x F J F O u 0 k o i a R K h n M l j L 2 s s j 4 h m 4 P E u Y q z Z Q D i W U B 7 u P z I R 5 U r l l C p c J S I s Y E a C S 3 9 V n K l n r H U G e K z / e + f O y j b 6 i 1 9 f o p c v X 6 W p e t m 8 v V c C d L C F s F q V E s D j Y j Y C I I q 0 l 5 B I B 0 0 G I Y 8 O h j B G A i m V z 4 o l 8 P c 3 a h 7 q I s l z q j x X j N x 5 S w + Q G w U Z Y J 0 Y q k o C X O G K U K b P 2 S X V S q X W 0 N T S h M K 2 j m z u Q z B d H z i w T 6 y D R c V F d P n S 9 z Q 6 N i b S D O b t t Q A q J S x 3 c I y d 4 v 8 v n Y d J D X M 8 F n h X i u C c i 7 5 7 4 e N B Z G X 1 s x 4 w Z E L E r x a p Q B S O D Y F S Q R N H x a q t V c x B i K Q D y M Q x F n P h 7 d J + 9 E y q n z g t O F Z C u d 0 s m V D R q E y u 6 L V i a N r D D a o z C 6 C q q k o 6 + G L A k w 8 / P v + h r P P c u X 2 P Z m b X 5 s V d W F B A B Q W F V M 3 v i 7 M q Y L A I h 0 N i S o d Z f q W 4 + t I n n i I / N 1 L S S I I i S Y o 4 k g c p L O m T I p G J + R 4 p R w w 1 T 0 i k Y k O q E m + Y x s Y m K G 8 d 9 6 + t N 5 h Q q H x n h n y f r m g W 9 Y j X C j y L i N t q Q W B r R + a 2 8 2 y A M Q L G i z N n T 8 k j b t A R V g P 8 X e b p S Y D 9 u G e 7 2 g e v C S d i P p F U 2 i K O K V P t a Z E I B D N t r M s N g a R M x 5 y H C d 3 v m q W a + g b + j 9 n 7 i x O C Y y U U U F U 6 x 5 W s R y o d r 0 X t g 4 S 6 y K T i d p w H X J s K 4 / 8 s n x y 4 F 2 d U r P Z Z r 0 t t 0 8 D 7 Q x X E v A 5 q I M z 4 U A u X 4 3 v 4 c w G k g I I n Q U j D Q d p L k S h z n p R 2 T c i k p Z Y m j g q c T k k m t S b l J l b 3 X H m 0 5 8 T 7 8 n + d C k e u Q 6 U F X d H S E N I 4 W d i w Q n z 1 z C + + f v Z 3 w i K p q 2 w P f X l n + W e N Q z 1 r 2 F l P c z Z 3 p e U C a 0 r Z T O a Y l x m p h O + K p 3 Z g X o f D N A G o h W a 7 R j A Y W J f 6 W C 3 U / w a J V N o E i z C K R E I Q C Y o k S i L p N h X i 4 D 6 Q R 6 W F R D q P u k C c 7 4 m R z 6 U l e m Y f c V B w 3 P a N z F B T Y V U u G g C N Y c d K p Z T B c M B N X z 3 1 p + 2 d + u R Q M R V H V v a o z j K W U F e / v 0 b / / c e / 0 K V L 3 8 l T y 5 c C J B o c Y L M B 0 g e d C s S C a o k 1 q I W A h V 9 8 f x h G 8 G S Q n x P p Z F I E s s i k C K S k k S K Q V Z Z + j w y S m j S S R 1 s j 5 r z y n l D q X g N r K / W 7 9 2 X t I 4 4 K 1 5 6 / 2 b g h b p l 4 N c C a q d s r o 5 P H g 2 0 K L F h t L g K q c V c P P J j t b F t E 5 l A z 0 S S 1 N d X p K 8 s H P s P g 4 C B L k z x 5 g s d i g A q X z Z p o B 9 T B h b Z r Z M P k + B g V l F b T 5 e 6 f 3 l 9 P k Y c H N o k t Q h m i W G q d I o Z R 5 + w S K c F k M d J H u R q p W L k b q U f W m B j u R r u r Q n T 8 s 9 / o T + B c O H o O Z e D L 4 8 a S S l e + X k Y v X y 9 M z 7 r o X p + b R k b e U W 9 P t y 5 d G S A p c N I S T q b F 8 W T j o + 9 E r Y O k M Y S H 5 z q s g 0 u R S T q s T i 8 H 8 H o v r 6 x K O + j z p 4 I i k 5 Z G E m v i G E k E s q T K d B r k E h K p v J F C q k w T T c p A M L S z 0 k q k r Z l 4 r m S M 8 v K X f t a X E 5 A T h N p Z i 2 E Q l a 4 q 2 o x y p q O u B 0 a C e V T X 0 E S n z p x k S T O k S 1 c G G A 3 e e / 8 s P X / W T R V V 1 e I q Z L c a Y n v F U o Y I A O T E / G y 5 M G d Z Q I 3 9 K W G I x C 8 6 b Q i i 2 i J F p h R R D F n 0 P Y h T E k o R K J 1 M I J G K V V D G m N q i C B 3 6 4 H P 9 K Z w N 5 x s l d C j w 6 8 b g Y C a w a A x u X Q 7 r g 5 5 A j a w L D b w d p C v d q 3 t f S J 9 A M N 2 h 1 s z z s N a E u R M k l x 1 Y x M V + J a w / Y R 0 M K i H m T 8 t B i P 8 X / i f 2 B w V Y 0 v 5 U S C e T V v e 0 1 Q 7 l Q o g U m a z Y k M c Q R 0 k x T R i O h U A m z w T C N a U C G p W Q C b W j f F 5 / c G p w X e / q X b 8 e + R P j + a s o z 5 0 w l / K K n 5 s L c y p 5 B L / e + 6 N u W x N w p H H / w F t 6 M 5 F P M 9 7 6 R Y / f 6 u s f o K e P n z E B o u T m e R 0 e J Y q t H n 2 9 f X T q 9 E l 9 V 3 Z A F Q y w C g g p t p a t 8 + j M I O z A l I c e v 1 1 c l V w V h E A 6 i B F C B 5 D G E E h i l I M c u I Z 4 P p k k r 4 l i E U f F q E N c U 1 s 1 e O 4 U w c A S o c r 8 G f r F P / 6 j / j D O R 0 6 o f A Y 4 3 N C o f f b G k M b V 9 6 w V 3 B / k Y d T u 4 G s q K 0 j Q a B B U n Q 8 8 6 D o Y C N J n n 1 + g X / 3 9 L + m X v / q C P v 3 s v J o j L c O Y A F U Q u 3 + 5 + 0 k H Q 2 d b D f D 9 4 / y Z n w y u P 5 k M e Y Q w m j w q 4 P N a p E k R B h 4 O a e U Z Z J J Y S S l s E E Q Z Y m l L E + P 7 Y N 0 N 1 z l d U + F c r 4 h s y C l C 7 W 7 1 q c b k C p f G s T c E x 9 x S K q w B 9 / r z 5 F G T L S 0 N t K 9 6 k q q L s 7 8 f N i f W N 9 T x X M c i H C R F X d 0 O 7 h D L c 2 q d m 5 v l + Y 9 f 1 D v M m e x 7 o 5 a z e D s 6 M i x W x a d D 3 r V + 7 X l I J 1 M 6 q Y Q s u C 6 x y X N s v 4 7 2 k W s 2 U u m B Q 9 o N a Y l 1 G 6 J N M U B K r K R U c V 6 E j n / y d / o T 5 Q Z y Z g 5 l Q m W p m x t A j W K q k U y s G g s j P n c H D q u D c U 2 q Z 2 J A n Q P w k L Y H 9 x + J N Q 2 q W o h j n G O N j p I J 7 K 7 F 2 R T o c I s B n x V k M v M r w J x b A S x l l A A Z o e p 2 D b v o 7 T p b 9 x S Z F E l S x N H r R x Z p u L 6 F M F Z Q k k t f Q 6 z b R E k b p E 2 s 7 j E G C N O W I p m 4 P T G H T D C h D h 9 s 5 Y r g + r G 1 v 9 O D 4 x d 2 M 0 N d r Z J S S U M q a R R N K i 6 T x l + i M y + G 6 V n V k d H R a 2 q r 6 X l X t 3 h C 7 D + w l 8 I s Q U C s / t 5 + O d M h E s l u s W t v b 6 N H j 5 / I l g / s o 8 q G Y G D x 5 / r C 0 x z n B 2 Y D O i L W 4 q q q a 6 h / c h 3 X n e x E Q j 2 a k F G m y M N B k 0 O I p N N o B 3 W P l U 9 d k x h E Q r t p E p k Y Z J I 2 5 b k U h 0 L v H L U f O p G 1 D z g 6 / N j d t 8 7 K w k + P 2 d k E d b 8 O p Q w U E t z q c E e J Y a R A 4 E 4 H L N Z x M 4 E 7 P 9 9 n G S I g b f B e 2 B c F Y K 2 q p L R E 1 E L s j S q v K J f t 8 p n A y U f o R K N j o z Q 1 O U X 7 9 u 3 V V 0 h 2 + W L y X V h Y L N t B F g I 8 K g p Y a s F / b 4 L f p 7 G l V d R D 8 3 0 u d f k o G l / + d 1 M A a X Q y A y m J Z I g l h g Y 7 y U x a S S t D N k m b m E N W M m H u i z Q H k E i C D I g 2 Q 4 S c G 4 E F 3 T n 6 7 W 8 + o b L K 1 T 9 4 Y a O Q U 3 M o g / x 8 N / m 8 a F Q 0 j L I O q c b T s W 7 Q V E d Y q A d l g f 1 O H H I y O D g s h g Y D e E G A T A A k E c z d D x 8 + p p m M O Q + 2 o G M f V U N 9 P Y 2 P T e h S d d 4 4 j i y r q d 2 R I h P W p 7 J t p Q e Z 8 D 3 g v x f z V d E P L w v p T p + P v m U i r Y 5 M j L S q Q E a R B n U m B L E H 1 J 2 t X B F D E U X y Q i K d Z q I o l U / V v c R a I i k y q X u U d M I 1 1 V Z G W q E d 4 6 x O Q z r V l B f k J J m A n J R Q B v c f c 0 e F l B L p Z J n S j Z R C j N H c S K v l S q q 2 q r g 8 n R 3 r U e V l p b J g u x i g g k 1 O T d H D B 4 / p 9 O k T 8 / Y x D Q 2 P 0 J 2 b d 1 i y F d G H H 3 2 o S 9 O B u V n m 1 h E 0 D A 5 Y y X Y c 2 m q R G l w g e U y s B x 0 r 2 P J M D q s M R N F 5 I Y 2 t T P J M K u S F S C q f S g t p N I n 0 X A l S C b G 4 F 7 F 0 i n O c 4 P g / / t e / y k f M R b h + f J G 7 h J q c j N C r v m B K 9 Q O h L L W P y W Q j l Y n 5 Z U l i l R c k 6 H Q r j 5 b c E f r 6 + q m l p V l f W R q 9 f X 3 0 5 n U f q 3 i d V F 2 N g x g t f H f 5 C p 0 5 e 3 L B Y 8 P w K F H j N N s 3 4 R H r 3 V q B z p 8 O R R S w y S K K K T P W P J W X a z Y 1 z 0 g l R T I V 2 0 k l a Z F I h k Q 6 z b G d T J B Y x v A A d U + p e U r d + + K L s 9 T Y u v z 6 d h r c s F b l 6 k 9 F u Z + 8 W J v S a p + M e K K X W 6 q F a k g 0 N m J L f e F e w F 8 / s 7 M p T M 5 Y c 6 + + 3 n 5 J L x f N T U 3 0 4 Y f v 0 c T E p E g t A 3 T I Q A B P L l 9 4 7 x T I N D 0 9 T c + H X O t A J o s k 8 w l i i J M e U m W a G P Z Y i K G v G f J I w N / h m g 5 m T c 2 Q C f l 0 M s U V m b g M s c y f t J m 8 v D i P m l p b b C 2 c e z 8 5 O Y e y 4 / B B 1 r W l s Z T 6 o C a 3 m m B o S D S s p E 1 j m 4 D O o z u Z 7 n C Z A K H w N 8 E V 7 p R F R 5 E D N D O 2 a M D n 7 s n j Z z x n S t 8 / h T k U 3 I / g k j R L Z f R m Y o 2 W O / k + O h Z i 4 T v a y Z B e D 6 k y q S t z X c d 2 w u j 6 E y l k 6 p J j u D 2 Z e k Z Z i k B S / z q t y Y T 2 U W R S J I K U w t w J i / b / 4 9 9 z x y N i I e Q 8 o Y C j h 2 q 5 k d F 4 U N N U I 5 r G F J J J Y + s O I I E 7 A D o K d w R D K u l 8 0 g s V k I Q x A k a I 4 i X m U J m Y n J q W Z x f h 4 d n 4 3 / D P w 3 N / d + 9 u p 8 a m n T Q b U V Z E / D + o e X A 9 w h k S c E M a n 1 n b m p J 8 H 5 X S Z O I c y u Q 7 I 2 9 J a T u Z 1 H V b 2 t S T 1 J u 5 3 1 6 H H H S d z l P z O F i D m S E T t w P I g / b Q J I J k U o N f l P 7 t d 7 l P J i D n F n a z B Y / X R f s 7 K 7 l h T K O h o R S Z F K l U Q 1 o E 4 7 Q e M d H g 0 s E w g k u H k 6 E d U y 2 R U P U N 9 Z x f G a q r K u n o 0 c N y i t K t W 3 d k n x X M 6 0 P D w / y / 4 0 J Q / B 9 4 n m c + 9 b D I Z 5 E 6 E + b z Z Q 2 6 w 6 c 6 v k i a D O J I B z d 5 T u u Q u k f X B R Z i p Q z 3 m / t M 2 l Z m F m x V 3 S J t 6 h T t Y O p a 1 b 1 p D 7 Q P v r e 0 k T Z C / P q f f s G D S t 6 8 d s 3 F 4 L r R M 7 B w C + Y Y n j w d p k A o R i 4 Y J V J r U z q G p S 8 V K 4 s f H F p N W t a s J F Y B H f t M y y y 9 G x m h n Y 0 7 9 X 9 Y H W A t H O g b o F O n T 8 h 7 Z w K m d E O s R 2 + 9 9 H Z q v p Q C a X Q q S 6 R I h Q y n + A W v O q 8 J J 1 e Y J J K y S e R U w D V J p 8 e G l M h L W u 5 l 0 s g 1 J h 6 I h G t C N N x j i A X p r I i m Y q 3 m p c g E y R S h + v o a + v t f 5 8 b W j O U g 5 z w l F g s H 9 u 2 Q z W h m J E z F J q 1 H S 8 t w Y Q + q z I S 5 K A 6 E I X r T 2 y f X V W e x g u p 0 W Q J / D j u m W P 0 b H h y i 0 2 d O Z i U T A D L B l e j l q C c L m d T 7 W m l w Q Z W h I 4 s k w e e R 2 J I 2 J q / K 9 P d C G c f m H t X 5 z T U T r H L 5 3 v q a q g P k u f 5 0 D C m f 7 l a k y / C 3 X O d y r 9 Q / k w l E s k k m W P V 8 P i / 9 A 5 P J 3 o a 5 H j b F H M q O M 6 d a y G X 0 d T Q g x 2 o C r B s b s T Q 0 G t 7 K q 4 6 l Y n S I 2 Q h G 2 I T s j 0 I n S y e V G r k R g r N E X z 7 x S Z l 0 9 N Q 9 C Z o O B O h v f / m S K l k F R N 4 Q Q c h g u w 8 h E C 2 g 7 h E 8 l g b 3 m X L 1 P 6 V M 3 5 d G B h 2 n z W F M W j 6 v C t L p b U E 6 P K 7 b 7 k k F 1 A m u 6 7 Q q M 9 e s v 5 M B K H W / r T 5 T a W X N U 3 m s M + m 2 0 G T K 8 7 r p d / / x z 7 r V N g 9 c N 1 9 u H p X P j i v X X v J 4 r t a j 7 K 5 J R u 0 z 6 1 K y V i X q H s p 4 j E G Z X g T O Y 2 F x t i U o D 2 H D 9 n a M Q R A y S t K o N L C Q 5 M G C b r 7 f R 4 W F R X T p m 8 u i 8 u G B b 3 b g 8 P 9 v u 9 K P N m P K 6 Y S K 5 V W / g I y S k h h 5 y a k 8 B 5 V V e c m Z t A 5 W 3 k 5 w n Q Z h d V 4 R 2 Z S Z v I p B J I v g h n w W 6 V K E 4 x A D o b R k U t I q Q h 6 u 5 z / 8 1 7 / j k 2 4 6 M K H e S h t s R n z / Q z f L Y E O i b I u + I I 4 V u 7 A q p 8 l k w o W 9 U e p 5 8 Z L 2 7 N n N e U U e Q 6 D M m F N y j 8 H o 6 J j 4 3 h k S Y a 7 0 + M k z 2 t u 5 R 5 9 m l K R v m E w + T 5 J m c N o r d 2 A D 7 s p 4 U e l U O T q 7 i V W Z x B z M / a p c X U 9 d 0 9 f T y + y E U e V Q I X H N k M d c U w T C d Z B G l V u k U l J L i K V J J V J f t A Q E k E m p f J g z Y c z 6 w 3 / 9 T 1 u d b S 5 s a k L F e P i / e o 1 J 5 Q K B 0 g k l 0 s q Q K U U o R S Y l s R R x z r V H q d D H c 6 k 3 v d T W 1 i Z l 0 h c Q S 6 Q 7 h s 4 r q H t w W A u 2 p 5 e W l u h y h f G J S f U Y 0 J I m e j x o 3 I 3 Q q X U S z M C r R C a t L 3 K s i h F z C r 9 y T Z H C l K s k X p g A u A o i I I X r U E / x o w m T I h f H i k z W N S G O i Y V A 6 W Q y k s m Q S c 2 r 0 s l k l 0 y / + 8 O / 8 t x p 6 Q 2 Y u Q r X r U 1 M K C A a j d M P V 7 v 4 m x o i Y c u 8 I p R I q k x S M R O U x G J G c G i v T l B r V V y O X D 5 x 8 p g m j i K M I p N K W z G g 0 i P v x q i k u F C c X D N x + f I V K m j 5 h A J 6 u w g 6 e A r c g S V K S 3 O s C n Q R Y i R U 3 k p L R m J V h q w h j D 3 Y L H 0 g h 7 l H i M R B J B J i T T K Q h f O p t J j f D Z k g k T h v J x P K M G f i A N M 4 H p P 6 u 9 / / C / l Z B d 7 M 2 P S E M r h 0 + Q l 3 N x A H R L K T S h H J U v s U m U x + V 0 2 c m i u T 9 O r l K 9 q 1 u 1 2 u 2 Y m U S S r 9 q + G i P 3 / f T c c P N l N 9 Z b r / 3 q 2 X M Z q O F v F n A n Q T p F q C O 7 a K b G l 1 E Z 1 e y s w 1 J O Q X L y q f l p b r V l o F k M Y W C 4 l U 3 i 6 h s l o R c Q / m S E j r W M 2 b Q C a O m U w x n i 8 p M o F U s O b l 0 R / + c 3 P O m T L h u v V q a x A K u P j N Q + 5 q W j I J s Q y p 9 J w q R S h F K q R 3 l i d o T 2 2 C H j 1 6 T I c P H + J 7 7 Y S y i J Q Z y 6 u K a D K U o L 9 + 9 5 R K d u y i w m L r Q Q B 2 c B / G q 6 Q F 6 N Q 6 m U q n y t D 5 O S W / e N F 5 X a 7 S K A Y 5 V I y E u S b l a W o f A t Q 6 n Z Z Y q X l p Z N K x U v O w A A z D A w g G C Y W 5 k 5 Z I R s 1 j Y u G x q 7 / / z 3 + T z 7 M V w I Q a V L W / R X D 9 + n M K B O c 0 o d S J S U I s T S p D K K P 2 I f 3 R n q i k s a Z U U V m u y z l o U o E / S K f H g H p F d P O N j 4 K z 5 m m M u j w F 3 Q S p y J 7 X O R B B x 1 J m r i E h v y Y t K U m n 8 q m g i C J B k y Z V J n k Q R u U N g a Q M p I F B w q b m W X M n k A o x 5 k l I K z L B K F F f V 0 u / / Z e / x w f d M t h y h A L u 3 + u h o Z H p D F L B t K 4 I J e Q C Y T S 5 v C y V 3 t s d p U c P H t O R o 4 f V t V T A O 6 o 0 e M I p H a t y k + a + S N / 3 L H J c m L S C a g q V t J o F H d y K b W k O k k M s a V 1 m C 1 b e E M i W t 5 H K q H f I K 6 k E w v A 1 Q y A u M y Q y h F J z J 0 g m T S J N J p c r S R 2 d u + j C F 9 n 3 f m 1 m u G 5 v Q U I B k 5 N B u s b S i l m j S K X n U 4 p M 8 y X V e 7 v w F P Z p K t c P R Q P E z I 4 f T S 4 p 4 x j H e o G E B n j Y W / e 7 h b d j c B + 2 Q W f A h V R a p / S N 6 P R y 1 d y D 6 6 k y n d Z x e r A I p L Z x W H m j 2 t n T K S L p t N 0 0 j r m S I p O 2 5 I F c n M Z O 5 d / + 0 6 + o d k d u 7 r h d K 1 y 3 X 2 9 N Q g H o K F 9 9 d Y c 7 A 8 h h m 1 d J O p 1 U e R 4 X 7 e a 5 1 N x U P z U 2 N a r 5 l i G S / F p p n E L 0 c i w P S c n r F 4 G V s p D e A C C D S Z k 0 O n 2 q h C P k 1 U 0 S I y / 3 6 L Q O c v + y T e Q 6 z 0 G k F Y i D s p R U M m m Q h 2 N N I q X m R f l f J a i g s I B + 9 / t / l r W 3 r Q m i / w / 7 4 g C A r J F + Z A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 G u i d = " 2 e b b a 8 3 9 - 9 4 8 9 - 4 2 b 0 - b 7 c a - 3 2 6 c 6 0 b 7 6 f 0 2 "   R e v = " 1 "   R e v G u i d = " a 9 3 1 2 d b a - d 7 4 4 - 4 9 1 2 - 8 0 2 d - c f 0 c e 6 e 0 9 a a 2 " 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D5F29201-0854-4FC1-BB6D-34C608392F86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666999F5-E300-4BF1-BA9A-406AB1D5AD77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3</vt:i4>
      </vt:variant>
    </vt:vector>
  </HeadingPairs>
  <TitlesOfParts>
    <vt:vector size="18" baseType="lpstr">
      <vt:lpstr>Instruções</vt:lpstr>
      <vt:lpstr>Decisões</vt:lpstr>
      <vt:lpstr>Parâmetros</vt:lpstr>
      <vt:lpstr>Financiamento</vt:lpstr>
      <vt:lpstr>Plano de Contas</vt:lpstr>
      <vt:lpstr>Lançamentos e Razonetes</vt:lpstr>
      <vt:lpstr>Estoque de MP</vt:lpstr>
      <vt:lpstr>Estoque de PA</vt:lpstr>
      <vt:lpstr>Salários</vt:lpstr>
      <vt:lpstr>Tributos</vt:lpstr>
      <vt:lpstr>QUADIST</vt:lpstr>
      <vt:lpstr>Preço de Venda</vt:lpstr>
      <vt:lpstr>Balanço Patrimonial</vt:lpstr>
      <vt:lpstr>DRE</vt:lpstr>
      <vt:lpstr>Indicadores</vt:lpstr>
      <vt:lpstr>Financiamento!Area_de_impressao</vt:lpstr>
      <vt:lpstr>PriceTudo</vt:lpstr>
      <vt:lpstr>Financiamento!Titulos_de_impressao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2018-11-30T01:44:02Z</dcterms:modified>
</cp:coreProperties>
</file>