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0 - graduação\0 - 2º semestre 2018\CONTAB CUSTOS - ECEC\"/>
    </mc:Choice>
  </mc:AlternateContent>
  <bookViews>
    <workbookView xWindow="0" yWindow="0" windowWidth="15360" windowHeight="7620" firstSheet="8" activeTab="10"/>
  </bookViews>
  <sheets>
    <sheet name="EXEMPLO DEPRECIAÇÃO" sheetId="1" r:id="rId1"/>
    <sheet name="EXEMPLO COMÉRCIO DE LIVROS" sheetId="2" r:id="rId2"/>
    <sheet name="CIA ROLIÇA" sheetId="3" r:id="rId3"/>
    <sheet name="CIA ANIEL" sheetId="5" r:id="rId4"/>
    <sheet name="CIA GB" sheetId="6" r:id="rId5"/>
    <sheet name="Cia Porto Eucalipto " sheetId="4" r:id="rId6"/>
    <sheet name="Demonstrações Cia Porto " sheetId="7" r:id="rId7"/>
    <sheet name="Cia Dobra e Fecha" sheetId="8" r:id="rId8"/>
    <sheet name="CIA SÃO TOMÉ" sheetId="10" r:id="rId9"/>
    <sheet name="EXEMPLO CPC17" sheetId="11" r:id="rId10"/>
    <sheet name="EXERCÍCIO CPC17 (1)" sheetId="12" r:id="rId11"/>
    <sheet name="Planilha1" sheetId="9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2" l="1"/>
  <c r="G26" i="12"/>
  <c r="G28" i="12" s="1"/>
  <c r="F26" i="12"/>
  <c r="E26" i="12"/>
  <c r="D26" i="12"/>
  <c r="D28" i="12" s="1"/>
  <c r="H28" i="12"/>
  <c r="F28" i="12"/>
  <c r="E28" i="12"/>
  <c r="H29" i="12"/>
  <c r="G29" i="12"/>
  <c r="F29" i="12"/>
  <c r="E29" i="12"/>
  <c r="D29" i="12"/>
  <c r="H33" i="12"/>
  <c r="G33" i="12"/>
  <c r="F33" i="12"/>
  <c r="E33" i="12"/>
  <c r="D33" i="12"/>
  <c r="G32" i="12"/>
  <c r="H32" i="12" s="1"/>
  <c r="F32" i="12"/>
  <c r="E32" i="12"/>
  <c r="D32" i="12"/>
  <c r="C33" i="12"/>
  <c r="C29" i="12"/>
  <c r="C28" i="12"/>
  <c r="H14" i="12"/>
  <c r="H15" i="12" s="1"/>
  <c r="G14" i="12"/>
  <c r="G15" i="12" s="1"/>
  <c r="F14" i="12"/>
  <c r="E14" i="12"/>
  <c r="D14" i="12"/>
  <c r="H13" i="12"/>
  <c r="G13" i="12"/>
  <c r="F13" i="12"/>
  <c r="F15" i="12" s="1"/>
  <c r="E13" i="12"/>
  <c r="E15" i="12" s="1"/>
  <c r="D13" i="12"/>
  <c r="H12" i="12"/>
  <c r="G12" i="12"/>
  <c r="F12" i="12"/>
  <c r="E12" i="12"/>
  <c r="D12" i="12"/>
  <c r="I19" i="12" l="1"/>
  <c r="I20" i="12" s="1"/>
  <c r="I18" i="12"/>
  <c r="I17" i="12"/>
  <c r="H20" i="12"/>
  <c r="G20" i="12"/>
  <c r="F20" i="12"/>
  <c r="E20" i="12"/>
  <c r="J20" i="12" s="1"/>
  <c r="H19" i="12"/>
  <c r="G19" i="12"/>
  <c r="F19" i="12"/>
  <c r="E19" i="12"/>
  <c r="D19" i="12"/>
  <c r="H18" i="12"/>
  <c r="G18" i="12"/>
  <c r="F18" i="12"/>
  <c r="E18" i="12"/>
  <c r="D18" i="12"/>
  <c r="D20" i="12" s="1"/>
  <c r="H17" i="12"/>
  <c r="G17" i="12"/>
  <c r="F17" i="12"/>
  <c r="E17" i="12"/>
  <c r="D17" i="12"/>
  <c r="D8" i="12"/>
  <c r="D9" i="12" s="1"/>
  <c r="D5" i="12"/>
  <c r="D6" i="12" s="1"/>
  <c r="E15" i="11"/>
  <c r="D15" i="11"/>
  <c r="E13" i="11"/>
  <c r="F4" i="11"/>
  <c r="E8" i="12" l="1"/>
  <c r="E5" i="12"/>
  <c r="D22" i="12"/>
  <c r="D15" i="12"/>
  <c r="E6" i="12" l="1"/>
  <c r="F5" i="12"/>
  <c r="F8" i="12"/>
  <c r="E9" i="12"/>
  <c r="E21" i="12"/>
  <c r="E22" i="12" s="1"/>
  <c r="F6" i="12" l="1"/>
  <c r="G5" i="12"/>
  <c r="G8" i="12"/>
  <c r="F9" i="12"/>
  <c r="F21" i="12"/>
  <c r="F22" i="12" s="1"/>
  <c r="G6" i="12" l="1"/>
  <c r="H5" i="12"/>
  <c r="H6" i="12" s="1"/>
  <c r="H8" i="12"/>
  <c r="H9" i="12" s="1"/>
  <c r="G9" i="12"/>
  <c r="G21" i="12"/>
  <c r="G22" i="12" s="1"/>
  <c r="H21" i="12" s="1"/>
  <c r="H22" i="12" s="1"/>
  <c r="I21" i="12" s="1"/>
  <c r="I22" i="12" s="1"/>
  <c r="E32" i="11" l="1"/>
  <c r="C35" i="11"/>
  <c r="F24" i="11"/>
  <c r="E24" i="11"/>
  <c r="D24" i="11"/>
  <c r="C24" i="11"/>
  <c r="F23" i="11"/>
  <c r="E23" i="11"/>
  <c r="D23" i="11"/>
  <c r="C23" i="11"/>
  <c r="C25" i="11" s="1"/>
  <c r="F25" i="11"/>
  <c r="E22" i="11"/>
  <c r="D22" i="11"/>
  <c r="C22" i="11"/>
  <c r="C19" i="11"/>
  <c r="E17" i="11"/>
  <c r="D17" i="11"/>
  <c r="C17" i="11"/>
  <c r="C11" i="11"/>
  <c r="D11" i="11" s="1"/>
  <c r="E11" i="11" s="1"/>
  <c r="F11" i="11" s="1"/>
  <c r="F12" i="11" s="1"/>
  <c r="C14" i="11"/>
  <c r="C15" i="11" s="1"/>
  <c r="C18" i="11" s="1"/>
  <c r="C20" i="11" s="1"/>
  <c r="C36" i="11" s="1"/>
  <c r="D19" i="11"/>
  <c r="E19" i="11"/>
  <c r="C27" i="11" l="1"/>
  <c r="D26" i="11" s="1"/>
  <c r="C37" i="11"/>
  <c r="D25" i="11"/>
  <c r="D14" i="11"/>
  <c r="D18" i="11" s="1"/>
  <c r="D20" i="11" s="1"/>
  <c r="D36" i="11" s="1"/>
  <c r="E12" i="11"/>
  <c r="C12" i="11"/>
  <c r="D12" i="11"/>
  <c r="E14" i="11"/>
  <c r="E18" i="11" s="1"/>
  <c r="E20" i="11" s="1"/>
  <c r="E35" i="10"/>
  <c r="D35" i="10"/>
  <c r="C35" i="10"/>
  <c r="I24" i="10"/>
  <c r="I23" i="10"/>
  <c r="I22" i="10"/>
  <c r="H24" i="10"/>
  <c r="H23" i="10"/>
  <c r="H22" i="10"/>
  <c r="G24" i="10"/>
  <c r="G23" i="10"/>
  <c r="G22" i="10"/>
  <c r="F24" i="10"/>
  <c r="F23" i="10"/>
  <c r="F22" i="10"/>
  <c r="E24" i="10"/>
  <c r="E23" i="10"/>
  <c r="E22" i="10"/>
  <c r="D25" i="10"/>
  <c r="D24" i="10"/>
  <c r="D23" i="10"/>
  <c r="D22" i="10"/>
  <c r="C24" i="10"/>
  <c r="C23" i="10"/>
  <c r="C22" i="10"/>
  <c r="E34" i="10"/>
  <c r="D34" i="10"/>
  <c r="C34" i="10"/>
  <c r="E29" i="10"/>
  <c r="D29" i="10"/>
  <c r="C29" i="10"/>
  <c r="E28" i="10"/>
  <c r="D28" i="10"/>
  <c r="F28" i="10" s="1"/>
  <c r="C28" i="10"/>
  <c r="G18" i="10"/>
  <c r="G17" i="10"/>
  <c r="G16" i="10"/>
  <c r="F18" i="10"/>
  <c r="F17" i="10"/>
  <c r="F16" i="10"/>
  <c r="E18" i="10"/>
  <c r="E17" i="10"/>
  <c r="E16" i="10"/>
  <c r="D18" i="10"/>
  <c r="D17" i="10"/>
  <c r="D16" i="10"/>
  <c r="C18" i="10"/>
  <c r="C17" i="10"/>
  <c r="C16" i="10"/>
  <c r="C33" i="10"/>
  <c r="C27" i="10"/>
  <c r="I21" i="10"/>
  <c r="H21" i="10"/>
  <c r="G21" i="10"/>
  <c r="F21" i="10"/>
  <c r="E21" i="10"/>
  <c r="B19" i="10"/>
  <c r="F33" i="10" s="1"/>
  <c r="B18" i="10"/>
  <c r="E33" i="10" s="1"/>
  <c r="B17" i="10"/>
  <c r="D33" i="10" s="1"/>
  <c r="B16" i="10"/>
  <c r="B22" i="10" s="1"/>
  <c r="C13" i="10"/>
  <c r="D11" i="10" s="1"/>
  <c r="F12" i="10"/>
  <c r="F11" i="10"/>
  <c r="F10" i="10"/>
  <c r="C4" i="10"/>
  <c r="C7" i="10" s="1"/>
  <c r="C31" i="11" l="1"/>
  <c r="C33" i="11" s="1"/>
  <c r="D35" i="11"/>
  <c r="D37" i="11" s="1"/>
  <c r="E36" i="11"/>
  <c r="E37" i="11" s="1"/>
  <c r="D27" i="11"/>
  <c r="E25" i="11"/>
  <c r="G25" i="11" s="1"/>
  <c r="D13" i="10"/>
  <c r="D10" i="10"/>
  <c r="D12" i="10"/>
  <c r="B23" i="10"/>
  <c r="B24" i="10"/>
  <c r="B25" i="10"/>
  <c r="D27" i="10"/>
  <c r="C25" i="10"/>
  <c r="E27" i="10"/>
  <c r="F27" i="10"/>
  <c r="E26" i="11" l="1"/>
  <c r="E27" i="11" s="1"/>
  <c r="D31" i="11"/>
  <c r="D33" i="11" s="1"/>
  <c r="C19" i="10"/>
  <c r="F34" i="10"/>
  <c r="F26" i="11" l="1"/>
  <c r="F27" i="11" s="1"/>
  <c r="E31" i="11"/>
  <c r="E33" i="11" s="1"/>
  <c r="E25" i="10"/>
  <c r="E30" i="10"/>
  <c r="E31" i="10" s="1"/>
  <c r="D30" i="10"/>
  <c r="D31" i="10" s="1"/>
  <c r="F19" i="10"/>
  <c r="G19" i="10" l="1"/>
  <c r="E19" i="10"/>
  <c r="E36" i="10"/>
  <c r="E37" i="10" s="1"/>
  <c r="H25" i="10"/>
  <c r="D36" i="10"/>
  <c r="D37" i="10" s="1"/>
  <c r="I25" i="10" l="1"/>
  <c r="G25" i="10"/>
  <c r="F29" i="10"/>
  <c r="C30" i="10"/>
  <c r="F35" i="10" l="1"/>
  <c r="C36" i="10"/>
  <c r="F30" i="10"/>
  <c r="F31" i="10" s="1"/>
  <c r="C31" i="10"/>
  <c r="F36" i="10" l="1"/>
  <c r="F37" i="10" s="1"/>
  <c r="C37" i="10"/>
  <c r="D29" i="8" l="1"/>
  <c r="C29" i="8"/>
  <c r="C27" i="8"/>
  <c r="D26" i="8"/>
  <c r="E26" i="8" s="1"/>
  <c r="D25" i="8"/>
  <c r="C25" i="8"/>
  <c r="D24" i="8"/>
  <c r="C24" i="8"/>
  <c r="E24" i="8" s="1"/>
  <c r="E25" i="8"/>
  <c r="E23" i="8"/>
  <c r="E22" i="8"/>
  <c r="D18" i="8"/>
  <c r="C18" i="8"/>
  <c r="E18" i="8"/>
  <c r="E19" i="8" s="1"/>
  <c r="F18" i="8"/>
  <c r="F19" i="8" s="1"/>
  <c r="G19" i="8"/>
  <c r="C19" i="8"/>
  <c r="H18" i="8"/>
  <c r="H19" i="8" s="1"/>
  <c r="G18" i="8"/>
  <c r="D19" i="8"/>
  <c r="E16" i="8"/>
  <c r="E17" i="8" s="1"/>
  <c r="D16" i="8"/>
  <c r="D17" i="8" s="1"/>
  <c r="C16" i="8"/>
  <c r="C17" i="8"/>
  <c r="G16" i="8"/>
  <c r="G17" i="8" s="1"/>
  <c r="H17" i="8"/>
  <c r="F17" i="8"/>
  <c r="H16" i="8"/>
  <c r="F14" i="8"/>
  <c r="E14" i="8"/>
  <c r="D14" i="8"/>
  <c r="C14" i="8"/>
  <c r="C15" i="8" s="1"/>
  <c r="G14" i="8"/>
  <c r="I5" i="8"/>
  <c r="I4" i="8"/>
  <c r="I3" i="8"/>
  <c r="H2" i="8"/>
  <c r="G2" i="8"/>
  <c r="F2" i="8"/>
  <c r="E2" i="8"/>
  <c r="D2" i="8"/>
  <c r="C2" i="8"/>
  <c r="H14" i="8"/>
  <c r="H15" i="8"/>
  <c r="G15" i="8"/>
  <c r="F15" i="8"/>
  <c r="E15" i="8"/>
  <c r="D15" i="8"/>
  <c r="H13" i="8"/>
  <c r="G13" i="8"/>
  <c r="F13" i="8"/>
  <c r="I12" i="8"/>
  <c r="I11" i="8"/>
  <c r="I10" i="8"/>
  <c r="I9" i="8"/>
  <c r="E13" i="8"/>
  <c r="D13" i="8"/>
  <c r="C13" i="8"/>
  <c r="D27" i="8" l="1"/>
  <c r="I18" i="8"/>
  <c r="I19" i="8" s="1"/>
  <c r="I16" i="8"/>
  <c r="I17" i="8" s="1"/>
  <c r="I14" i="8"/>
  <c r="I15" i="8" s="1"/>
  <c r="I13" i="8"/>
  <c r="C20" i="7"/>
  <c r="C26" i="7" s="1"/>
  <c r="C8" i="7"/>
  <c r="C5" i="7"/>
  <c r="C6" i="7" s="1"/>
  <c r="C9" i="7" s="1"/>
  <c r="J12" i="4"/>
  <c r="J16" i="4" s="1"/>
  <c r="I12" i="4"/>
  <c r="I16" i="4" s="1"/>
  <c r="H12" i="4"/>
  <c r="K12" i="4" s="1"/>
  <c r="J11" i="4"/>
  <c r="I11" i="4"/>
  <c r="I18" i="4" s="1"/>
  <c r="H11" i="4"/>
  <c r="K11" i="4" s="1"/>
  <c r="J18" i="4" s="1"/>
  <c r="J9" i="4"/>
  <c r="I9" i="4"/>
  <c r="H9" i="4"/>
  <c r="J7" i="4"/>
  <c r="I7" i="4"/>
  <c r="H7" i="4"/>
  <c r="K6" i="4"/>
  <c r="K5" i="4"/>
  <c r="K4" i="4"/>
  <c r="K7" i="4" s="1"/>
  <c r="E27" i="8" l="1"/>
  <c r="C10" i="7"/>
  <c r="E18" i="7" s="1"/>
  <c r="E29" i="4"/>
  <c r="E18" i="4"/>
  <c r="J17" i="4"/>
  <c r="D31" i="4"/>
  <c r="D30" i="4"/>
  <c r="D28" i="4"/>
  <c r="D27" i="4"/>
  <c r="D20" i="4"/>
  <c r="E31" i="4"/>
  <c r="E30" i="4"/>
  <c r="E28" i="4"/>
  <c r="E27" i="4"/>
  <c r="E20" i="4"/>
  <c r="D18" i="4"/>
  <c r="D29" i="4"/>
  <c r="H18" i="4"/>
  <c r="H16" i="4"/>
  <c r="K9" i="4"/>
  <c r="I17" i="4" s="1"/>
  <c r="C11" i="7" l="1"/>
  <c r="E24" i="7" s="1"/>
  <c r="E26" i="7" s="1"/>
  <c r="E26" i="4"/>
  <c r="E25" i="4"/>
  <c r="E32" i="4" s="1"/>
  <c r="E19" i="4"/>
  <c r="D26" i="4"/>
  <c r="D25" i="4"/>
  <c r="D19" i="4"/>
  <c r="D21" i="4"/>
  <c r="E21" i="4"/>
  <c r="E36" i="4" s="1"/>
  <c r="E37" i="4" s="1"/>
  <c r="C18" i="4"/>
  <c r="C29" i="4"/>
  <c r="F29" i="4" s="1"/>
  <c r="C31" i="4"/>
  <c r="F31" i="4" s="1"/>
  <c r="C30" i="4"/>
  <c r="F30" i="4" s="1"/>
  <c r="C28" i="4"/>
  <c r="F28" i="4" s="1"/>
  <c r="C27" i="4"/>
  <c r="F27" i="4" s="1"/>
  <c r="C20" i="4"/>
  <c r="F20" i="4" s="1"/>
  <c r="H17" i="4"/>
  <c r="E39" i="4" l="1"/>
  <c r="E38" i="4"/>
  <c r="C26" i="4"/>
  <c r="F26" i="4" s="1"/>
  <c r="C25" i="4"/>
  <c r="C19" i="4"/>
  <c r="F19" i="4" s="1"/>
  <c r="C21" i="4"/>
  <c r="F18" i="4"/>
  <c r="F21" i="4" s="1"/>
  <c r="D32" i="4"/>
  <c r="D36" i="4" s="1"/>
  <c r="D37" i="4" s="1"/>
  <c r="D39" i="4" l="1"/>
  <c r="D38" i="4"/>
  <c r="C32" i="4"/>
  <c r="C36" i="4" s="1"/>
  <c r="F25" i="4"/>
  <c r="F32" i="4" s="1"/>
  <c r="C6" i="6"/>
  <c r="C9" i="6" s="1"/>
  <c r="C12" i="6" s="1"/>
  <c r="C16" i="6" s="1"/>
  <c r="C18" i="6" s="1"/>
  <c r="C22" i="6" s="1"/>
  <c r="C23" i="6" s="1"/>
  <c r="F36" i="4" l="1"/>
  <c r="C37" i="4"/>
  <c r="C24" i="6"/>
  <c r="C29" i="6" s="1"/>
  <c r="C30" i="6" s="1"/>
  <c r="C34" i="6" s="1"/>
  <c r="D34" i="5"/>
  <c r="C34" i="5"/>
  <c r="D26" i="5"/>
  <c r="C26" i="5"/>
  <c r="E26" i="5" s="1"/>
  <c r="C21" i="5"/>
  <c r="B31" i="5"/>
  <c r="B30" i="5"/>
  <c r="B29" i="5"/>
  <c r="B28" i="5"/>
  <c r="B27" i="5"/>
  <c r="D25" i="5"/>
  <c r="C25" i="5"/>
  <c r="D24" i="5"/>
  <c r="C24" i="5"/>
  <c r="E23" i="5"/>
  <c r="D23" i="5"/>
  <c r="C23" i="5"/>
  <c r="C16" i="5"/>
  <c r="E5" i="5"/>
  <c r="C31" i="5" s="1"/>
  <c r="E4" i="5"/>
  <c r="C39" i="4" l="1"/>
  <c r="F39" i="4" s="1"/>
  <c r="C38" i="4"/>
  <c r="F38" i="4" s="1"/>
  <c r="C25" i="6"/>
  <c r="C28" i="5"/>
  <c r="E25" i="5"/>
  <c r="D29" i="5"/>
  <c r="C30" i="5"/>
  <c r="E30" i="5" s="1"/>
  <c r="D31" i="5"/>
  <c r="E31" i="5" s="1"/>
  <c r="D28" i="5"/>
  <c r="E24" i="5"/>
  <c r="C27" i="5"/>
  <c r="D30" i="5"/>
  <c r="D27" i="5"/>
  <c r="C29" i="5"/>
  <c r="E29" i="5" s="1"/>
  <c r="C32" i="3"/>
  <c r="C22" i="3"/>
  <c r="I15" i="3"/>
  <c r="C21" i="3" s="1"/>
  <c r="C33" i="3" s="1"/>
  <c r="I13" i="3"/>
  <c r="E13" i="3"/>
  <c r="E14" i="3" s="1"/>
  <c r="E17" i="3" s="1"/>
  <c r="C13" i="3"/>
  <c r="F12" i="3"/>
  <c r="C27" i="3" s="1"/>
  <c r="E12" i="3"/>
  <c r="H12" i="3" s="1"/>
  <c r="C12" i="3"/>
  <c r="C14" i="3" s="1"/>
  <c r="C17" i="3" s="1"/>
  <c r="C3" i="3"/>
  <c r="E28" i="5" l="1"/>
  <c r="E27" i="5"/>
  <c r="C32" i="5"/>
  <c r="D32" i="5"/>
  <c r="I12" i="3"/>
  <c r="I14" i="3" s="1"/>
  <c r="C30" i="3"/>
  <c r="C34" i="3"/>
  <c r="C35" i="3" s="1"/>
  <c r="H13" i="3"/>
  <c r="H14" i="3" s="1"/>
  <c r="H17" i="3" s="1"/>
  <c r="F14" i="3"/>
  <c r="F17" i="3" s="1"/>
  <c r="E17" i="2"/>
  <c r="D17" i="2"/>
  <c r="C17" i="2"/>
  <c r="E24" i="2"/>
  <c r="D24" i="2"/>
  <c r="C24" i="2"/>
  <c r="D26" i="2"/>
  <c r="E26" i="2" s="1"/>
  <c r="D21" i="2"/>
  <c r="E21" i="2" s="1"/>
  <c r="E15" i="2"/>
  <c r="D15" i="2"/>
  <c r="C15" i="2"/>
  <c r="E14" i="2"/>
  <c r="D14" i="2"/>
  <c r="C14" i="2"/>
  <c r="C23" i="2" s="1"/>
  <c r="E8" i="2"/>
  <c r="D8" i="2"/>
  <c r="E7" i="2"/>
  <c r="E9" i="2" s="1"/>
  <c r="D7" i="2"/>
  <c r="C8" i="2"/>
  <c r="C9" i="2" s="1"/>
  <c r="C11" i="2" s="1"/>
  <c r="D10" i="2" s="1"/>
  <c r="E6" i="2"/>
  <c r="E13" i="2" s="1"/>
  <c r="D6" i="2"/>
  <c r="D13" i="2" s="1"/>
  <c r="C6" i="2"/>
  <c r="C13" i="2" s="1"/>
  <c r="E32" i="5" l="1"/>
  <c r="C20" i="3"/>
  <c r="C23" i="3" s="1"/>
  <c r="I17" i="3"/>
  <c r="C22" i="2"/>
  <c r="C25" i="2" s="1"/>
  <c r="D23" i="2"/>
  <c r="E16" i="2"/>
  <c r="E18" i="2" s="1"/>
  <c r="C16" i="2"/>
  <c r="C18" i="2" s="1"/>
  <c r="C28" i="2" s="1"/>
  <c r="D16" i="2"/>
  <c r="D18" i="2" s="1"/>
  <c r="D9" i="2"/>
  <c r="D11" i="2" s="1"/>
  <c r="F21" i="1"/>
  <c r="F16" i="1"/>
  <c r="E20" i="1"/>
  <c r="E21" i="1" s="1"/>
  <c r="C19" i="1"/>
  <c r="C21" i="1" s="1"/>
  <c r="D21" i="1"/>
  <c r="E9" i="1"/>
  <c r="D9" i="1"/>
  <c r="C9" i="1"/>
  <c r="C5" i="1"/>
  <c r="C10" i="1" s="1"/>
  <c r="D10" i="1" s="1"/>
  <c r="C29" i="2" l="1"/>
  <c r="D28" i="2"/>
  <c r="E10" i="2"/>
  <c r="E11" i="2" s="1"/>
  <c r="E22" i="2" s="1"/>
  <c r="E25" i="2" s="1"/>
  <c r="D22" i="2"/>
  <c r="D25" i="2" s="1"/>
  <c r="E23" i="2"/>
  <c r="C14" i="1"/>
  <c r="C16" i="1" s="1"/>
  <c r="E14" i="1"/>
  <c r="D14" i="1"/>
  <c r="E16" i="1"/>
  <c r="D16" i="1"/>
  <c r="E10" i="1"/>
  <c r="E11" i="1" s="1"/>
  <c r="E15" i="1" s="1"/>
  <c r="D11" i="1"/>
  <c r="C11" i="1"/>
  <c r="D29" i="2" l="1"/>
  <c r="E28" i="2"/>
  <c r="E29" i="2" s="1"/>
</calcChain>
</file>

<file path=xl/comments1.xml><?xml version="1.0" encoding="utf-8"?>
<comments xmlns="http://schemas.openxmlformats.org/spreadsheetml/2006/main">
  <authors>
    <author>Roni Cleber Bonizio</author>
  </authors>
  <commentList>
    <comment ref="E11" authorId="0" shapeId="0">
      <text>
        <r>
          <rPr>
            <b/>
            <sz val="9"/>
            <color indexed="81"/>
            <rFont val="Segoe UI"/>
            <family val="2"/>
          </rPr>
          <t>Valor registrado no ativo antes do momento da venda</t>
        </r>
      </text>
    </comment>
  </commentList>
</comments>
</file>

<file path=xl/comments2.xml><?xml version="1.0" encoding="utf-8"?>
<comments xmlns="http://schemas.openxmlformats.org/spreadsheetml/2006/main">
  <authors>
    <author>Roni Cleber Bonizio</author>
  </authors>
  <commentList>
    <comment ref="C11" authorId="0" shapeId="0">
      <text>
        <r>
          <rPr>
            <b/>
            <sz val="9"/>
            <color indexed="81"/>
            <rFont val="Segoe UI"/>
            <family val="2"/>
          </rPr>
          <t>Custo histórico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</rPr>
          <t>Custo histórico corrigido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</rPr>
          <t>Custo de reposição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Custo histórico corrigido</t>
        </r>
      </text>
    </comment>
    <comment ref="I11" authorId="0" shapeId="0">
      <text>
        <r>
          <rPr>
            <b/>
            <sz val="9"/>
            <color indexed="81"/>
            <rFont val="Segoe UI"/>
            <family val="2"/>
          </rPr>
          <t>Custo de reposição</t>
        </r>
      </text>
    </comment>
    <comment ref="B33" authorId="0" shapeId="0">
      <text>
        <r>
          <rPr>
            <b/>
            <sz val="9"/>
            <color indexed="81"/>
            <rFont val="Segoe UI"/>
            <family val="2"/>
          </rPr>
          <t>Reserva para manutenção do capital físico</t>
        </r>
      </text>
    </comment>
  </commentList>
</comments>
</file>

<file path=xl/comments3.xml><?xml version="1.0" encoding="utf-8"?>
<comments xmlns="http://schemas.openxmlformats.org/spreadsheetml/2006/main">
  <authors>
    <author>Roni Cleber Bonizio</author>
  </authors>
  <commentList>
    <comment ref="B15" authorId="0" shapeId="0">
      <text>
        <r>
          <rPr>
            <b/>
            <sz val="9"/>
            <color indexed="81"/>
            <rFont val="Segoe UI"/>
            <family val="2"/>
          </rPr>
          <t>Apropriação dos custos conjuntos aos produtos na proporção do volume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APROPRIAÇÃO DOS CUSTOS COM BASE NO VOLUME</t>
        </r>
      </text>
    </comment>
    <comment ref="B33" authorId="0" shapeId="0">
      <text>
        <r>
          <rPr>
            <b/>
            <sz val="9"/>
            <color indexed="81"/>
            <rFont val="Segoe UI"/>
            <family val="2"/>
          </rPr>
          <t>APROPRIAÇÃO DOS CUSTOS COM BASE NO PREÇO DE MERCADO</t>
        </r>
      </text>
    </comment>
  </commentList>
</comments>
</file>

<file path=xl/sharedStrings.xml><?xml version="1.0" encoding="utf-8"?>
<sst xmlns="http://schemas.openxmlformats.org/spreadsheetml/2006/main" count="405" uniqueCount="259">
  <si>
    <t>01/01/X1 - compra equipamento à vista</t>
  </si>
  <si>
    <t>Vida útil estimada (anos)</t>
  </si>
  <si>
    <t>Valor residual ao final da vida útil</t>
  </si>
  <si>
    <t>Depreciação anual</t>
  </si>
  <si>
    <t>ATIVO</t>
  </si>
  <si>
    <t>31/12/X1</t>
  </si>
  <si>
    <t>31/12/X2</t>
  </si>
  <si>
    <t>31/12/X3</t>
  </si>
  <si>
    <t>Imobilizado (equipamentos)</t>
  </si>
  <si>
    <t>(-) Depreciação acumulada</t>
  </si>
  <si>
    <t>TOTAL</t>
  </si>
  <si>
    <t>RESULTADO</t>
  </si>
  <si>
    <t>ANO X1</t>
  </si>
  <si>
    <t>ANO X2</t>
  </si>
  <si>
    <t>ANO X3</t>
  </si>
  <si>
    <t>(-) Despesa de depreciação</t>
  </si>
  <si>
    <t>31/12/X3 - venda equipamento à vista</t>
  </si>
  <si>
    <t>(+/-) Resultado da venda do imobilizado</t>
  </si>
  <si>
    <t>CAIXA</t>
  </si>
  <si>
    <t>(-) Compra do equipamento</t>
  </si>
  <si>
    <t>(+) Venda do equipamento</t>
  </si>
  <si>
    <t>ABR</t>
  </si>
  <si>
    <t>MAI</t>
  </si>
  <si>
    <t>JUN</t>
  </si>
  <si>
    <t>Compra livros à vista</t>
  </si>
  <si>
    <r>
      <t xml:space="preserve">Venda de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 (5 vezes, sem entrada)</t>
    </r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</si>
  <si>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</si>
  <si>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</si>
  <si>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</si>
  <si>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</si>
  <si>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</si>
  <si>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</si>
  <si>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Receita de venda dos livros</t>
  </si>
  <si>
    <t>(-) Custo dos livros vendidos (CMV)</t>
  </si>
  <si>
    <t>(=) Lucro bruto</t>
  </si>
  <si>
    <t>(=) Lucro líquido</t>
  </si>
  <si>
    <t>ASPECTO ECONÔMICO (DESEMPENHO)</t>
  </si>
  <si>
    <t>ASPECTO FINANCEIRO (FÔLEGO)</t>
  </si>
  <si>
    <t>BALANÇOS PATRIMONIAIS</t>
  </si>
  <si>
    <t>Disponibilidades</t>
  </si>
  <si>
    <t>Contas a receber de clientes</t>
  </si>
  <si>
    <t>P+PL</t>
  </si>
  <si>
    <t>Capital social</t>
  </si>
  <si>
    <t>Reservas (lucros reinvestidos)</t>
  </si>
  <si>
    <t>(-) PECLD</t>
  </si>
  <si>
    <t>ASPECTO PATRIMONIAL</t>
  </si>
  <si>
    <t>20/3 - Integralização de capital</t>
  </si>
  <si>
    <t>20/3 - Compra de mercadorias à vista</t>
  </si>
  <si>
    <t>20/11 - venda de todas as mercadorias à vista</t>
  </si>
  <si>
    <t>Inflação entre 20/3 e 20/11 foi de 40%</t>
  </si>
  <si>
    <t>Inflação entre 20/11 e 31/12 foi de 10%</t>
  </si>
  <si>
    <t>Custo de reposição em 20/11 - $2.200</t>
  </si>
  <si>
    <t>Entre 20/11 e 31/12 o dinheiro permaneceu no caixa</t>
  </si>
  <si>
    <t>$ DE 20/11</t>
  </si>
  <si>
    <t>$ DE 31/12</t>
  </si>
  <si>
    <t>CH</t>
  </si>
  <si>
    <t>CHC</t>
  </si>
  <si>
    <t>CR</t>
  </si>
  <si>
    <t>Receita de venda</t>
  </si>
  <si>
    <t>(-) CMV</t>
  </si>
  <si>
    <t>(+) Ganho de estocagem</t>
  </si>
  <si>
    <t>(-) Perda no caixa</t>
  </si>
  <si>
    <t>RESULTADO DO PERÍODO (EM $ DE 31/12)</t>
  </si>
  <si>
    <t>Da comercialização de mercadorias</t>
  </si>
  <si>
    <t>Da estocagem</t>
  </si>
  <si>
    <t>Da gestão do caixa</t>
  </si>
  <si>
    <t>BALANÇO PATRIMONIAL EM 31/12 ($ DE 31/12)</t>
  </si>
  <si>
    <t>PL</t>
  </si>
  <si>
    <t>Reserva</t>
  </si>
  <si>
    <t>Lucro disponível</t>
  </si>
  <si>
    <t>SABÃO PÓ</t>
  </si>
  <si>
    <t>SABÃO LÍQUIDO</t>
  </si>
  <si>
    <t>DADOS FÍSICOS</t>
  </si>
  <si>
    <t>Quantidade produzida (unidades)</t>
  </si>
  <si>
    <t>Matéria prima (kg)</t>
  </si>
  <si>
    <t>Horas de MOD</t>
  </si>
  <si>
    <t>DADOS FINANCEIROS</t>
  </si>
  <si>
    <t>$</t>
  </si>
  <si>
    <t>Custo da MP ($/kg)</t>
  </si>
  <si>
    <t>Custo da MOD ($/h)</t>
  </si>
  <si>
    <t>Custos indiretos de produção ($ no período)</t>
  </si>
  <si>
    <t>Supervisão da produção</t>
  </si>
  <si>
    <t>Depreciaç equipam produção</t>
  </si>
  <si>
    <t>Aluguel galpão industrial</t>
  </si>
  <si>
    <t>Seguro equipam produção</t>
  </si>
  <si>
    <t>Energia elétrica da produção</t>
  </si>
  <si>
    <t>CUSTOS DE PRODUÇÃO</t>
  </si>
  <si>
    <t>Matéria prima</t>
  </si>
  <si>
    <t>MOD</t>
  </si>
  <si>
    <t>CUSTOS DIRETOS</t>
  </si>
  <si>
    <t>CUSTOS INDIRETOS</t>
  </si>
  <si>
    <r>
      <t xml:space="preserve">Depreciaç equipam </t>
    </r>
    <r>
      <rPr>
        <b/>
        <u/>
        <sz val="11"/>
        <color theme="3" tint="-0.499984740745262"/>
        <rFont val="Calibri"/>
        <family val="2"/>
        <scheme val="minor"/>
      </rPr>
      <t>especial</t>
    </r>
  </si>
  <si>
    <t>EQUIPAMENTO ESPECIAL</t>
  </si>
  <si>
    <t>Custo de aquisição</t>
  </si>
  <si>
    <t>Capacidade de produç (kg de MP processada)</t>
  </si>
  <si>
    <t>Depreciação ($/kg de MP process)</t>
  </si>
  <si>
    <t>Custo unitário de produção</t>
  </si>
  <si>
    <t>Saldo inicial</t>
  </si>
  <si>
    <t>ESTOQUE DE MATÉRIA PRIMA ($)</t>
  </si>
  <si>
    <t>(+) Compras de MP</t>
  </si>
  <si>
    <t>(-) Estoque final de MP</t>
  </si>
  <si>
    <t>(=) Custo da MP utilizada</t>
  </si>
  <si>
    <t>CUSTO DE PRODUÇÃO DO PERÍODO ($)</t>
  </si>
  <si>
    <t>Custo da MP utilizada</t>
  </si>
  <si>
    <t>Mão de obra direta</t>
  </si>
  <si>
    <t>Custos indiretos de fabricação</t>
  </si>
  <si>
    <t>ESTOQUE DE PRODUTOS EM ELABORAÇÃO ($)</t>
  </si>
  <si>
    <t>(+) Custo da produção do período</t>
  </si>
  <si>
    <t>(-) Saldo final</t>
  </si>
  <si>
    <t>(=) Custo da produção acabada</t>
  </si>
  <si>
    <t>ESTOQUE DE PRODUTOS ACABADOS ($)</t>
  </si>
  <si>
    <t>(+) Custo da produção acabada</t>
  </si>
  <si>
    <t>Saldo final</t>
  </si>
  <si>
    <t>* Cap 13</t>
  </si>
  <si>
    <t>(-) Baixa pela venda (CPV)</t>
  </si>
  <si>
    <t>RESULTADO DO PERÍODO ($)</t>
  </si>
  <si>
    <t>(-) CPV</t>
  </si>
  <si>
    <t>(-) Despesa administrativa</t>
  </si>
  <si>
    <t>(-) Despesa financeira</t>
  </si>
  <si>
    <t>(-) Despesa comercial</t>
  </si>
  <si>
    <t>(=) Lucro antes do IR/CSSLL</t>
  </si>
  <si>
    <t>(=) Custo dos produtos disponíveis para a venda</t>
  </si>
  <si>
    <t>31/12/X1 ($ mil)</t>
  </si>
  <si>
    <t>DADOS</t>
  </si>
  <si>
    <t>X</t>
  </si>
  <si>
    <t>Y</t>
  </si>
  <si>
    <t>Z</t>
  </si>
  <si>
    <t>Matéria prima consumida</t>
  </si>
  <si>
    <t>Estoque de produtos acabados</t>
  </si>
  <si>
    <t>Produção ( em unidades)</t>
  </si>
  <si>
    <t>Vendas ( em unidades)</t>
  </si>
  <si>
    <t>Estoque final de produtos acabados</t>
  </si>
  <si>
    <t>Aluguel da fábrica</t>
  </si>
  <si>
    <t xml:space="preserve">Tempo MOD ( em unidades) </t>
  </si>
  <si>
    <t>Consumo de lubrif equip produç</t>
  </si>
  <si>
    <t>Tempo de MOD total</t>
  </si>
  <si>
    <t>Manutenç prev equipam produç</t>
  </si>
  <si>
    <t>Tempo de maquina ( em unidades)</t>
  </si>
  <si>
    <t>Superv almoxarif de MP</t>
  </si>
  <si>
    <t xml:space="preserve">Tempo de maquina total </t>
  </si>
  <si>
    <t>Depreciaç equipam produç</t>
  </si>
  <si>
    <t>Matéria prima ( em kg)</t>
  </si>
  <si>
    <t>Seguro equipam da fábrica</t>
  </si>
  <si>
    <t>% Matéria prima por produto</t>
  </si>
  <si>
    <t>CUSTOS DIRETOS DE PRODUÇÃO ($ mil)</t>
  </si>
  <si>
    <t>% MOD por produto</t>
  </si>
  <si>
    <t>MP</t>
  </si>
  <si>
    <t>% Maquina por produto</t>
  </si>
  <si>
    <t>MAQ</t>
  </si>
  <si>
    <t>CUSTOS INDIRETOS DE PRODUÇÃO ($ mil)</t>
  </si>
  <si>
    <t>CUSTO TOTAL DE PRODUÇÃO  ($ mil)</t>
  </si>
  <si>
    <t>Custo unitário</t>
  </si>
  <si>
    <t>CPV ($ mil)</t>
  </si>
  <si>
    <t>Estoque final de produtos acabados ($ mil)</t>
  </si>
  <si>
    <t>DRE - ANO X1 ($ mil)</t>
  </si>
  <si>
    <t>Receita de vendas</t>
  </si>
  <si>
    <t>(=) Lubro Bruto</t>
  </si>
  <si>
    <t>(=) LAIR</t>
  </si>
  <si>
    <t>(-) IR 30%</t>
  </si>
  <si>
    <t>Lucro Líquido</t>
  </si>
  <si>
    <t xml:space="preserve">BALANÇO PATRIMONIAL EM 31/12/X1 - ($ mil) </t>
  </si>
  <si>
    <t>PASSIVO + PL</t>
  </si>
  <si>
    <t>Circulante</t>
  </si>
  <si>
    <t>IR a pagar</t>
  </si>
  <si>
    <t>Clientes</t>
  </si>
  <si>
    <t xml:space="preserve">Emprestimo </t>
  </si>
  <si>
    <t>Estoque matéria prima</t>
  </si>
  <si>
    <t>Não circulante</t>
  </si>
  <si>
    <t xml:space="preserve">Equipamentos </t>
  </si>
  <si>
    <t>Veículos</t>
  </si>
  <si>
    <t>(-) Depreciação Acumulado</t>
  </si>
  <si>
    <t>Materiais indiretos</t>
  </si>
  <si>
    <t>Energia elétrica</t>
  </si>
  <si>
    <t>Mão de obra indireta</t>
  </si>
  <si>
    <t>Aluguel</t>
  </si>
  <si>
    <t>Estamp</t>
  </si>
  <si>
    <t>Furação</t>
  </si>
  <si>
    <t>Montagem</t>
  </si>
  <si>
    <t>PRODUÇÃO</t>
  </si>
  <si>
    <t>Almox</t>
  </si>
  <si>
    <t>Manutenç</t>
  </si>
  <si>
    <t>ADM prod</t>
  </si>
  <si>
    <t>APOIO (SERVIÇOS)</t>
  </si>
  <si>
    <t>Rateio da ADM da produç</t>
  </si>
  <si>
    <t>Número de funcionários</t>
  </si>
  <si>
    <t>Rateio da manutenção</t>
  </si>
  <si>
    <t>Horas máquina</t>
  </si>
  <si>
    <t>Rateio do almoxarifado</t>
  </si>
  <si>
    <t>Número de requisições</t>
  </si>
  <si>
    <t>CUSTOS TOTAIS DE PRODUÇ</t>
  </si>
  <si>
    <t>DOBRAD</t>
  </si>
  <si>
    <t>FECHAD</t>
  </si>
  <si>
    <t>Materiais diretos</t>
  </si>
  <si>
    <t>Estamparia</t>
  </si>
  <si>
    <t>Unidades produzidas</t>
  </si>
  <si>
    <t>CUSTO UNITÁRIO</t>
  </si>
  <si>
    <t>Milho processado no período (kg)</t>
  </si>
  <si>
    <t>Custo de aquisição ($/kg)</t>
  </si>
  <si>
    <t>Custo de aquisição ($ totais)</t>
  </si>
  <si>
    <t>Custo da mão de obra do período</t>
  </si>
  <si>
    <t>Custos indiretos de fabricação do período</t>
  </si>
  <si>
    <t>Custo total de produção</t>
  </si>
  <si>
    <t>Co-produtos</t>
  </si>
  <si>
    <t>Produção (kg)</t>
  </si>
  <si>
    <t>Produção (%)</t>
  </si>
  <si>
    <t>Vendas (kg)</t>
  </si>
  <si>
    <t>Estq final (kg)</t>
  </si>
  <si>
    <t>Preço</t>
  </si>
  <si>
    <t>Quirera</t>
  </si>
  <si>
    <t>Fubá</t>
  </si>
  <si>
    <t>Germe</t>
  </si>
  <si>
    <t>CO-PRODUTOS</t>
  </si>
  <si>
    <t>CUSTO PRODUÇÃO</t>
  </si>
  <si>
    <t>CST UNITÁRIO</t>
  </si>
  <si>
    <t>CPV</t>
  </si>
  <si>
    <t>EST FINAL</t>
  </si>
  <si>
    <t>REC VDA TOTAL</t>
  </si>
  <si>
    <t>Margem de lucro %</t>
  </si>
  <si>
    <t>Construção de uma obra por encomenda</t>
  </si>
  <si>
    <t>Preço fechado</t>
  </si>
  <si>
    <t>$MM</t>
  </si>
  <si>
    <t>ANO 1</t>
  </si>
  <si>
    <t>Valores recebidos</t>
  </si>
  <si>
    <t>ANO 2</t>
  </si>
  <si>
    <t>ANO 3</t>
  </si>
  <si>
    <t>ANO 4</t>
  </si>
  <si>
    <t>Início da obra: algum momento do Ano 1</t>
  </si>
  <si>
    <t>Conclusão da obra: algum momento do Ano 3</t>
  </si>
  <si>
    <t>Custos incorridos  - acumulados ($)</t>
  </si>
  <si>
    <t>Custos incorridos  - acumulados (%)</t>
  </si>
  <si>
    <t>Valores recebidos - acumulados ($)</t>
  </si>
  <si>
    <t>Valores recebidos - acumulados (%)</t>
  </si>
  <si>
    <t>Receitas</t>
  </si>
  <si>
    <t>(-) Custos</t>
  </si>
  <si>
    <t>(=) Lucro</t>
  </si>
  <si>
    <t>Receitas recebidas</t>
  </si>
  <si>
    <t>(-) Custos pagos</t>
  </si>
  <si>
    <r>
      <t xml:space="preserve">Custos </t>
    </r>
    <r>
      <rPr>
        <b/>
        <u/>
        <sz val="11"/>
        <color theme="1"/>
        <rFont val="Calibri"/>
        <family val="2"/>
        <scheme val="minor"/>
      </rPr>
      <t>incorridos</t>
    </r>
    <r>
      <rPr>
        <sz val="11"/>
        <color theme="1"/>
        <rFont val="Calibri"/>
        <family val="2"/>
        <scheme val="minor"/>
      </rPr>
      <t xml:space="preserve"> (à visa)</t>
    </r>
  </si>
  <si>
    <t>31/12/A1</t>
  </si>
  <si>
    <t>31/12/A2</t>
  </si>
  <si>
    <t>31/12/A3</t>
  </si>
  <si>
    <t>Saldos iniciais = 0</t>
  </si>
  <si>
    <t>Adiantamento de clientes</t>
  </si>
  <si>
    <t>Reservas de lucros</t>
  </si>
  <si>
    <t>Contas a receber</t>
  </si>
  <si>
    <r>
      <t xml:space="preserve">Custo total </t>
    </r>
    <r>
      <rPr>
        <b/>
        <u/>
        <sz val="11"/>
        <color theme="1"/>
        <rFont val="Calibri"/>
        <family val="2"/>
        <scheme val="minor"/>
      </rPr>
      <t>previsto</t>
    </r>
    <r>
      <rPr>
        <sz val="11"/>
        <color theme="1"/>
        <rFont val="Calibri"/>
        <family val="2"/>
        <scheme val="minor"/>
      </rPr>
      <t xml:space="preserve"> da obra</t>
    </r>
  </si>
  <si>
    <t>ano 1</t>
  </si>
  <si>
    <t>ano 2</t>
  </si>
  <si>
    <t>ano 3</t>
  </si>
  <si>
    <t>ano 4</t>
  </si>
  <si>
    <t>ano 5</t>
  </si>
  <si>
    <t>ano 6</t>
  </si>
  <si>
    <r>
      <t xml:space="preserve">Custo </t>
    </r>
    <r>
      <rPr>
        <b/>
        <u/>
        <sz val="11"/>
        <color rgb="FF000000"/>
        <rFont val="Calibri"/>
        <family val="2"/>
        <scheme val="minor"/>
      </rPr>
      <t>previsto</t>
    </r>
    <r>
      <rPr>
        <sz val="11"/>
        <color rgb="FF000000"/>
        <rFont val="Calibri"/>
        <family val="2"/>
        <scheme val="minor"/>
      </rPr>
      <t xml:space="preserve"> da obra</t>
    </r>
  </si>
  <si>
    <t>Custo realizado da obra - no período</t>
  </si>
  <si>
    <t>Custo realizado da obra - acumulado ($)</t>
  </si>
  <si>
    <t>Custo realizado da obra - acumulado (%)</t>
  </si>
  <si>
    <t>31/12/A0</t>
  </si>
  <si>
    <t>31/12/A4</t>
  </si>
  <si>
    <t>31/12/A5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</si>
</sst>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6]d\-mmm;@"/>
    <numFmt numFmtId="165" formatCode="#,##0.0"/>
    <numFmt numFmtId="166" formatCode="#,##0.00000"/>
    <numFmt numFmtId="167" formatCode="0.0%"/>
    <numFmt numFmtId="168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u/>
      <sz val="11"/>
      <color theme="3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3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00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left" vertical="center" wrapText="1"/>
    </xf>
    <xf numFmtId="3" fontId="5" fillId="5" borderId="0" xfId="0" applyNumberFormat="1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left" vertical="center" wrapText="1"/>
    </xf>
    <xf numFmtId="3" fontId="7" fillId="4" borderId="0" xfId="0" applyNumberFormat="1" applyFont="1" applyFill="1" applyAlignment="1">
      <alignment horizontal="center" vertical="center" wrapText="1"/>
    </xf>
    <xf numFmtId="3" fontId="1" fillId="6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 wrapText="1"/>
    </xf>
    <xf numFmtId="3" fontId="11" fillId="7" borderId="0" xfId="0" applyNumberFormat="1" applyFont="1" applyFill="1" applyAlignment="1">
      <alignment horizontal="center" vertical="center" wrapText="1"/>
    </xf>
    <xf numFmtId="164" fontId="11" fillId="7" borderId="0" xfId="0" applyNumberFormat="1" applyFont="1" applyFill="1" applyAlignment="1">
      <alignment horizontal="center" vertical="center" wrapText="1"/>
    </xf>
    <xf numFmtId="3" fontId="2" fillId="8" borderId="0" xfId="0" applyNumberFormat="1" applyFont="1" applyFill="1" applyAlignment="1">
      <alignment horizontal="left" vertical="center" wrapText="1"/>
    </xf>
    <xf numFmtId="3" fontId="2" fillId="8" borderId="0" xfId="0" applyNumberFormat="1" applyFont="1" applyFill="1" applyAlignment="1">
      <alignment horizontal="center" vertical="center" wrapText="1"/>
    </xf>
    <xf numFmtId="3" fontId="6" fillId="8" borderId="0" xfId="0" applyNumberFormat="1" applyFont="1" applyFill="1" applyAlignment="1">
      <alignment horizontal="left" vertical="center" wrapText="1"/>
    </xf>
    <xf numFmtId="3" fontId="6" fillId="8" borderId="0" xfId="0" applyNumberFormat="1" applyFont="1" applyFill="1" applyAlignment="1">
      <alignment horizontal="center" vertical="center" wrapText="1"/>
    </xf>
    <xf numFmtId="3" fontId="0" fillId="2" borderId="1" xfId="0" applyNumberFormat="1" applyFill="1" applyBorder="1" applyAlignment="1">
      <alignment horizontal="left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left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left" vertical="center" wrapText="1"/>
    </xf>
    <xf numFmtId="3" fontId="9" fillId="9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9" fillId="11" borderId="0" xfId="0" applyNumberFormat="1" applyFont="1" applyFill="1" applyAlignment="1">
      <alignment horizontal="center" vertical="center" wrapText="1"/>
    </xf>
    <xf numFmtId="3" fontId="12" fillId="8" borderId="0" xfId="0" applyNumberFormat="1" applyFont="1" applyFill="1" applyAlignment="1">
      <alignment horizontal="center" vertical="center" wrapText="1"/>
    </xf>
    <xf numFmtId="3" fontId="12" fillId="8" borderId="0" xfId="0" applyNumberFormat="1" applyFont="1" applyFill="1" applyAlignment="1">
      <alignment horizontal="left" vertical="center" wrapText="1"/>
    </xf>
    <xf numFmtId="3" fontId="13" fillId="12" borderId="0" xfId="0" applyNumberFormat="1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3" fontId="7" fillId="7" borderId="5" xfId="0" applyNumberFormat="1" applyFont="1" applyFill="1" applyBorder="1" applyAlignment="1">
      <alignment horizontal="left" vertical="center" wrapText="1"/>
    </xf>
    <xf numFmtId="3" fontId="7" fillId="7" borderId="8" xfId="0" applyNumberFormat="1" applyFont="1" applyFill="1" applyBorder="1" applyAlignment="1">
      <alignment horizontal="center" vertical="center" wrapText="1"/>
    </xf>
    <xf numFmtId="3" fontId="7" fillId="7" borderId="8" xfId="0" applyNumberFormat="1" applyFont="1" applyFill="1" applyBorder="1" applyAlignment="1">
      <alignment vertical="center" wrapText="1"/>
    </xf>
    <xf numFmtId="3" fontId="7" fillId="7" borderId="6" xfId="0" applyNumberFormat="1" applyFont="1" applyFill="1" applyBorder="1" applyAlignment="1">
      <alignment vertical="center" wrapText="1"/>
    </xf>
    <xf numFmtId="4" fontId="6" fillId="3" borderId="0" xfId="0" applyNumberFormat="1" applyFont="1" applyFill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Alignment="1">
      <alignment horizontal="left" vertical="center" wrapText="1"/>
    </xf>
    <xf numFmtId="3" fontId="15" fillId="5" borderId="0" xfId="0" applyNumberFormat="1" applyFont="1" applyFill="1" applyAlignment="1">
      <alignment horizontal="center" vertical="center" wrapText="1"/>
    </xf>
    <xf numFmtId="3" fontId="16" fillId="3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3" fontId="0" fillId="0" borderId="13" xfId="0" applyNumberFormat="1" applyBorder="1"/>
    <xf numFmtId="0" fontId="0" fillId="0" borderId="14" xfId="0" applyBorder="1"/>
    <xf numFmtId="4" fontId="0" fillId="0" borderId="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/>
    <xf numFmtId="3" fontId="0" fillId="0" borderId="18" xfId="0" applyNumberFormat="1" applyBorder="1"/>
    <xf numFmtId="9" fontId="0" fillId="0" borderId="0" xfId="1" applyFont="1"/>
    <xf numFmtId="10" fontId="0" fillId="0" borderId="0" xfId="1" applyNumberFormat="1" applyFont="1"/>
    <xf numFmtId="0" fontId="1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Border="1"/>
    <xf numFmtId="165" fontId="0" fillId="0" borderId="13" xfId="0" applyNumberFormat="1" applyBorder="1"/>
    <xf numFmtId="167" fontId="0" fillId="0" borderId="0" xfId="1" applyNumberFormat="1" applyFont="1"/>
    <xf numFmtId="0" fontId="1" fillId="0" borderId="20" xfId="0" applyFont="1" applyBorder="1"/>
    <xf numFmtId="165" fontId="0" fillId="0" borderId="11" xfId="0" applyNumberFormat="1" applyBorder="1"/>
    <xf numFmtId="165" fontId="0" fillId="0" borderId="10" xfId="0" applyNumberFormat="1" applyBorder="1"/>
    <xf numFmtId="0" fontId="1" fillId="0" borderId="12" xfId="0" applyFont="1" applyBorder="1"/>
    <xf numFmtId="4" fontId="0" fillId="0" borderId="0" xfId="0" applyNumberFormat="1" applyBorder="1"/>
    <xf numFmtId="4" fontId="0" fillId="0" borderId="13" xfId="0" applyNumberFormat="1" applyBorder="1"/>
    <xf numFmtId="166" fontId="0" fillId="0" borderId="0" xfId="0" applyNumberFormat="1" applyBorder="1"/>
    <xf numFmtId="166" fontId="0" fillId="0" borderId="13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1" fillId="0" borderId="13" xfId="0" applyNumberFormat="1" applyFont="1" applyBorder="1"/>
    <xf numFmtId="4" fontId="0" fillId="0" borderId="0" xfId="0" applyNumberFormat="1"/>
    <xf numFmtId="0" fontId="1" fillId="0" borderId="19" xfId="0" applyFont="1" applyBorder="1"/>
    <xf numFmtId="4" fontId="1" fillId="0" borderId="18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ill="1" applyBorder="1"/>
    <xf numFmtId="0" fontId="1" fillId="0" borderId="9" xfId="0" applyFont="1" applyBorder="1"/>
    <xf numFmtId="4" fontId="0" fillId="0" borderId="20" xfId="0" applyNumberFormat="1" applyBorder="1"/>
    <xf numFmtId="0" fontId="1" fillId="0" borderId="11" xfId="0" applyFont="1" applyBorder="1"/>
    <xf numFmtId="0" fontId="6" fillId="2" borderId="0" xfId="0" applyFont="1" applyFill="1"/>
    <xf numFmtId="3" fontId="18" fillId="4" borderId="0" xfId="0" applyNumberFormat="1" applyFont="1" applyFill="1" applyAlignment="1">
      <alignment horizontal="left" vertical="center" wrapText="1"/>
    </xf>
    <xf numFmtId="3" fontId="18" fillId="4" borderId="0" xfId="0" applyNumberFormat="1" applyFont="1" applyFill="1" applyAlignment="1">
      <alignment horizontal="center" vertical="center" wrapText="1"/>
    </xf>
    <xf numFmtId="3" fontId="6" fillId="3" borderId="0" xfId="0" quotePrefix="1" applyNumberFormat="1" applyFont="1" applyFill="1" applyAlignment="1">
      <alignment horizontal="center" vertical="center" wrapText="1"/>
    </xf>
    <xf numFmtId="3" fontId="9" fillId="11" borderId="0" xfId="0" applyNumberFormat="1" applyFont="1" applyFill="1" applyAlignment="1">
      <alignment horizontal="center"/>
    </xf>
    <xf numFmtId="0" fontId="9" fillId="11" borderId="0" xfId="0" applyFont="1" applyFill="1"/>
    <xf numFmtId="0" fontId="19" fillId="8" borderId="0" xfId="0" applyFont="1" applyFill="1" applyAlignment="1">
      <alignment horizontal="left"/>
    </xf>
    <xf numFmtId="0" fontId="20" fillId="12" borderId="0" xfId="0" applyFont="1" applyFill="1" applyAlignment="1">
      <alignment horizontal="center"/>
    </xf>
    <xf numFmtId="3" fontId="19" fillId="8" borderId="0" xfId="0" applyNumberFormat="1" applyFont="1" applyFill="1" applyAlignment="1">
      <alignment horizontal="center"/>
    </xf>
    <xf numFmtId="168" fontId="18" fillId="4" borderId="0" xfId="0" applyNumberFormat="1" applyFont="1" applyFill="1" applyAlignment="1">
      <alignment horizontal="center" vertical="center" wrapText="1"/>
    </xf>
    <xf numFmtId="3" fontId="0" fillId="2" borderId="5" xfId="0" applyNumberFormat="1" applyFill="1" applyBorder="1" applyAlignment="1">
      <alignment horizontal="left" vertical="center" wrapText="1"/>
    </xf>
    <xf numFmtId="165" fontId="0" fillId="2" borderId="4" xfId="0" applyNumberForma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9" fontId="0" fillId="2" borderId="4" xfId="1" applyFont="1" applyFill="1" applyBorder="1" applyAlignment="1">
      <alignment horizontal="center" vertical="center" wrapText="1"/>
    </xf>
    <xf numFmtId="165" fontId="0" fillId="2" borderId="25" xfId="0" applyNumberForma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9" fontId="1" fillId="2" borderId="6" xfId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9" fontId="0" fillId="2" borderId="8" xfId="1" applyFont="1" applyFill="1" applyBorder="1" applyAlignment="1">
      <alignment horizontal="center" vertical="center" wrapText="1"/>
    </xf>
    <xf numFmtId="9" fontId="0" fillId="2" borderId="6" xfId="1" applyFont="1" applyFill="1" applyBorder="1" applyAlignment="1">
      <alignment horizontal="center" vertical="center" wrapText="1"/>
    </xf>
    <xf numFmtId="168" fontId="0" fillId="2" borderId="0" xfId="0" applyNumberForma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center" wrapText="1"/>
    </xf>
    <xf numFmtId="165" fontId="0" fillId="2" borderId="0" xfId="0" applyNumberFormat="1" applyFill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left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left" vertical="center" wrapText="1"/>
    </xf>
    <xf numFmtId="165" fontId="21" fillId="2" borderId="0" xfId="0" applyNumberFormat="1" applyFont="1" applyFill="1" applyBorder="1" applyAlignment="1">
      <alignment horizontal="center" vertical="center" wrapText="1"/>
    </xf>
    <xf numFmtId="165" fontId="21" fillId="2" borderId="4" xfId="0" applyNumberFormat="1" applyFont="1" applyFill="1" applyBorder="1" applyAlignment="1">
      <alignment horizontal="center" vertical="center" wrapText="1"/>
    </xf>
    <xf numFmtId="9" fontId="21" fillId="2" borderId="6" xfId="1" applyFont="1" applyFill="1" applyBorder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 wrapText="1"/>
    </xf>
    <xf numFmtId="3" fontId="22" fillId="2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4" fillId="4" borderId="0" xfId="0" applyNumberFormat="1" applyFont="1" applyFill="1" applyAlignment="1">
      <alignment horizontal="center" vertical="center" wrapText="1"/>
    </xf>
    <xf numFmtId="3" fontId="0" fillId="8" borderId="5" xfId="0" applyNumberFormat="1" applyFill="1" applyBorder="1" applyAlignment="1">
      <alignment horizontal="left" vertical="center" wrapText="1"/>
    </xf>
    <xf numFmtId="9" fontId="0" fillId="8" borderId="8" xfId="1" applyFont="1" applyFill="1" applyBorder="1" applyAlignment="1">
      <alignment horizontal="center" vertical="center" wrapText="1"/>
    </xf>
    <xf numFmtId="3" fontId="21" fillId="13" borderId="5" xfId="0" applyNumberFormat="1" applyFont="1" applyFill="1" applyBorder="1" applyAlignment="1">
      <alignment horizontal="left" vertical="center" wrapText="1"/>
    </xf>
    <xf numFmtId="9" fontId="21" fillId="13" borderId="8" xfId="1" applyFont="1" applyFill="1" applyBorder="1" applyAlignment="1">
      <alignment horizontal="center" vertical="center" wrapText="1"/>
    </xf>
    <xf numFmtId="3" fontId="1" fillId="6" borderId="27" xfId="0" applyNumberFormat="1" applyFont="1" applyFill="1" applyBorder="1" applyAlignment="1">
      <alignment horizontal="center" vertical="center" wrapText="1"/>
    </xf>
    <xf numFmtId="3" fontId="0" fillId="6" borderId="0" xfId="0" applyNumberFormat="1" applyFill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 wrapText="1"/>
    </xf>
    <xf numFmtId="3" fontId="23" fillId="2" borderId="4" xfId="0" applyNumberFormat="1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3" fontId="23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left" vertical="center" wrapText="1"/>
    </xf>
    <xf numFmtId="9" fontId="23" fillId="13" borderId="8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23" fillId="2" borderId="6" xfId="0" applyFont="1" applyFill="1" applyBorder="1" applyAlignment="1">
      <alignment horizontal="center" vertical="center" wrapText="1"/>
    </xf>
    <xf numFmtId="3" fontId="9" fillId="7" borderId="0" xfId="0" applyNumberFormat="1" applyFont="1" applyFill="1" applyAlignment="1">
      <alignment horizontal="center" vertical="center" wrapText="1"/>
    </xf>
    <xf numFmtId="3" fontId="11" fillId="5" borderId="0" xfId="0" applyNumberFormat="1" applyFont="1" applyFill="1" applyAlignment="1">
      <alignment horizontal="center" vertical="center" wrapText="1"/>
    </xf>
    <xf numFmtId="3" fontId="9" fillId="10" borderId="0" xfId="0" applyNumberFormat="1" applyFont="1" applyFill="1" applyAlignment="1">
      <alignment horizontal="center" vertical="center" wrapText="1"/>
    </xf>
    <xf numFmtId="3" fontId="0" fillId="2" borderId="5" xfId="0" applyNumberFormat="1" applyFill="1" applyBorder="1" applyAlignment="1">
      <alignment horizontal="left" vertical="center" wrapText="1"/>
    </xf>
    <xf numFmtId="3" fontId="0" fillId="2" borderId="6" xfId="0" applyNumberFormat="1" applyFill="1" applyBorder="1" applyAlignment="1">
      <alignment horizontal="left" vertical="center" wrapText="1"/>
    </xf>
    <xf numFmtId="3" fontId="9" fillId="9" borderId="0" xfId="0" applyNumberFormat="1" applyFont="1" applyFill="1" applyAlignment="1">
      <alignment horizontal="center" vertical="center" wrapText="1"/>
    </xf>
    <xf numFmtId="3" fontId="14" fillId="3" borderId="0" xfId="0" applyNumberFormat="1" applyFont="1" applyFill="1" applyAlignment="1">
      <alignment horizontal="left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5" fillId="5" borderId="0" xfId="0" applyNumberFormat="1" applyFont="1" applyFill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13" borderId="8" xfId="0" applyFont="1" applyFill="1" applyBorder="1" applyAlignment="1">
      <alignment horizontal="left" vertical="center" wrapText="1"/>
    </xf>
    <xf numFmtId="0" fontId="23" fillId="8" borderId="8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nizio\Downloads\Cia%20porto%20Eucalip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 Porto Eucalipto"/>
      <sheetName val="Demonstrações"/>
    </sheetNames>
    <sheetDataSet>
      <sheetData sheetId="0">
        <row r="38">
          <cell r="F38">
            <v>14805.8</v>
          </cell>
        </row>
        <row r="39">
          <cell r="F39">
            <v>5394.2000000000007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1"/>
  <sheetViews>
    <sheetView zoomScale="110" zoomScaleNormal="110" workbookViewId="0">
      <selection activeCell="D5" sqref="D5"/>
    </sheetView>
  </sheetViews>
  <sheetFormatPr defaultRowHeight="15" x14ac:dyDescent="0.25"/>
  <cols>
    <col min="1" max="1" width="3.28515625" style="1" customWidth="1"/>
    <col min="2" max="2" width="40.7109375" style="1" customWidth="1"/>
    <col min="3" max="5" width="14.28515625" style="1" customWidth="1"/>
    <col min="6" max="16384" width="9.140625" style="1"/>
  </cols>
  <sheetData>
    <row r="2" spans="2:6" x14ac:dyDescent="0.25">
      <c r="B2" s="2" t="s">
        <v>0</v>
      </c>
      <c r="C2" s="1">
        <v>750000</v>
      </c>
    </row>
    <row r="3" spans="2:6" x14ac:dyDescent="0.25">
      <c r="B3" s="2" t="s">
        <v>1</v>
      </c>
      <c r="C3" s="1">
        <v>10</v>
      </c>
    </row>
    <row r="4" spans="2:6" x14ac:dyDescent="0.25">
      <c r="B4" s="2" t="s">
        <v>2</v>
      </c>
      <c r="C4" s="1">
        <v>50000</v>
      </c>
    </row>
    <row r="5" spans="2:6" x14ac:dyDescent="0.25">
      <c r="B5" s="2" t="s">
        <v>3</v>
      </c>
      <c r="C5" s="1">
        <f>+(C2-C4)/C3</f>
        <v>70000</v>
      </c>
    </row>
    <row r="6" spans="2:6" x14ac:dyDescent="0.25">
      <c r="B6" s="2" t="s">
        <v>16</v>
      </c>
      <c r="C6" s="1">
        <v>565000</v>
      </c>
    </row>
    <row r="7" spans="2:6" x14ac:dyDescent="0.25">
      <c r="B7" s="2"/>
    </row>
    <row r="8" spans="2:6" ht="15.75" x14ac:dyDescent="0.25">
      <c r="B8" s="5" t="s">
        <v>4</v>
      </c>
      <c r="C8" s="5" t="s">
        <v>5</v>
      </c>
      <c r="D8" s="5" t="s">
        <v>6</v>
      </c>
      <c r="E8" s="5" t="s">
        <v>7</v>
      </c>
    </row>
    <row r="9" spans="2:6" x14ac:dyDescent="0.25">
      <c r="B9" s="3" t="s">
        <v>8</v>
      </c>
      <c r="C9" s="4">
        <f>+$C$2</f>
        <v>750000</v>
      </c>
      <c r="D9" s="4">
        <f t="shared" ref="D9:E9" si="0">+$C$2</f>
        <v>750000</v>
      </c>
      <c r="E9" s="4">
        <f t="shared" si="0"/>
        <v>750000</v>
      </c>
    </row>
    <row r="10" spans="2:6" x14ac:dyDescent="0.25">
      <c r="B10" s="3" t="s">
        <v>9</v>
      </c>
      <c r="C10" s="4">
        <f>-C5</f>
        <v>-70000</v>
      </c>
      <c r="D10" s="4">
        <f>+C10-$C$5</f>
        <v>-140000</v>
      </c>
      <c r="E10" s="4">
        <f>+D10-$C$5</f>
        <v>-210000</v>
      </c>
    </row>
    <row r="11" spans="2:6" x14ac:dyDescent="0.25">
      <c r="B11" s="7" t="s">
        <v>10</v>
      </c>
      <c r="C11" s="6">
        <f>SUM(C9:C10)</f>
        <v>680000</v>
      </c>
      <c r="D11" s="6">
        <f>SUM(D9:D10)</f>
        <v>610000</v>
      </c>
      <c r="E11" s="6">
        <f>SUM(E9:E10)</f>
        <v>540000</v>
      </c>
    </row>
    <row r="13" spans="2:6" ht="15.75" x14ac:dyDescent="0.25">
      <c r="B13" s="8" t="s">
        <v>11</v>
      </c>
      <c r="C13" s="8" t="s">
        <v>12</v>
      </c>
      <c r="D13" s="8" t="s">
        <v>13</v>
      </c>
      <c r="E13" s="8" t="s">
        <v>14</v>
      </c>
    </row>
    <row r="14" spans="2:6" x14ac:dyDescent="0.25">
      <c r="B14" s="9" t="s">
        <v>15</v>
      </c>
      <c r="C14" s="10">
        <f>-$C$5</f>
        <v>-70000</v>
      </c>
      <c r="D14" s="10">
        <f>-$C$5</f>
        <v>-70000</v>
      </c>
      <c r="E14" s="10">
        <f>-$C$5</f>
        <v>-70000</v>
      </c>
    </row>
    <row r="15" spans="2:6" x14ac:dyDescent="0.25">
      <c r="B15" s="9" t="s">
        <v>17</v>
      </c>
      <c r="C15" s="10"/>
      <c r="D15" s="10"/>
      <c r="E15" s="10">
        <f>+C6-E11</f>
        <v>25000</v>
      </c>
    </row>
    <row r="16" spans="2:6" x14ac:dyDescent="0.25">
      <c r="B16" s="11" t="s">
        <v>10</v>
      </c>
      <c r="C16" s="12">
        <f>SUM(C14:C15)</f>
        <v>-70000</v>
      </c>
      <c r="D16" s="12">
        <f>SUM(D14:D15)</f>
        <v>-70000</v>
      </c>
      <c r="E16" s="12">
        <f>SUM(E14:E15)</f>
        <v>-45000</v>
      </c>
      <c r="F16" s="13">
        <f>SUM(C16:E16)</f>
        <v>-185000</v>
      </c>
    </row>
    <row r="18" spans="2:6" ht="15.75" x14ac:dyDescent="0.25">
      <c r="B18" s="8" t="s">
        <v>18</v>
      </c>
      <c r="C18" s="8" t="s">
        <v>12</v>
      </c>
      <c r="D18" s="8" t="s">
        <v>13</v>
      </c>
      <c r="E18" s="8" t="s">
        <v>14</v>
      </c>
    </row>
    <row r="19" spans="2:6" x14ac:dyDescent="0.25">
      <c r="B19" s="9" t="s">
        <v>19</v>
      </c>
      <c r="C19" s="10">
        <f>-C2</f>
        <v>-750000</v>
      </c>
      <c r="D19" s="10"/>
      <c r="E19" s="10"/>
    </row>
    <row r="20" spans="2:6" x14ac:dyDescent="0.25">
      <c r="B20" s="9" t="s">
        <v>20</v>
      </c>
      <c r="C20" s="10"/>
      <c r="D20" s="10"/>
      <c r="E20" s="10">
        <f>+C6</f>
        <v>565000</v>
      </c>
    </row>
    <row r="21" spans="2:6" x14ac:dyDescent="0.25">
      <c r="B21" s="11" t="s">
        <v>10</v>
      </c>
      <c r="C21" s="12">
        <f>SUM(C19:C20)</f>
        <v>-750000</v>
      </c>
      <c r="D21" s="12">
        <f>SUM(D19:D20)</f>
        <v>0</v>
      </c>
      <c r="E21" s="12">
        <f>SUM(E19:E20)</f>
        <v>565000</v>
      </c>
      <c r="F21" s="13">
        <f>SUM(C21:E21)</f>
        <v>-185000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opLeftCell="A10" zoomScaleNormal="100" workbookViewId="0">
      <selection activeCell="A16" sqref="A16:XFD23"/>
    </sheetView>
  </sheetViews>
  <sheetFormatPr defaultRowHeight="15" x14ac:dyDescent="0.25"/>
  <cols>
    <col min="1" max="1" width="1" style="1" customWidth="1"/>
    <col min="2" max="2" width="48.28515625" style="1" customWidth="1"/>
    <col min="3" max="7" width="13.5703125" style="1" customWidth="1"/>
    <col min="8" max="16384" width="9.140625" style="1"/>
  </cols>
  <sheetData>
    <row r="2" spans="2:6" x14ac:dyDescent="0.25">
      <c r="B2" s="135" t="s">
        <v>218</v>
      </c>
      <c r="C2" s="14" t="s">
        <v>220</v>
      </c>
    </row>
    <row r="3" spans="2:6" x14ac:dyDescent="0.25">
      <c r="B3" s="2" t="s">
        <v>219</v>
      </c>
      <c r="C3" s="136">
        <v>300</v>
      </c>
    </row>
    <row r="4" spans="2:6" x14ac:dyDescent="0.25">
      <c r="B4" s="2" t="s">
        <v>245</v>
      </c>
      <c r="C4" s="136">
        <v>180</v>
      </c>
      <c r="D4" s="136">
        <v>185</v>
      </c>
      <c r="E4" s="136">
        <v>190</v>
      </c>
      <c r="F4" s="155">
        <f>+C3-E4</f>
        <v>110</v>
      </c>
    </row>
    <row r="5" spans="2:6" x14ac:dyDescent="0.25">
      <c r="B5" s="2" t="s">
        <v>226</v>
      </c>
      <c r="C5" s="136"/>
    </row>
    <row r="6" spans="2:6" x14ac:dyDescent="0.25">
      <c r="B6" s="2" t="s">
        <v>227</v>
      </c>
      <c r="C6" s="136"/>
    </row>
    <row r="7" spans="2:6" x14ac:dyDescent="0.25">
      <c r="B7" s="2" t="s">
        <v>241</v>
      </c>
      <c r="C7" s="136"/>
    </row>
    <row r="8" spans="2:6" x14ac:dyDescent="0.25">
      <c r="B8" s="2"/>
    </row>
    <row r="9" spans="2:6" x14ac:dyDescent="0.25">
      <c r="B9" s="2"/>
      <c r="C9" s="14" t="s">
        <v>221</v>
      </c>
      <c r="D9" s="14" t="s">
        <v>223</v>
      </c>
      <c r="E9" s="14" t="s">
        <v>224</v>
      </c>
      <c r="F9" s="14" t="s">
        <v>225</v>
      </c>
    </row>
    <row r="10" spans="2:6" x14ac:dyDescent="0.25">
      <c r="B10" s="140" t="s">
        <v>222</v>
      </c>
      <c r="C10" s="141">
        <v>150</v>
      </c>
      <c r="D10" s="141">
        <v>90</v>
      </c>
      <c r="E10" s="141">
        <v>30</v>
      </c>
      <c r="F10" s="142">
        <v>30</v>
      </c>
    </row>
    <row r="11" spans="2:6" x14ac:dyDescent="0.25">
      <c r="B11" s="143" t="s">
        <v>230</v>
      </c>
      <c r="C11" s="144">
        <f>+C10</f>
        <v>150</v>
      </c>
      <c r="D11" s="144">
        <f>+C11+D10</f>
        <v>240</v>
      </c>
      <c r="E11" s="144">
        <f>+D11+E10</f>
        <v>270</v>
      </c>
      <c r="F11" s="145">
        <f>+E11+F10</f>
        <v>300</v>
      </c>
    </row>
    <row r="12" spans="2:6" x14ac:dyDescent="0.25">
      <c r="B12" s="153" t="s">
        <v>231</v>
      </c>
      <c r="C12" s="154">
        <f>+C11/$C$3</f>
        <v>0.5</v>
      </c>
      <c r="D12" s="154">
        <f>+D11/$C$3</f>
        <v>0.8</v>
      </c>
      <c r="E12" s="154">
        <f>+E11/$C$3</f>
        <v>0.9</v>
      </c>
      <c r="F12" s="146">
        <f>+F11/$C$3</f>
        <v>1</v>
      </c>
    </row>
    <row r="13" spans="2:6" x14ac:dyDescent="0.25">
      <c r="B13" s="22" t="s">
        <v>237</v>
      </c>
      <c r="C13" s="137">
        <v>72</v>
      </c>
      <c r="D13" s="137">
        <v>65</v>
      </c>
      <c r="E13" s="137">
        <f>190-SUM(C13:D13)</f>
        <v>53</v>
      </c>
      <c r="F13" s="138"/>
    </row>
    <row r="14" spans="2:6" x14ac:dyDescent="0.25">
      <c r="B14" s="25" t="s">
        <v>228</v>
      </c>
      <c r="C14" s="113">
        <f>+C13</f>
        <v>72</v>
      </c>
      <c r="D14" s="113">
        <f>+C14+D13</f>
        <v>137</v>
      </c>
      <c r="E14" s="113">
        <f>+D14+E13</f>
        <v>190</v>
      </c>
      <c r="F14" s="112"/>
    </row>
    <row r="15" spans="2:6" x14ac:dyDescent="0.25">
      <c r="B15" s="151" t="s">
        <v>229</v>
      </c>
      <c r="C15" s="152">
        <f>+C14/$C$4</f>
        <v>0.4</v>
      </c>
      <c r="D15" s="152">
        <f>+D14/$D$4</f>
        <v>0.74054054054054053</v>
      </c>
      <c r="E15" s="152">
        <f>+E14/$E$4</f>
        <v>1</v>
      </c>
      <c r="F15" s="139"/>
    </row>
    <row r="16" spans="2:6" x14ac:dyDescent="0.25">
      <c r="B16" s="2"/>
    </row>
    <row r="17" spans="2:7" x14ac:dyDescent="0.25">
      <c r="B17" s="15" t="s">
        <v>11</v>
      </c>
      <c r="C17" s="15" t="str">
        <f>+C9</f>
        <v>ANO 1</v>
      </c>
      <c r="D17" s="15" t="str">
        <f t="shared" ref="D17:E17" si="0">+D9</f>
        <v>ANO 2</v>
      </c>
      <c r="E17" s="15" t="str">
        <f t="shared" si="0"/>
        <v>ANO 3</v>
      </c>
    </row>
    <row r="18" spans="2:7" x14ac:dyDescent="0.25">
      <c r="B18" s="9" t="s">
        <v>232</v>
      </c>
      <c r="C18" s="38">
        <f>+$C$3*C15</f>
        <v>120</v>
      </c>
      <c r="D18" s="38">
        <f>+D15*C3-C18</f>
        <v>102.16216216216216</v>
      </c>
      <c r="E18" s="38">
        <f>+E15*C3-C18-D18</f>
        <v>77.837837837837839</v>
      </c>
    </row>
    <row r="19" spans="2:7" x14ac:dyDescent="0.25">
      <c r="B19" s="9" t="s">
        <v>233</v>
      </c>
      <c r="C19" s="38">
        <f>-C13</f>
        <v>-72</v>
      </c>
      <c r="D19" s="38">
        <f>-------D13</f>
        <v>-65</v>
      </c>
      <c r="E19" s="38">
        <f>-E13</f>
        <v>-53</v>
      </c>
    </row>
    <row r="20" spans="2:7" x14ac:dyDescent="0.25">
      <c r="B20" s="11" t="s">
        <v>234</v>
      </c>
      <c r="C20" s="147">
        <f>SUM(C18:C19)</f>
        <v>48</v>
      </c>
      <c r="D20" s="147">
        <f>SUM(D18:D19)</f>
        <v>37.162162162162161</v>
      </c>
      <c r="E20" s="147">
        <f>SUM(E18:E19)</f>
        <v>24.837837837837839</v>
      </c>
    </row>
    <row r="22" spans="2:7" x14ac:dyDescent="0.25">
      <c r="B22" s="15" t="s">
        <v>26</v>
      </c>
      <c r="C22" s="15" t="str">
        <f>+C17</f>
        <v>ANO 1</v>
      </c>
      <c r="D22" s="15" t="str">
        <f t="shared" ref="D22:E22" si="1">+D17</f>
        <v>ANO 2</v>
      </c>
      <c r="E22" s="15" t="str">
        <f t="shared" si="1"/>
        <v>ANO 3</v>
      </c>
      <c r="F22" s="15" t="s">
        <v>225</v>
      </c>
    </row>
    <row r="23" spans="2:7" x14ac:dyDescent="0.25">
      <c r="B23" s="9" t="s">
        <v>235</v>
      </c>
      <c r="C23" s="38">
        <f>+C10</f>
        <v>150</v>
      </c>
      <c r="D23" s="38">
        <f t="shared" ref="D23:F23" si="2">+D10</f>
        <v>90</v>
      </c>
      <c r="E23" s="38">
        <f t="shared" si="2"/>
        <v>30</v>
      </c>
      <c r="F23" s="38">
        <f t="shared" si="2"/>
        <v>30</v>
      </c>
    </row>
    <row r="24" spans="2:7" x14ac:dyDescent="0.25">
      <c r="B24" s="9" t="s">
        <v>236</v>
      </c>
      <c r="C24" s="38">
        <f>-C13</f>
        <v>-72</v>
      </c>
      <c r="D24" s="38">
        <f t="shared" ref="D24:F24" si="3">-D13</f>
        <v>-65</v>
      </c>
      <c r="E24" s="38">
        <f t="shared" si="3"/>
        <v>-53</v>
      </c>
      <c r="F24" s="38">
        <f t="shared" si="3"/>
        <v>0</v>
      </c>
    </row>
    <row r="25" spans="2:7" x14ac:dyDescent="0.25">
      <c r="B25" s="11" t="s">
        <v>26</v>
      </c>
      <c r="C25" s="147">
        <f>SUM(C23:C24)</f>
        <v>78</v>
      </c>
      <c r="D25" s="147">
        <f>SUM(D23:D24)</f>
        <v>25</v>
      </c>
      <c r="E25" s="147">
        <f>SUM(E23:E24)</f>
        <v>-23</v>
      </c>
      <c r="F25" s="147">
        <f>SUM(F23:F24)</f>
        <v>30</v>
      </c>
      <c r="G25" s="156">
        <f>SUM(C25:F25)</f>
        <v>110</v>
      </c>
    </row>
    <row r="26" spans="2:7" x14ac:dyDescent="0.25">
      <c r="B26" s="3" t="s">
        <v>97</v>
      </c>
      <c r="C26" s="149">
        <v>0</v>
      </c>
      <c r="D26" s="149">
        <f>+C27</f>
        <v>78</v>
      </c>
      <c r="E26" s="149">
        <f t="shared" ref="E26:F26" si="4">+D27</f>
        <v>103</v>
      </c>
      <c r="F26" s="149">
        <f t="shared" si="4"/>
        <v>80</v>
      </c>
    </row>
    <row r="27" spans="2:7" x14ac:dyDescent="0.25">
      <c r="B27" s="3" t="s">
        <v>112</v>
      </c>
      <c r="C27" s="149">
        <f>+C26+C25</f>
        <v>78</v>
      </c>
      <c r="D27" s="149">
        <f>+D26+D25</f>
        <v>103</v>
      </c>
      <c r="E27" s="149">
        <f t="shared" ref="E27:F27" si="5">+E26+E25</f>
        <v>80</v>
      </c>
      <c r="F27" s="149">
        <f t="shared" si="5"/>
        <v>110</v>
      </c>
    </row>
    <row r="29" spans="2:7" x14ac:dyDescent="0.25">
      <c r="B29" s="175" t="s">
        <v>38</v>
      </c>
      <c r="C29" s="175"/>
      <c r="D29" s="175"/>
      <c r="E29" s="175"/>
      <c r="F29" s="148"/>
    </row>
    <row r="30" spans="2:7" x14ac:dyDescent="0.25">
      <c r="B30" s="16" t="s">
        <v>4</v>
      </c>
      <c r="C30" s="16" t="s">
        <v>238</v>
      </c>
      <c r="D30" s="16" t="s">
        <v>239</v>
      </c>
      <c r="E30" s="16" t="s">
        <v>240</v>
      </c>
      <c r="F30" s="148"/>
    </row>
    <row r="31" spans="2:7" x14ac:dyDescent="0.25">
      <c r="B31" s="3" t="s">
        <v>39</v>
      </c>
      <c r="C31" s="149">
        <f>+C27</f>
        <v>78</v>
      </c>
      <c r="D31" s="149">
        <f>+D27</f>
        <v>103</v>
      </c>
      <c r="E31" s="149">
        <f>+E27</f>
        <v>80</v>
      </c>
      <c r="F31" s="148"/>
    </row>
    <row r="32" spans="2:7" x14ac:dyDescent="0.25">
      <c r="B32" s="3" t="s">
        <v>244</v>
      </c>
      <c r="C32" s="149">
        <v>0</v>
      </c>
      <c r="D32" s="149">
        <v>0</v>
      </c>
      <c r="E32" s="149">
        <f>+F10</f>
        <v>30</v>
      </c>
      <c r="F32" s="148"/>
    </row>
    <row r="33" spans="2:6" x14ac:dyDescent="0.25">
      <c r="B33" s="7" t="s">
        <v>10</v>
      </c>
      <c r="C33" s="150">
        <f>SUM(C31:C32)</f>
        <v>78</v>
      </c>
      <c r="D33" s="150">
        <f>SUM(D31:D32)</f>
        <v>103</v>
      </c>
      <c r="E33" s="150">
        <f>SUM(E31:E32)</f>
        <v>110</v>
      </c>
      <c r="F33" s="148"/>
    </row>
    <row r="34" spans="2:6" x14ac:dyDescent="0.25">
      <c r="B34" s="16" t="s">
        <v>161</v>
      </c>
      <c r="C34" s="16" t="s">
        <v>238</v>
      </c>
      <c r="D34" s="16" t="s">
        <v>239</v>
      </c>
      <c r="E34" s="16" t="s">
        <v>240</v>
      </c>
    </row>
    <row r="35" spans="2:6" x14ac:dyDescent="0.25">
      <c r="B35" s="3" t="s">
        <v>242</v>
      </c>
      <c r="C35" s="149">
        <f>+C10-C18</f>
        <v>30</v>
      </c>
      <c r="D35" s="149">
        <f>+C35+D23-D18</f>
        <v>17.837837837837839</v>
      </c>
      <c r="E35" s="149">
        <v>0</v>
      </c>
    </row>
    <row r="36" spans="2:6" x14ac:dyDescent="0.25">
      <c r="B36" s="3" t="s">
        <v>243</v>
      </c>
      <c r="C36" s="149">
        <f>+C20</f>
        <v>48</v>
      </c>
      <c r="D36" s="149">
        <f>+C36+D20</f>
        <v>85.162162162162161</v>
      </c>
      <c r="E36" s="149">
        <f>+D36+E20</f>
        <v>110</v>
      </c>
    </row>
    <row r="37" spans="2:6" x14ac:dyDescent="0.25">
      <c r="B37" s="7" t="s">
        <v>10</v>
      </c>
      <c r="C37" s="150">
        <f>SUM(C35:C36)</f>
        <v>78</v>
      </c>
      <c r="D37" s="150">
        <f>SUM(D35:D36)</f>
        <v>103</v>
      </c>
      <c r="E37" s="150">
        <f>SUM(E35:E36)</f>
        <v>110</v>
      </c>
    </row>
  </sheetData>
  <mergeCells count="1">
    <mergeCell ref="B29:E2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abSelected="1" topLeftCell="A13" zoomScaleNormal="100" workbookViewId="0">
      <selection activeCell="F27" sqref="F27"/>
    </sheetView>
  </sheetViews>
  <sheetFormatPr defaultRowHeight="15" x14ac:dyDescent="0.25"/>
  <cols>
    <col min="1" max="1" width="1" style="1" customWidth="1"/>
    <col min="2" max="2" width="48.28515625" style="1" customWidth="1"/>
    <col min="3" max="3" width="13.28515625" style="1" customWidth="1"/>
    <col min="4" max="8" width="13.5703125" style="1" customWidth="1"/>
    <col min="9" max="16384" width="9.140625" style="1"/>
  </cols>
  <sheetData>
    <row r="2" spans="2:10" x14ac:dyDescent="0.25">
      <c r="B2" s="159"/>
      <c r="C2" s="195"/>
      <c r="D2" s="160" t="s">
        <v>246</v>
      </c>
      <c r="E2" s="160" t="s">
        <v>247</v>
      </c>
      <c r="F2" s="160" t="s">
        <v>248</v>
      </c>
      <c r="G2" s="160" t="s">
        <v>249</v>
      </c>
      <c r="H2" s="160" t="s">
        <v>250</v>
      </c>
      <c r="I2" s="160" t="s">
        <v>251</v>
      </c>
      <c r="J2" s="161" t="s">
        <v>10</v>
      </c>
    </row>
    <row r="3" spans="2:10" x14ac:dyDescent="0.25">
      <c r="B3" s="166" t="s">
        <v>252</v>
      </c>
      <c r="C3" s="196"/>
      <c r="D3" s="167">
        <v>45000</v>
      </c>
      <c r="E3" s="167">
        <v>46000</v>
      </c>
      <c r="F3" s="167">
        <v>47000</v>
      </c>
      <c r="G3" s="167">
        <v>48000</v>
      </c>
      <c r="H3" s="167">
        <v>50000</v>
      </c>
      <c r="I3" s="168"/>
      <c r="J3" s="169"/>
    </row>
    <row r="4" spans="2:10" x14ac:dyDescent="0.25">
      <c r="B4" s="162" t="s">
        <v>253</v>
      </c>
      <c r="C4" s="197"/>
      <c r="D4" s="157">
        <v>15000</v>
      </c>
      <c r="E4" s="157">
        <v>5000</v>
      </c>
      <c r="F4" s="157">
        <v>15000</v>
      </c>
      <c r="G4" s="157">
        <v>10000</v>
      </c>
      <c r="H4" s="157">
        <v>5000</v>
      </c>
      <c r="I4" s="158"/>
      <c r="J4" s="163"/>
    </row>
    <row r="5" spans="2:10" x14ac:dyDescent="0.25">
      <c r="B5" s="162" t="s">
        <v>254</v>
      </c>
      <c r="C5" s="197"/>
      <c r="D5" s="157">
        <f>+D4</f>
        <v>15000</v>
      </c>
      <c r="E5" s="157">
        <f>+D5+E4</f>
        <v>20000</v>
      </c>
      <c r="F5" s="157">
        <f>+E5+F4</f>
        <v>35000</v>
      </c>
      <c r="G5" s="157">
        <f>+F5+G4</f>
        <v>45000</v>
      </c>
      <c r="H5" s="157">
        <f>+G5+H4</f>
        <v>50000</v>
      </c>
      <c r="I5" s="158"/>
      <c r="J5" s="163"/>
    </row>
    <row r="6" spans="2:10" x14ac:dyDescent="0.25">
      <c r="B6" s="170" t="s">
        <v>255</v>
      </c>
      <c r="C6" s="198"/>
      <c r="D6" s="171">
        <f>+D5/D3</f>
        <v>0.33333333333333331</v>
      </c>
      <c r="E6" s="171">
        <f>+E5/E3</f>
        <v>0.43478260869565216</v>
      </c>
      <c r="F6" s="171">
        <f>+F5/F3</f>
        <v>0.74468085106382975</v>
      </c>
      <c r="G6" s="171">
        <f>+G5/G3</f>
        <v>0.9375</v>
      </c>
      <c r="H6" s="171">
        <f>+H5/H3</f>
        <v>1</v>
      </c>
      <c r="I6" s="172"/>
      <c r="J6" s="173"/>
    </row>
    <row r="7" spans="2:10" x14ac:dyDescent="0.25">
      <c r="B7" s="162" t="s">
        <v>222</v>
      </c>
      <c r="C7" s="197"/>
      <c r="D7" s="157">
        <v>20000</v>
      </c>
      <c r="E7" s="157">
        <v>5000</v>
      </c>
      <c r="F7" s="157">
        <v>10000</v>
      </c>
      <c r="G7" s="157">
        <v>15000</v>
      </c>
      <c r="H7" s="157">
        <v>15000</v>
      </c>
      <c r="I7" s="157">
        <v>10000</v>
      </c>
      <c r="J7" s="164">
        <v>75000</v>
      </c>
    </row>
    <row r="8" spans="2:10" x14ac:dyDescent="0.25">
      <c r="B8" s="162" t="s">
        <v>230</v>
      </c>
      <c r="C8" s="197"/>
      <c r="D8" s="24">
        <f>+D7</f>
        <v>20000</v>
      </c>
      <c r="E8" s="24">
        <f>+D8+E7</f>
        <v>25000</v>
      </c>
      <c r="F8" s="24">
        <f t="shared" ref="F8:H8" si="0">+E8+F7</f>
        <v>35000</v>
      </c>
      <c r="G8" s="24">
        <f t="shared" si="0"/>
        <v>50000</v>
      </c>
      <c r="H8" s="24">
        <f t="shared" si="0"/>
        <v>65000</v>
      </c>
      <c r="I8" s="24"/>
      <c r="J8" s="26"/>
    </row>
    <row r="9" spans="2:10" x14ac:dyDescent="0.25">
      <c r="B9" s="165" t="s">
        <v>231</v>
      </c>
      <c r="C9" s="199"/>
      <c r="D9" s="152">
        <f>+D8/$J$7</f>
        <v>0.26666666666666666</v>
      </c>
      <c r="E9" s="152">
        <f t="shared" ref="E9:H9" si="1">+E8/$J$7</f>
        <v>0.33333333333333331</v>
      </c>
      <c r="F9" s="152">
        <f t="shared" si="1"/>
        <v>0.46666666666666667</v>
      </c>
      <c r="G9" s="152">
        <f t="shared" si="1"/>
        <v>0.66666666666666663</v>
      </c>
      <c r="H9" s="152">
        <f t="shared" si="1"/>
        <v>0.8666666666666667</v>
      </c>
      <c r="I9" s="134"/>
      <c r="J9" s="139"/>
    </row>
    <row r="10" spans="2:10" x14ac:dyDescent="0.25">
      <c r="B10" s="2"/>
      <c r="C10" s="2"/>
    </row>
    <row r="11" spans="2:10" x14ac:dyDescent="0.25">
      <c r="B11" s="2"/>
      <c r="C11" s="2"/>
    </row>
    <row r="12" spans="2:10" x14ac:dyDescent="0.25">
      <c r="B12" s="15" t="s">
        <v>11</v>
      </c>
      <c r="C12" s="15"/>
      <c r="D12" s="15" t="str">
        <f>+D2</f>
        <v>ano 1</v>
      </c>
      <c r="E12" s="15" t="str">
        <f t="shared" ref="E12:H12" si="2">+E2</f>
        <v>ano 2</v>
      </c>
      <c r="F12" s="15" t="str">
        <f t="shared" si="2"/>
        <v>ano 3</v>
      </c>
      <c r="G12" s="15" t="str">
        <f t="shared" si="2"/>
        <v>ano 4</v>
      </c>
      <c r="H12" s="15" t="str">
        <f t="shared" si="2"/>
        <v>ano 5</v>
      </c>
    </row>
    <row r="13" spans="2:10" x14ac:dyDescent="0.25">
      <c r="B13" s="9" t="s">
        <v>232</v>
      </c>
      <c r="C13" s="9"/>
      <c r="D13" s="10">
        <f>+D6*$J$7</f>
        <v>25000</v>
      </c>
      <c r="E13" s="10">
        <f>+E6*$J$7-D13</f>
        <v>7608.6956521739121</v>
      </c>
      <c r="F13" s="10">
        <f>+F6*$J$7-SUM($D$13:E13)</f>
        <v>23242.368177613316</v>
      </c>
      <c r="G13" s="10">
        <f>+G6*$J$7-SUM($D$13:F13)</f>
        <v>14461.436170212772</v>
      </c>
      <c r="H13" s="10">
        <f>+H6*$J$7-SUM($D$13:G13)</f>
        <v>4687.5</v>
      </c>
    </row>
    <row r="14" spans="2:10" x14ac:dyDescent="0.25">
      <c r="B14" s="9" t="s">
        <v>233</v>
      </c>
      <c r="C14" s="9"/>
      <c r="D14" s="10">
        <f>-D4</f>
        <v>-15000</v>
      </c>
      <c r="E14" s="10">
        <f t="shared" ref="E14:H14" si="3">-E4</f>
        <v>-5000</v>
      </c>
      <c r="F14" s="10">
        <f t="shared" si="3"/>
        <v>-15000</v>
      </c>
      <c r="G14" s="10">
        <f t="shared" si="3"/>
        <v>-10000</v>
      </c>
      <c r="H14" s="10">
        <f t="shared" si="3"/>
        <v>-5000</v>
      </c>
    </row>
    <row r="15" spans="2:10" x14ac:dyDescent="0.25">
      <c r="B15" s="11" t="s">
        <v>234</v>
      </c>
      <c r="C15" s="11"/>
      <c r="D15" s="12">
        <f>SUM(D13:D14)</f>
        <v>10000</v>
      </c>
      <c r="E15" s="12">
        <f t="shared" ref="E15:H15" si="4">SUM(E13:E14)</f>
        <v>2608.6956521739121</v>
      </c>
      <c r="F15" s="12">
        <f t="shared" si="4"/>
        <v>8242.3681776133162</v>
      </c>
      <c r="G15" s="12">
        <f t="shared" si="4"/>
        <v>4461.4361702127717</v>
      </c>
      <c r="H15" s="12">
        <f t="shared" si="4"/>
        <v>-312.5</v>
      </c>
    </row>
    <row r="17" spans="2:10" x14ac:dyDescent="0.25">
      <c r="B17" s="15" t="s">
        <v>26</v>
      </c>
      <c r="C17" s="15"/>
      <c r="D17" s="15" t="str">
        <f>+D2</f>
        <v>ano 1</v>
      </c>
      <c r="E17" s="15" t="str">
        <f t="shared" ref="E17:H17" si="5">+E2</f>
        <v>ano 2</v>
      </c>
      <c r="F17" s="15" t="str">
        <f t="shared" si="5"/>
        <v>ano 3</v>
      </c>
      <c r="G17" s="15" t="str">
        <f t="shared" si="5"/>
        <v>ano 4</v>
      </c>
      <c r="H17" s="15" t="str">
        <f t="shared" si="5"/>
        <v>ano 5</v>
      </c>
      <c r="I17" s="15" t="str">
        <f t="shared" ref="I17" si="6">+I2</f>
        <v>ano 6</v>
      </c>
    </row>
    <row r="18" spans="2:10" x14ac:dyDescent="0.25">
      <c r="B18" s="9" t="s">
        <v>235</v>
      </c>
      <c r="C18" s="9"/>
      <c r="D18" s="10">
        <f>+D7</f>
        <v>20000</v>
      </c>
      <c r="E18" s="10">
        <f t="shared" ref="E18:H18" si="7">+E7</f>
        <v>5000</v>
      </c>
      <c r="F18" s="10">
        <f t="shared" si="7"/>
        <v>10000</v>
      </c>
      <c r="G18" s="10">
        <f t="shared" si="7"/>
        <v>15000</v>
      </c>
      <c r="H18" s="10">
        <f t="shared" si="7"/>
        <v>15000</v>
      </c>
      <c r="I18" s="10">
        <f t="shared" ref="I18" si="8">+I7</f>
        <v>10000</v>
      </c>
    </row>
    <row r="19" spans="2:10" x14ac:dyDescent="0.25">
      <c r="B19" s="9" t="s">
        <v>236</v>
      </c>
      <c r="C19" s="9"/>
      <c r="D19" s="10">
        <f>+-D4</f>
        <v>-15000</v>
      </c>
      <c r="E19" s="10">
        <f t="shared" ref="E19:H19" si="9">+-E4</f>
        <v>-5000</v>
      </c>
      <c r="F19" s="10">
        <f t="shared" si="9"/>
        <v>-15000</v>
      </c>
      <c r="G19" s="10">
        <f t="shared" si="9"/>
        <v>-10000</v>
      </c>
      <c r="H19" s="10">
        <f t="shared" si="9"/>
        <v>-5000</v>
      </c>
      <c r="I19" s="10">
        <f t="shared" ref="I19" si="10">+-I4</f>
        <v>0</v>
      </c>
    </row>
    <row r="20" spans="2:10" x14ac:dyDescent="0.25">
      <c r="B20" s="11" t="s">
        <v>26</v>
      </c>
      <c r="C20" s="11"/>
      <c r="D20" s="12">
        <f>SUM(D18:D19)</f>
        <v>5000</v>
      </c>
      <c r="E20" s="12">
        <f t="shared" ref="E20:I20" si="11">SUM(E18:E19)</f>
        <v>0</v>
      </c>
      <c r="F20" s="12">
        <f t="shared" si="11"/>
        <v>-5000</v>
      </c>
      <c r="G20" s="12">
        <f t="shared" si="11"/>
        <v>5000</v>
      </c>
      <c r="H20" s="12">
        <f t="shared" si="11"/>
        <v>10000</v>
      </c>
      <c r="I20" s="12">
        <f t="shared" si="11"/>
        <v>10000</v>
      </c>
      <c r="J20" s="13">
        <f>SUM(D20:I20)</f>
        <v>25000</v>
      </c>
    </row>
    <row r="21" spans="2:10" x14ac:dyDescent="0.25">
      <c r="B21" s="3" t="s">
        <v>97</v>
      </c>
      <c r="C21" s="3"/>
      <c r="D21" s="4">
        <v>5000</v>
      </c>
      <c r="E21" s="4">
        <f>+D22</f>
        <v>10000</v>
      </c>
      <c r="F21" s="4">
        <f t="shared" ref="F21:G21" si="12">+E22</f>
        <v>10000</v>
      </c>
      <c r="G21" s="4">
        <f t="shared" si="12"/>
        <v>5000</v>
      </c>
      <c r="H21" s="4">
        <f t="shared" ref="H21:I21" si="13">+G22</f>
        <v>10000</v>
      </c>
      <c r="I21" s="4">
        <f t="shared" si="13"/>
        <v>20000</v>
      </c>
    </row>
    <row r="22" spans="2:10" x14ac:dyDescent="0.25">
      <c r="B22" s="3" t="s">
        <v>112</v>
      </c>
      <c r="C22" s="3"/>
      <c r="D22" s="4">
        <f>+D21+D20</f>
        <v>10000</v>
      </c>
      <c r="E22" s="4">
        <f>+E21+E20</f>
        <v>10000</v>
      </c>
      <c r="F22" s="4">
        <f t="shared" ref="F22:G22" si="14">+F21+F20</f>
        <v>5000</v>
      </c>
      <c r="G22" s="4">
        <f t="shared" si="14"/>
        <v>10000</v>
      </c>
      <c r="H22" s="4">
        <f t="shared" ref="H22:I22" si="15">+H21+H20</f>
        <v>20000</v>
      </c>
      <c r="I22" s="4">
        <f t="shared" si="15"/>
        <v>30000</v>
      </c>
    </row>
    <row r="24" spans="2:10" x14ac:dyDescent="0.25">
      <c r="B24" s="175" t="s">
        <v>38</v>
      </c>
      <c r="C24" s="175"/>
      <c r="D24" s="175"/>
      <c r="E24" s="175"/>
      <c r="F24" s="175"/>
      <c r="G24" s="175"/>
      <c r="H24" s="175"/>
    </row>
    <row r="25" spans="2:10" x14ac:dyDescent="0.25">
      <c r="B25" s="16" t="s">
        <v>4</v>
      </c>
      <c r="C25" s="16" t="s">
        <v>256</v>
      </c>
      <c r="D25" s="16" t="s">
        <v>238</v>
      </c>
      <c r="E25" s="16" t="s">
        <v>239</v>
      </c>
      <c r="F25" s="16" t="s">
        <v>240</v>
      </c>
      <c r="G25" s="16" t="s">
        <v>257</v>
      </c>
      <c r="H25" s="16" t="s">
        <v>258</v>
      </c>
    </row>
    <row r="26" spans="2:10" x14ac:dyDescent="0.25">
      <c r="B26" s="3" t="s">
        <v>39</v>
      </c>
      <c r="C26" s="4">
        <v>5000</v>
      </c>
      <c r="D26" s="4">
        <f>+D22</f>
        <v>10000</v>
      </c>
      <c r="E26" s="4">
        <f t="shared" ref="E26:H26" si="16">+E22</f>
        <v>10000</v>
      </c>
      <c r="F26" s="4">
        <f t="shared" si="16"/>
        <v>5000</v>
      </c>
      <c r="G26" s="4">
        <f t="shared" si="16"/>
        <v>10000</v>
      </c>
      <c r="H26" s="4">
        <f t="shared" si="16"/>
        <v>20000</v>
      </c>
    </row>
    <row r="27" spans="2:10" x14ac:dyDescent="0.25">
      <c r="B27" s="3" t="s">
        <v>244</v>
      </c>
      <c r="C27" s="4">
        <v>0</v>
      </c>
      <c r="D27" s="4"/>
      <c r="E27" s="4"/>
      <c r="F27" s="4"/>
      <c r="G27" s="4"/>
      <c r="H27" s="4"/>
    </row>
    <row r="28" spans="2:10" x14ac:dyDescent="0.25">
      <c r="B28" s="7" t="s">
        <v>10</v>
      </c>
      <c r="C28" s="6">
        <f>SUM(C26:C27)</f>
        <v>5000</v>
      </c>
      <c r="D28" s="6">
        <f t="shared" ref="D28:H28" si="17">SUM(D26:D27)</f>
        <v>10000</v>
      </c>
      <c r="E28" s="6">
        <f t="shared" si="17"/>
        <v>10000</v>
      </c>
      <c r="F28" s="6">
        <f t="shared" si="17"/>
        <v>5000</v>
      </c>
      <c r="G28" s="6">
        <f t="shared" si="17"/>
        <v>10000</v>
      </c>
      <c r="H28" s="6">
        <f t="shared" si="17"/>
        <v>20000</v>
      </c>
    </row>
    <row r="29" spans="2:10" x14ac:dyDescent="0.25">
      <c r="B29" s="16" t="s">
        <v>161</v>
      </c>
      <c r="C29" s="16" t="str">
        <f>+C25</f>
        <v>31/12/A0</v>
      </c>
      <c r="D29" s="16" t="str">
        <f t="shared" ref="D29:H29" si="18">+D25</f>
        <v>31/12/A1</v>
      </c>
      <c r="E29" s="16" t="str">
        <f t="shared" si="18"/>
        <v>31/12/A2</v>
      </c>
      <c r="F29" s="16" t="str">
        <f t="shared" si="18"/>
        <v>31/12/A3</v>
      </c>
      <c r="G29" s="16" t="str">
        <f t="shared" si="18"/>
        <v>31/12/A4</v>
      </c>
      <c r="H29" s="16" t="str">
        <f t="shared" si="18"/>
        <v>31/12/A5</v>
      </c>
    </row>
    <row r="30" spans="2:10" x14ac:dyDescent="0.25">
      <c r="B30" s="3" t="s">
        <v>242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2:10" x14ac:dyDescent="0.25">
      <c r="B31" s="3" t="s">
        <v>42</v>
      </c>
      <c r="C31" s="4">
        <v>5000</v>
      </c>
      <c r="D31" s="4">
        <v>5000</v>
      </c>
      <c r="E31" s="4">
        <v>5000</v>
      </c>
      <c r="F31" s="4">
        <v>5000</v>
      </c>
      <c r="G31" s="4">
        <v>5000</v>
      </c>
      <c r="H31" s="4">
        <v>5000</v>
      </c>
    </row>
    <row r="32" spans="2:10" x14ac:dyDescent="0.25">
      <c r="B32" s="3" t="s">
        <v>243</v>
      </c>
      <c r="C32" s="4">
        <v>0</v>
      </c>
      <c r="D32" s="4">
        <f>+D15</f>
        <v>10000</v>
      </c>
      <c r="E32" s="4">
        <f>+D32+E15</f>
        <v>12608.695652173912</v>
      </c>
      <c r="F32" s="4">
        <f t="shared" ref="F32:H32" si="19">+E32+F15</f>
        <v>20851.063829787228</v>
      </c>
      <c r="G32" s="4">
        <f t="shared" si="19"/>
        <v>25312.5</v>
      </c>
      <c r="H32" s="4">
        <f t="shared" si="19"/>
        <v>25000</v>
      </c>
    </row>
    <row r="33" spans="2:8" x14ac:dyDescent="0.25">
      <c r="B33" s="7" t="s">
        <v>10</v>
      </c>
      <c r="C33" s="6">
        <f>+SUM(C30:C32)</f>
        <v>5000</v>
      </c>
      <c r="D33" s="6">
        <f t="shared" ref="D33:H33" si="20">+SUM(D30:D32)</f>
        <v>15000</v>
      </c>
      <c r="E33" s="6">
        <f t="shared" si="20"/>
        <v>17608.695652173912</v>
      </c>
      <c r="F33" s="6">
        <f t="shared" si="20"/>
        <v>25851.063829787228</v>
      </c>
      <c r="G33" s="6">
        <f t="shared" si="20"/>
        <v>30312.5</v>
      </c>
      <c r="H33" s="6">
        <f t="shared" si="20"/>
        <v>30000</v>
      </c>
    </row>
  </sheetData>
  <mergeCells count="1">
    <mergeCell ref="B24:H2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F11"/>
  <sheetViews>
    <sheetView workbookViewId="0">
      <selection activeCell="C2" sqref="C2:I16"/>
    </sheetView>
  </sheetViews>
  <sheetFormatPr defaultRowHeight="15" x14ac:dyDescent="0.25"/>
  <sheetData>
    <row r="9" spans="6:6" x14ac:dyDescent="0.25">
      <c r="F9" s="73"/>
    </row>
    <row r="10" spans="6:6" x14ac:dyDescent="0.25">
      <c r="F10" s="73"/>
    </row>
    <row r="11" spans="6:6" x14ac:dyDescent="0.25">
      <c r="F11" s="7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zoomScale="80" zoomScaleNormal="80" workbookViewId="0">
      <selection activeCell="I26" sqref="I26"/>
    </sheetView>
  </sheetViews>
  <sheetFormatPr defaultRowHeight="15" x14ac:dyDescent="0.25"/>
  <cols>
    <col min="1" max="1" width="3.28515625" style="1" customWidth="1"/>
    <col min="2" max="2" width="45" style="1" customWidth="1"/>
    <col min="3" max="5" width="14.28515625" style="1" customWidth="1"/>
    <col min="6" max="6" width="16.85546875" style="1" customWidth="1"/>
    <col min="7" max="16384" width="9.140625" style="1"/>
  </cols>
  <sheetData>
    <row r="2" spans="2:6" x14ac:dyDescent="0.25">
      <c r="C2" s="14" t="s">
        <v>21</v>
      </c>
      <c r="D2" s="14" t="s">
        <v>22</v>
      </c>
      <c r="E2" s="14" t="s">
        <v>23</v>
      </c>
    </row>
    <row r="3" spans="2:6" x14ac:dyDescent="0.25">
      <c r="B3" s="2" t="s">
        <v>24</v>
      </c>
      <c r="C3" s="1">
        <v>1000</v>
      </c>
      <c r="D3" s="1">
        <v>2000</v>
      </c>
      <c r="E3" s="1">
        <v>4000</v>
      </c>
    </row>
    <row r="4" spans="2:6" x14ac:dyDescent="0.25">
      <c r="B4" s="2" t="s">
        <v>25</v>
      </c>
      <c r="C4" s="1">
        <v>1800</v>
      </c>
      <c r="D4" s="1">
        <v>3600</v>
      </c>
      <c r="E4" s="1">
        <v>7200</v>
      </c>
    </row>
    <row r="5" spans="2:6" x14ac:dyDescent="0.25">
      <c r="B5" s="2"/>
    </row>
    <row r="6" spans="2:6" x14ac:dyDescent="0.25">
      <c r="B6" s="15" t="s">
        <v>26</v>
      </c>
      <c r="C6" s="15" t="str">
        <f>+C2</f>
        <v>ABR</v>
      </c>
      <c r="D6" s="15" t="str">
        <f>+D2</f>
        <v>MAI</v>
      </c>
      <c r="E6" s="15" t="str">
        <f>+E2</f>
        <v>JUN</v>
      </c>
      <c r="F6" s="174" t="s">
        <v>37</v>
      </c>
    </row>
    <row r="7" spans="2:6" x14ac:dyDescent="0.25">
      <c r="B7" s="9" t="s">
        <v>27</v>
      </c>
      <c r="C7" s="10">
        <v>0</v>
      </c>
      <c r="D7" s="10">
        <f>+C4/5</f>
        <v>360</v>
      </c>
      <c r="E7" s="10">
        <f>+C4/5+D4/5</f>
        <v>1080</v>
      </c>
      <c r="F7" s="174"/>
    </row>
    <row r="8" spans="2:6" x14ac:dyDescent="0.25">
      <c r="B8" s="9" t="s">
        <v>28</v>
      </c>
      <c r="C8" s="10">
        <f>-C3</f>
        <v>-1000</v>
      </c>
      <c r="D8" s="10">
        <f>-D3</f>
        <v>-2000</v>
      </c>
      <c r="E8" s="10">
        <f>-E3</f>
        <v>-4000</v>
      </c>
      <c r="F8" s="174"/>
    </row>
    <row r="9" spans="2:6" x14ac:dyDescent="0.25">
      <c r="B9" s="11" t="s">
        <v>29</v>
      </c>
      <c r="C9" s="12">
        <f>+SUM(C7:C8)</f>
        <v>-1000</v>
      </c>
      <c r="D9" s="12">
        <f>+SUM(D7:D8)</f>
        <v>-1640</v>
      </c>
      <c r="E9" s="12">
        <f>+SUM(E7:E8)</f>
        <v>-2920</v>
      </c>
      <c r="F9" s="174"/>
    </row>
    <row r="10" spans="2:6" x14ac:dyDescent="0.25">
      <c r="B10" s="3" t="s">
        <v>30</v>
      </c>
      <c r="C10" s="4">
        <v>10000</v>
      </c>
      <c r="D10" s="4">
        <f>+C11</f>
        <v>9000</v>
      </c>
      <c r="E10" s="4">
        <f>+D11</f>
        <v>7360</v>
      </c>
      <c r="F10" s="174"/>
    </row>
    <row r="11" spans="2:6" x14ac:dyDescent="0.25">
      <c r="B11" s="3" t="s">
        <v>31</v>
      </c>
      <c r="C11" s="4">
        <f>+C10+C9</f>
        <v>9000</v>
      </c>
      <c r="D11" s="4">
        <f>+D10+D9</f>
        <v>7360</v>
      </c>
      <c r="E11" s="4">
        <f>+E10+E9</f>
        <v>4440</v>
      </c>
      <c r="F11" s="174"/>
    </row>
    <row r="12" spans="2:6" x14ac:dyDescent="0.25">
      <c r="B12" s="2"/>
    </row>
    <row r="13" spans="2:6" x14ac:dyDescent="0.25">
      <c r="B13" s="15" t="s">
        <v>11</v>
      </c>
      <c r="C13" s="15" t="str">
        <f>+C6</f>
        <v>ABR</v>
      </c>
      <c r="D13" s="15" t="str">
        <f t="shared" ref="D13:E13" si="0">+D6</f>
        <v>MAI</v>
      </c>
      <c r="E13" s="15" t="str">
        <f t="shared" si="0"/>
        <v>JUN</v>
      </c>
      <c r="F13" s="174" t="s">
        <v>36</v>
      </c>
    </row>
    <row r="14" spans="2:6" x14ac:dyDescent="0.25">
      <c r="B14" s="9" t="s">
        <v>32</v>
      </c>
      <c r="C14" s="10">
        <f>+C4</f>
        <v>1800</v>
      </c>
      <c r="D14" s="10">
        <f>+D4</f>
        <v>3600</v>
      </c>
      <c r="E14" s="10">
        <f>+E4</f>
        <v>7200</v>
      </c>
      <c r="F14" s="174"/>
    </row>
    <row r="15" spans="2:6" x14ac:dyDescent="0.25">
      <c r="B15" s="9" t="s">
        <v>33</v>
      </c>
      <c r="C15" s="10">
        <f>-C3</f>
        <v>-1000</v>
      </c>
      <c r="D15" s="10">
        <f>-D3</f>
        <v>-2000</v>
      </c>
      <c r="E15" s="10">
        <f>-E3</f>
        <v>-4000</v>
      </c>
      <c r="F15" s="174"/>
    </row>
    <row r="16" spans="2:6" x14ac:dyDescent="0.25">
      <c r="B16" s="11" t="s">
        <v>34</v>
      </c>
      <c r="C16" s="12">
        <f>+SUM(C14:C15)</f>
        <v>800</v>
      </c>
      <c r="D16" s="12">
        <f>+SUM(D14:D15)</f>
        <v>1600</v>
      </c>
      <c r="E16" s="12">
        <f>+SUM(E14:E15)</f>
        <v>3200</v>
      </c>
      <c r="F16" s="174"/>
    </row>
    <row r="17" spans="2:6" x14ac:dyDescent="0.25">
      <c r="B17" s="20" t="s">
        <v>44</v>
      </c>
      <c r="C17" s="21">
        <f>+C24</f>
        <v>-180</v>
      </c>
      <c r="D17" s="21">
        <f>+D24-C24</f>
        <v>-324</v>
      </c>
      <c r="E17" s="21">
        <f>+E24-D24</f>
        <v>-612</v>
      </c>
      <c r="F17" s="174"/>
    </row>
    <row r="18" spans="2:6" x14ac:dyDescent="0.25">
      <c r="B18" s="11" t="s">
        <v>35</v>
      </c>
      <c r="C18" s="12">
        <f>+SUM(C16:C17)</f>
        <v>620</v>
      </c>
      <c r="D18" s="12">
        <f>+SUM(D16:D17)</f>
        <v>1276</v>
      </c>
      <c r="E18" s="12">
        <f>+SUM(E16:E17)</f>
        <v>2588</v>
      </c>
      <c r="F18" s="174"/>
    </row>
    <row r="19" spans="2:6" x14ac:dyDescent="0.25">
      <c r="B19" s="2"/>
    </row>
    <row r="20" spans="2:6" ht="15" customHeight="1" x14ac:dyDescent="0.25">
      <c r="B20" s="175" t="s">
        <v>38</v>
      </c>
      <c r="C20" s="175"/>
      <c r="D20" s="175"/>
      <c r="E20" s="175"/>
      <c r="F20" s="174" t="s">
        <v>45</v>
      </c>
    </row>
    <row r="21" spans="2:6" x14ac:dyDescent="0.25">
      <c r="B21" s="16" t="s">
        <v>4</v>
      </c>
      <c r="C21" s="17">
        <v>43220</v>
      </c>
      <c r="D21" s="17">
        <f>+C21+31</f>
        <v>43251</v>
      </c>
      <c r="E21" s="17">
        <f>+D21+30</f>
        <v>43281</v>
      </c>
      <c r="F21" s="174"/>
    </row>
    <row r="22" spans="2:6" x14ac:dyDescent="0.25">
      <c r="B22" s="3" t="s">
        <v>39</v>
      </c>
      <c r="C22" s="4">
        <f>+C11</f>
        <v>9000</v>
      </c>
      <c r="D22" s="4">
        <f>+D11</f>
        <v>7360</v>
      </c>
      <c r="E22" s="4">
        <f>+E11</f>
        <v>4440</v>
      </c>
      <c r="F22" s="174"/>
    </row>
    <row r="23" spans="2:6" x14ac:dyDescent="0.25">
      <c r="B23" s="3" t="s">
        <v>40</v>
      </c>
      <c r="C23" s="4">
        <f>+C14</f>
        <v>1800</v>
      </c>
      <c r="D23" s="4">
        <f>+C23-D7+D14</f>
        <v>5040</v>
      </c>
      <c r="E23" s="4">
        <f>+D23-E7+E14</f>
        <v>11160</v>
      </c>
      <c r="F23" s="174"/>
    </row>
    <row r="24" spans="2:6" x14ac:dyDescent="0.25">
      <c r="B24" s="18" t="s">
        <v>44</v>
      </c>
      <c r="C24" s="19">
        <f>-C23*10%</f>
        <v>-180</v>
      </c>
      <c r="D24" s="19">
        <f>-D23*10%</f>
        <v>-504</v>
      </c>
      <c r="E24" s="19">
        <f>-E23*10%</f>
        <v>-1116</v>
      </c>
      <c r="F24" s="174"/>
    </row>
    <row r="25" spans="2:6" x14ac:dyDescent="0.25">
      <c r="B25" s="7" t="s">
        <v>10</v>
      </c>
      <c r="C25" s="6">
        <f>+SUM(C22:C24)</f>
        <v>10620</v>
      </c>
      <c r="D25" s="6">
        <f>+SUM(D22:D24)</f>
        <v>11896</v>
      </c>
      <c r="E25" s="6">
        <f>+SUM(E22:E24)</f>
        <v>14484</v>
      </c>
      <c r="F25" s="174"/>
    </row>
    <row r="26" spans="2:6" x14ac:dyDescent="0.25">
      <c r="B26" s="16" t="s">
        <v>41</v>
      </c>
      <c r="C26" s="17">
        <v>43220</v>
      </c>
      <c r="D26" s="17">
        <f>+C26+31</f>
        <v>43251</v>
      </c>
      <c r="E26" s="17">
        <f>+D26+30</f>
        <v>43281</v>
      </c>
      <c r="F26" s="174"/>
    </row>
    <row r="27" spans="2:6" x14ac:dyDescent="0.25">
      <c r="B27" s="3" t="s">
        <v>42</v>
      </c>
      <c r="C27" s="4">
        <v>10000</v>
      </c>
      <c r="D27" s="4">
        <v>10000</v>
      </c>
      <c r="E27" s="4">
        <v>10000</v>
      </c>
      <c r="F27" s="174"/>
    </row>
    <row r="28" spans="2:6" x14ac:dyDescent="0.25">
      <c r="B28" s="3" t="s">
        <v>43</v>
      </c>
      <c r="C28" s="4">
        <f>+C18</f>
        <v>620</v>
      </c>
      <c r="D28" s="4">
        <f>+C28+D18</f>
        <v>1896</v>
      </c>
      <c r="E28" s="4">
        <f>+D28+E18</f>
        <v>4484</v>
      </c>
      <c r="F28" s="174"/>
    </row>
    <row r="29" spans="2:6" x14ac:dyDescent="0.25">
      <c r="B29" s="7" t="s">
        <v>10</v>
      </c>
      <c r="C29" s="6">
        <f>+SUM(C27:C28)</f>
        <v>10620</v>
      </c>
      <c r="D29" s="6">
        <f>+SUM(D27:D28)</f>
        <v>11896</v>
      </c>
      <c r="E29" s="6">
        <f>+SUM(E27:E28)</f>
        <v>14484</v>
      </c>
      <c r="F29" s="174"/>
    </row>
  </sheetData>
  <mergeCells count="4">
    <mergeCell ref="F6:F11"/>
    <mergeCell ref="F13:F18"/>
    <mergeCell ref="B20:E20"/>
    <mergeCell ref="F20:F2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35"/>
  <sheetViews>
    <sheetView topLeftCell="A16" zoomScale="170" zoomScaleNormal="170" workbookViewId="0">
      <selection activeCell="C33" sqref="C33"/>
    </sheetView>
  </sheetViews>
  <sheetFormatPr defaultRowHeight="15" x14ac:dyDescent="0.25"/>
  <cols>
    <col min="1" max="1" width="1" style="1" customWidth="1"/>
    <col min="2" max="2" width="41.42578125" style="1" bestFit="1" customWidth="1"/>
    <col min="3" max="3" width="11.28515625" style="1" customWidth="1"/>
    <col min="4" max="4" width="0.85546875" style="1" customWidth="1"/>
    <col min="5" max="6" width="11.28515625" style="1" customWidth="1"/>
    <col min="7" max="7" width="1.28515625" style="1" customWidth="1"/>
    <col min="8" max="16384" width="9.140625" style="1"/>
  </cols>
  <sheetData>
    <row r="2" spans="2:9" x14ac:dyDescent="0.25">
      <c r="B2" s="22" t="s">
        <v>46</v>
      </c>
      <c r="C2" s="23">
        <v>1500</v>
      </c>
      <c r="D2" s="24"/>
    </row>
    <row r="3" spans="2:9" x14ac:dyDescent="0.25">
      <c r="B3" s="25" t="s">
        <v>47</v>
      </c>
      <c r="C3" s="26">
        <f>+C2</f>
        <v>1500</v>
      </c>
      <c r="D3" s="24"/>
    </row>
    <row r="4" spans="2:9" x14ac:dyDescent="0.25">
      <c r="B4" s="25" t="s">
        <v>48</v>
      </c>
      <c r="C4" s="26">
        <v>2500</v>
      </c>
      <c r="D4" s="24"/>
    </row>
    <row r="5" spans="2:9" x14ac:dyDescent="0.25">
      <c r="B5" s="25" t="s">
        <v>49</v>
      </c>
      <c r="C5" s="26"/>
      <c r="D5" s="24"/>
    </row>
    <row r="6" spans="2:9" x14ac:dyDescent="0.25">
      <c r="B6" s="25" t="s">
        <v>50</v>
      </c>
      <c r="C6" s="26"/>
      <c r="D6" s="24"/>
    </row>
    <row r="7" spans="2:9" x14ac:dyDescent="0.25">
      <c r="B7" s="25" t="s">
        <v>51</v>
      </c>
      <c r="C7" s="26"/>
      <c r="D7" s="24"/>
    </row>
    <row r="8" spans="2:9" x14ac:dyDescent="0.25">
      <c r="B8" s="177" t="s">
        <v>52</v>
      </c>
      <c r="C8" s="178"/>
      <c r="D8" s="27"/>
    </row>
    <row r="9" spans="2:9" x14ac:dyDescent="0.25">
      <c r="B9" s="27"/>
      <c r="C9" s="27"/>
      <c r="D9" s="27"/>
    </row>
    <row r="10" spans="2:9" x14ac:dyDescent="0.25">
      <c r="E10" s="179" t="s">
        <v>53</v>
      </c>
      <c r="F10" s="179"/>
      <c r="H10" s="179" t="s">
        <v>54</v>
      </c>
      <c r="I10" s="179"/>
    </row>
    <row r="11" spans="2:9" x14ac:dyDescent="0.25">
      <c r="B11" s="28" t="s">
        <v>11</v>
      </c>
      <c r="C11" s="28" t="s">
        <v>55</v>
      </c>
      <c r="D11" s="29"/>
      <c r="E11" s="28" t="s">
        <v>56</v>
      </c>
      <c r="F11" s="28" t="s">
        <v>57</v>
      </c>
      <c r="H11" s="28" t="s">
        <v>56</v>
      </c>
      <c r="I11" s="28" t="s">
        <v>57</v>
      </c>
    </row>
    <row r="12" spans="2:9" x14ac:dyDescent="0.25">
      <c r="B12" s="30" t="s">
        <v>58</v>
      </c>
      <c r="C12" s="31">
        <f>+C4</f>
        <v>2500</v>
      </c>
      <c r="D12" s="32"/>
      <c r="E12" s="31">
        <f>+C12</f>
        <v>2500</v>
      </c>
      <c r="F12" s="31">
        <f>+E12</f>
        <v>2500</v>
      </c>
      <c r="H12" s="31">
        <f>+E12*(1+10%)</f>
        <v>2750</v>
      </c>
      <c r="I12" s="31">
        <f>+H12</f>
        <v>2750</v>
      </c>
    </row>
    <row r="13" spans="2:9" x14ac:dyDescent="0.25">
      <c r="B13" s="9" t="s">
        <v>59</v>
      </c>
      <c r="C13" s="10">
        <f>-C3</f>
        <v>-1500</v>
      </c>
      <c r="D13" s="33"/>
      <c r="E13" s="10">
        <f>+C13*(1+40%)</f>
        <v>-2100</v>
      </c>
      <c r="F13" s="10">
        <v>-2200</v>
      </c>
      <c r="H13" s="10">
        <f>+E13*(1+10%)</f>
        <v>-2310</v>
      </c>
      <c r="I13" s="10">
        <f>+F13*(1+10%)</f>
        <v>-2420</v>
      </c>
    </row>
    <row r="14" spans="2:9" x14ac:dyDescent="0.25">
      <c r="B14" s="11" t="s">
        <v>34</v>
      </c>
      <c r="C14" s="12">
        <f>SUM(C12:C13)</f>
        <v>1000</v>
      </c>
      <c r="D14" s="32"/>
      <c r="E14" s="12">
        <f t="shared" ref="E14:F14" si="0">SUM(E12:E13)</f>
        <v>400</v>
      </c>
      <c r="F14" s="12">
        <f t="shared" si="0"/>
        <v>300</v>
      </c>
      <c r="H14" s="12">
        <f t="shared" ref="H14:I14" si="1">SUM(H12:H13)</f>
        <v>440</v>
      </c>
      <c r="I14" s="12">
        <f t="shared" si="1"/>
        <v>330</v>
      </c>
    </row>
    <row r="15" spans="2:9" x14ac:dyDescent="0.25">
      <c r="B15" s="9" t="s">
        <v>60</v>
      </c>
      <c r="C15" s="10"/>
      <c r="D15" s="33"/>
      <c r="E15" s="10"/>
      <c r="F15" s="10">
        <v>100</v>
      </c>
      <c r="H15" s="10"/>
      <c r="I15" s="10">
        <f>+F15*(1+10%)</f>
        <v>110.00000000000001</v>
      </c>
    </row>
    <row r="16" spans="2:9" x14ac:dyDescent="0.25">
      <c r="B16" s="9" t="s">
        <v>61</v>
      </c>
      <c r="C16" s="10"/>
      <c r="D16" s="33"/>
      <c r="E16" s="10"/>
      <c r="F16" s="10"/>
      <c r="H16" s="10">
        <v>-250</v>
      </c>
      <c r="I16" s="10">
        <v>-250</v>
      </c>
    </row>
    <row r="17" spans="2:9" x14ac:dyDescent="0.25">
      <c r="B17" s="11" t="s">
        <v>35</v>
      </c>
      <c r="C17" s="12">
        <f>SUM(C14:C16)</f>
        <v>1000</v>
      </c>
      <c r="D17" s="32"/>
      <c r="E17" s="12">
        <f t="shared" ref="E17:F17" si="2">SUM(E14:E16)</f>
        <v>400</v>
      </c>
      <c r="F17" s="12">
        <f t="shared" si="2"/>
        <v>400</v>
      </c>
      <c r="H17" s="12">
        <f t="shared" ref="H17:I17" si="3">SUM(H14:H16)</f>
        <v>190</v>
      </c>
      <c r="I17" s="12">
        <f t="shared" si="3"/>
        <v>190</v>
      </c>
    </row>
    <row r="19" spans="2:9" x14ac:dyDescent="0.25">
      <c r="B19" s="179" t="s">
        <v>62</v>
      </c>
      <c r="C19" s="179"/>
    </row>
    <row r="20" spans="2:9" x14ac:dyDescent="0.25">
      <c r="B20" s="9" t="s">
        <v>63</v>
      </c>
      <c r="C20" s="10">
        <f>+I14</f>
        <v>330</v>
      </c>
    </row>
    <row r="21" spans="2:9" x14ac:dyDescent="0.25">
      <c r="B21" s="9" t="s">
        <v>64</v>
      </c>
      <c r="C21" s="10">
        <f>+I15</f>
        <v>110.00000000000001</v>
      </c>
    </row>
    <row r="22" spans="2:9" x14ac:dyDescent="0.25">
      <c r="B22" s="9" t="s">
        <v>65</v>
      </c>
      <c r="C22" s="10">
        <f>+I16</f>
        <v>-250</v>
      </c>
    </row>
    <row r="23" spans="2:9" x14ac:dyDescent="0.25">
      <c r="B23" s="11" t="s">
        <v>10</v>
      </c>
      <c r="C23" s="12">
        <f>SUM(C20:C22)</f>
        <v>190</v>
      </c>
    </row>
    <row r="25" spans="2:9" x14ac:dyDescent="0.25">
      <c r="B25" s="179" t="s">
        <v>66</v>
      </c>
      <c r="C25" s="179"/>
    </row>
    <row r="26" spans="2:9" x14ac:dyDescent="0.25">
      <c r="B26" s="176" t="s">
        <v>4</v>
      </c>
      <c r="C26" s="176"/>
    </row>
    <row r="27" spans="2:9" x14ac:dyDescent="0.25">
      <c r="B27" s="9" t="s">
        <v>39</v>
      </c>
      <c r="C27" s="10">
        <f>+F12</f>
        <v>2500</v>
      </c>
    </row>
    <row r="28" spans="2:9" x14ac:dyDescent="0.25">
      <c r="B28" s="9"/>
      <c r="C28" s="10"/>
    </row>
    <row r="29" spans="2:9" x14ac:dyDescent="0.25">
      <c r="B29" s="9"/>
      <c r="C29" s="10"/>
    </row>
    <row r="30" spans="2:9" x14ac:dyDescent="0.25">
      <c r="B30" s="11" t="s">
        <v>10</v>
      </c>
      <c r="C30" s="12">
        <f>SUM(C27:C29)</f>
        <v>2500</v>
      </c>
    </row>
    <row r="31" spans="2:9" x14ac:dyDescent="0.25">
      <c r="B31" s="176" t="s">
        <v>67</v>
      </c>
      <c r="C31" s="176"/>
    </row>
    <row r="32" spans="2:9" x14ac:dyDescent="0.25">
      <c r="B32" s="9" t="s">
        <v>42</v>
      </c>
      <c r="C32" s="10">
        <f>1500*(1+40%)*(1+10%)</f>
        <v>2310</v>
      </c>
    </row>
    <row r="33" spans="2:3" x14ac:dyDescent="0.25">
      <c r="B33" s="9" t="s">
        <v>68</v>
      </c>
      <c r="C33" s="10">
        <f>+C21</f>
        <v>110.00000000000001</v>
      </c>
    </row>
    <row r="34" spans="2:3" x14ac:dyDescent="0.25">
      <c r="B34" s="9" t="s">
        <v>69</v>
      </c>
      <c r="C34" s="10">
        <f>+C27+I13</f>
        <v>80</v>
      </c>
    </row>
    <row r="35" spans="2:3" x14ac:dyDescent="0.25">
      <c r="B35" s="11" t="s">
        <v>10</v>
      </c>
      <c r="C35" s="12">
        <f>SUM(C32:C34)</f>
        <v>2500</v>
      </c>
    </row>
  </sheetData>
  <mergeCells count="7">
    <mergeCell ref="B31:C31"/>
    <mergeCell ref="B8:C8"/>
    <mergeCell ref="E10:F10"/>
    <mergeCell ref="H10:I10"/>
    <mergeCell ref="B19:C19"/>
    <mergeCell ref="B25:C25"/>
    <mergeCell ref="B26:C26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="130" zoomScaleNormal="130" workbookViewId="0">
      <selection activeCell="B3" sqref="B3"/>
    </sheetView>
  </sheetViews>
  <sheetFormatPr defaultColWidth="42.42578125" defaultRowHeight="15" x14ac:dyDescent="0.25"/>
  <cols>
    <col min="1" max="1" width="1" style="1" customWidth="1"/>
    <col min="2" max="2" width="42.5703125" style="1" bestFit="1" customWidth="1"/>
    <col min="3" max="3" width="10.28515625" style="1" bestFit="1" customWidth="1"/>
    <col min="4" max="4" width="15.28515625" style="1" bestFit="1" customWidth="1"/>
    <col min="5" max="5" width="8.140625" style="1" bestFit="1" customWidth="1"/>
    <col min="6" max="6" width="8.28515625" style="1" customWidth="1"/>
    <col min="7" max="7" width="8.85546875" style="1" customWidth="1"/>
    <col min="8" max="16384" width="42.42578125" style="1"/>
  </cols>
  <sheetData>
    <row r="2" spans="2:5" x14ac:dyDescent="0.25">
      <c r="B2" s="34" t="s">
        <v>72</v>
      </c>
      <c r="C2" s="34" t="s">
        <v>70</v>
      </c>
      <c r="D2" s="34" t="s">
        <v>71</v>
      </c>
      <c r="E2" s="34" t="s">
        <v>10</v>
      </c>
    </row>
    <row r="3" spans="2:5" x14ac:dyDescent="0.25">
      <c r="B3" s="36" t="s">
        <v>73</v>
      </c>
      <c r="C3" s="35">
        <v>20000</v>
      </c>
      <c r="D3" s="35">
        <v>16000</v>
      </c>
      <c r="E3" s="37"/>
    </row>
    <row r="4" spans="2:5" x14ac:dyDescent="0.25">
      <c r="B4" s="36" t="s">
        <v>74</v>
      </c>
      <c r="C4" s="35">
        <v>12000</v>
      </c>
      <c r="D4" s="35">
        <v>8000</v>
      </c>
      <c r="E4" s="37">
        <f>SUM(C4:D4)</f>
        <v>20000</v>
      </c>
    </row>
    <row r="5" spans="2:5" x14ac:dyDescent="0.25">
      <c r="B5" s="36" t="s">
        <v>75</v>
      </c>
      <c r="C5" s="35">
        <v>6000</v>
      </c>
      <c r="D5" s="35">
        <v>3000</v>
      </c>
      <c r="E5" s="37">
        <f>SUM(C5:D5)</f>
        <v>9000</v>
      </c>
    </row>
    <row r="7" spans="2:5" x14ac:dyDescent="0.25">
      <c r="B7" s="15" t="s">
        <v>76</v>
      </c>
      <c r="C7" s="15" t="s">
        <v>77</v>
      </c>
    </row>
    <row r="8" spans="2:5" x14ac:dyDescent="0.25">
      <c r="B8" s="9" t="s">
        <v>78</v>
      </c>
      <c r="C8" s="38">
        <v>2</v>
      </c>
    </row>
    <row r="9" spans="2:5" x14ac:dyDescent="0.25">
      <c r="B9" s="9" t="s">
        <v>79</v>
      </c>
      <c r="C9" s="38">
        <v>5</v>
      </c>
    </row>
    <row r="10" spans="2:5" x14ac:dyDescent="0.25">
      <c r="B10" s="180" t="s">
        <v>80</v>
      </c>
      <c r="C10" s="180"/>
    </row>
    <row r="11" spans="2:5" x14ac:dyDescent="0.25">
      <c r="B11" s="9" t="s">
        <v>81</v>
      </c>
      <c r="C11" s="10">
        <v>3600</v>
      </c>
    </row>
    <row r="12" spans="2:5" x14ac:dyDescent="0.25">
      <c r="B12" s="9" t="s">
        <v>82</v>
      </c>
      <c r="C12" s="10">
        <v>12000</v>
      </c>
    </row>
    <row r="13" spans="2:5" x14ac:dyDescent="0.25">
      <c r="B13" s="9" t="s">
        <v>83</v>
      </c>
      <c r="C13" s="10">
        <v>4500</v>
      </c>
    </row>
    <row r="14" spans="2:5" x14ac:dyDescent="0.25">
      <c r="B14" s="9" t="s">
        <v>84</v>
      </c>
      <c r="C14" s="10">
        <v>1500</v>
      </c>
    </row>
    <row r="15" spans="2:5" x14ac:dyDescent="0.25">
      <c r="B15" s="9" t="s">
        <v>85</v>
      </c>
      <c r="C15" s="10">
        <v>2400</v>
      </c>
    </row>
    <row r="16" spans="2:5" x14ac:dyDescent="0.25">
      <c r="B16" s="11" t="s">
        <v>10</v>
      </c>
      <c r="C16" s="12">
        <f>+SUM(C11:C15)</f>
        <v>24000</v>
      </c>
    </row>
    <row r="18" spans="2:7" x14ac:dyDescent="0.25">
      <c r="B18" s="15" t="s">
        <v>92</v>
      </c>
      <c r="C18" s="15"/>
    </row>
    <row r="19" spans="2:7" x14ac:dyDescent="0.25">
      <c r="B19" s="9" t="s">
        <v>93</v>
      </c>
      <c r="C19" s="10">
        <v>320000</v>
      </c>
    </row>
    <row r="20" spans="2:7" x14ac:dyDescent="0.25">
      <c r="B20" s="36" t="s">
        <v>94</v>
      </c>
      <c r="C20" s="35">
        <v>400000</v>
      </c>
    </row>
    <row r="21" spans="2:7" x14ac:dyDescent="0.25">
      <c r="B21" s="9" t="s">
        <v>95</v>
      </c>
      <c r="C21" s="52">
        <f>+C19/C20</f>
        <v>0.8</v>
      </c>
    </row>
    <row r="23" spans="2:7" x14ac:dyDescent="0.25">
      <c r="B23" s="15" t="s">
        <v>86</v>
      </c>
      <c r="C23" s="15" t="str">
        <f>+C2</f>
        <v>SABÃO PÓ</v>
      </c>
      <c r="D23" s="15" t="str">
        <f>+D2</f>
        <v>SABÃO LÍQUIDO</v>
      </c>
      <c r="E23" s="15" t="str">
        <f>+E2</f>
        <v>TOTAL</v>
      </c>
    </row>
    <row r="24" spans="2:7" x14ac:dyDescent="0.25">
      <c r="B24" s="39" t="s">
        <v>87</v>
      </c>
      <c r="C24" s="40">
        <f>+C4*$C$8</f>
        <v>24000</v>
      </c>
      <c r="D24" s="40">
        <f>+D4*$C$8</f>
        <v>16000</v>
      </c>
      <c r="E24" s="41">
        <f>SUM(C24:D24)</f>
        <v>40000</v>
      </c>
      <c r="F24" s="181" t="s">
        <v>89</v>
      </c>
      <c r="G24" s="182"/>
    </row>
    <row r="25" spans="2:7" x14ac:dyDescent="0.25">
      <c r="B25" s="45" t="s">
        <v>88</v>
      </c>
      <c r="C25" s="46">
        <f>+C5*$C$9</f>
        <v>30000</v>
      </c>
      <c r="D25" s="46">
        <f>+D5*$C$9</f>
        <v>15000</v>
      </c>
      <c r="E25" s="47">
        <f t="shared" ref="E25:E27" si="0">SUM(C25:D25)</f>
        <v>45000</v>
      </c>
      <c r="F25" s="183"/>
      <c r="G25" s="184"/>
    </row>
    <row r="26" spans="2:7" x14ac:dyDescent="0.25">
      <c r="B26" s="42" t="s">
        <v>91</v>
      </c>
      <c r="C26" s="43">
        <f>+$C$21*C4</f>
        <v>9600</v>
      </c>
      <c r="D26" s="43">
        <f>+$C$21*D4</f>
        <v>6400</v>
      </c>
      <c r="E26" s="47">
        <f t="shared" si="0"/>
        <v>16000</v>
      </c>
      <c r="F26" s="185"/>
      <c r="G26" s="186"/>
    </row>
    <row r="27" spans="2:7" x14ac:dyDescent="0.25">
      <c r="B27" s="39" t="str">
        <f>+B11</f>
        <v>Supervisão da produção</v>
      </c>
      <c r="C27" s="40">
        <f t="shared" ref="C27:D31" si="1">+$C11*C$5/$E$5</f>
        <v>2400</v>
      </c>
      <c r="D27" s="40">
        <f t="shared" si="1"/>
        <v>1200</v>
      </c>
      <c r="E27" s="41">
        <f t="shared" si="0"/>
        <v>3600</v>
      </c>
      <c r="F27" s="181" t="s">
        <v>90</v>
      </c>
      <c r="G27" s="182"/>
    </row>
    <row r="28" spans="2:7" x14ac:dyDescent="0.25">
      <c r="B28" s="45" t="str">
        <f t="shared" ref="B28:B31" si="2">+B12</f>
        <v>Depreciaç equipam produção</v>
      </c>
      <c r="C28" s="46">
        <f t="shared" si="1"/>
        <v>8000</v>
      </c>
      <c r="D28" s="46">
        <f t="shared" si="1"/>
        <v>4000</v>
      </c>
      <c r="E28" s="47">
        <f t="shared" ref="E28:E31" si="3">SUM(C28:D28)</f>
        <v>12000</v>
      </c>
      <c r="F28" s="183"/>
      <c r="G28" s="184"/>
    </row>
    <row r="29" spans="2:7" x14ac:dyDescent="0.25">
      <c r="B29" s="45" t="str">
        <f t="shared" si="2"/>
        <v>Aluguel galpão industrial</v>
      </c>
      <c r="C29" s="46">
        <f t="shared" si="1"/>
        <v>3000</v>
      </c>
      <c r="D29" s="46">
        <f t="shared" si="1"/>
        <v>1500</v>
      </c>
      <c r="E29" s="47">
        <f t="shared" si="3"/>
        <v>4500</v>
      </c>
      <c r="F29" s="183"/>
      <c r="G29" s="184"/>
    </row>
    <row r="30" spans="2:7" x14ac:dyDescent="0.25">
      <c r="B30" s="45" t="str">
        <f t="shared" si="2"/>
        <v>Seguro equipam produção</v>
      </c>
      <c r="C30" s="46">
        <f t="shared" si="1"/>
        <v>1000</v>
      </c>
      <c r="D30" s="46">
        <f t="shared" si="1"/>
        <v>500</v>
      </c>
      <c r="E30" s="47">
        <f t="shared" si="3"/>
        <v>1500</v>
      </c>
      <c r="F30" s="183"/>
      <c r="G30" s="184"/>
    </row>
    <row r="31" spans="2:7" x14ac:dyDescent="0.25">
      <c r="B31" s="42" t="str">
        <f t="shared" si="2"/>
        <v>Energia elétrica da produção</v>
      </c>
      <c r="C31" s="43">
        <f t="shared" si="1"/>
        <v>1600</v>
      </c>
      <c r="D31" s="43">
        <f t="shared" si="1"/>
        <v>800</v>
      </c>
      <c r="E31" s="44">
        <f t="shared" si="3"/>
        <v>2400</v>
      </c>
      <c r="F31" s="185"/>
      <c r="G31" s="186"/>
    </row>
    <row r="32" spans="2:7" x14ac:dyDescent="0.25">
      <c r="B32" s="48" t="s">
        <v>10</v>
      </c>
      <c r="C32" s="49">
        <f>SUM(C24:C31)</f>
        <v>79600</v>
      </c>
      <c r="D32" s="49">
        <f t="shared" ref="D32:E32" si="4">SUM(D24:D31)</f>
        <v>45400</v>
      </c>
      <c r="E32" s="49">
        <f t="shared" si="4"/>
        <v>125000</v>
      </c>
      <c r="F32" s="50"/>
      <c r="G32" s="51"/>
    </row>
    <row r="34" spans="2:4" x14ac:dyDescent="0.25">
      <c r="B34" s="53" t="s">
        <v>96</v>
      </c>
      <c r="C34" s="54">
        <f>+C32/C3</f>
        <v>3.98</v>
      </c>
      <c r="D34" s="54">
        <f t="shared" ref="D34" si="5">+D32/D3</f>
        <v>2.8374999999999999</v>
      </c>
    </row>
  </sheetData>
  <mergeCells count="3">
    <mergeCell ref="B10:C10"/>
    <mergeCell ref="F27:G31"/>
    <mergeCell ref="F24:G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opLeftCell="A6" zoomScale="130" zoomScaleNormal="130" workbookViewId="0">
      <selection activeCell="B22" sqref="B22"/>
    </sheetView>
  </sheetViews>
  <sheetFormatPr defaultColWidth="42.42578125" defaultRowHeight="15" x14ac:dyDescent="0.25"/>
  <cols>
    <col min="1" max="1" width="1" style="1" customWidth="1"/>
    <col min="2" max="2" width="46.140625" style="1" customWidth="1"/>
    <col min="3" max="3" width="10.28515625" style="1" bestFit="1" customWidth="1"/>
    <col min="4" max="4" width="15.28515625" style="1" bestFit="1" customWidth="1"/>
    <col min="5" max="5" width="8.140625" style="1" bestFit="1" customWidth="1"/>
    <col min="6" max="6" width="8.28515625" style="1" customWidth="1"/>
    <col min="7" max="7" width="8.85546875" style="1" customWidth="1"/>
    <col min="8" max="16384" width="42.42578125" style="1"/>
  </cols>
  <sheetData>
    <row r="2" spans="2:4" x14ac:dyDescent="0.25">
      <c r="B2" s="55" t="s">
        <v>98</v>
      </c>
      <c r="C2" s="56"/>
    </row>
    <row r="3" spans="2:4" x14ac:dyDescent="0.25">
      <c r="B3" s="3" t="s">
        <v>97</v>
      </c>
      <c r="C3" s="4">
        <v>5000</v>
      </c>
    </row>
    <row r="4" spans="2:4" x14ac:dyDescent="0.25">
      <c r="B4" s="9" t="s">
        <v>99</v>
      </c>
      <c r="C4" s="10">
        <v>12000</v>
      </c>
    </row>
    <row r="5" spans="2:4" x14ac:dyDescent="0.25">
      <c r="B5" s="3" t="s">
        <v>100</v>
      </c>
      <c r="C5" s="4">
        <v>-7000</v>
      </c>
    </row>
    <row r="6" spans="2:4" x14ac:dyDescent="0.25">
      <c r="B6" s="11" t="s">
        <v>101</v>
      </c>
      <c r="C6" s="12">
        <f>SUM(C3:C5)</f>
        <v>10000</v>
      </c>
    </row>
    <row r="8" spans="2:4" x14ac:dyDescent="0.25">
      <c r="B8" s="55" t="s">
        <v>102</v>
      </c>
      <c r="C8" s="56"/>
    </row>
    <row r="9" spans="2:4" x14ac:dyDescent="0.25">
      <c r="B9" s="9" t="s">
        <v>103</v>
      </c>
      <c r="C9" s="10">
        <f>+C6</f>
        <v>10000</v>
      </c>
    </row>
    <row r="10" spans="2:4" x14ac:dyDescent="0.25">
      <c r="B10" s="9" t="s">
        <v>104</v>
      </c>
      <c r="C10" s="10">
        <v>10000</v>
      </c>
    </row>
    <row r="11" spans="2:4" x14ac:dyDescent="0.25">
      <c r="B11" s="9" t="s">
        <v>105</v>
      </c>
      <c r="C11" s="10">
        <v>8000</v>
      </c>
    </row>
    <row r="12" spans="2:4" x14ac:dyDescent="0.25">
      <c r="B12" s="11" t="s">
        <v>10</v>
      </c>
      <c r="C12" s="12">
        <f>SUM(C9:C11)</f>
        <v>28000</v>
      </c>
    </row>
    <row r="14" spans="2:4" x14ac:dyDescent="0.25">
      <c r="B14" s="55" t="s">
        <v>106</v>
      </c>
      <c r="C14" s="56"/>
    </row>
    <row r="15" spans="2:4" x14ac:dyDescent="0.25">
      <c r="B15" s="3" t="s">
        <v>97</v>
      </c>
      <c r="C15" s="4">
        <v>4000</v>
      </c>
      <c r="D15" s="2" t="s">
        <v>113</v>
      </c>
    </row>
    <row r="16" spans="2:4" x14ac:dyDescent="0.25">
      <c r="B16" s="9" t="s">
        <v>107</v>
      </c>
      <c r="C16" s="10">
        <f>+C12</f>
        <v>28000</v>
      </c>
    </row>
    <row r="17" spans="2:4" x14ac:dyDescent="0.25">
      <c r="B17" s="3" t="s">
        <v>108</v>
      </c>
      <c r="C17" s="4">
        <v>-5000</v>
      </c>
      <c r="D17" s="2" t="s">
        <v>113</v>
      </c>
    </row>
    <row r="18" spans="2:4" x14ac:dyDescent="0.25">
      <c r="B18" s="11" t="s">
        <v>109</v>
      </c>
      <c r="C18" s="12">
        <f>SUM(C15:C17)</f>
        <v>27000</v>
      </c>
    </row>
    <row r="20" spans="2:4" x14ac:dyDescent="0.25">
      <c r="B20" s="55" t="s">
        <v>110</v>
      </c>
      <c r="C20" s="56"/>
    </row>
    <row r="21" spans="2:4" x14ac:dyDescent="0.25">
      <c r="B21" s="3" t="s">
        <v>97</v>
      </c>
      <c r="C21" s="4">
        <v>6000</v>
      </c>
    </row>
    <row r="22" spans="2:4" x14ac:dyDescent="0.25">
      <c r="B22" s="9" t="s">
        <v>111</v>
      </c>
      <c r="C22" s="57">
        <f>+C18</f>
        <v>27000</v>
      </c>
    </row>
    <row r="23" spans="2:4" x14ac:dyDescent="0.25">
      <c r="B23" s="3" t="s">
        <v>121</v>
      </c>
      <c r="C23" s="4">
        <f>SUM(C21:C22)</f>
        <v>33000</v>
      </c>
    </row>
    <row r="24" spans="2:4" x14ac:dyDescent="0.25">
      <c r="B24" s="9" t="s">
        <v>114</v>
      </c>
      <c r="C24" s="10">
        <f>-C23*80%</f>
        <v>-26400</v>
      </c>
    </row>
    <row r="25" spans="2:4" x14ac:dyDescent="0.25">
      <c r="B25" s="7" t="s">
        <v>112</v>
      </c>
      <c r="C25" s="6">
        <f>+SUM(C23:C24)</f>
        <v>6600</v>
      </c>
    </row>
    <row r="27" spans="2:4" x14ac:dyDescent="0.25">
      <c r="B27" s="55" t="s">
        <v>115</v>
      </c>
      <c r="C27" s="56"/>
    </row>
    <row r="28" spans="2:4" x14ac:dyDescent="0.25">
      <c r="B28" s="11" t="s">
        <v>58</v>
      </c>
      <c r="C28" s="12">
        <v>40000</v>
      </c>
    </row>
    <row r="29" spans="2:4" x14ac:dyDescent="0.25">
      <c r="B29" s="9" t="s">
        <v>116</v>
      </c>
      <c r="C29" s="10">
        <f>+C24</f>
        <v>-26400</v>
      </c>
    </row>
    <row r="30" spans="2:4" x14ac:dyDescent="0.25">
      <c r="B30" s="11" t="s">
        <v>34</v>
      </c>
      <c r="C30" s="12">
        <f>SUM(C28:C29)</f>
        <v>13600</v>
      </c>
    </row>
    <row r="31" spans="2:4" x14ac:dyDescent="0.25">
      <c r="B31" s="9" t="s">
        <v>119</v>
      </c>
      <c r="C31" s="10">
        <v>-2500</v>
      </c>
    </row>
    <row r="32" spans="2:4" x14ac:dyDescent="0.25">
      <c r="B32" s="9" t="s">
        <v>117</v>
      </c>
      <c r="C32" s="10">
        <v>-2000</v>
      </c>
    </row>
    <row r="33" spans="2:3" x14ac:dyDescent="0.25">
      <c r="B33" s="9" t="s">
        <v>118</v>
      </c>
      <c r="C33" s="10">
        <v>-1500</v>
      </c>
    </row>
    <row r="34" spans="2:3" x14ac:dyDescent="0.25">
      <c r="B34" s="11" t="s">
        <v>120</v>
      </c>
      <c r="C34" s="12">
        <f>SUM(C30:C33)</f>
        <v>7600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28" workbookViewId="0">
      <selection activeCell="C39" sqref="C39"/>
    </sheetView>
  </sheetViews>
  <sheetFormatPr defaultRowHeight="15" x14ac:dyDescent="0.25"/>
  <cols>
    <col min="2" max="2" width="38.42578125" customWidth="1"/>
    <col min="6" max="6" width="10.85546875" customWidth="1"/>
    <col min="7" max="7" width="39" customWidth="1"/>
    <col min="8" max="8" width="10.7109375" customWidth="1"/>
    <col min="9" max="10" width="9.85546875" bestFit="1" customWidth="1"/>
    <col min="11" max="11" width="11.7109375" customWidth="1"/>
  </cols>
  <sheetData>
    <row r="2" spans="2:11" ht="15.75" thickBot="1" x14ac:dyDescent="0.3"/>
    <row r="3" spans="2:11" ht="15.75" thickBot="1" x14ac:dyDescent="0.3">
      <c r="B3" s="187" t="s">
        <v>122</v>
      </c>
      <c r="C3" s="188"/>
      <c r="G3" s="58" t="s">
        <v>123</v>
      </c>
      <c r="H3" s="59" t="s">
        <v>124</v>
      </c>
      <c r="I3" s="59" t="s">
        <v>125</v>
      </c>
      <c r="J3" s="59" t="s">
        <v>126</v>
      </c>
      <c r="K3" s="60" t="s">
        <v>10</v>
      </c>
    </row>
    <row r="4" spans="2:11" x14ac:dyDescent="0.25">
      <c r="B4" s="61" t="s">
        <v>127</v>
      </c>
      <c r="C4" s="62">
        <v>7000</v>
      </c>
      <c r="G4" s="63" t="s">
        <v>128</v>
      </c>
      <c r="H4" s="64">
        <v>0</v>
      </c>
      <c r="I4" s="64">
        <v>0</v>
      </c>
      <c r="J4" s="64">
        <v>0</v>
      </c>
      <c r="K4" s="65">
        <f>SUM(H4:J4)</f>
        <v>0</v>
      </c>
    </row>
    <row r="5" spans="2:11" x14ac:dyDescent="0.25">
      <c r="B5" s="61" t="s">
        <v>104</v>
      </c>
      <c r="C5" s="62">
        <v>6000</v>
      </c>
      <c r="G5" s="66" t="s">
        <v>129</v>
      </c>
      <c r="H5" s="64">
        <v>50000</v>
      </c>
      <c r="I5" s="64">
        <v>30000</v>
      </c>
      <c r="J5" s="64">
        <v>20000</v>
      </c>
      <c r="K5" s="65">
        <f>SUM(H5:J5)</f>
        <v>100000</v>
      </c>
    </row>
    <row r="6" spans="2:11" x14ac:dyDescent="0.25">
      <c r="B6" s="61" t="s">
        <v>85</v>
      </c>
      <c r="C6" s="62">
        <v>790</v>
      </c>
      <c r="G6" s="66" t="s">
        <v>130</v>
      </c>
      <c r="H6" s="64">
        <v>40000</v>
      </c>
      <c r="I6" s="64">
        <v>18000</v>
      </c>
      <c r="J6" s="64">
        <v>16000</v>
      </c>
      <c r="K6" s="65">
        <f>SUM(H6:J6)</f>
        <v>74000</v>
      </c>
    </row>
    <row r="7" spans="2:11" x14ac:dyDescent="0.25">
      <c r="B7" s="61" t="s">
        <v>81</v>
      </c>
      <c r="C7" s="62">
        <v>2880</v>
      </c>
      <c r="G7" s="66" t="s">
        <v>131</v>
      </c>
      <c r="H7" s="64">
        <f>H4+H5-H6</f>
        <v>10000</v>
      </c>
      <c r="I7" s="64">
        <f t="shared" ref="I7:K7" si="0">I4+I5-I6</f>
        <v>12000</v>
      </c>
      <c r="J7" s="64">
        <f t="shared" si="0"/>
        <v>4000</v>
      </c>
      <c r="K7" s="64">
        <f t="shared" si="0"/>
        <v>26000</v>
      </c>
    </row>
    <row r="8" spans="2:11" x14ac:dyDescent="0.25">
      <c r="B8" s="61" t="s">
        <v>132</v>
      </c>
      <c r="C8" s="62">
        <v>600</v>
      </c>
      <c r="G8" s="66" t="s">
        <v>133</v>
      </c>
      <c r="H8" s="64">
        <v>1</v>
      </c>
      <c r="I8" s="64">
        <v>2</v>
      </c>
      <c r="J8" s="64">
        <v>2.5</v>
      </c>
      <c r="K8" s="65"/>
    </row>
    <row r="9" spans="2:11" x14ac:dyDescent="0.25">
      <c r="B9" s="61" t="s">
        <v>134</v>
      </c>
      <c r="C9" s="62">
        <v>350</v>
      </c>
      <c r="G9" s="66" t="s">
        <v>135</v>
      </c>
      <c r="H9" s="64">
        <f>H8*H5</f>
        <v>50000</v>
      </c>
      <c r="I9" s="64">
        <f>I8*I5</f>
        <v>60000</v>
      </c>
      <c r="J9" s="64">
        <f>J8*J5</f>
        <v>50000</v>
      </c>
      <c r="K9" s="65">
        <f>SUM(H9:J9)</f>
        <v>160000</v>
      </c>
    </row>
    <row r="10" spans="2:11" x14ac:dyDescent="0.25">
      <c r="B10" s="61" t="s">
        <v>136</v>
      </c>
      <c r="C10" s="62">
        <v>500</v>
      </c>
      <c r="G10" s="66" t="s">
        <v>137</v>
      </c>
      <c r="H10" s="64">
        <v>0.6</v>
      </c>
      <c r="I10" s="64">
        <v>1.5</v>
      </c>
      <c r="J10" s="64">
        <v>3.75</v>
      </c>
      <c r="K10" s="65"/>
    </row>
    <row r="11" spans="2:11" x14ac:dyDescent="0.25">
      <c r="B11" s="61" t="s">
        <v>138</v>
      </c>
      <c r="C11" s="62">
        <v>1440</v>
      </c>
      <c r="G11" s="66" t="s">
        <v>139</v>
      </c>
      <c r="H11" s="64">
        <f>H10*H5</f>
        <v>30000</v>
      </c>
      <c r="I11" s="64">
        <f t="shared" ref="I11:J11" si="1">I10*I5</f>
        <v>45000</v>
      </c>
      <c r="J11" s="64">
        <f t="shared" si="1"/>
        <v>75000</v>
      </c>
      <c r="K11" s="65">
        <f>SUM(H11:J11)</f>
        <v>150000</v>
      </c>
    </row>
    <row r="12" spans="2:11" ht="15.75" thickBot="1" x14ac:dyDescent="0.3">
      <c r="B12" s="61" t="s">
        <v>140</v>
      </c>
      <c r="C12" s="62">
        <v>300</v>
      </c>
      <c r="G12" s="67" t="s">
        <v>141</v>
      </c>
      <c r="H12" s="68">
        <f>1*H5</f>
        <v>50000</v>
      </c>
      <c r="I12" s="68">
        <f>1*I5</f>
        <v>30000</v>
      </c>
      <c r="J12" s="68">
        <f>J5*1</f>
        <v>20000</v>
      </c>
      <c r="K12" s="69">
        <f>SUM(H12:J12)</f>
        <v>100000</v>
      </c>
    </row>
    <row r="13" spans="2:11" ht="15.75" thickBot="1" x14ac:dyDescent="0.3">
      <c r="B13" s="70" t="s">
        <v>142</v>
      </c>
      <c r="C13" s="71">
        <v>340</v>
      </c>
    </row>
    <row r="15" spans="2:11" x14ac:dyDescent="0.25">
      <c r="H15" s="72"/>
      <c r="I15" s="72"/>
      <c r="J15" s="72"/>
    </row>
    <row r="16" spans="2:11" ht="15.75" thickBot="1" x14ac:dyDescent="0.3">
      <c r="G16" t="s">
        <v>143</v>
      </c>
      <c r="H16" s="73">
        <f>H12/K12</f>
        <v>0.5</v>
      </c>
      <c r="I16" s="73">
        <f>I12/K12</f>
        <v>0.3</v>
      </c>
      <c r="J16" s="73">
        <f>J12/K12</f>
        <v>0.2</v>
      </c>
    </row>
    <row r="17" spans="1:10" ht="15.75" thickBot="1" x14ac:dyDescent="0.3">
      <c r="B17" s="74" t="s">
        <v>144</v>
      </c>
      <c r="C17" s="59" t="s">
        <v>124</v>
      </c>
      <c r="D17" s="59" t="s">
        <v>125</v>
      </c>
      <c r="E17" s="59" t="s">
        <v>126</v>
      </c>
      <c r="F17" s="60" t="s">
        <v>10</v>
      </c>
      <c r="G17" s="75" t="s">
        <v>145</v>
      </c>
      <c r="H17" s="73">
        <f>H9/K9</f>
        <v>0.3125</v>
      </c>
      <c r="I17" s="73">
        <f>I9/K9</f>
        <v>0.375</v>
      </c>
      <c r="J17" s="73">
        <f>J9/K9</f>
        <v>0.3125</v>
      </c>
    </row>
    <row r="18" spans="1:10" x14ac:dyDescent="0.25">
      <c r="A18" t="s">
        <v>146</v>
      </c>
      <c r="B18" s="61" t="s">
        <v>127</v>
      </c>
      <c r="C18" s="76">
        <f>C4*H16</f>
        <v>3500</v>
      </c>
      <c r="D18" s="76">
        <f>C4*I16</f>
        <v>2100</v>
      </c>
      <c r="E18" s="76">
        <f>C4*J16</f>
        <v>1400</v>
      </c>
      <c r="F18" s="77">
        <f>SUM(C18:E18)</f>
        <v>7000</v>
      </c>
      <c r="G18" t="s">
        <v>147</v>
      </c>
      <c r="H18" s="78">
        <f>H11/K11</f>
        <v>0.2</v>
      </c>
      <c r="I18" s="78">
        <f>I11/K11</f>
        <v>0.3</v>
      </c>
      <c r="J18" s="78">
        <f>J11/K11</f>
        <v>0.5</v>
      </c>
    </row>
    <row r="19" spans="1:10" x14ac:dyDescent="0.25">
      <c r="A19" t="s">
        <v>88</v>
      </c>
      <c r="B19" s="61" t="s">
        <v>104</v>
      </c>
      <c r="C19" s="76">
        <f>C5*H17</f>
        <v>1875</v>
      </c>
      <c r="D19" s="76">
        <f>C5*I17</f>
        <v>2250</v>
      </c>
      <c r="E19" s="76">
        <f>C5*J17</f>
        <v>1875</v>
      </c>
      <c r="F19" s="77">
        <f>SUM(C19:E19)</f>
        <v>6000</v>
      </c>
    </row>
    <row r="20" spans="1:10" ht="15.75" thickBot="1" x14ac:dyDescent="0.3">
      <c r="A20" t="s">
        <v>148</v>
      </c>
      <c r="B20" s="61" t="s">
        <v>85</v>
      </c>
      <c r="C20" s="76">
        <f>C6*H18</f>
        <v>158</v>
      </c>
      <c r="D20" s="76">
        <f>C6*I18</f>
        <v>237</v>
      </c>
      <c r="E20" s="76">
        <f>C6*J18</f>
        <v>395</v>
      </c>
      <c r="F20" s="77">
        <f>SUM(C20:E20)</f>
        <v>790</v>
      </c>
    </row>
    <row r="21" spans="1:10" ht="15.75" thickBot="1" x14ac:dyDescent="0.3">
      <c r="B21" s="79" t="s">
        <v>10</v>
      </c>
      <c r="C21" s="80">
        <f>SUM(C18:C20)</f>
        <v>5533</v>
      </c>
      <c r="D21" s="80">
        <f>SUM(D18:D20)</f>
        <v>4587</v>
      </c>
      <c r="E21" s="80">
        <f>SUM(E18:E20)</f>
        <v>3670</v>
      </c>
      <c r="F21" s="80">
        <f>SUM(F18:F20)</f>
        <v>13790</v>
      </c>
    </row>
    <row r="23" spans="1:10" ht="15.75" thickBot="1" x14ac:dyDescent="0.3"/>
    <row r="24" spans="1:10" ht="15.75" thickBot="1" x14ac:dyDescent="0.3">
      <c r="B24" s="74" t="s">
        <v>149</v>
      </c>
      <c r="C24" s="59" t="s">
        <v>124</v>
      </c>
      <c r="D24" s="59" t="s">
        <v>125</v>
      </c>
      <c r="E24" s="59" t="s">
        <v>126</v>
      </c>
      <c r="F24" s="60" t="s">
        <v>10</v>
      </c>
    </row>
    <row r="25" spans="1:10" x14ac:dyDescent="0.25">
      <c r="A25" t="s">
        <v>88</v>
      </c>
      <c r="B25" s="61" t="s">
        <v>81</v>
      </c>
      <c r="C25" s="76">
        <f>$C$7*H17</f>
        <v>900</v>
      </c>
      <c r="D25" s="76">
        <f t="shared" ref="D25:E25" si="2">$C$7*I17</f>
        <v>1080</v>
      </c>
      <c r="E25" s="76">
        <f t="shared" si="2"/>
        <v>900</v>
      </c>
      <c r="F25" s="77">
        <f>SUM(C25:E25)</f>
        <v>2880</v>
      </c>
    </row>
    <row r="26" spans="1:10" x14ac:dyDescent="0.25">
      <c r="A26" t="s">
        <v>88</v>
      </c>
      <c r="B26" s="61" t="s">
        <v>132</v>
      </c>
      <c r="C26" s="76">
        <f>$C$8*H17</f>
        <v>187.5</v>
      </c>
      <c r="D26" s="76">
        <f>$C$8*I17</f>
        <v>225</v>
      </c>
      <c r="E26" s="76">
        <f>$C$8*J17</f>
        <v>187.5</v>
      </c>
      <c r="F26" s="77">
        <f>SUM(C26:E26)</f>
        <v>600</v>
      </c>
    </row>
    <row r="27" spans="1:10" x14ac:dyDescent="0.25">
      <c r="A27" t="s">
        <v>148</v>
      </c>
      <c r="B27" s="61" t="s">
        <v>134</v>
      </c>
      <c r="C27" s="76">
        <f>$C$9*H18</f>
        <v>70</v>
      </c>
      <c r="D27" s="76">
        <f t="shared" ref="D27:E27" si="3">$C$9*I18</f>
        <v>105</v>
      </c>
      <c r="E27" s="76">
        <f t="shared" si="3"/>
        <v>175</v>
      </c>
      <c r="F27" s="77">
        <f t="shared" ref="F27:F31" si="4">SUM(C27:E27)</f>
        <v>350</v>
      </c>
    </row>
    <row r="28" spans="1:10" x14ac:dyDescent="0.25">
      <c r="A28" t="s">
        <v>148</v>
      </c>
      <c r="B28" s="61" t="s">
        <v>136</v>
      </c>
      <c r="C28" s="76">
        <f>$C$10*H18</f>
        <v>100</v>
      </c>
      <c r="D28" s="76">
        <f t="shared" ref="D28:E28" si="5">$C$10*I18</f>
        <v>150</v>
      </c>
      <c r="E28" s="76">
        <f t="shared" si="5"/>
        <v>250</v>
      </c>
      <c r="F28" s="77">
        <f t="shared" si="4"/>
        <v>500</v>
      </c>
    </row>
    <row r="29" spans="1:10" x14ac:dyDescent="0.25">
      <c r="A29" t="s">
        <v>146</v>
      </c>
      <c r="B29" s="61" t="s">
        <v>138</v>
      </c>
      <c r="C29" s="76">
        <f>$C$11*H16</f>
        <v>720</v>
      </c>
      <c r="D29" s="76">
        <f t="shared" ref="D29:E29" si="6">$C$11*I16</f>
        <v>432</v>
      </c>
      <c r="E29" s="76">
        <f t="shared" si="6"/>
        <v>288</v>
      </c>
      <c r="F29" s="77">
        <f t="shared" si="4"/>
        <v>1440</v>
      </c>
    </row>
    <row r="30" spans="1:10" x14ac:dyDescent="0.25">
      <c r="A30" t="s">
        <v>148</v>
      </c>
      <c r="B30" s="61" t="s">
        <v>140</v>
      </c>
      <c r="C30" s="76">
        <f>$C$12*H18</f>
        <v>60</v>
      </c>
      <c r="D30" s="76">
        <f t="shared" ref="D30:E30" si="7">$C$12*I18</f>
        <v>90</v>
      </c>
      <c r="E30" s="76">
        <f t="shared" si="7"/>
        <v>150</v>
      </c>
      <c r="F30" s="77">
        <f t="shared" si="4"/>
        <v>300</v>
      </c>
    </row>
    <row r="31" spans="1:10" ht="15.75" thickBot="1" x14ac:dyDescent="0.3">
      <c r="A31" t="s">
        <v>148</v>
      </c>
      <c r="B31" s="70" t="s">
        <v>142</v>
      </c>
      <c r="C31" s="76">
        <f>$C$13*H18</f>
        <v>68</v>
      </c>
      <c r="D31" s="76">
        <f t="shared" ref="D31:E31" si="8">$C$13*I18</f>
        <v>102</v>
      </c>
      <c r="E31" s="76">
        <f t="shared" si="8"/>
        <v>170</v>
      </c>
      <c r="F31" s="77">
        <f t="shared" si="4"/>
        <v>340</v>
      </c>
    </row>
    <row r="32" spans="1:10" ht="15.75" thickBot="1" x14ac:dyDescent="0.3">
      <c r="B32" s="79" t="s">
        <v>10</v>
      </c>
      <c r="C32" s="80">
        <f>SUM(C25:C31)</f>
        <v>2105.5</v>
      </c>
      <c r="D32" s="80">
        <f t="shared" ref="D32:E32" si="9">SUM(D25:D31)</f>
        <v>2184</v>
      </c>
      <c r="E32" s="80">
        <f t="shared" si="9"/>
        <v>2120.5</v>
      </c>
      <c r="F32" s="81">
        <f>SUM(F25:F31)</f>
        <v>6410</v>
      </c>
    </row>
    <row r="34" spans="2:6" ht="15.75" thickBot="1" x14ac:dyDescent="0.3"/>
    <row r="35" spans="2:6" ht="15.75" thickBot="1" x14ac:dyDescent="0.3">
      <c r="B35" s="58" t="s">
        <v>150</v>
      </c>
      <c r="C35" s="59" t="s">
        <v>124</v>
      </c>
      <c r="D35" s="59" t="s">
        <v>125</v>
      </c>
      <c r="E35" s="59" t="s">
        <v>126</v>
      </c>
      <c r="F35" s="60" t="s">
        <v>10</v>
      </c>
    </row>
    <row r="36" spans="2:6" x14ac:dyDescent="0.25">
      <c r="B36" s="82" t="s">
        <v>10</v>
      </c>
      <c r="C36" s="83">
        <f>C21+C32</f>
        <v>7638.5</v>
      </c>
      <c r="D36" s="83">
        <f t="shared" ref="D36:E36" si="10">D21+D32</f>
        <v>6771</v>
      </c>
      <c r="E36" s="83">
        <f t="shared" si="10"/>
        <v>5790.5</v>
      </c>
      <c r="F36" s="84">
        <f>SUM(C36:E36)</f>
        <v>20200</v>
      </c>
    </row>
    <row r="37" spans="2:6" x14ac:dyDescent="0.25">
      <c r="B37" s="61" t="s">
        <v>151</v>
      </c>
      <c r="C37" s="85">
        <f>C36/H5</f>
        <v>0.15276999999999999</v>
      </c>
      <c r="D37" s="85">
        <f t="shared" ref="D37:E37" si="11">D36/I5</f>
        <v>0.22570000000000001</v>
      </c>
      <c r="E37" s="85">
        <f t="shared" si="11"/>
        <v>0.28952499999999998</v>
      </c>
      <c r="F37" s="86"/>
    </row>
    <row r="38" spans="2:6" x14ac:dyDescent="0.25">
      <c r="B38" s="61" t="s">
        <v>152</v>
      </c>
      <c r="C38" s="83">
        <f>C37*H6</f>
        <v>6110.7999999999993</v>
      </c>
      <c r="D38" s="83">
        <f t="shared" ref="D38:E38" si="12">D37*I6</f>
        <v>4062.6000000000004</v>
      </c>
      <c r="E38" s="83">
        <f t="shared" si="12"/>
        <v>4632.3999999999996</v>
      </c>
      <c r="F38" s="84">
        <f>SUM(C38:E38)</f>
        <v>14805.8</v>
      </c>
    </row>
    <row r="39" spans="2:6" ht="15.75" thickBot="1" x14ac:dyDescent="0.3">
      <c r="B39" s="70" t="s">
        <v>153</v>
      </c>
      <c r="C39" s="87">
        <f>C37*H7</f>
        <v>1527.6999999999998</v>
      </c>
      <c r="D39" s="87">
        <f t="shared" ref="D39:E39" si="13">D37*I7</f>
        <v>2708.4</v>
      </c>
      <c r="E39" s="87">
        <f t="shared" si="13"/>
        <v>1158.0999999999999</v>
      </c>
      <c r="F39" s="88">
        <f>SUM(C39:E39)</f>
        <v>5394.2000000000007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A10" workbookViewId="0">
      <selection activeCell="G12" sqref="G12"/>
    </sheetView>
  </sheetViews>
  <sheetFormatPr defaultRowHeight="15" x14ac:dyDescent="0.25"/>
  <cols>
    <col min="2" max="2" width="32.85546875" customWidth="1"/>
    <col min="3" max="3" width="11.140625" customWidth="1"/>
    <col min="4" max="4" width="26.28515625" customWidth="1"/>
    <col min="5" max="5" width="11.5703125" customWidth="1"/>
  </cols>
  <sheetData>
    <row r="2" spans="2:5" ht="15.75" thickBot="1" x14ac:dyDescent="0.3"/>
    <row r="3" spans="2:5" ht="15.75" thickBot="1" x14ac:dyDescent="0.3">
      <c r="B3" s="187" t="s">
        <v>154</v>
      </c>
      <c r="C3" s="188"/>
    </row>
    <row r="4" spans="2:5" x14ac:dyDescent="0.25">
      <c r="B4" s="82" t="s">
        <v>155</v>
      </c>
      <c r="C4" s="89">
        <v>25100</v>
      </c>
      <c r="D4" s="90"/>
    </row>
    <row r="5" spans="2:5" x14ac:dyDescent="0.25">
      <c r="B5" s="61" t="s">
        <v>116</v>
      </c>
      <c r="C5" s="84">
        <f>-'[1]Cia Porto Eucalipto'!F38</f>
        <v>-14805.8</v>
      </c>
    </row>
    <row r="6" spans="2:5" x14ac:dyDescent="0.25">
      <c r="B6" s="82" t="s">
        <v>156</v>
      </c>
      <c r="C6" s="89">
        <f>SUM(C4:C5)</f>
        <v>10294.200000000001</v>
      </c>
    </row>
    <row r="7" spans="2:5" x14ac:dyDescent="0.25">
      <c r="B7" s="61" t="s">
        <v>119</v>
      </c>
      <c r="C7" s="84">
        <v>-8100</v>
      </c>
    </row>
    <row r="8" spans="2:5" x14ac:dyDescent="0.25">
      <c r="B8" s="61" t="s">
        <v>118</v>
      </c>
      <c r="C8" s="84">
        <f>-200</f>
        <v>-200</v>
      </c>
    </row>
    <row r="9" spans="2:5" x14ac:dyDescent="0.25">
      <c r="B9" s="82" t="s">
        <v>157</v>
      </c>
      <c r="C9" s="89">
        <f>SUM(C6:C8)</f>
        <v>1994.2000000000007</v>
      </c>
    </row>
    <row r="10" spans="2:5" x14ac:dyDescent="0.25">
      <c r="B10" s="61" t="s">
        <v>158</v>
      </c>
      <c r="C10" s="84">
        <f>-C9*0.3</f>
        <v>-598.26000000000022</v>
      </c>
    </row>
    <row r="11" spans="2:5" ht="15.75" thickBot="1" x14ac:dyDescent="0.3">
      <c r="B11" s="91" t="s">
        <v>159</v>
      </c>
      <c r="C11" s="92">
        <f>SUM(C9:C10)</f>
        <v>1395.9400000000005</v>
      </c>
    </row>
    <row r="14" spans="2:5" ht="15.75" thickBot="1" x14ac:dyDescent="0.3"/>
    <row r="15" spans="2:5" ht="15.75" thickBot="1" x14ac:dyDescent="0.3">
      <c r="B15" s="189" t="s">
        <v>160</v>
      </c>
      <c r="C15" s="190"/>
      <c r="D15" s="190"/>
      <c r="E15" s="191"/>
    </row>
    <row r="16" spans="2:5" ht="15.75" thickBot="1" x14ac:dyDescent="0.3">
      <c r="B16" s="187" t="s">
        <v>4</v>
      </c>
      <c r="C16" s="188"/>
      <c r="D16" s="187" t="s">
        <v>161</v>
      </c>
      <c r="E16" s="188"/>
    </row>
    <row r="17" spans="2:5" x14ac:dyDescent="0.25">
      <c r="B17" s="93" t="s">
        <v>162</v>
      </c>
      <c r="C17" s="94"/>
      <c r="D17" s="93" t="s">
        <v>162</v>
      </c>
      <c r="E17" s="94"/>
    </row>
    <row r="18" spans="2:5" x14ac:dyDescent="0.25">
      <c r="B18" s="66" t="s">
        <v>39</v>
      </c>
      <c r="C18" s="84">
        <v>1460</v>
      </c>
      <c r="D18" s="66" t="s">
        <v>163</v>
      </c>
      <c r="E18" s="84">
        <f>-C10</f>
        <v>598.26000000000022</v>
      </c>
    </row>
    <row r="19" spans="2:5" x14ac:dyDescent="0.25">
      <c r="B19" s="66" t="s">
        <v>164</v>
      </c>
      <c r="C19" s="84">
        <v>6060</v>
      </c>
      <c r="D19" s="66" t="s">
        <v>165</v>
      </c>
      <c r="E19" s="84">
        <v>3520</v>
      </c>
    </row>
    <row r="20" spans="2:5" x14ac:dyDescent="0.25">
      <c r="B20" s="66" t="s">
        <v>128</v>
      </c>
      <c r="C20" s="84">
        <f>'[1]Cia Porto Eucalipto'!F39</f>
        <v>5394.2000000000007</v>
      </c>
      <c r="D20" s="66"/>
      <c r="E20" s="84"/>
    </row>
    <row r="21" spans="2:5" x14ac:dyDescent="0.25">
      <c r="B21" s="66" t="s">
        <v>166</v>
      </c>
      <c r="C21" s="84">
        <v>5000</v>
      </c>
      <c r="D21" s="95" t="s">
        <v>67</v>
      </c>
      <c r="E21" s="84"/>
    </row>
    <row r="22" spans="2:5" x14ac:dyDescent="0.25">
      <c r="B22" s="96" t="s">
        <v>167</v>
      </c>
      <c r="C22" s="84"/>
      <c r="D22" s="66"/>
      <c r="E22" s="84"/>
    </row>
    <row r="23" spans="2:5" x14ac:dyDescent="0.25">
      <c r="B23" s="66" t="s">
        <v>168</v>
      </c>
      <c r="C23" s="84">
        <v>2000</v>
      </c>
      <c r="D23" s="97" t="s">
        <v>42</v>
      </c>
      <c r="E23" s="84">
        <v>15000</v>
      </c>
    </row>
    <row r="24" spans="2:5" x14ac:dyDescent="0.25">
      <c r="B24" s="66" t="s">
        <v>169</v>
      </c>
      <c r="C24" s="84">
        <v>1000</v>
      </c>
      <c r="D24" s="97" t="s">
        <v>68</v>
      </c>
      <c r="E24" s="84">
        <f>C11</f>
        <v>1395.9400000000005</v>
      </c>
    </row>
    <row r="25" spans="2:5" ht="15.75" thickBot="1" x14ac:dyDescent="0.3">
      <c r="B25" s="67" t="s">
        <v>170</v>
      </c>
      <c r="C25" s="84">
        <v>-400</v>
      </c>
      <c r="D25" s="67"/>
      <c r="E25" s="84"/>
    </row>
    <row r="26" spans="2:5" ht="15.75" thickBot="1" x14ac:dyDescent="0.3">
      <c r="B26" s="98" t="s">
        <v>10</v>
      </c>
      <c r="C26" s="99">
        <f>SUM(C18:C25)</f>
        <v>20514.2</v>
      </c>
      <c r="D26" s="100" t="s">
        <v>10</v>
      </c>
      <c r="E26" s="99">
        <f>SUM(E18:E25)</f>
        <v>20514.200000000004</v>
      </c>
    </row>
  </sheetData>
  <mergeCells count="4">
    <mergeCell ref="B3:C3"/>
    <mergeCell ref="B15:E15"/>
    <mergeCell ref="B16:C16"/>
    <mergeCell ref="D16:E1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>
      <selection activeCell="D16" sqref="D16"/>
    </sheetView>
  </sheetViews>
  <sheetFormatPr defaultRowHeight="15" x14ac:dyDescent="0.25"/>
  <cols>
    <col min="1" max="1" width="1.85546875" style="101" customWidth="1"/>
    <col min="2" max="2" width="31.5703125" style="101" customWidth="1"/>
    <col min="3" max="8" width="11.85546875" style="101" customWidth="1"/>
    <col min="9" max="16384" width="9.140625" style="101"/>
  </cols>
  <sheetData>
    <row r="2" spans="2:9" x14ac:dyDescent="0.25">
      <c r="B2" s="106" t="s">
        <v>72</v>
      </c>
      <c r="C2" s="105" t="str">
        <f>+C8</f>
        <v>Estamp</v>
      </c>
      <c r="D2" s="105" t="str">
        <f t="shared" ref="D2:H2" si="0">+D8</f>
        <v>Furação</v>
      </c>
      <c r="E2" s="105" t="str">
        <f t="shared" si="0"/>
        <v>Montagem</v>
      </c>
      <c r="F2" s="105" t="str">
        <f t="shared" si="0"/>
        <v>Almox</v>
      </c>
      <c r="G2" s="105" t="str">
        <f t="shared" si="0"/>
        <v>Manutenç</v>
      </c>
      <c r="H2" s="105" t="str">
        <f t="shared" si="0"/>
        <v>ADM prod</v>
      </c>
      <c r="I2" s="105" t="s">
        <v>10</v>
      </c>
    </row>
    <row r="3" spans="2:9" x14ac:dyDescent="0.25">
      <c r="B3" s="107" t="s">
        <v>184</v>
      </c>
      <c r="C3" s="109">
        <v>35</v>
      </c>
      <c r="D3" s="109">
        <v>30</v>
      </c>
      <c r="E3" s="109">
        <v>15</v>
      </c>
      <c r="F3" s="109">
        <v>10</v>
      </c>
      <c r="G3" s="109">
        <v>10</v>
      </c>
      <c r="H3" s="109"/>
      <c r="I3" s="108">
        <f>SUM(C3:H3)</f>
        <v>100</v>
      </c>
    </row>
    <row r="4" spans="2:9" x14ac:dyDescent="0.25">
      <c r="B4" s="107" t="s">
        <v>186</v>
      </c>
      <c r="C4" s="109">
        <v>4800</v>
      </c>
      <c r="D4" s="109">
        <v>4200</v>
      </c>
      <c r="E4" s="109">
        <v>3000</v>
      </c>
      <c r="F4" s="109"/>
      <c r="G4" s="109"/>
      <c r="H4" s="109"/>
      <c r="I4" s="108">
        <f t="shared" ref="I4:I5" si="1">SUM(C4:H4)</f>
        <v>12000</v>
      </c>
    </row>
    <row r="5" spans="2:9" x14ac:dyDescent="0.25">
      <c r="B5" s="107" t="s">
        <v>188</v>
      </c>
      <c r="C5" s="109">
        <v>600</v>
      </c>
      <c r="D5" s="109">
        <v>300</v>
      </c>
      <c r="E5" s="109">
        <v>300</v>
      </c>
      <c r="F5" s="109"/>
      <c r="G5" s="109"/>
      <c r="H5" s="109"/>
      <c r="I5" s="108">
        <f t="shared" si="1"/>
        <v>1200</v>
      </c>
    </row>
    <row r="7" spans="2:9" ht="31.5" customHeight="1" x14ac:dyDescent="0.25">
      <c r="B7" s="192" t="s">
        <v>90</v>
      </c>
      <c r="C7" s="192" t="s">
        <v>178</v>
      </c>
      <c r="D7" s="192"/>
      <c r="E7" s="192"/>
      <c r="F7" s="192" t="s">
        <v>182</v>
      </c>
      <c r="G7" s="192"/>
      <c r="H7" s="192"/>
      <c r="I7" s="192" t="s">
        <v>10</v>
      </c>
    </row>
    <row r="8" spans="2:9" x14ac:dyDescent="0.25">
      <c r="B8" s="192"/>
      <c r="C8" s="15" t="s">
        <v>175</v>
      </c>
      <c r="D8" s="15" t="s">
        <v>176</v>
      </c>
      <c r="E8" s="15" t="s">
        <v>177</v>
      </c>
      <c r="F8" s="15" t="s">
        <v>179</v>
      </c>
      <c r="G8" s="15" t="s">
        <v>180</v>
      </c>
      <c r="H8" s="15" t="s">
        <v>181</v>
      </c>
      <c r="I8" s="192"/>
    </row>
    <row r="9" spans="2:9" ht="15.75" x14ac:dyDescent="0.25">
      <c r="B9" s="9" t="s">
        <v>171</v>
      </c>
      <c r="C9" s="10">
        <v>159</v>
      </c>
      <c r="D9" s="10">
        <v>57</v>
      </c>
      <c r="E9" s="10">
        <v>46</v>
      </c>
      <c r="F9" s="10">
        <v>90</v>
      </c>
      <c r="G9" s="10">
        <v>112</v>
      </c>
      <c r="H9" s="10">
        <v>336</v>
      </c>
      <c r="I9" s="103">
        <f>SUM(C9:H9)</f>
        <v>800</v>
      </c>
    </row>
    <row r="10" spans="2:9" ht="15.75" x14ac:dyDescent="0.25">
      <c r="B10" s="9" t="s">
        <v>172</v>
      </c>
      <c r="C10" s="10">
        <v>2400</v>
      </c>
      <c r="D10" s="10">
        <v>432</v>
      </c>
      <c r="E10" s="10">
        <v>1340</v>
      </c>
      <c r="F10" s="10">
        <v>240</v>
      </c>
      <c r="G10" s="10">
        <v>240</v>
      </c>
      <c r="H10" s="10">
        <v>148</v>
      </c>
      <c r="I10" s="103">
        <f>SUM(C10:H10)</f>
        <v>4800</v>
      </c>
    </row>
    <row r="11" spans="2:9" ht="15.75" x14ac:dyDescent="0.25">
      <c r="B11" s="9" t="s">
        <v>173</v>
      </c>
      <c r="C11" s="10">
        <v>532</v>
      </c>
      <c r="D11" s="10">
        <v>672</v>
      </c>
      <c r="E11" s="10">
        <v>390</v>
      </c>
      <c r="F11" s="10">
        <v>140</v>
      </c>
      <c r="G11" s="10">
        <v>170</v>
      </c>
      <c r="H11" s="10">
        <v>896</v>
      </c>
      <c r="I11" s="103">
        <f>SUM(C11:H11)</f>
        <v>2800</v>
      </c>
    </row>
    <row r="12" spans="2:9" ht="15.75" x14ac:dyDescent="0.25">
      <c r="B12" s="9" t="s">
        <v>174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3200</v>
      </c>
      <c r="I12" s="103">
        <f>SUM(C12:H12)</f>
        <v>3200</v>
      </c>
    </row>
    <row r="13" spans="2:9" ht="15.75" x14ac:dyDescent="0.25">
      <c r="B13" s="102" t="s">
        <v>10</v>
      </c>
      <c r="C13" s="103">
        <f>SUM(C9:C12)</f>
        <v>3091</v>
      </c>
      <c r="D13" s="103">
        <f>SUM(D9:D12)</f>
        <v>1161</v>
      </c>
      <c r="E13" s="103">
        <f>SUM(E9:E12)</f>
        <v>1776</v>
      </c>
      <c r="F13" s="103">
        <f t="shared" ref="F13:H13" si="2">SUM(F9:F12)</f>
        <v>470</v>
      </c>
      <c r="G13" s="103">
        <f t="shared" si="2"/>
        <v>522</v>
      </c>
      <c r="H13" s="103">
        <f t="shared" si="2"/>
        <v>4580</v>
      </c>
      <c r="I13" s="103">
        <f>SUM(I9:I12)</f>
        <v>11600</v>
      </c>
    </row>
    <row r="14" spans="2:9" ht="15.75" x14ac:dyDescent="0.25">
      <c r="B14" s="9" t="s">
        <v>183</v>
      </c>
      <c r="C14" s="10">
        <f t="shared" ref="C14:F14" si="3">-$H$14/$I$3*C3</f>
        <v>1603</v>
      </c>
      <c r="D14" s="10">
        <f t="shared" si="3"/>
        <v>1374</v>
      </c>
      <c r="E14" s="10">
        <f t="shared" si="3"/>
        <v>687</v>
      </c>
      <c r="F14" s="10">
        <f t="shared" si="3"/>
        <v>458</v>
      </c>
      <c r="G14" s="10">
        <f>-$H$14/$I$3*G3</f>
        <v>458</v>
      </c>
      <c r="H14" s="104">
        <f>-H13</f>
        <v>-4580</v>
      </c>
      <c r="I14" s="103">
        <f>SUM(C14:H14)</f>
        <v>0</v>
      </c>
    </row>
    <row r="15" spans="2:9" ht="15.75" x14ac:dyDescent="0.25">
      <c r="B15" s="102" t="s">
        <v>10</v>
      </c>
      <c r="C15" s="103">
        <f>SUM(C13:C14)</f>
        <v>4694</v>
      </c>
      <c r="D15" s="103">
        <f t="shared" ref="D15:I15" si="4">SUM(D13:D14)</f>
        <v>2535</v>
      </c>
      <c r="E15" s="103">
        <f t="shared" si="4"/>
        <v>2463</v>
      </c>
      <c r="F15" s="103">
        <f t="shared" si="4"/>
        <v>928</v>
      </c>
      <c r="G15" s="103">
        <f t="shared" si="4"/>
        <v>980</v>
      </c>
      <c r="H15" s="103">
        <f t="shared" si="4"/>
        <v>0</v>
      </c>
      <c r="I15" s="103">
        <f t="shared" si="4"/>
        <v>11600</v>
      </c>
    </row>
    <row r="16" spans="2:9" ht="15.75" x14ac:dyDescent="0.25">
      <c r="B16" s="9" t="s">
        <v>185</v>
      </c>
      <c r="C16" s="10">
        <f>-$G$16/$I$4*C4</f>
        <v>392</v>
      </c>
      <c r="D16" s="10">
        <f t="shared" ref="D16:E16" si="5">-$G$16/$I$4*D4</f>
        <v>343</v>
      </c>
      <c r="E16" s="10">
        <f t="shared" si="5"/>
        <v>245</v>
      </c>
      <c r="F16" s="10">
        <v>0</v>
      </c>
      <c r="G16" s="10">
        <f>-G15</f>
        <v>-980</v>
      </c>
      <c r="H16" s="104">
        <f>-H15</f>
        <v>0</v>
      </c>
      <c r="I16" s="103">
        <f>SUM(C16:H16)</f>
        <v>0</v>
      </c>
    </row>
    <row r="17" spans="2:9" ht="15.75" x14ac:dyDescent="0.25">
      <c r="B17" s="102" t="s">
        <v>10</v>
      </c>
      <c r="C17" s="103">
        <f>SUM(C15:C16)</f>
        <v>5086</v>
      </c>
      <c r="D17" s="103">
        <f t="shared" ref="D17" si="6">SUM(D15:D16)</f>
        <v>2878</v>
      </c>
      <c r="E17" s="103">
        <f t="shared" ref="E17" si="7">SUM(E15:E16)</f>
        <v>2708</v>
      </c>
      <c r="F17" s="103">
        <f t="shared" ref="F17" si="8">SUM(F15:F16)</f>
        <v>928</v>
      </c>
      <c r="G17" s="103">
        <f t="shared" ref="G17" si="9">SUM(G15:G16)</f>
        <v>0</v>
      </c>
      <c r="H17" s="103">
        <f t="shared" ref="H17" si="10">SUM(H15:H16)</f>
        <v>0</v>
      </c>
      <c r="I17" s="103">
        <f t="shared" ref="I17" si="11">SUM(I15:I16)</f>
        <v>11600</v>
      </c>
    </row>
    <row r="18" spans="2:9" ht="15.75" x14ac:dyDescent="0.25">
      <c r="B18" s="9" t="s">
        <v>187</v>
      </c>
      <c r="C18" s="10">
        <f t="shared" ref="C18:D18" si="12">-$F$18/$I$5*C5</f>
        <v>464</v>
      </c>
      <c r="D18" s="10">
        <f t="shared" si="12"/>
        <v>232</v>
      </c>
      <c r="E18" s="10">
        <f>-$F$18/$I$5*E5</f>
        <v>232</v>
      </c>
      <c r="F18" s="10">
        <f>-F17</f>
        <v>-928</v>
      </c>
      <c r="G18" s="10">
        <f>-G17</f>
        <v>0</v>
      </c>
      <c r="H18" s="104">
        <f>-H17</f>
        <v>0</v>
      </c>
      <c r="I18" s="103">
        <f>SUM(C18:H18)</f>
        <v>0</v>
      </c>
    </row>
    <row r="19" spans="2:9" ht="15.75" x14ac:dyDescent="0.25">
      <c r="B19" s="102" t="s">
        <v>10</v>
      </c>
      <c r="C19" s="103">
        <f>SUM(C17:C18)</f>
        <v>5550</v>
      </c>
      <c r="D19" s="103">
        <f t="shared" ref="D19" si="13">SUM(D17:D18)</f>
        <v>3110</v>
      </c>
      <c r="E19" s="103">
        <f t="shared" ref="E19" si="14">SUM(E17:E18)</f>
        <v>2940</v>
      </c>
      <c r="F19" s="103">
        <f t="shared" ref="F19" si="15">SUM(F17:F18)</f>
        <v>0</v>
      </c>
      <c r="G19" s="103">
        <f t="shared" ref="G19" si="16">SUM(G17:G18)</f>
        <v>0</v>
      </c>
      <c r="H19" s="103">
        <f t="shared" ref="H19" si="17">SUM(H17:H18)</f>
        <v>0</v>
      </c>
      <c r="I19" s="103">
        <f t="shared" ref="I19" si="18">SUM(I17:I18)</f>
        <v>11600</v>
      </c>
    </row>
    <row r="20" spans="2:9" x14ac:dyDescent="0.25">
      <c r="B20" s="33"/>
      <c r="C20" s="33"/>
      <c r="D20" s="33"/>
      <c r="E20" s="33"/>
      <c r="F20" s="33"/>
      <c r="G20" s="33"/>
      <c r="H20" s="33"/>
      <c r="I20" s="33"/>
    </row>
    <row r="21" spans="2:9" ht="15" customHeight="1" x14ac:dyDescent="0.25">
      <c r="B21" s="8" t="s">
        <v>189</v>
      </c>
      <c r="C21" s="8" t="s">
        <v>190</v>
      </c>
      <c r="D21" s="8" t="s">
        <v>191</v>
      </c>
      <c r="E21" s="8" t="s">
        <v>10</v>
      </c>
      <c r="F21" s="33"/>
      <c r="G21" s="33"/>
      <c r="H21" s="33"/>
      <c r="I21" s="33"/>
    </row>
    <row r="22" spans="2:9" ht="15" customHeight="1" x14ac:dyDescent="0.25">
      <c r="B22" s="9" t="s">
        <v>192</v>
      </c>
      <c r="C22" s="10">
        <v>8352</v>
      </c>
      <c r="D22" s="10">
        <v>5568</v>
      </c>
      <c r="E22" s="103">
        <f>+SUM(C22:D22)</f>
        <v>13920</v>
      </c>
      <c r="F22" s="33"/>
      <c r="G22" s="33"/>
      <c r="H22" s="33"/>
      <c r="I22" s="33"/>
    </row>
    <row r="23" spans="2:9" ht="15" customHeight="1" x14ac:dyDescent="0.25">
      <c r="B23" s="9" t="s">
        <v>104</v>
      </c>
      <c r="C23" s="10">
        <v>6048</v>
      </c>
      <c r="D23" s="10">
        <v>4032</v>
      </c>
      <c r="E23" s="103">
        <f t="shared" ref="E23:E26" si="19">+SUM(C23:D23)</f>
        <v>10080</v>
      </c>
      <c r="F23" s="33"/>
      <c r="G23" s="33"/>
      <c r="H23" s="33"/>
      <c r="I23" s="33"/>
    </row>
    <row r="24" spans="2:9" ht="15" customHeight="1" x14ac:dyDescent="0.25">
      <c r="B24" s="9" t="s">
        <v>193</v>
      </c>
      <c r="C24" s="10">
        <f>+$C$19/$E$22*C22</f>
        <v>3330</v>
      </c>
      <c r="D24" s="10">
        <f>+$C$19/$E$22*D22</f>
        <v>2220</v>
      </c>
      <c r="E24" s="103">
        <f t="shared" si="19"/>
        <v>5550</v>
      </c>
      <c r="F24" s="33"/>
      <c r="G24" s="33"/>
      <c r="H24" s="33"/>
      <c r="I24" s="33"/>
    </row>
    <row r="25" spans="2:9" ht="15" customHeight="1" x14ac:dyDescent="0.25">
      <c r="B25" s="9" t="s">
        <v>176</v>
      </c>
      <c r="C25" s="10">
        <f>+$D$19/$E$22*C22</f>
        <v>1866</v>
      </c>
      <c r="D25" s="10">
        <f>+$D$19/$E$22*D22</f>
        <v>1244</v>
      </c>
      <c r="E25" s="103">
        <f t="shared" si="19"/>
        <v>3110</v>
      </c>
      <c r="F25" s="33"/>
      <c r="G25" s="33"/>
      <c r="H25" s="33"/>
      <c r="I25" s="33"/>
    </row>
    <row r="26" spans="2:9" ht="15" customHeight="1" x14ac:dyDescent="0.25">
      <c r="B26" s="9" t="s">
        <v>177</v>
      </c>
      <c r="C26" s="10">
        <v>0</v>
      </c>
      <c r="D26" s="10">
        <f>+E19</f>
        <v>2940</v>
      </c>
      <c r="E26" s="103">
        <f t="shared" si="19"/>
        <v>2940</v>
      </c>
      <c r="F26" s="33"/>
      <c r="G26" s="33"/>
      <c r="H26" s="33"/>
      <c r="I26" s="33"/>
    </row>
    <row r="27" spans="2:9" ht="15" customHeight="1" x14ac:dyDescent="0.25">
      <c r="B27" s="102" t="s">
        <v>10</v>
      </c>
      <c r="C27" s="103">
        <f t="shared" ref="C27:E27" si="20">SUM(C22:C26)</f>
        <v>19596</v>
      </c>
      <c r="D27" s="103">
        <f t="shared" si="20"/>
        <v>16004</v>
      </c>
      <c r="E27" s="103">
        <f t="shared" si="20"/>
        <v>35600</v>
      </c>
      <c r="F27" s="33"/>
      <c r="G27" s="33"/>
      <c r="H27" s="33"/>
      <c r="I27" s="33"/>
    </row>
    <row r="28" spans="2:9" x14ac:dyDescent="0.25">
      <c r="B28" s="107" t="s">
        <v>194</v>
      </c>
      <c r="C28" s="109">
        <v>12000</v>
      </c>
      <c r="D28" s="109">
        <v>4000</v>
      </c>
    </row>
    <row r="29" spans="2:9" ht="15.75" x14ac:dyDescent="0.25">
      <c r="B29" s="102" t="s">
        <v>195</v>
      </c>
      <c r="C29" s="110">
        <f>+C27/C28</f>
        <v>1.633</v>
      </c>
      <c r="D29" s="110">
        <f>+D27/D28</f>
        <v>4.0010000000000003</v>
      </c>
    </row>
  </sheetData>
  <mergeCells count="4">
    <mergeCell ref="B7:B8"/>
    <mergeCell ref="C7:E7"/>
    <mergeCell ref="F7:H7"/>
    <mergeCell ref="I7:I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37"/>
  <sheetViews>
    <sheetView topLeftCell="A22" zoomScaleNormal="100" workbookViewId="0">
      <selection activeCell="E36" sqref="E36"/>
    </sheetView>
  </sheetViews>
  <sheetFormatPr defaultRowHeight="15" x14ac:dyDescent="0.25"/>
  <cols>
    <col min="1" max="1" width="1" style="1" customWidth="1"/>
    <col min="2" max="2" width="40.140625" style="1" customWidth="1"/>
    <col min="3" max="7" width="13.5703125" style="1" customWidth="1"/>
    <col min="8" max="16384" width="9.140625" style="1"/>
  </cols>
  <sheetData>
    <row r="2" spans="2:7" x14ac:dyDescent="0.25">
      <c r="B2" s="22" t="s">
        <v>196</v>
      </c>
      <c r="C2" s="23">
        <v>50000</v>
      </c>
      <c r="D2" s="24"/>
    </row>
    <row r="3" spans="2:7" x14ac:dyDescent="0.25">
      <c r="B3" s="25" t="s">
        <v>197</v>
      </c>
      <c r="C3" s="112">
        <v>3</v>
      </c>
      <c r="D3" s="113"/>
    </row>
    <row r="4" spans="2:7" x14ac:dyDescent="0.25">
      <c r="B4" s="22" t="s">
        <v>198</v>
      </c>
      <c r="C4" s="23">
        <f>+C2*C3</f>
        <v>150000</v>
      </c>
      <c r="D4" s="24"/>
    </row>
    <row r="5" spans="2:7" x14ac:dyDescent="0.25">
      <c r="B5" s="25" t="s">
        <v>199</v>
      </c>
      <c r="C5" s="26">
        <v>25000</v>
      </c>
      <c r="D5" s="24"/>
    </row>
    <row r="6" spans="2:7" x14ac:dyDescent="0.25">
      <c r="B6" s="25" t="s">
        <v>200</v>
      </c>
      <c r="C6" s="26">
        <v>12500</v>
      </c>
      <c r="D6" s="24"/>
    </row>
    <row r="7" spans="2:7" x14ac:dyDescent="0.25">
      <c r="B7" s="114" t="s">
        <v>201</v>
      </c>
      <c r="C7" s="115">
        <f>+SUM(C4:C6)</f>
        <v>187500</v>
      </c>
      <c r="D7" s="116"/>
    </row>
    <row r="9" spans="2:7" x14ac:dyDescent="0.25">
      <c r="B9" s="117" t="s">
        <v>202</v>
      </c>
      <c r="C9" s="117" t="s">
        <v>203</v>
      </c>
      <c r="D9" s="118" t="s">
        <v>204</v>
      </c>
      <c r="E9" s="119" t="s">
        <v>205</v>
      </c>
      <c r="F9" s="119" t="s">
        <v>206</v>
      </c>
      <c r="G9" s="120" t="s">
        <v>207</v>
      </c>
    </row>
    <row r="10" spans="2:7" x14ac:dyDescent="0.25">
      <c r="B10" s="25" t="s">
        <v>208</v>
      </c>
      <c r="C10" s="121">
        <v>30000</v>
      </c>
      <c r="D10" s="122">
        <f>+C10/$C$13</f>
        <v>0.6</v>
      </c>
      <c r="E10" s="24">
        <v>30000</v>
      </c>
      <c r="F10" s="24">
        <f>+C10-E10</f>
        <v>0</v>
      </c>
      <c r="G10" s="123">
        <v>5</v>
      </c>
    </row>
    <row r="11" spans="2:7" x14ac:dyDescent="0.25">
      <c r="B11" s="25" t="s">
        <v>209</v>
      </c>
      <c r="C11" s="121">
        <v>15000</v>
      </c>
      <c r="D11" s="122">
        <f t="shared" ref="D11:D13" si="0">+C11/$C$13</f>
        <v>0.3</v>
      </c>
      <c r="E11" s="24">
        <v>15000</v>
      </c>
      <c r="F11" s="24">
        <f t="shared" ref="F11:F12" si="1">+C11-E11</f>
        <v>0</v>
      </c>
      <c r="G11" s="123">
        <v>6.8</v>
      </c>
    </row>
    <row r="12" spans="2:7" x14ac:dyDescent="0.25">
      <c r="B12" s="25" t="s">
        <v>210</v>
      </c>
      <c r="C12" s="121">
        <v>5000</v>
      </c>
      <c r="D12" s="122">
        <f t="shared" si="0"/>
        <v>0.1</v>
      </c>
      <c r="E12" s="24">
        <v>3800</v>
      </c>
      <c r="F12" s="24">
        <f t="shared" si="1"/>
        <v>1200</v>
      </c>
      <c r="G12" s="123">
        <v>9.6</v>
      </c>
    </row>
    <row r="13" spans="2:7" x14ac:dyDescent="0.25">
      <c r="B13" s="114" t="s">
        <v>10</v>
      </c>
      <c r="C13" s="124">
        <f>SUM(C10:C12)</f>
        <v>50000</v>
      </c>
      <c r="D13" s="125">
        <f t="shared" si="0"/>
        <v>1</v>
      </c>
      <c r="E13" s="126"/>
      <c r="F13" s="126"/>
      <c r="G13" s="127"/>
    </row>
    <row r="15" spans="2:7" ht="30" x14ac:dyDescent="0.25">
      <c r="B15" s="117" t="s">
        <v>211</v>
      </c>
      <c r="C15" s="119" t="s">
        <v>212</v>
      </c>
      <c r="D15" s="119" t="s">
        <v>213</v>
      </c>
      <c r="E15" s="119" t="s">
        <v>214</v>
      </c>
      <c r="F15" s="119" t="s">
        <v>215</v>
      </c>
      <c r="G15" s="118" t="s">
        <v>10</v>
      </c>
    </row>
    <row r="16" spans="2:7" x14ac:dyDescent="0.25">
      <c r="B16" s="25" t="str">
        <f>+B10</f>
        <v>Quirera</v>
      </c>
      <c r="C16" s="24">
        <f>+$C$7*D10</f>
        <v>112500</v>
      </c>
      <c r="D16" s="132">
        <f>+C16/C10</f>
        <v>3.75</v>
      </c>
      <c r="E16" s="24">
        <f>+D16*E10</f>
        <v>112500</v>
      </c>
      <c r="F16" s="24">
        <f>+D16*F10</f>
        <v>0</v>
      </c>
      <c r="G16" s="26">
        <f>+E16+F16</f>
        <v>112500</v>
      </c>
    </row>
    <row r="17" spans="2:9" x14ac:dyDescent="0.25">
      <c r="B17" s="25" t="str">
        <f t="shared" ref="B17:B19" si="2">+B11</f>
        <v>Fubá</v>
      </c>
      <c r="C17" s="24">
        <f t="shared" ref="C17:C18" si="3">+$C$7*D11</f>
        <v>56250</v>
      </c>
      <c r="D17" s="132">
        <f t="shared" ref="D17:D18" si="4">+C17/C11</f>
        <v>3.75</v>
      </c>
      <c r="E17" s="24">
        <f t="shared" ref="E17:E18" si="5">+D17*E11</f>
        <v>56250</v>
      </c>
      <c r="F17" s="24">
        <f t="shared" ref="F17:F18" si="6">+D17*F11</f>
        <v>0</v>
      </c>
      <c r="G17" s="26">
        <f t="shared" ref="G17:G18" si="7">+E17+F17</f>
        <v>56250</v>
      </c>
    </row>
    <row r="18" spans="2:9" x14ac:dyDescent="0.25">
      <c r="B18" s="25" t="str">
        <f t="shared" si="2"/>
        <v>Germe</v>
      </c>
      <c r="C18" s="24">
        <f t="shared" si="3"/>
        <v>18750</v>
      </c>
      <c r="D18" s="132">
        <f t="shared" si="4"/>
        <v>3.75</v>
      </c>
      <c r="E18" s="24">
        <f t="shared" si="5"/>
        <v>14250</v>
      </c>
      <c r="F18" s="24">
        <f t="shared" si="6"/>
        <v>4500</v>
      </c>
      <c r="G18" s="26">
        <f t="shared" si="7"/>
        <v>18750</v>
      </c>
    </row>
    <row r="19" spans="2:9" x14ac:dyDescent="0.25">
      <c r="B19" s="114" t="str">
        <f t="shared" si="2"/>
        <v>TOTAL</v>
      </c>
      <c r="C19" s="126">
        <f>SUM(C16:C18)</f>
        <v>187500</v>
      </c>
      <c r="D19" s="126"/>
      <c r="E19" s="126">
        <f>SUM(E16:E18)</f>
        <v>183000</v>
      </c>
      <c r="F19" s="126">
        <f>SUM(F16:F18)</f>
        <v>4500</v>
      </c>
      <c r="G19" s="115">
        <f>SUM(G16:G18)</f>
        <v>187500</v>
      </c>
    </row>
    <row r="21" spans="2:9" ht="30" x14ac:dyDescent="0.25">
      <c r="B21" s="117" t="s">
        <v>211</v>
      </c>
      <c r="C21" s="193" t="s">
        <v>216</v>
      </c>
      <c r="D21" s="194"/>
      <c r="E21" s="117" t="str">
        <f>+C15</f>
        <v>CUSTO PRODUÇÃO</v>
      </c>
      <c r="F21" s="119" t="str">
        <f>+D15</f>
        <v>CST UNITÁRIO</v>
      </c>
      <c r="G21" s="119" t="str">
        <f>+E15</f>
        <v>CPV</v>
      </c>
      <c r="H21" s="119" t="str">
        <f>+F15</f>
        <v>EST FINAL</v>
      </c>
      <c r="I21" s="118" t="str">
        <f>+G15</f>
        <v>TOTAL</v>
      </c>
    </row>
    <row r="22" spans="2:9" x14ac:dyDescent="0.25">
      <c r="B22" s="25" t="str">
        <f>+B16</f>
        <v>Quirera</v>
      </c>
      <c r="C22" s="24">
        <f>+C10*G10</f>
        <v>150000</v>
      </c>
      <c r="D22" s="122">
        <f>+C22/$C$25</f>
        <v>0.5</v>
      </c>
      <c r="E22" s="121">
        <f>+D22*$C$7</f>
        <v>93750</v>
      </c>
      <c r="F22" s="133">
        <f>+E22/C10</f>
        <v>3.125</v>
      </c>
      <c r="G22" s="24">
        <f>+F22*E10</f>
        <v>93750</v>
      </c>
      <c r="H22" s="24">
        <f>+F22*F10</f>
        <v>0</v>
      </c>
      <c r="I22" s="26">
        <f>+G22+H22</f>
        <v>93750</v>
      </c>
    </row>
    <row r="23" spans="2:9" x14ac:dyDescent="0.25">
      <c r="B23" s="25" t="str">
        <f t="shared" ref="B23:B25" si="8">+B17</f>
        <v>Fubá</v>
      </c>
      <c r="C23" s="24">
        <f t="shared" ref="C23:C24" si="9">+C11*G11</f>
        <v>102000</v>
      </c>
      <c r="D23" s="122">
        <f t="shared" ref="D23:D24" si="10">+C23/$C$25</f>
        <v>0.34</v>
      </c>
      <c r="E23" s="121">
        <f>+D23*$C$7</f>
        <v>63750.000000000007</v>
      </c>
      <c r="F23" s="133">
        <f t="shared" ref="F23:F24" si="11">+E23/C11</f>
        <v>4.2500000000000009</v>
      </c>
      <c r="G23" s="24">
        <f t="shared" ref="G23:G24" si="12">+F23*E11</f>
        <v>63750.000000000015</v>
      </c>
      <c r="H23" s="24">
        <f t="shared" ref="H23:H24" si="13">+F23*F11</f>
        <v>0</v>
      </c>
      <c r="I23" s="26">
        <f t="shared" ref="I23:I24" si="14">+G23+H23</f>
        <v>63750.000000000015</v>
      </c>
    </row>
    <row r="24" spans="2:9" x14ac:dyDescent="0.25">
      <c r="B24" s="25" t="str">
        <f t="shared" si="8"/>
        <v>Germe</v>
      </c>
      <c r="C24" s="24">
        <f t="shared" si="9"/>
        <v>48000</v>
      </c>
      <c r="D24" s="122">
        <f t="shared" si="10"/>
        <v>0.16</v>
      </c>
      <c r="E24" s="121">
        <f>+D24*$C$7</f>
        <v>30000</v>
      </c>
      <c r="F24" s="133">
        <f t="shared" si="11"/>
        <v>6</v>
      </c>
      <c r="G24" s="24">
        <f t="shared" si="12"/>
        <v>22800</v>
      </c>
      <c r="H24" s="24">
        <f t="shared" si="13"/>
        <v>7200</v>
      </c>
      <c r="I24" s="26">
        <f t="shared" si="14"/>
        <v>30000</v>
      </c>
    </row>
    <row r="25" spans="2:9" x14ac:dyDescent="0.25">
      <c r="B25" s="114" t="str">
        <f t="shared" si="8"/>
        <v>TOTAL</v>
      </c>
      <c r="C25" s="126">
        <f>SUM(C22:C24)</f>
        <v>300000</v>
      </c>
      <c r="D25" s="125">
        <f>SUM(D22:D24)</f>
        <v>1</v>
      </c>
      <c r="E25" s="124">
        <f>SUM(E22:E24)</f>
        <v>187500</v>
      </c>
      <c r="F25" s="134"/>
      <c r="G25" s="126">
        <f>SUM(G22:G24)</f>
        <v>180300</v>
      </c>
      <c r="H25" s="126">
        <f>SUM(H22:H24)</f>
        <v>7200</v>
      </c>
      <c r="I25" s="115">
        <f>SUM(I22:I24)</f>
        <v>187500</v>
      </c>
    </row>
    <row r="27" spans="2:9" x14ac:dyDescent="0.25">
      <c r="B27" s="117" t="s">
        <v>11</v>
      </c>
      <c r="C27" s="119" t="str">
        <f>+$B$16</f>
        <v>Quirera</v>
      </c>
      <c r="D27" s="119" t="str">
        <f>+$B$17</f>
        <v>Fubá</v>
      </c>
      <c r="E27" s="119" t="str">
        <f>+$B$18</f>
        <v>Germe</v>
      </c>
      <c r="F27" s="118" t="str">
        <f>+$B$19</f>
        <v>TOTAL</v>
      </c>
    </row>
    <row r="28" spans="2:9" x14ac:dyDescent="0.25">
      <c r="B28" s="129" t="s">
        <v>58</v>
      </c>
      <c r="C28" s="116">
        <f>+E10*G10</f>
        <v>150000</v>
      </c>
      <c r="D28" s="116">
        <f>+E11*G11</f>
        <v>102000</v>
      </c>
      <c r="E28" s="116">
        <f>+E12*G12</f>
        <v>36480</v>
      </c>
      <c r="F28" s="128">
        <f>SUM(C28:E28)</f>
        <v>288480</v>
      </c>
    </row>
    <row r="29" spans="2:9" x14ac:dyDescent="0.25">
      <c r="B29" s="25" t="s">
        <v>116</v>
      </c>
      <c r="C29" s="24">
        <f>-E16</f>
        <v>-112500</v>
      </c>
      <c r="D29" s="24">
        <f>-E17</f>
        <v>-56250</v>
      </c>
      <c r="E29" s="24">
        <f>-E18</f>
        <v>-14250</v>
      </c>
      <c r="F29" s="128">
        <f t="shared" ref="F29:F30" si="15">SUM(C29:E29)</f>
        <v>-183000</v>
      </c>
    </row>
    <row r="30" spans="2:9" x14ac:dyDescent="0.25">
      <c r="B30" s="129" t="s">
        <v>34</v>
      </c>
      <c r="C30" s="116">
        <f>SUM(C28:C29)</f>
        <v>37500</v>
      </c>
      <c r="D30" s="116">
        <f t="shared" ref="D30:E30" si="16">SUM(D28:D29)</f>
        <v>45750</v>
      </c>
      <c r="E30" s="116">
        <f t="shared" si="16"/>
        <v>22230</v>
      </c>
      <c r="F30" s="128">
        <f t="shared" si="15"/>
        <v>105480</v>
      </c>
    </row>
    <row r="31" spans="2:9" x14ac:dyDescent="0.25">
      <c r="B31" s="111" t="s">
        <v>217</v>
      </c>
      <c r="C31" s="130">
        <f>+C30/C28</f>
        <v>0.25</v>
      </c>
      <c r="D31" s="130">
        <f t="shared" ref="D31:F31" si="17">+D30/D28</f>
        <v>0.4485294117647059</v>
      </c>
      <c r="E31" s="130">
        <f t="shared" si="17"/>
        <v>0.609375</v>
      </c>
      <c r="F31" s="131">
        <f t="shared" si="17"/>
        <v>0.3656405990016639</v>
      </c>
    </row>
    <row r="33" spans="2:6" x14ac:dyDescent="0.25">
      <c r="B33" s="117" t="s">
        <v>11</v>
      </c>
      <c r="C33" s="119" t="str">
        <f>+$B$16</f>
        <v>Quirera</v>
      </c>
      <c r="D33" s="119" t="str">
        <f>+$B$17</f>
        <v>Fubá</v>
      </c>
      <c r="E33" s="119" t="str">
        <f>+$B$18</f>
        <v>Germe</v>
      </c>
      <c r="F33" s="118" t="str">
        <f>+$B$19</f>
        <v>TOTAL</v>
      </c>
    </row>
    <row r="34" spans="2:6" x14ac:dyDescent="0.25">
      <c r="B34" s="129" t="s">
        <v>58</v>
      </c>
      <c r="C34" s="116">
        <f>+C28</f>
        <v>150000</v>
      </c>
      <c r="D34" s="116">
        <f t="shared" ref="D34:E34" si="18">+D28</f>
        <v>102000</v>
      </c>
      <c r="E34" s="116">
        <f t="shared" si="18"/>
        <v>36480</v>
      </c>
      <c r="F34" s="128">
        <f>SUM(C34:E34)</f>
        <v>288480</v>
      </c>
    </row>
    <row r="35" spans="2:6" x14ac:dyDescent="0.25">
      <c r="B35" s="25" t="s">
        <v>116</v>
      </c>
      <c r="C35" s="24">
        <f>-G22</f>
        <v>-93750</v>
      </c>
      <c r="D35" s="24">
        <f>-G23</f>
        <v>-63750.000000000015</v>
      </c>
      <c r="E35" s="24">
        <f>-G24</f>
        <v>-22800</v>
      </c>
      <c r="F35" s="128">
        <f t="shared" ref="F35:F36" si="19">SUM(C35:E35)</f>
        <v>-180300</v>
      </c>
    </row>
    <row r="36" spans="2:6" x14ac:dyDescent="0.25">
      <c r="B36" s="129" t="s">
        <v>34</v>
      </c>
      <c r="C36" s="116">
        <f>SUM(C34:C35)</f>
        <v>56250</v>
      </c>
      <c r="D36" s="116">
        <f t="shared" ref="D36:E36" si="20">SUM(D34:D35)</f>
        <v>38249.999999999985</v>
      </c>
      <c r="E36" s="116">
        <f t="shared" si="20"/>
        <v>13680</v>
      </c>
      <c r="F36" s="128">
        <f t="shared" si="19"/>
        <v>108179.99999999999</v>
      </c>
    </row>
    <row r="37" spans="2:6" x14ac:dyDescent="0.25">
      <c r="B37" s="111" t="s">
        <v>217</v>
      </c>
      <c r="C37" s="130">
        <f>+C36/C34</f>
        <v>0.375</v>
      </c>
      <c r="D37" s="130">
        <f t="shared" ref="D37:F37" si="21">+D36/D34</f>
        <v>0.37499999999999983</v>
      </c>
      <c r="E37" s="130">
        <f t="shared" si="21"/>
        <v>0.375</v>
      </c>
      <c r="F37" s="131">
        <f t="shared" si="21"/>
        <v>0.37499999999999994</v>
      </c>
    </row>
  </sheetData>
  <mergeCells count="1">
    <mergeCell ref="C21:D21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EXEMPLO DEPRECIAÇÃO</vt:lpstr>
      <vt:lpstr>EXEMPLO COMÉRCIO DE LIVROS</vt:lpstr>
      <vt:lpstr>CIA ROLIÇA</vt:lpstr>
      <vt:lpstr>CIA ANIEL</vt:lpstr>
      <vt:lpstr>CIA GB</vt:lpstr>
      <vt:lpstr>Cia Porto Eucalipto </vt:lpstr>
      <vt:lpstr>Demonstrações Cia Porto </vt:lpstr>
      <vt:lpstr>Cia Dobra e Fecha</vt:lpstr>
      <vt:lpstr>CIA SÃO TOMÉ</vt:lpstr>
      <vt:lpstr>EXEMPLO CPC17</vt:lpstr>
      <vt:lpstr>EXERCÍCIO CPC17 (1)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2018-08-08T13:35:45Z</dcterms:created>
  <dcterms:modified xsi:type="dcterms:W3CDTF">2018-10-19T14:41:14Z</dcterms:modified>
</cp:coreProperties>
</file>