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i Cleber Bonizio\Dropbox\000 - ACADÊMICOS\00 - GRADUAÇÃO\0 - RONI - primeiro semestre 2018\ANÁLISE DE CUSTOS\"/>
    </mc:Choice>
  </mc:AlternateContent>
  <xr:revisionPtr revIDLastSave="0" documentId="10_ncr:8100000_{1CE087B5-1E19-4CE7-9FB8-F7B81CD038D7}" xr6:coauthVersionLast="33" xr6:coauthVersionMax="33" xr10:uidLastSave="{00000000-0000-0000-0000-000000000000}"/>
  <bookViews>
    <workbookView xWindow="0" yWindow="0" windowWidth="24000" windowHeight="9525" xr2:uid="{3AAF2CD6-ACAF-4D7D-AA5F-EDED0F81A9BC}"/>
  </bookViews>
  <sheets>
    <sheet name="Q2" sheetId="3" r:id="rId1"/>
    <sheet name="Q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3" l="1"/>
  <c r="C53" i="3"/>
  <c r="H24" i="2" l="1"/>
  <c r="C24" i="2"/>
  <c r="H14" i="2"/>
  <c r="C14" i="2"/>
  <c r="G6" i="2"/>
  <c r="I6" i="2" s="1"/>
  <c r="J6" i="2"/>
  <c r="B6" i="2"/>
  <c r="D6" i="2" s="1"/>
  <c r="E6" i="2"/>
  <c r="C8" i="2" s="1"/>
  <c r="C16" i="2" s="1"/>
  <c r="C17" i="2" s="1"/>
  <c r="C18" i="2" s="1"/>
  <c r="N45" i="3"/>
  <c r="N47" i="3" s="1"/>
  <c r="O44" i="3"/>
  <c r="O42" i="3"/>
  <c r="O40" i="3"/>
  <c r="O38" i="3"/>
  <c r="O36" i="3"/>
  <c r="M34" i="3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17" i="3"/>
  <c r="O11" i="3"/>
  <c r="N11" i="3"/>
  <c r="M11" i="3"/>
  <c r="P7" i="3"/>
  <c r="O6" i="3"/>
  <c r="O9" i="3" s="1"/>
  <c r="O12" i="3" s="1"/>
  <c r="N6" i="3"/>
  <c r="N9" i="3" s="1"/>
  <c r="N12" i="3" s="1"/>
  <c r="M6" i="3"/>
  <c r="M9" i="3" s="1"/>
  <c r="M12" i="3" s="1"/>
  <c r="E11" i="3"/>
  <c r="D11" i="3"/>
  <c r="C11" i="3"/>
  <c r="F11" i="3" s="1"/>
  <c r="C50" i="3" s="1"/>
  <c r="P12" i="3" l="1"/>
  <c r="P14" i="3" s="1"/>
  <c r="P11" i="3"/>
  <c r="M50" i="3" s="1"/>
  <c r="H8" i="2"/>
  <c r="C23" i="2"/>
  <c r="C19" i="2"/>
  <c r="C20" i="2" s="1"/>
  <c r="M69" i="3"/>
  <c r="N69" i="3" s="1"/>
  <c r="C17" i="3"/>
  <c r="E44" i="3"/>
  <c r="E42" i="3"/>
  <c r="E40" i="3"/>
  <c r="E38" i="3"/>
  <c r="E36" i="3"/>
  <c r="E6" i="3"/>
  <c r="E9" i="3" s="1"/>
  <c r="E12" i="3" s="1"/>
  <c r="D6" i="3"/>
  <c r="D9" i="3" s="1"/>
  <c r="D12" i="3" s="1"/>
  <c r="C6" i="3"/>
  <c r="C9" i="3" s="1"/>
  <c r="C12" i="3" s="1"/>
  <c r="D45" i="3"/>
  <c r="D47" i="3" s="1"/>
  <c r="F7" i="3"/>
  <c r="C34" i="3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M54" i="3" l="1"/>
  <c r="H23" i="2"/>
  <c r="H16" i="2"/>
  <c r="H17" i="2" s="1"/>
  <c r="H18" i="2" s="1"/>
  <c r="H19" i="2"/>
  <c r="M21" i="3"/>
  <c r="M55" i="3"/>
  <c r="F12" i="3"/>
  <c r="C54" i="3" s="1"/>
  <c r="H20" i="2" l="1"/>
  <c r="M26" i="3"/>
  <c r="O26" i="3" s="1"/>
  <c r="P26" i="3" s="1"/>
  <c r="N72" i="3"/>
  <c r="M56" i="3"/>
  <c r="M61" i="3"/>
  <c r="M59" i="3"/>
  <c r="M65" i="3" s="1"/>
  <c r="N65" i="3" s="1"/>
  <c r="C69" i="3"/>
  <c r="D69" i="3" s="1"/>
  <c r="F14" i="3"/>
  <c r="C21" i="3" l="1"/>
  <c r="C61" i="3" s="1"/>
  <c r="M68" i="3"/>
  <c r="N68" i="3" s="1"/>
  <c r="M60" i="3"/>
  <c r="M66" i="3" s="1"/>
  <c r="N66" i="3" s="1"/>
  <c r="C55" i="3"/>
  <c r="C56" i="3" l="1"/>
  <c r="C59" i="3"/>
  <c r="C65" i="3" s="1"/>
  <c r="C68" i="3"/>
  <c r="D68" i="3" s="1"/>
  <c r="D65" i="3"/>
  <c r="C26" i="3"/>
  <c r="D72" i="3"/>
  <c r="N70" i="3"/>
  <c r="N71" i="3"/>
  <c r="N73" i="3" s="1"/>
  <c r="N74" i="3" s="1"/>
  <c r="C60" i="3" l="1"/>
  <c r="C66" i="3" s="1"/>
  <c r="D66" i="3" s="1"/>
  <c r="D70" i="3"/>
  <c r="D71" i="3"/>
  <c r="D73" i="3" s="1"/>
  <c r="D74" i="3" s="1"/>
</calcChain>
</file>

<file path=xl/sharedStrings.xml><?xml version="1.0" encoding="utf-8"?>
<sst xmlns="http://schemas.openxmlformats.org/spreadsheetml/2006/main" count="136" uniqueCount="62">
  <si>
    <t>TOTAL</t>
  </si>
  <si>
    <t>Ed</t>
  </si>
  <si>
    <t>Linhas de produtos</t>
  </si>
  <si>
    <t>A</t>
  </si>
  <si>
    <t>B</t>
  </si>
  <si>
    <t>C</t>
  </si>
  <si>
    <t>Comissão recebida (R$/ton)</t>
  </si>
  <si>
    <t>Logística</t>
  </si>
  <si>
    <t>VOLUME (TON)</t>
  </si>
  <si>
    <t>R$</t>
  </si>
  <si>
    <t>MÊS</t>
  </si>
  <si>
    <t>Gastos variáveis de venda (R$/TON)</t>
  </si>
  <si>
    <t>Logística (R$/TON)</t>
  </si>
  <si>
    <t>Mix médio do ano</t>
  </si>
  <si>
    <t>MC MÉDIA BRUTA</t>
  </si>
  <si>
    <t>MC MÉDIA LÍQUIDA</t>
  </si>
  <si>
    <t>Gastos fixos</t>
  </si>
  <si>
    <t>Pessoal</t>
  </si>
  <si>
    <t>Aluguéis</t>
  </si>
  <si>
    <t>Depreciações</t>
  </si>
  <si>
    <t>R$/ANO</t>
  </si>
  <si>
    <t>Capital investido</t>
  </si>
  <si>
    <t>Custo do capital investido (%aa)</t>
  </si>
  <si>
    <t>Custo do capital investido ($/ano)</t>
  </si>
  <si>
    <t>MÉDIA</t>
  </si>
  <si>
    <t>PROVA A</t>
  </si>
  <si>
    <t>1 - RESPOSTAS</t>
  </si>
  <si>
    <t>MC LÍQUIDA - (R$/TON)</t>
  </si>
  <si>
    <t>MC BRUTA - (R$/TON)</t>
  </si>
  <si>
    <t>GST FIX OPERAC (R$/ANO)</t>
  </si>
  <si>
    <t>2 - RESPOSTAS</t>
  </si>
  <si>
    <t>TON/ANO</t>
  </si>
  <si>
    <t>PEC (TON/ANO)</t>
  </si>
  <si>
    <t>PEE (TON/ANO)</t>
  </si>
  <si>
    <t>PEF (TON/ANO)</t>
  </si>
  <si>
    <t>3 - RESPOSTAS</t>
  </si>
  <si>
    <t>Vendas (ton/ano)</t>
  </si>
  <si>
    <t>NOPAT</t>
  </si>
  <si>
    <t xml:space="preserve">EVA® </t>
  </si>
  <si>
    <t>Caixa operacional</t>
  </si>
  <si>
    <t>Depreciação</t>
  </si>
  <si>
    <t>Margem operacional</t>
  </si>
  <si>
    <t>PREÇO MÉDIO DE VENDA</t>
  </si>
  <si>
    <t>Vendas (R$/ano)</t>
  </si>
  <si>
    <t>Giro do investimento</t>
  </si>
  <si>
    <t>ROI</t>
  </si>
  <si>
    <t>PROVA B</t>
  </si>
  <si>
    <t>PREÇO</t>
  </si>
  <si>
    <t>QUANTIDADE</t>
  </si>
  <si>
    <t>VAR PRÇ</t>
  </si>
  <si>
    <t>VAR QUANT</t>
  </si>
  <si>
    <t>preço ótimo</t>
  </si>
  <si>
    <t>Var preço</t>
  </si>
  <si>
    <t>Var quant</t>
  </si>
  <si>
    <t>quant (prç ótimo)</t>
  </si>
  <si>
    <t>MC tot (prç ótimo)</t>
  </si>
  <si>
    <t>MC unit (prç ótimo)</t>
  </si>
  <si>
    <t>Melhor preço</t>
  </si>
  <si>
    <t>Resultado operacional</t>
  </si>
  <si>
    <t>Cst variáveis</t>
  </si>
  <si>
    <t>Cst fix / sem</t>
  </si>
  <si>
    <t>PRÇ MÉD - (R$/TON)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</si>
</sst>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#,##0.000"/>
    <numFmt numFmtId="166" formatCode="#,##0.0000"/>
    <numFmt numFmtId="167" formatCode="#,##0.0000000"/>
    <numFmt numFmtId="168" formatCode="0.0%"/>
    <numFmt numFmtId="169" formatCode="0.000%"/>
    <numFmt numFmtId="170" formatCode="0.0000%"/>
  </numFmts>
  <fonts count="18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7">
    <xf numFmtId="0" fontId="0" fillId="0" borderId="0" xfId="0"/>
    <xf numFmtId="3" fontId="0" fillId="2" borderId="0" xfId="0" applyNumberForma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3" fillId="4" borderId="0" xfId="0" applyNumberFormat="1" applyFont="1" applyFill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left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left" vertical="center" wrapText="1"/>
    </xf>
    <xf numFmtId="3" fontId="8" fillId="2" borderId="0" xfId="0" applyNumberFormat="1" applyFont="1" applyFill="1" applyAlignment="1">
      <alignment horizontal="left" vertical="center" wrapText="1"/>
    </xf>
    <xf numFmtId="166" fontId="8" fillId="2" borderId="0" xfId="0" applyNumberFormat="1" applyFont="1" applyFill="1" applyAlignment="1">
      <alignment horizontal="center" vertical="center" wrapText="1"/>
    </xf>
    <xf numFmtId="167" fontId="7" fillId="5" borderId="0" xfId="0" applyNumberFormat="1" applyFont="1" applyFill="1" applyAlignment="1">
      <alignment horizontal="center" vertical="center" wrapText="1"/>
    </xf>
    <xf numFmtId="167" fontId="8" fillId="2" borderId="0" xfId="0" applyNumberFormat="1" applyFont="1" applyFill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left" vertical="center" wrapText="1"/>
    </xf>
    <xf numFmtId="3" fontId="11" fillId="2" borderId="0" xfId="0" applyNumberFormat="1" applyFont="1" applyFill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168" fontId="8" fillId="5" borderId="0" xfId="1" applyNumberFormat="1" applyFont="1" applyFill="1" applyAlignment="1">
      <alignment horizontal="center" vertical="center" wrapText="1"/>
    </xf>
    <xf numFmtId="166" fontId="8" fillId="5" borderId="0" xfId="0" applyNumberFormat="1" applyFont="1" applyFill="1" applyAlignment="1">
      <alignment horizontal="center" vertical="center" wrapText="1"/>
    </xf>
    <xf numFmtId="165" fontId="8" fillId="2" borderId="9" xfId="0" applyNumberFormat="1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center" vertical="center" wrapText="1"/>
    </xf>
    <xf numFmtId="9" fontId="8" fillId="2" borderId="5" xfId="1" applyFont="1" applyFill="1" applyBorder="1" applyAlignment="1">
      <alignment horizontal="center" vertical="center" wrapText="1"/>
    </xf>
    <xf numFmtId="9" fontId="7" fillId="2" borderId="6" xfId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7" fontId="7" fillId="2" borderId="0" xfId="0" applyNumberFormat="1" applyFont="1" applyFill="1" applyAlignment="1">
      <alignment horizontal="center" vertical="center" wrapText="1"/>
    </xf>
    <xf numFmtId="3" fontId="5" fillId="8" borderId="0" xfId="0" applyNumberFormat="1" applyFont="1" applyFill="1" applyAlignment="1">
      <alignment horizontal="left" vertical="center" wrapText="1"/>
    </xf>
    <xf numFmtId="165" fontId="5" fillId="8" borderId="0" xfId="0" applyNumberFormat="1" applyFont="1" applyFill="1" applyAlignment="1">
      <alignment horizontal="center" vertical="center" wrapText="1"/>
    </xf>
    <xf numFmtId="3" fontId="5" fillId="8" borderId="0" xfId="0" applyNumberFormat="1" applyFont="1" applyFill="1" applyAlignment="1">
      <alignment horizontal="center" vertical="center" wrapText="1"/>
    </xf>
    <xf numFmtId="3" fontId="15" fillId="7" borderId="0" xfId="0" applyNumberFormat="1" applyFont="1" applyFill="1" applyAlignment="1">
      <alignment vertical="center" wrapText="1"/>
    </xf>
    <xf numFmtId="3" fontId="6" fillId="6" borderId="0" xfId="0" applyNumberFormat="1" applyFont="1" applyFill="1" applyAlignment="1">
      <alignment horizontal="left" vertical="center" wrapText="1"/>
    </xf>
    <xf numFmtId="165" fontId="6" fillId="6" borderId="0" xfId="0" applyNumberFormat="1" applyFont="1" applyFill="1" applyAlignment="1">
      <alignment horizontal="center" vertical="center" wrapText="1"/>
    </xf>
    <xf numFmtId="3" fontId="0" fillId="6" borderId="0" xfId="0" applyNumberFormat="1" applyFont="1" applyFill="1" applyAlignment="1">
      <alignment horizontal="left" vertical="center" wrapText="1"/>
    </xf>
    <xf numFmtId="165" fontId="0" fillId="6" borderId="0" xfId="0" applyNumberFormat="1" applyFont="1" applyFill="1" applyAlignment="1">
      <alignment horizontal="center" vertical="center" wrapText="1"/>
    </xf>
    <xf numFmtId="4" fontId="12" fillId="2" borderId="0" xfId="0" applyNumberFormat="1" applyFont="1" applyFill="1" applyAlignment="1">
      <alignment horizontal="center" vertical="center" wrapText="1"/>
    </xf>
    <xf numFmtId="4" fontId="13" fillId="2" borderId="0" xfId="0" applyNumberFormat="1" applyFont="1" applyFill="1" applyAlignment="1">
      <alignment horizontal="center" vertical="center" wrapText="1"/>
    </xf>
    <xf numFmtId="3" fontId="16" fillId="6" borderId="0" xfId="0" applyNumberFormat="1" applyFont="1" applyFill="1" applyAlignment="1">
      <alignment horizontal="left" vertical="center" wrapText="1"/>
    </xf>
    <xf numFmtId="170" fontId="0" fillId="6" borderId="0" xfId="1" applyNumberFormat="1" applyFont="1" applyFill="1" applyAlignment="1">
      <alignment horizontal="center" vertical="center" wrapText="1"/>
    </xf>
    <xf numFmtId="169" fontId="6" fillId="6" borderId="0" xfId="1" applyNumberFormat="1" applyFont="1" applyFill="1" applyAlignment="1">
      <alignment horizontal="center" vertical="center" wrapText="1"/>
    </xf>
    <xf numFmtId="3" fontId="14" fillId="3" borderId="0" xfId="0" applyNumberFormat="1" applyFont="1" applyFill="1" applyAlignment="1">
      <alignment horizontal="center" vertical="center" wrapText="1"/>
    </xf>
    <xf numFmtId="166" fontId="2" fillId="4" borderId="0" xfId="0" applyNumberFormat="1" applyFont="1" applyFill="1" applyAlignment="1">
      <alignment horizontal="center" vertical="center" wrapText="1"/>
    </xf>
    <xf numFmtId="169" fontId="2" fillId="4" borderId="0" xfId="1" applyNumberFormat="1" applyFont="1" applyFill="1" applyAlignment="1">
      <alignment horizontal="center" vertical="center" wrapText="1"/>
    </xf>
    <xf numFmtId="166" fontId="14" fillId="3" borderId="0" xfId="0" applyNumberFormat="1" applyFont="1" applyFill="1" applyAlignment="1">
      <alignment horizontal="center" vertical="center" wrapText="1"/>
    </xf>
    <xf numFmtId="166" fontId="3" fillId="4" borderId="0" xfId="0" applyNumberFormat="1" applyFont="1" applyFill="1" applyAlignment="1">
      <alignment horizontal="center" vertical="center" wrapText="1"/>
    </xf>
    <xf numFmtId="4" fontId="3" fillId="4" borderId="0" xfId="0" applyNumberFormat="1" applyFont="1" applyFill="1" applyAlignment="1">
      <alignment horizontal="center" vertical="center" wrapText="1"/>
    </xf>
    <xf numFmtId="3" fontId="0" fillId="5" borderId="0" xfId="0" applyNumberFormat="1" applyFill="1" applyAlignment="1">
      <alignment horizontal="center" vertical="center" wrapText="1"/>
    </xf>
    <xf numFmtId="165" fontId="0" fillId="5" borderId="0" xfId="0" applyNumberFormat="1" applyFill="1" applyAlignment="1">
      <alignment horizontal="center" vertical="center" wrapText="1"/>
    </xf>
    <xf numFmtId="3" fontId="17" fillId="7" borderId="0" xfId="0" applyNumberFormat="1" applyFont="1" applyFill="1" applyAlignment="1">
      <alignment horizontal="center" vertical="center" wrapText="1"/>
    </xf>
    <xf numFmtId="3" fontId="15" fillId="7" borderId="0" xfId="0" applyNumberFormat="1" applyFont="1" applyFill="1" applyAlignment="1">
      <alignment horizontal="left" vertical="center" wrapText="1"/>
    </xf>
    <xf numFmtId="3" fontId="1" fillId="3" borderId="0" xfId="0" applyNumberFormat="1" applyFont="1" applyFill="1" applyAlignment="1">
      <alignment horizontal="center" vertical="center" wrapText="1"/>
    </xf>
    <xf numFmtId="3" fontId="14" fillId="3" borderId="0" xfId="0" applyNumberFormat="1" applyFont="1" applyFill="1" applyAlignment="1">
      <alignment horizontal="left" vertical="center" wrapText="1"/>
    </xf>
    <xf numFmtId="4" fontId="8" fillId="9" borderId="0" xfId="0" applyNumberFormat="1" applyFont="1" applyFill="1" applyAlignment="1">
      <alignment horizontal="center" vertical="center" wrapText="1"/>
    </xf>
    <xf numFmtId="165" fontId="8" fillId="9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'Q2'!$E$32</c:f>
              <c:strCache>
                <c:ptCount val="1"/>
                <c:pt idx="0">
                  <c:v>R$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78844831896013"/>
                  <c:y val="-0.259950056630063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'Q2'!$D$33:$D$44</c:f>
              <c:numCache>
                <c:formatCode>#,##0.0</c:formatCode>
                <c:ptCount val="12"/>
                <c:pt idx="0">
                  <c:v>125</c:v>
                </c:pt>
                <c:pt idx="1">
                  <c:v>115</c:v>
                </c:pt>
                <c:pt idx="2">
                  <c:v>110</c:v>
                </c:pt>
                <c:pt idx="3">
                  <c:v>108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  <c:pt idx="10">
                  <c:v>115</c:v>
                </c:pt>
                <c:pt idx="11">
                  <c:v>120</c:v>
                </c:pt>
              </c:numCache>
            </c:numRef>
          </c:xVal>
          <c:yVal>
            <c:numRef>
              <c:f>'Q2'!$E$33:$E$44</c:f>
              <c:numCache>
                <c:formatCode>#,##0</c:formatCode>
                <c:ptCount val="12"/>
                <c:pt idx="0">
                  <c:v>9880</c:v>
                </c:pt>
                <c:pt idx="1">
                  <c:v>9720</c:v>
                </c:pt>
                <c:pt idx="2">
                  <c:v>9650</c:v>
                </c:pt>
                <c:pt idx="3">
                  <c:v>9620</c:v>
                </c:pt>
                <c:pt idx="4">
                  <c:v>9580</c:v>
                </c:pt>
                <c:pt idx="5">
                  <c:v>9590</c:v>
                </c:pt>
                <c:pt idx="6">
                  <c:v>9600</c:v>
                </c:pt>
                <c:pt idx="7">
                  <c:v>9620</c:v>
                </c:pt>
                <c:pt idx="8">
                  <c:v>9630</c:v>
                </c:pt>
                <c:pt idx="9">
                  <c:v>9650</c:v>
                </c:pt>
                <c:pt idx="10">
                  <c:v>9750</c:v>
                </c:pt>
                <c:pt idx="11">
                  <c:v>9800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46-4115-8377-8645BC8E0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088944"/>
        <c:axId val="450088616"/>
      </c:scatterChart>
      <c:valAx>
        <c:axId val="450088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0088616"/>
        <c:crosses val="autoZero"/>
        <c:crossBetween val="midCat"/>
      </c:valAx>
      <c:valAx>
        <c:axId val="45008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0088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'Q2'!$E$32</c:f>
              <c:strCache>
                <c:ptCount val="1"/>
                <c:pt idx="0">
                  <c:v>R$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78844831896013"/>
                  <c:y val="-0.259950056630063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'Q2'!$D$33:$D$44</c:f>
              <c:numCache>
                <c:formatCode>#,##0.0</c:formatCode>
                <c:ptCount val="12"/>
                <c:pt idx="0">
                  <c:v>125</c:v>
                </c:pt>
                <c:pt idx="1">
                  <c:v>115</c:v>
                </c:pt>
                <c:pt idx="2">
                  <c:v>110</c:v>
                </c:pt>
                <c:pt idx="3">
                  <c:v>108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  <c:pt idx="10">
                  <c:v>115</c:v>
                </c:pt>
                <c:pt idx="11">
                  <c:v>120</c:v>
                </c:pt>
              </c:numCache>
            </c:numRef>
          </c:xVal>
          <c:yVal>
            <c:numRef>
              <c:f>'Q2'!$E$33:$E$44</c:f>
              <c:numCache>
                <c:formatCode>#,##0</c:formatCode>
                <c:ptCount val="12"/>
                <c:pt idx="0">
                  <c:v>9880</c:v>
                </c:pt>
                <c:pt idx="1">
                  <c:v>9720</c:v>
                </c:pt>
                <c:pt idx="2">
                  <c:v>9650</c:v>
                </c:pt>
                <c:pt idx="3">
                  <c:v>9620</c:v>
                </c:pt>
                <c:pt idx="4">
                  <c:v>9580</c:v>
                </c:pt>
                <c:pt idx="5">
                  <c:v>9590</c:v>
                </c:pt>
                <c:pt idx="6">
                  <c:v>9600</c:v>
                </c:pt>
                <c:pt idx="7">
                  <c:v>9620</c:v>
                </c:pt>
                <c:pt idx="8">
                  <c:v>9630</c:v>
                </c:pt>
                <c:pt idx="9">
                  <c:v>9650</c:v>
                </c:pt>
                <c:pt idx="10">
                  <c:v>9750</c:v>
                </c:pt>
                <c:pt idx="11">
                  <c:v>9800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D3-452D-A256-50AFCC520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088944"/>
        <c:axId val="450088616"/>
      </c:scatterChart>
      <c:valAx>
        <c:axId val="450088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0088616"/>
        <c:crosses val="autoZero"/>
        <c:crossBetween val="midCat"/>
      </c:valAx>
      <c:valAx>
        <c:axId val="45008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0088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</xdr:colOff>
      <xdr:row>31</xdr:row>
      <xdr:rowOff>57150</xdr:rowOff>
    </xdr:from>
    <xdr:to>
      <xdr:col>9</xdr:col>
      <xdr:colOff>571500</xdr:colOff>
      <xdr:row>43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0BBF047-F4AA-4960-BCB3-D3CCD132C8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114299</xdr:colOff>
      <xdr:row>31</xdr:row>
      <xdr:rowOff>57150</xdr:rowOff>
    </xdr:from>
    <xdr:to>
      <xdr:col>19</xdr:col>
      <xdr:colOff>571500</xdr:colOff>
      <xdr:row>43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98BDC44-B05F-4AEF-8EB7-F102035B0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1684E-8FA7-4C9C-B8F1-D6856D020B0B}">
  <dimension ref="B2:T74"/>
  <sheetViews>
    <sheetView tabSelected="1" workbookViewId="0">
      <selection activeCell="C50" sqref="C50"/>
    </sheetView>
  </sheetViews>
  <sheetFormatPr defaultRowHeight="12" x14ac:dyDescent="0.25"/>
  <cols>
    <col min="1" max="1" width="2.28515625" style="4" customWidth="1"/>
    <col min="2" max="2" width="29.28515625" style="4" bestFit="1" customWidth="1"/>
    <col min="3" max="3" width="10.42578125" style="4" bestFit="1" customWidth="1"/>
    <col min="4" max="4" width="11.140625" style="4" bestFit="1" customWidth="1"/>
    <col min="5" max="5" width="6.5703125" style="4" bestFit="1" customWidth="1"/>
    <col min="6" max="6" width="10" style="4" bestFit="1" customWidth="1"/>
    <col min="7" max="9" width="9.140625" style="4"/>
    <col min="10" max="10" width="11.140625" style="4" customWidth="1"/>
    <col min="11" max="11" width="2" style="4" customWidth="1"/>
    <col min="12" max="12" width="29.28515625" style="4" bestFit="1" customWidth="1"/>
    <col min="13" max="13" width="10.42578125" style="4" bestFit="1" customWidth="1"/>
    <col min="14" max="14" width="10.140625" style="4" bestFit="1" customWidth="1"/>
    <col min="15" max="15" width="6.5703125" style="4" bestFit="1" customWidth="1"/>
    <col min="16" max="16" width="10" style="4" bestFit="1" customWidth="1"/>
    <col min="17" max="16384" width="9.140625" style="4"/>
  </cols>
  <sheetData>
    <row r="2" spans="2:20" ht="26.25" x14ac:dyDescent="0.25">
      <c r="B2" s="61" t="s">
        <v>25</v>
      </c>
      <c r="C2" s="61"/>
      <c r="D2" s="61"/>
      <c r="E2" s="61"/>
      <c r="F2" s="61"/>
      <c r="G2" s="61"/>
      <c r="H2" s="61"/>
      <c r="I2" s="61"/>
      <c r="J2" s="61"/>
      <c r="L2" s="61" t="s">
        <v>46</v>
      </c>
      <c r="M2" s="61"/>
      <c r="N2" s="61"/>
      <c r="O2" s="61"/>
      <c r="P2" s="61"/>
      <c r="Q2" s="61"/>
      <c r="R2" s="61"/>
      <c r="S2" s="61"/>
      <c r="T2" s="61"/>
    </row>
    <row r="4" spans="2:20" x14ac:dyDescent="0.25">
      <c r="B4" s="12" t="s">
        <v>2</v>
      </c>
      <c r="C4" s="13" t="s">
        <v>3</v>
      </c>
      <c r="D4" s="13" t="s">
        <v>4</v>
      </c>
      <c r="E4" s="13" t="s">
        <v>5</v>
      </c>
      <c r="F4" s="14" t="s">
        <v>0</v>
      </c>
      <c r="L4" s="12" t="s">
        <v>2</v>
      </c>
      <c r="M4" s="13" t="s">
        <v>3</v>
      </c>
      <c r="N4" s="13" t="s">
        <v>4</v>
      </c>
      <c r="O4" s="13" t="s">
        <v>5</v>
      </c>
      <c r="P4" s="14" t="s">
        <v>0</v>
      </c>
    </row>
    <row r="5" spans="2:20" x14ac:dyDescent="0.25">
      <c r="B5" s="7" t="s">
        <v>6</v>
      </c>
      <c r="C5" s="24">
        <v>168.5</v>
      </c>
      <c r="D5" s="24">
        <v>186.5</v>
      </c>
      <c r="E5" s="24">
        <v>196.5</v>
      </c>
      <c r="F5" s="8"/>
      <c r="L5" s="7" t="s">
        <v>6</v>
      </c>
      <c r="M5" s="24">
        <v>168.5</v>
      </c>
      <c r="N5" s="24">
        <v>186.5</v>
      </c>
      <c r="O5" s="24">
        <v>196.5</v>
      </c>
      <c r="P5" s="8"/>
    </row>
    <row r="6" spans="2:20" x14ac:dyDescent="0.25">
      <c r="B6" s="7" t="s">
        <v>11</v>
      </c>
      <c r="C6" s="24">
        <f>-13.5+53.936+0.72</f>
        <v>41.155999999999999</v>
      </c>
      <c r="D6" s="24">
        <f>-18.5+71.936+0.72</f>
        <v>54.156000000000006</v>
      </c>
      <c r="E6" s="24">
        <f>-23.5+81.936+0.72</f>
        <v>59.156000000000006</v>
      </c>
      <c r="F6" s="8"/>
      <c r="L6" s="7" t="s">
        <v>11</v>
      </c>
      <c r="M6" s="24">
        <f>-13.5+53.936+0.72</f>
        <v>41.155999999999999</v>
      </c>
      <c r="N6" s="24">
        <f>-18.5+71.936+0.72</f>
        <v>54.156000000000006</v>
      </c>
      <c r="O6" s="24">
        <f>-23.5+81.936+0.72</f>
        <v>59.156000000000006</v>
      </c>
      <c r="P6" s="8"/>
    </row>
    <row r="7" spans="2:20" x14ac:dyDescent="0.25">
      <c r="B7" s="15" t="s">
        <v>13</v>
      </c>
      <c r="C7" s="34">
        <v>0.45</v>
      </c>
      <c r="D7" s="34">
        <v>0.3</v>
      </c>
      <c r="E7" s="34">
        <v>0.25</v>
      </c>
      <c r="F7" s="35">
        <f>SUM(C7:E7)</f>
        <v>1</v>
      </c>
      <c r="L7" s="15" t="s">
        <v>13</v>
      </c>
      <c r="M7" s="34">
        <v>0.45</v>
      </c>
      <c r="N7" s="34">
        <v>0.3</v>
      </c>
      <c r="O7" s="34">
        <v>0.25</v>
      </c>
      <c r="P7" s="35">
        <f>SUM(M7:O7)</f>
        <v>1</v>
      </c>
    </row>
    <row r="8" spans="2:20" x14ac:dyDescent="0.25">
      <c r="B8" s="16" t="s">
        <v>12</v>
      </c>
      <c r="C8" s="66"/>
      <c r="D8" s="66"/>
      <c r="E8" s="66"/>
      <c r="L8" s="16" t="s">
        <v>12</v>
      </c>
      <c r="M8" s="66"/>
      <c r="N8" s="66"/>
      <c r="O8" s="66"/>
    </row>
    <row r="9" spans="2:20" x14ac:dyDescent="0.25">
      <c r="B9" s="16"/>
      <c r="C9" s="31">
        <f>C5-C6-C8</f>
        <v>127.34399999999999</v>
      </c>
      <c r="D9" s="32">
        <f t="shared" ref="D9:E9" si="0">D5-D6-D8</f>
        <v>132.34399999999999</v>
      </c>
      <c r="E9" s="33">
        <f t="shared" si="0"/>
        <v>137.34399999999999</v>
      </c>
      <c r="L9" s="16"/>
      <c r="M9" s="31">
        <f>M5-M6-M8</f>
        <v>127.34399999999999</v>
      </c>
      <c r="N9" s="32">
        <f t="shared" ref="N9" si="1">N5-N6-N8</f>
        <v>132.34399999999999</v>
      </c>
      <c r="O9" s="33">
        <f t="shared" ref="O9" si="2">O5-O6-O8</f>
        <v>137.34399999999999</v>
      </c>
    </row>
    <row r="10" spans="2:20" x14ac:dyDescent="0.25">
      <c r="B10" s="16"/>
      <c r="L10" s="16"/>
    </row>
    <row r="11" spans="2:20" x14ac:dyDescent="0.25">
      <c r="B11" s="16" t="s">
        <v>42</v>
      </c>
      <c r="C11" s="10">
        <f>C5*C7</f>
        <v>75.825000000000003</v>
      </c>
      <c r="D11" s="10">
        <f t="shared" ref="D11:E11" si="3">D5*D7</f>
        <v>55.949999999999996</v>
      </c>
      <c r="E11" s="10">
        <f t="shared" si="3"/>
        <v>49.125</v>
      </c>
      <c r="F11" s="39">
        <f>SUM(C11:E11)</f>
        <v>180.9</v>
      </c>
      <c r="L11" s="16" t="s">
        <v>42</v>
      </c>
      <c r="M11" s="10">
        <f>M5*M7</f>
        <v>75.825000000000003</v>
      </c>
      <c r="N11" s="10">
        <f t="shared" ref="N11:O11" si="4">N5*N7</f>
        <v>55.949999999999996</v>
      </c>
      <c r="O11" s="10">
        <f t="shared" si="4"/>
        <v>49.125</v>
      </c>
      <c r="P11" s="39">
        <f>SUM(M11:O11)</f>
        <v>180.9</v>
      </c>
    </row>
    <row r="12" spans="2:20" x14ac:dyDescent="0.25">
      <c r="B12" s="16" t="s">
        <v>14</v>
      </c>
      <c r="C12" s="17">
        <f>C9*C7</f>
        <v>57.3048</v>
      </c>
      <c r="D12" s="17">
        <f>D9*D7</f>
        <v>39.703199999999995</v>
      </c>
      <c r="E12" s="17">
        <f>E9*E7</f>
        <v>34.335999999999999</v>
      </c>
      <c r="F12" s="39">
        <f>SUM(C12:E12)</f>
        <v>131.34399999999999</v>
      </c>
      <c r="L12" s="16" t="s">
        <v>14</v>
      </c>
      <c r="M12" s="17">
        <f>M9*M7</f>
        <v>57.3048</v>
      </c>
      <c r="N12" s="17">
        <f>N9*N7</f>
        <v>39.703199999999995</v>
      </c>
      <c r="O12" s="17">
        <f>O9*O7</f>
        <v>34.335999999999999</v>
      </c>
      <c r="P12" s="39">
        <f>SUM(M12:O12)</f>
        <v>131.34399999999999</v>
      </c>
    </row>
    <row r="13" spans="2:20" x14ac:dyDescent="0.25">
      <c r="B13" s="16"/>
      <c r="F13" s="19"/>
      <c r="L13" s="16"/>
      <c r="P13" s="19"/>
    </row>
    <row r="14" spans="2:20" x14ac:dyDescent="0.25">
      <c r="B14" s="16" t="s">
        <v>15</v>
      </c>
      <c r="C14" s="17"/>
      <c r="D14" s="17"/>
      <c r="E14" s="17"/>
      <c r="F14" s="18">
        <f>F12*(1-0.2)</f>
        <v>105.0752</v>
      </c>
      <c r="L14" s="16" t="s">
        <v>15</v>
      </c>
      <c r="M14" s="17"/>
      <c r="N14" s="17"/>
      <c r="O14" s="17"/>
      <c r="P14" s="18">
        <f>P12*(1-0.4)</f>
        <v>78.806399999999996</v>
      </c>
    </row>
    <row r="15" spans="2:20" x14ac:dyDescent="0.25">
      <c r="B15" s="16"/>
      <c r="L15" s="16"/>
    </row>
    <row r="16" spans="2:20" x14ac:dyDescent="0.25">
      <c r="B16" s="26" t="s">
        <v>16</v>
      </c>
      <c r="C16" s="27" t="s">
        <v>20</v>
      </c>
      <c r="L16" s="26" t="s">
        <v>16</v>
      </c>
      <c r="M16" s="27" t="s">
        <v>20</v>
      </c>
    </row>
    <row r="17" spans="2:16" x14ac:dyDescent="0.25">
      <c r="B17" s="16" t="s">
        <v>17</v>
      </c>
      <c r="C17" s="28">
        <f>127600-111059.6</f>
        <v>16540.399999999994</v>
      </c>
      <c r="L17" s="16" t="s">
        <v>17</v>
      </c>
      <c r="M17" s="28">
        <f>127600-111059.6</f>
        <v>16540.399999999994</v>
      </c>
    </row>
    <row r="18" spans="2:16" x14ac:dyDescent="0.25">
      <c r="B18" s="16" t="s">
        <v>18</v>
      </c>
      <c r="C18" s="28">
        <v>12600</v>
      </c>
      <c r="L18" s="16" t="s">
        <v>18</v>
      </c>
      <c r="M18" s="28">
        <v>12600</v>
      </c>
    </row>
    <row r="19" spans="2:16" x14ac:dyDescent="0.25">
      <c r="B19" s="16" t="s">
        <v>19</v>
      </c>
      <c r="C19" s="28">
        <v>2900</v>
      </c>
      <c r="L19" s="16" t="s">
        <v>19</v>
      </c>
      <c r="M19" s="28">
        <v>2900</v>
      </c>
    </row>
    <row r="20" spans="2:16" x14ac:dyDescent="0.25">
      <c r="B20" s="16" t="s">
        <v>7</v>
      </c>
      <c r="C20" s="65"/>
      <c r="L20" s="16" t="s">
        <v>7</v>
      </c>
      <c r="M20" s="65"/>
    </row>
    <row r="21" spans="2:16" x14ac:dyDescent="0.25">
      <c r="B21" s="25" t="s">
        <v>0</v>
      </c>
      <c r="C21" s="11">
        <f>SUM(C17:C20)</f>
        <v>32040.399999999994</v>
      </c>
      <c r="D21" s="48"/>
      <c r="L21" s="25" t="s">
        <v>0</v>
      </c>
      <c r="M21" s="11">
        <f>SUM(M17:M20)</f>
        <v>32040.399999999994</v>
      </c>
      <c r="N21" s="48"/>
    </row>
    <row r="22" spans="2:16" x14ac:dyDescent="0.25">
      <c r="B22" s="25"/>
      <c r="C22" s="9"/>
      <c r="L22" s="25"/>
      <c r="M22" s="9"/>
    </row>
    <row r="23" spans="2:16" x14ac:dyDescent="0.25">
      <c r="B23" s="16"/>
      <c r="L23" s="16"/>
    </row>
    <row r="24" spans="2:16" x14ac:dyDescent="0.25">
      <c r="B24" s="16" t="s">
        <v>21</v>
      </c>
      <c r="C24" s="17">
        <v>150800.00000000003</v>
      </c>
      <c r="L24" s="16" t="s">
        <v>21</v>
      </c>
      <c r="M24" s="17">
        <v>150800</v>
      </c>
    </row>
    <row r="25" spans="2:16" x14ac:dyDescent="0.25">
      <c r="B25" s="16" t="s">
        <v>22</v>
      </c>
      <c r="C25" s="29">
        <v>0.16</v>
      </c>
      <c r="L25" s="16" t="s">
        <v>22</v>
      </c>
      <c r="M25" s="29">
        <v>0.12</v>
      </c>
    </row>
    <row r="26" spans="2:16" x14ac:dyDescent="0.25">
      <c r="B26" s="16" t="s">
        <v>23</v>
      </c>
      <c r="C26" s="28">
        <f>C24*C25</f>
        <v>24128.000000000004</v>
      </c>
      <c r="E26" s="48"/>
      <c r="F26" s="49"/>
      <c r="L26" s="16" t="s">
        <v>23</v>
      </c>
      <c r="M26" s="28">
        <f>M24*M25</f>
        <v>18096</v>
      </c>
      <c r="O26" s="48">
        <f>M26/P14</f>
        <v>229.6260202217079</v>
      </c>
      <c r="P26" s="49">
        <f>O26+M21/P12</f>
        <v>473.56864417103179</v>
      </c>
    </row>
    <row r="27" spans="2:16" x14ac:dyDescent="0.25">
      <c r="B27" s="16"/>
      <c r="L27" s="16"/>
    </row>
    <row r="28" spans="2:16" x14ac:dyDescent="0.25">
      <c r="B28" s="16"/>
      <c r="L28" s="16"/>
    </row>
    <row r="29" spans="2:16" x14ac:dyDescent="0.25">
      <c r="B29" s="16"/>
      <c r="L29" s="16"/>
    </row>
    <row r="30" spans="2:16" x14ac:dyDescent="0.25">
      <c r="B30" s="16"/>
      <c r="L30" s="16"/>
    </row>
    <row r="31" spans="2:16" x14ac:dyDescent="0.25">
      <c r="B31" s="16"/>
      <c r="L31" s="16"/>
    </row>
    <row r="32" spans="2:16" ht="22.5" x14ac:dyDescent="0.25">
      <c r="B32" s="16"/>
      <c r="C32" s="36" t="s">
        <v>10</v>
      </c>
      <c r="D32" s="37" t="s">
        <v>8</v>
      </c>
      <c r="E32" s="38" t="s">
        <v>9</v>
      </c>
      <c r="L32" s="16"/>
      <c r="M32" s="36" t="s">
        <v>10</v>
      </c>
      <c r="N32" s="37" t="s">
        <v>8</v>
      </c>
      <c r="O32" s="38" t="s">
        <v>9</v>
      </c>
    </row>
    <row r="33" spans="2:15" x14ac:dyDescent="0.25">
      <c r="B33" s="16"/>
      <c r="C33" s="21">
        <v>1</v>
      </c>
      <c r="D33" s="22">
        <v>125</v>
      </c>
      <c r="E33" s="23">
        <v>9880</v>
      </c>
      <c r="L33" s="16"/>
      <c r="M33" s="21">
        <v>1</v>
      </c>
      <c r="N33" s="22">
        <v>125</v>
      </c>
      <c r="O33" s="23">
        <v>9880</v>
      </c>
    </row>
    <row r="34" spans="2:15" x14ac:dyDescent="0.25">
      <c r="B34" s="16"/>
      <c r="C34" s="21">
        <f>C33+1</f>
        <v>2</v>
      </c>
      <c r="D34" s="22">
        <v>115</v>
      </c>
      <c r="E34" s="23">
        <v>9720</v>
      </c>
      <c r="L34" s="16"/>
      <c r="M34" s="21">
        <f>M33+1</f>
        <v>2</v>
      </c>
      <c r="N34" s="22">
        <v>115</v>
      </c>
      <c r="O34" s="23">
        <v>9720</v>
      </c>
    </row>
    <row r="35" spans="2:15" x14ac:dyDescent="0.25">
      <c r="B35" s="16"/>
      <c r="C35" s="21">
        <f t="shared" ref="C35:C44" si="5">C34+1</f>
        <v>3</v>
      </c>
      <c r="D35" s="22">
        <v>110</v>
      </c>
      <c r="E35" s="23">
        <v>9650</v>
      </c>
      <c r="L35" s="16"/>
      <c r="M35" s="21">
        <f t="shared" ref="M35:M44" si="6">M34+1</f>
        <v>3</v>
      </c>
      <c r="N35" s="22">
        <v>110</v>
      </c>
      <c r="O35" s="23">
        <v>9650</v>
      </c>
    </row>
    <row r="36" spans="2:15" x14ac:dyDescent="0.25">
      <c r="B36" s="16"/>
      <c r="C36" s="21">
        <f t="shared" si="5"/>
        <v>4</v>
      </c>
      <c r="D36" s="22">
        <v>108</v>
      </c>
      <c r="E36" s="23">
        <f>5000+15*D36+3000</f>
        <v>9620</v>
      </c>
      <c r="L36" s="16"/>
      <c r="M36" s="21">
        <f t="shared" si="6"/>
        <v>4</v>
      </c>
      <c r="N36" s="22">
        <v>108</v>
      </c>
      <c r="O36" s="23">
        <f>5000+15*N36+3000</f>
        <v>9620</v>
      </c>
    </row>
    <row r="37" spans="2:15" x14ac:dyDescent="0.25">
      <c r="B37" s="16"/>
      <c r="C37" s="21">
        <f t="shared" si="5"/>
        <v>5</v>
      </c>
      <c r="D37" s="22">
        <v>105</v>
      </c>
      <c r="E37" s="23">
        <v>9580</v>
      </c>
      <c r="L37" s="16"/>
      <c r="M37" s="21">
        <f t="shared" si="6"/>
        <v>5</v>
      </c>
      <c r="N37" s="22">
        <v>105</v>
      </c>
      <c r="O37" s="23">
        <v>9580</v>
      </c>
    </row>
    <row r="38" spans="2:15" x14ac:dyDescent="0.25">
      <c r="B38" s="16"/>
      <c r="C38" s="21">
        <f t="shared" si="5"/>
        <v>6</v>
      </c>
      <c r="D38" s="22">
        <v>106</v>
      </c>
      <c r="E38" s="23">
        <f>5000+15*D38+3000</f>
        <v>9590</v>
      </c>
      <c r="L38" s="16"/>
      <c r="M38" s="21">
        <f t="shared" si="6"/>
        <v>6</v>
      </c>
      <c r="N38" s="22">
        <v>106</v>
      </c>
      <c r="O38" s="23">
        <f>5000+15*N38+3000</f>
        <v>9590</v>
      </c>
    </row>
    <row r="39" spans="2:15" x14ac:dyDescent="0.25">
      <c r="B39" s="16"/>
      <c r="C39" s="21">
        <f t="shared" si="5"/>
        <v>7</v>
      </c>
      <c r="D39" s="22">
        <v>107</v>
      </c>
      <c r="E39" s="23">
        <v>9600</v>
      </c>
      <c r="L39" s="16"/>
      <c r="M39" s="21">
        <f t="shared" si="6"/>
        <v>7</v>
      </c>
      <c r="N39" s="22">
        <v>107</v>
      </c>
      <c r="O39" s="23">
        <v>9600</v>
      </c>
    </row>
    <row r="40" spans="2:15" x14ac:dyDescent="0.25">
      <c r="C40" s="21">
        <f t="shared" si="5"/>
        <v>8</v>
      </c>
      <c r="D40" s="22">
        <v>108</v>
      </c>
      <c r="E40" s="23">
        <f>5000+15*D40+3000</f>
        <v>9620</v>
      </c>
      <c r="M40" s="21">
        <f t="shared" si="6"/>
        <v>8</v>
      </c>
      <c r="N40" s="22">
        <v>108</v>
      </c>
      <c r="O40" s="23">
        <f>5000+15*N40+3000</f>
        <v>9620</v>
      </c>
    </row>
    <row r="41" spans="2:15" x14ac:dyDescent="0.25">
      <c r="C41" s="21">
        <f t="shared" si="5"/>
        <v>9</v>
      </c>
      <c r="D41" s="22">
        <v>109</v>
      </c>
      <c r="E41" s="23">
        <v>9630</v>
      </c>
      <c r="M41" s="21">
        <f t="shared" si="6"/>
        <v>9</v>
      </c>
      <c r="N41" s="22">
        <v>109</v>
      </c>
      <c r="O41" s="23">
        <v>9630</v>
      </c>
    </row>
    <row r="42" spans="2:15" x14ac:dyDescent="0.25">
      <c r="C42" s="21">
        <f t="shared" si="5"/>
        <v>10</v>
      </c>
      <c r="D42" s="22">
        <v>110</v>
      </c>
      <c r="E42" s="23">
        <f>5000+15*D42+3000</f>
        <v>9650</v>
      </c>
      <c r="M42" s="21">
        <f t="shared" si="6"/>
        <v>10</v>
      </c>
      <c r="N42" s="22">
        <v>110</v>
      </c>
      <c r="O42" s="23">
        <f>5000+15*N42+3000</f>
        <v>9650</v>
      </c>
    </row>
    <row r="43" spans="2:15" x14ac:dyDescent="0.25">
      <c r="C43" s="21">
        <f t="shared" si="5"/>
        <v>11</v>
      </c>
      <c r="D43" s="22">
        <v>115</v>
      </c>
      <c r="E43" s="23">
        <v>9750</v>
      </c>
      <c r="M43" s="21">
        <f t="shared" si="6"/>
        <v>11</v>
      </c>
      <c r="N43" s="22">
        <v>115</v>
      </c>
      <c r="O43" s="23">
        <v>9750</v>
      </c>
    </row>
    <row r="44" spans="2:15" x14ac:dyDescent="0.25">
      <c r="C44" s="21">
        <f t="shared" si="5"/>
        <v>12</v>
      </c>
      <c r="D44" s="22">
        <v>120</v>
      </c>
      <c r="E44" s="23">
        <f>5000+15*D44+3000</f>
        <v>9800</v>
      </c>
      <c r="M44" s="21">
        <f t="shared" si="6"/>
        <v>12</v>
      </c>
      <c r="N44" s="22">
        <v>120</v>
      </c>
      <c r="O44" s="23">
        <f>5000+15*N44+3000</f>
        <v>9800</v>
      </c>
    </row>
    <row r="45" spans="2:15" x14ac:dyDescent="0.25">
      <c r="C45" s="5" t="s">
        <v>24</v>
      </c>
      <c r="D45" s="6">
        <f>AVERAGE(D33:D44)</f>
        <v>111.5</v>
      </c>
      <c r="E45" s="20"/>
      <c r="M45" s="5" t="s">
        <v>24</v>
      </c>
      <c r="N45" s="6">
        <f>AVERAGE(N33:N44)</f>
        <v>111.5</v>
      </c>
      <c r="O45" s="20"/>
    </row>
    <row r="47" spans="2:15" x14ac:dyDescent="0.25">
      <c r="D47" s="4">
        <f>D45*12</f>
        <v>1338</v>
      </c>
      <c r="N47" s="4">
        <f>N45*12</f>
        <v>1338</v>
      </c>
    </row>
    <row r="49" spans="2:14" x14ac:dyDescent="0.25">
      <c r="B49" s="30" t="s">
        <v>36</v>
      </c>
      <c r="C49" s="30">
        <v>1430</v>
      </c>
      <c r="L49" s="30" t="s">
        <v>36</v>
      </c>
      <c r="M49" s="30">
        <v>1450</v>
      </c>
    </row>
    <row r="50" spans="2:14" x14ac:dyDescent="0.25">
      <c r="B50" s="17" t="s">
        <v>43</v>
      </c>
      <c r="C50" s="17">
        <f>C49*F11</f>
        <v>258687</v>
      </c>
      <c r="L50" s="17" t="s">
        <v>43</v>
      </c>
      <c r="M50" s="17">
        <f>M49*P11</f>
        <v>262305</v>
      </c>
    </row>
    <row r="52" spans="2:14" ht="21" x14ac:dyDescent="0.25">
      <c r="B52" s="43" t="s">
        <v>26</v>
      </c>
      <c r="C52" s="43"/>
      <c r="L52" s="43" t="s">
        <v>26</v>
      </c>
      <c r="M52" s="43"/>
    </row>
    <row r="53" spans="2:14" ht="15" x14ac:dyDescent="0.25">
      <c r="B53" s="40" t="s">
        <v>61</v>
      </c>
      <c r="C53" s="41">
        <f>F11</f>
        <v>180.9</v>
      </c>
      <c r="L53" s="40" t="s">
        <v>61</v>
      </c>
      <c r="M53" s="41">
        <f>P11</f>
        <v>180.9</v>
      </c>
    </row>
    <row r="54" spans="2:14" ht="15" x14ac:dyDescent="0.25">
      <c r="B54" s="40" t="s">
        <v>28</v>
      </c>
      <c r="C54" s="41">
        <f>F12</f>
        <v>131.34399999999999</v>
      </c>
      <c r="L54" s="40" t="s">
        <v>28</v>
      </c>
      <c r="M54" s="41">
        <f>P12</f>
        <v>131.34399999999999</v>
      </c>
    </row>
    <row r="55" spans="2:14" ht="15" x14ac:dyDescent="0.25">
      <c r="B55" s="40" t="s">
        <v>27</v>
      </c>
      <c r="C55" s="41">
        <f>F14</f>
        <v>105.0752</v>
      </c>
      <c r="L55" s="40" t="s">
        <v>27</v>
      </c>
      <c r="M55" s="41">
        <f>P14</f>
        <v>78.806399999999996</v>
      </c>
    </row>
    <row r="56" spans="2:14" ht="15" x14ac:dyDescent="0.25">
      <c r="B56" s="40" t="s">
        <v>29</v>
      </c>
      <c r="C56" s="42">
        <f>C21</f>
        <v>32040.399999999994</v>
      </c>
      <c r="L56" s="40" t="s">
        <v>29</v>
      </c>
      <c r="M56" s="42">
        <f>M21</f>
        <v>32040.399999999994</v>
      </c>
    </row>
    <row r="58" spans="2:14" ht="21" x14ac:dyDescent="0.25">
      <c r="B58" s="43" t="s">
        <v>30</v>
      </c>
      <c r="C58" s="43"/>
      <c r="L58" s="43" t="s">
        <v>30</v>
      </c>
      <c r="M58" s="43"/>
    </row>
    <row r="59" spans="2:14" ht="15" x14ac:dyDescent="0.25">
      <c r="B59" s="40" t="s">
        <v>32</v>
      </c>
      <c r="C59" s="41">
        <f>C21/F12</f>
        <v>243.94262394932389</v>
      </c>
      <c r="L59" s="40" t="s">
        <v>32</v>
      </c>
      <c r="M59" s="41">
        <f>M21/P12</f>
        <v>243.94262394932389</v>
      </c>
    </row>
    <row r="60" spans="2:14" ht="15" x14ac:dyDescent="0.25">
      <c r="B60" s="40" t="s">
        <v>33</v>
      </c>
      <c r="C60" s="41">
        <f>C26/F14+C59</f>
        <v>473.56864417103179</v>
      </c>
      <c r="L60" s="40" t="s">
        <v>33</v>
      </c>
      <c r="M60" s="41">
        <f>M26/P14+M59</f>
        <v>473.56864417103179</v>
      </c>
    </row>
    <row r="61" spans="2:14" ht="15" x14ac:dyDescent="0.25">
      <c r="B61" s="40" t="s">
        <v>34</v>
      </c>
      <c r="C61" s="41">
        <f>(C21-C19)/F12</f>
        <v>221.8631989280058</v>
      </c>
      <c r="L61" s="40" t="s">
        <v>34</v>
      </c>
      <c r="M61" s="41">
        <f>(M21-M19)/P12</f>
        <v>221.8631989280058</v>
      </c>
    </row>
    <row r="63" spans="2:14" ht="21" x14ac:dyDescent="0.25">
      <c r="B63" s="62" t="s">
        <v>35</v>
      </c>
      <c r="C63" s="62"/>
      <c r="D63" s="62"/>
      <c r="L63" s="62" t="s">
        <v>35</v>
      </c>
      <c r="M63" s="62"/>
      <c r="N63" s="62"/>
    </row>
    <row r="64" spans="2:14" ht="15" x14ac:dyDescent="0.25">
      <c r="B64" s="40"/>
      <c r="C64" s="41" t="s">
        <v>31</v>
      </c>
      <c r="D64" s="41" t="s">
        <v>20</v>
      </c>
      <c r="L64" s="40"/>
      <c r="M64" s="41" t="s">
        <v>31</v>
      </c>
      <c r="N64" s="41" t="s">
        <v>20</v>
      </c>
    </row>
    <row r="65" spans="2:14" ht="15" x14ac:dyDescent="0.25">
      <c r="B65" s="46" t="s">
        <v>37</v>
      </c>
      <c r="C65" s="47">
        <f>$C$49-C59</f>
        <v>1186.0573760506761</v>
      </c>
      <c r="D65" s="47">
        <f>C65*$F$14</f>
        <v>124625.216</v>
      </c>
      <c r="L65" s="46" t="s">
        <v>37</v>
      </c>
      <c r="M65" s="47">
        <f>$C$49-M59</f>
        <v>1186.0573760506761</v>
      </c>
      <c r="N65" s="47">
        <f>M65*$P$14</f>
        <v>93468.911999999997</v>
      </c>
    </row>
    <row r="66" spans="2:14" ht="15" x14ac:dyDescent="0.25">
      <c r="B66" s="46" t="s">
        <v>38</v>
      </c>
      <c r="C66" s="47">
        <f>$C$49-C60</f>
        <v>956.43135582896821</v>
      </c>
      <c r="D66" s="47">
        <f>C66*$F$14</f>
        <v>100497.216</v>
      </c>
      <c r="L66" s="46" t="s">
        <v>38</v>
      </c>
      <c r="M66" s="47">
        <f>$C$49-M60</f>
        <v>956.43135582896821</v>
      </c>
      <c r="N66" s="47">
        <f>M66*$P$14</f>
        <v>75372.911999999997</v>
      </c>
    </row>
    <row r="67" spans="2:14" ht="15" x14ac:dyDescent="0.25">
      <c r="B67" s="50" t="s">
        <v>39</v>
      </c>
      <c r="C67" s="47"/>
      <c r="D67" s="47"/>
      <c r="L67" s="50" t="s">
        <v>39</v>
      </c>
      <c r="M67" s="47"/>
      <c r="N67" s="47"/>
    </row>
    <row r="68" spans="2:14" ht="15" x14ac:dyDescent="0.25">
      <c r="B68" s="46" t="s">
        <v>37</v>
      </c>
      <c r="C68" s="47">
        <f>C65</f>
        <v>1186.0573760506761</v>
      </c>
      <c r="D68" s="47">
        <f>C68*$F$14</f>
        <v>124625.216</v>
      </c>
      <c r="L68" s="46" t="s">
        <v>37</v>
      </c>
      <c r="M68" s="47">
        <f>M65</f>
        <v>1186.0573760506761</v>
      </c>
      <c r="N68" s="47">
        <f>M68*$P$14</f>
        <v>93468.911999999997</v>
      </c>
    </row>
    <row r="69" spans="2:14" ht="15" x14ac:dyDescent="0.25">
      <c r="B69" s="46" t="s">
        <v>40</v>
      </c>
      <c r="C69" s="47">
        <f>C19/F12</f>
        <v>22.079425021318066</v>
      </c>
      <c r="D69" s="47">
        <f>C69*F12</f>
        <v>2900</v>
      </c>
      <c r="L69" s="46" t="s">
        <v>40</v>
      </c>
      <c r="M69" s="47">
        <f>M19/P12</f>
        <v>22.079425021318066</v>
      </c>
      <c r="N69" s="47">
        <f>M69*P12</f>
        <v>2900</v>
      </c>
    </row>
    <row r="70" spans="2:14" ht="15" x14ac:dyDescent="0.25">
      <c r="B70" s="44" t="s">
        <v>0</v>
      </c>
      <c r="C70" s="45"/>
      <c r="D70" s="45">
        <f>SUM(D68:D69)</f>
        <v>127525.216</v>
      </c>
      <c r="L70" s="44" t="s">
        <v>0</v>
      </c>
      <c r="M70" s="45"/>
      <c r="N70" s="45">
        <f>SUM(N68:N69)</f>
        <v>96368.911999999997</v>
      </c>
    </row>
    <row r="71" spans="2:14" ht="15" x14ac:dyDescent="0.25">
      <c r="B71" s="46" t="s">
        <v>41</v>
      </c>
      <c r="C71" s="47"/>
      <c r="D71" s="51">
        <f>D68/C50</f>
        <v>0.48176064510392869</v>
      </c>
      <c r="L71" s="46" t="s">
        <v>41</v>
      </c>
      <c r="M71" s="47"/>
      <c r="N71" s="51">
        <f>N68/M50</f>
        <v>0.35633675301652656</v>
      </c>
    </row>
    <row r="72" spans="2:14" ht="15" x14ac:dyDescent="0.25">
      <c r="B72" s="46" t="s">
        <v>44</v>
      </c>
      <c r="C72" s="47"/>
      <c r="D72" s="47">
        <f>C50/C24</f>
        <v>1.7154310344827584</v>
      </c>
      <c r="L72" s="46" t="s">
        <v>44</v>
      </c>
      <c r="M72" s="47"/>
      <c r="N72" s="47">
        <f>M50/M24</f>
        <v>1.739423076923077</v>
      </c>
    </row>
    <row r="73" spans="2:14" ht="15" x14ac:dyDescent="0.25">
      <c r="B73" s="44" t="s">
        <v>45</v>
      </c>
      <c r="C73" s="45"/>
      <c r="D73" s="52">
        <f>D71*D72</f>
        <v>0.82642716180371345</v>
      </c>
      <c r="L73" s="44" t="s">
        <v>45</v>
      </c>
      <c r="M73" s="45"/>
      <c r="N73" s="52">
        <f>N71*N72</f>
        <v>0.61982037135278512</v>
      </c>
    </row>
    <row r="74" spans="2:14" ht="15" x14ac:dyDescent="0.25">
      <c r="B74" s="40" t="s">
        <v>38</v>
      </c>
      <c r="C74" s="41"/>
      <c r="D74" s="41">
        <f>(D73-C25)*C24</f>
        <v>100497.216</v>
      </c>
      <c r="L74" s="40" t="s">
        <v>38</v>
      </c>
      <c r="M74" s="41"/>
      <c r="N74" s="41">
        <f>(N73-M25)*M24</f>
        <v>75372.911999999997</v>
      </c>
    </row>
  </sheetData>
  <mergeCells count="4">
    <mergeCell ref="L2:T2"/>
    <mergeCell ref="L63:N63"/>
    <mergeCell ref="B2:J2"/>
    <mergeCell ref="B63:D6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4FD68-29FE-4D58-A587-EA50A27F3DFA}">
  <dimension ref="B2:J24"/>
  <sheetViews>
    <sheetView topLeftCell="A2" workbookViewId="0">
      <selection activeCell="C28" sqref="C28"/>
    </sheetView>
  </sheetViews>
  <sheetFormatPr defaultRowHeight="15" x14ac:dyDescent="0.25"/>
  <cols>
    <col min="1" max="1" width="2.28515625" style="1" customWidth="1"/>
    <col min="2" max="2" width="21" style="1" bestFit="1" customWidth="1"/>
    <col min="3" max="3" width="14.28515625" style="1" bestFit="1" customWidth="1"/>
    <col min="4" max="4" width="8.85546875" style="1" bestFit="1" customWidth="1"/>
    <col min="5" max="5" width="12.7109375" style="1" bestFit="1" customWidth="1"/>
    <col min="6" max="6" width="9.140625" style="1"/>
    <col min="7" max="7" width="21" style="1" bestFit="1" customWidth="1"/>
    <col min="8" max="8" width="14.28515625" style="1" bestFit="1" customWidth="1"/>
    <col min="9" max="9" width="9.28515625" style="1" bestFit="1" customWidth="1"/>
    <col min="10" max="10" width="12.7109375" style="1" bestFit="1" customWidth="1"/>
    <col min="11" max="16384" width="9.140625" style="1"/>
  </cols>
  <sheetData>
    <row r="2" spans="2:10" ht="18.75" x14ac:dyDescent="0.25">
      <c r="B2" s="63" t="s">
        <v>25</v>
      </c>
      <c r="C2" s="63"/>
      <c r="D2" s="63"/>
      <c r="E2" s="63"/>
      <c r="G2" s="63" t="s">
        <v>46</v>
      </c>
      <c r="H2" s="63"/>
      <c r="I2" s="63"/>
      <c r="J2" s="63"/>
    </row>
    <row r="4" spans="2:10" ht="31.5" x14ac:dyDescent="0.25">
      <c r="B4" s="53" t="s">
        <v>47</v>
      </c>
      <c r="C4" s="53" t="s">
        <v>48</v>
      </c>
      <c r="D4" s="53" t="s">
        <v>49</v>
      </c>
      <c r="E4" s="53" t="s">
        <v>50</v>
      </c>
      <c r="G4" s="53" t="s">
        <v>47</v>
      </c>
      <c r="H4" s="53" t="s">
        <v>48</v>
      </c>
      <c r="I4" s="53" t="s">
        <v>49</v>
      </c>
      <c r="J4" s="53" t="s">
        <v>50</v>
      </c>
    </row>
    <row r="5" spans="2:10" x14ac:dyDescent="0.25">
      <c r="B5" s="54">
        <v>5.4</v>
      </c>
      <c r="C5" s="2">
        <v>1200</v>
      </c>
      <c r="D5" s="55"/>
      <c r="E5" s="55"/>
      <c r="G5" s="54">
        <v>5.4</v>
      </c>
      <c r="H5" s="2">
        <v>1200</v>
      </c>
      <c r="I5" s="55"/>
      <c r="J5" s="55"/>
    </row>
    <row r="6" spans="2:10" x14ac:dyDescent="0.25">
      <c r="B6" s="54">
        <f>B5*0.9</f>
        <v>4.8600000000000003</v>
      </c>
      <c r="C6" s="2">
        <v>1500</v>
      </c>
      <c r="D6" s="55">
        <f>B6/B5-1</f>
        <v>-9.9999999999999978E-2</v>
      </c>
      <c r="E6" s="55">
        <f>C6/C5-1</f>
        <v>0.25</v>
      </c>
      <c r="G6" s="54">
        <f>B6</f>
        <v>4.8600000000000003</v>
      </c>
      <c r="H6" s="2">
        <v>1500</v>
      </c>
      <c r="I6" s="55">
        <f>G6/G5-1</f>
        <v>-9.9999999999999978E-2</v>
      </c>
      <c r="J6" s="55">
        <f>H6/H5-1</f>
        <v>0.25</v>
      </c>
    </row>
    <row r="8" spans="2:10" ht="15.75" x14ac:dyDescent="0.25">
      <c r="B8" s="53" t="s">
        <v>1</v>
      </c>
      <c r="C8" s="56">
        <f>LN(1+E6)/LN(1+D6)</f>
        <v>-2.1179048899010815</v>
      </c>
      <c r="G8" s="53" t="s">
        <v>1</v>
      </c>
      <c r="H8" s="56">
        <f>LN(1+J6)/LN(1+I6)</f>
        <v>-2.1179048899010815</v>
      </c>
    </row>
    <row r="10" spans="2:10" x14ac:dyDescent="0.25">
      <c r="B10" s="59" t="s">
        <v>59</v>
      </c>
      <c r="C10" s="60">
        <v>2.23</v>
      </c>
      <c r="G10" s="59" t="s">
        <v>59</v>
      </c>
      <c r="H10" s="60">
        <v>2.25</v>
      </c>
    </row>
    <row r="12" spans="2:10" x14ac:dyDescent="0.25">
      <c r="B12" s="59" t="s">
        <v>60</v>
      </c>
      <c r="C12" s="60">
        <v>2326</v>
      </c>
      <c r="G12" s="59" t="s">
        <v>60</v>
      </c>
      <c r="H12" s="60">
        <v>2225</v>
      </c>
    </row>
    <row r="14" spans="2:10" ht="15.75" x14ac:dyDescent="0.25">
      <c r="B14" s="53" t="s">
        <v>51</v>
      </c>
      <c r="C14" s="56">
        <f>C8/(1+C8)*C10</f>
        <v>4.2248029748732225</v>
      </c>
      <c r="G14" s="53" t="s">
        <v>51</v>
      </c>
      <c r="H14" s="56">
        <f>H8/(1+H8)*H10</f>
        <v>4.2626935845133413</v>
      </c>
    </row>
    <row r="16" spans="2:10" x14ac:dyDescent="0.25">
      <c r="B16" s="2" t="s">
        <v>52</v>
      </c>
      <c r="C16" s="55">
        <f>C14/B5-1</f>
        <v>-0.21762907872718107</v>
      </c>
      <c r="G16" s="2" t="s">
        <v>52</v>
      </c>
      <c r="H16" s="55">
        <f>H14/G5-1</f>
        <v>-0.2106122991641961</v>
      </c>
    </row>
    <row r="17" spans="2:8" x14ac:dyDescent="0.25">
      <c r="B17" s="2" t="s">
        <v>53</v>
      </c>
      <c r="C17" s="55">
        <f>(1+C16)^C8-1</f>
        <v>0.68167381873809973</v>
      </c>
      <c r="G17" s="2" t="s">
        <v>53</v>
      </c>
      <c r="H17" s="55">
        <f>(1+H16)^H8-1</f>
        <v>0.65017216910507791</v>
      </c>
    </row>
    <row r="18" spans="2:8" ht="15.75" x14ac:dyDescent="0.25">
      <c r="B18" s="53" t="s">
        <v>54</v>
      </c>
      <c r="C18" s="56">
        <f>C5*(1+C17)</f>
        <v>2018.0085824857197</v>
      </c>
      <c r="G18" s="53" t="s">
        <v>54</v>
      </c>
      <c r="H18" s="56">
        <f>H5*(1+H17)</f>
        <v>1980.2066029260934</v>
      </c>
    </row>
    <row r="19" spans="2:8" ht="15.75" x14ac:dyDescent="0.25">
      <c r="B19" s="53" t="s">
        <v>56</v>
      </c>
      <c r="C19" s="56">
        <f>C14-2.23</f>
        <v>1.9948029748732226</v>
      </c>
      <c r="G19" s="53" t="s">
        <v>56</v>
      </c>
      <c r="H19" s="56">
        <f>H14-2.23</f>
        <v>2.0326935845133414</v>
      </c>
    </row>
    <row r="20" spans="2:8" ht="15.75" x14ac:dyDescent="0.25">
      <c r="B20" s="53" t="s">
        <v>55</v>
      </c>
      <c r="C20" s="53">
        <f>C19*C18</f>
        <v>4025.5295236622087</v>
      </c>
      <c r="G20" s="53" t="s">
        <v>55</v>
      </c>
      <c r="H20" s="53">
        <f>H19*H18</f>
        <v>4025.1532577788275</v>
      </c>
    </row>
    <row r="22" spans="2:8" ht="15.75" x14ac:dyDescent="0.25">
      <c r="B22" s="64" t="s">
        <v>26</v>
      </c>
      <c r="C22" s="64"/>
      <c r="G22" s="64" t="s">
        <v>26</v>
      </c>
      <c r="H22" s="64"/>
    </row>
    <row r="23" spans="2:8" x14ac:dyDescent="0.25">
      <c r="B23" s="57" t="s">
        <v>57</v>
      </c>
      <c r="C23" s="58">
        <f>C14</f>
        <v>4.2248029748732225</v>
      </c>
      <c r="G23" s="57" t="s">
        <v>57</v>
      </c>
      <c r="H23" s="58">
        <f>H14</f>
        <v>4.2626935845133413</v>
      </c>
    </row>
    <row r="24" spans="2:8" x14ac:dyDescent="0.25">
      <c r="B24" s="57" t="s">
        <v>58</v>
      </c>
      <c r="C24" s="3">
        <f>C20-C12</f>
        <v>1699.5295236622087</v>
      </c>
      <c r="G24" s="57" t="s">
        <v>58</v>
      </c>
      <c r="H24" s="3">
        <f>H20-H12</f>
        <v>1800.1532577788275</v>
      </c>
    </row>
  </sheetData>
  <mergeCells count="4">
    <mergeCell ref="B2:E2"/>
    <mergeCell ref="B22:C22"/>
    <mergeCell ref="G2:J2"/>
    <mergeCell ref="G22:H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Q2</vt:lpstr>
      <vt:lpstr>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Roni Cleber Bonizio</cp:lastModifiedBy>
  <dcterms:created xsi:type="dcterms:W3CDTF">2018-05-22T19:13:49Z</dcterms:created>
  <dcterms:modified xsi:type="dcterms:W3CDTF">2018-06-28T14:31:31Z</dcterms:modified>
</cp:coreProperties>
</file>